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3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6A119115-4246-E340-89CE-B4F7109E1105}" xr6:coauthVersionLast="47" xr6:coauthVersionMax="47" xr10:uidLastSave="{00000000-0000-0000-0000-000000000000}"/>
  <bookViews>
    <workbookView xWindow="0" yWindow="700" windowWidth="27040" windowHeight="15760" tabRatio="770" activeTab="4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123" sheetId="20" r:id="rId11"/>
    <sheet name="COMPATIBILITY" sheetId="18" r:id="rId12"/>
    <sheet name="REF" sheetId="2" r:id="rId13"/>
    <sheet name="OPERATORS" sheetId="13" r:id="rId14"/>
    <sheet name="ENGINEERING" sheetId="15" r:id="rId15"/>
  </sheets>
  <externalReferences>
    <externalReference r:id="rId16"/>
    <externalReference r:id="rId17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5" i="5" l="1" a="1"/>
  <c r="AG25" i="5" s="1"/>
  <c r="AH25" i="5"/>
  <c r="AI25" i="5"/>
  <c r="AJ25" i="5"/>
  <c r="AK25" i="5"/>
  <c r="AL25" i="5"/>
  <c r="AM25" i="5"/>
  <c r="AN25" i="5"/>
  <c r="AO25" i="5"/>
  <c r="AP25" i="5"/>
  <c r="AR25" i="5"/>
  <c r="AS25" i="5"/>
  <c r="AT25" i="5"/>
  <c r="AU25" i="5"/>
  <c r="AV25" i="5"/>
  <c r="AF25" i="5" a="1"/>
  <c r="AF25" i="5" s="1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AG66" i="5" a="1"/>
  <c r="AG66" i="5" s="1"/>
  <c r="AH66" i="5"/>
  <c r="AI66" i="5"/>
  <c r="AJ66" i="5"/>
  <c r="AK66" i="5"/>
  <c r="AL66" i="5"/>
  <c r="AM66" i="5"/>
  <c r="AN66" i="5"/>
  <c r="AO66" i="5"/>
  <c r="AP66" i="5"/>
  <c r="AR66" i="5"/>
  <c r="AS66" i="5"/>
  <c r="AT66" i="5"/>
  <c r="AU66" i="5"/>
  <c r="AV66" i="5"/>
  <c r="AF66" i="5" a="1"/>
  <c r="AF66" i="5" s="1"/>
  <c r="Z66" i="5"/>
  <c r="AA66" i="5"/>
  <c r="AB66" i="5"/>
  <c r="AC66" i="5"/>
  <c r="AD66" i="5"/>
  <c r="AE66" i="5"/>
  <c r="Y66" i="5"/>
  <c r="X66" i="5"/>
  <c r="W66" i="5"/>
  <c r="V66" i="5"/>
  <c r="U66" i="5"/>
  <c r="T66" i="5"/>
  <c r="S66" i="5"/>
  <c r="R66" i="5"/>
  <c r="Q66" i="5"/>
  <c r="AG63" i="5" a="1"/>
  <c r="AG63" i="5" s="1"/>
  <c r="AJ63" i="5"/>
  <c r="AK63" i="5"/>
  <c r="AL63" i="5"/>
  <c r="AM63" i="5"/>
  <c r="AN63" i="5"/>
  <c r="AO63" i="5"/>
  <c r="AP63" i="5"/>
  <c r="AT63" i="5"/>
  <c r="AU63" i="5"/>
  <c r="AV63" i="5"/>
  <c r="AF63" i="5" a="1"/>
  <c r="AF63" i="5" s="1"/>
  <c r="AD63" i="5"/>
  <c r="AE63" i="5"/>
  <c r="AC63" i="5"/>
  <c r="AB63" i="5"/>
  <c r="AA64" i="5"/>
  <c r="AA63" i="5"/>
  <c r="Z63" i="5"/>
  <c r="Y63" i="5"/>
  <c r="X63" i="5"/>
  <c r="W63" i="5"/>
  <c r="V63" i="5"/>
  <c r="U63" i="5"/>
  <c r="T63" i="5"/>
  <c r="S63" i="5"/>
  <c r="R63" i="5"/>
  <c r="Q63" i="5"/>
  <c r="AF7" i="5" a="1"/>
  <c r="AF7" i="5" s="1"/>
  <c r="Q7" i="5"/>
  <c r="Q75" i="3"/>
  <c r="AG7" i="5" a="1"/>
  <c r="AG7" i="5" s="1"/>
  <c r="AI7" i="5"/>
  <c r="AJ7" i="5"/>
  <c r="AK7" i="5"/>
  <c r="AL7" i="5"/>
  <c r="AM7" i="5"/>
  <c r="AN7" i="5"/>
  <c r="AO7" i="5"/>
  <c r="AP7" i="5"/>
  <c r="AS7" i="5"/>
  <c r="AT7" i="5"/>
  <c r="AU7" i="5"/>
  <c r="AV7" i="5"/>
  <c r="Z7" i="5"/>
  <c r="AA7" i="5"/>
  <c r="AB7" i="5"/>
  <c r="AC7" i="5"/>
  <c r="AD7" i="5"/>
  <c r="AE7" i="5"/>
  <c r="Y7" i="5"/>
  <c r="X7" i="5"/>
  <c r="W7" i="5"/>
  <c r="V7" i="5"/>
  <c r="U7" i="5"/>
  <c r="T7" i="5"/>
  <c r="S7" i="5"/>
  <c r="R7" i="5"/>
  <c r="Q10" i="17"/>
  <c r="AG75" i="3" a="1"/>
  <c r="AG75" i="3" s="1"/>
  <c r="AI75" i="3"/>
  <c r="AJ75" i="3"/>
  <c r="AK75" i="3"/>
  <c r="AL75" i="3"/>
  <c r="AM75" i="3"/>
  <c r="AN75" i="3"/>
  <c r="AO75" i="3"/>
  <c r="AP75" i="3"/>
  <c r="AS75" i="3"/>
  <c r="AT75" i="3"/>
  <c r="AU75" i="3"/>
  <c r="AV75" i="3"/>
  <c r="AF75" i="3" a="1"/>
  <c r="AF75" i="3" s="1"/>
  <c r="Z75" i="3"/>
  <c r="AA75" i="3"/>
  <c r="AB75" i="3"/>
  <c r="AC75" i="3"/>
  <c r="AD75" i="3"/>
  <c r="AE75" i="3"/>
  <c r="Y75" i="3"/>
  <c r="X75" i="3"/>
  <c r="W75" i="3"/>
  <c r="V75" i="3"/>
  <c r="U75" i="3"/>
  <c r="T75" i="3"/>
  <c r="S75" i="3"/>
  <c r="R75" i="3"/>
  <c r="Q3" i="17"/>
  <c r="S10" i="17"/>
  <c r="R10" i="17"/>
  <c r="V10" i="17"/>
  <c r="U10" i="17"/>
  <c r="AG10" i="17" a="1"/>
  <c r="AG10" i="17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F10" i="17" a="1"/>
  <c r="AF10" i="17" s="1"/>
  <c r="AE10" i="17"/>
  <c r="AD10" i="17"/>
  <c r="AC10" i="17"/>
  <c r="AB10" i="17"/>
  <c r="AA10" i="17"/>
  <c r="Z10" i="17"/>
  <c r="Y10" i="17"/>
  <c r="X10" i="17"/>
  <c r="W10" i="17"/>
  <c r="T10" i="17"/>
  <c r="Q9" i="17"/>
  <c r="AG6" i="6" a="1"/>
  <c r="AG6" i="6"/>
  <c r="AF17" i="13" a="1"/>
  <c r="AF17" i="13"/>
  <c r="AF16" i="13" a="1"/>
  <c r="AF16" i="13"/>
  <c r="AF15" i="13" a="1"/>
  <c r="AF15" i="13"/>
  <c r="AF14" i="13" a="1"/>
  <c r="AF14" i="13"/>
  <c r="AF13" i="13" a="1"/>
  <c r="AF13" i="13"/>
  <c r="AF12" i="13" a="1"/>
  <c r="AF12" i="13"/>
  <c r="AF11" i="13" a="1"/>
  <c r="AF11" i="13"/>
  <c r="AF10" i="13" a="1"/>
  <c r="AF10" i="13"/>
  <c r="AF9" i="13" a="1"/>
  <c r="AF9" i="13"/>
  <c r="AF8" i="13" a="1"/>
  <c r="AF8" i="13"/>
  <c r="AF7" i="13" a="1"/>
  <c r="AF7" i="13"/>
  <c r="AF6" i="13" a="1"/>
  <c r="AF6" i="13"/>
  <c r="AF5" i="13" a="1"/>
  <c r="AF5" i="13"/>
  <c r="AF4" i="13" a="1"/>
  <c r="AF4" i="13"/>
  <c r="AF3" i="13" a="1"/>
  <c r="AF3" i="13"/>
  <c r="AF62" i="12" a="1"/>
  <c r="AF62" i="12" s="1"/>
  <c r="AF61" i="12" a="1"/>
  <c r="AF61" i="12"/>
  <c r="AF60" i="12" a="1"/>
  <c r="AF60" i="12" s="1"/>
  <c r="AF8" i="12" a="1"/>
  <c r="AF8" i="12"/>
  <c r="AF7" i="12" a="1"/>
  <c r="AF7" i="12"/>
  <c r="AF6" i="12" a="1"/>
  <c r="AF6" i="12" s="1"/>
  <c r="AF18" i="6" a="1"/>
  <c r="AF18" i="6"/>
  <c r="AF14" i="6" a="1"/>
  <c r="AF14" i="6"/>
  <c r="AF13" i="6" a="1"/>
  <c r="AF13" i="6"/>
  <c r="AF12" i="6" a="1"/>
  <c r="AF12" i="6"/>
  <c r="AF11" i="6" a="1"/>
  <c r="AF11" i="6"/>
  <c r="AF8" i="6" a="1"/>
  <c r="AF8" i="6"/>
  <c r="AF7" i="6" a="1"/>
  <c r="AF7" i="6"/>
  <c r="AF6" i="6" a="1"/>
  <c r="AF6" i="6"/>
  <c r="A38" i="19"/>
  <c r="W5" i="17"/>
  <c r="AF5" i="17" a="1"/>
  <c r="AF5" i="17"/>
  <c r="AF20" i="17" a="1"/>
  <c r="AF20" i="17"/>
  <c r="AF26" i="17" a="1"/>
  <c r="AF26" i="17"/>
  <c r="AF22" i="17" a="1"/>
  <c r="AF22" i="17" s="1"/>
  <c r="AF19" i="17" a="1"/>
  <c r="AF19" i="17"/>
  <c r="AF18" i="17" a="1"/>
  <c r="AF18" i="17"/>
  <c r="AF14" i="17" a="1"/>
  <c r="AF14" i="17" s="1"/>
  <c r="AF13" i="17" a="1"/>
  <c r="AF13" i="17"/>
  <c r="AF12" i="17" a="1"/>
  <c r="AF12" i="17"/>
  <c r="AF11" i="17" a="1"/>
  <c r="AF11" i="17" s="1"/>
  <c r="AF6" i="17" a="1"/>
  <c r="AF6" i="17" s="1"/>
  <c r="AF4" i="17" a="1"/>
  <c r="AF4" i="17"/>
  <c r="AF3" i="17" a="1"/>
  <c r="AF3" i="17" s="1"/>
  <c r="AF93" i="5" a="1"/>
  <c r="AF93" i="5"/>
  <c r="AF86" i="5" a="1"/>
  <c r="AF86" i="5"/>
  <c r="AF85" i="5" a="1"/>
  <c r="AF85" i="5"/>
  <c r="AF77" i="5" a="1"/>
  <c r="AF77" i="5"/>
  <c r="AF76" i="5" a="1"/>
  <c r="AF76" i="5" s="1"/>
  <c r="AF74" i="5" a="1"/>
  <c r="AF74" i="5"/>
  <c r="AF73" i="5" a="1"/>
  <c r="AF73" i="5" s="1"/>
  <c r="AF72" i="5" a="1"/>
  <c r="AF72" i="5"/>
  <c r="AF71" i="5" a="1"/>
  <c r="AF71" i="5"/>
  <c r="AF56" i="5" a="1"/>
  <c r="AF56" i="5"/>
  <c r="AF42" i="5" a="1"/>
  <c r="AF42" i="5"/>
  <c r="AF37" i="5" a="1"/>
  <c r="AF37" i="5"/>
  <c r="AF24" i="5" a="1"/>
  <c r="AF24" i="5"/>
  <c r="AF6" i="5" a="1"/>
  <c r="AF6" i="5" s="1"/>
  <c r="AF30" i="18" a="1"/>
  <c r="AF30" i="18"/>
  <c r="AF28" i="18" a="1"/>
  <c r="AF28" i="18"/>
  <c r="AF27" i="18" a="1"/>
  <c r="AF27" i="18"/>
  <c r="AF26" i="18" a="1"/>
  <c r="AF26" i="18" s="1"/>
  <c r="AF9" i="18" a="1"/>
  <c r="AF9" i="18"/>
  <c r="AF29" i="18" a="1"/>
  <c r="AF29" i="18" s="1"/>
  <c r="AF45" i="11" a="1"/>
  <c r="AF45" i="11"/>
  <c r="AF44" i="11" a="1"/>
  <c r="AF44" i="11"/>
  <c r="AF41" i="11" a="1"/>
  <c r="AF41" i="11" s="1"/>
  <c r="AF36" i="11" a="1"/>
  <c r="AF36" i="11" s="1"/>
  <c r="AF32" i="11" a="1"/>
  <c r="AF32" i="11"/>
  <c r="AF30" i="11" a="1"/>
  <c r="AF30" i="11"/>
  <c r="AF27" i="11" a="1"/>
  <c r="AF27" i="11"/>
  <c r="AF22" i="11" a="1"/>
  <c r="AF22" i="11"/>
  <c r="AF21" i="11" a="1"/>
  <c r="AF21" i="11"/>
  <c r="AF19" i="11" a="1"/>
  <c r="AF19" i="11"/>
  <c r="AF17" i="11" a="1"/>
  <c r="AF17" i="11" s="1"/>
  <c r="AF14" i="11" a="1"/>
  <c r="AF14" i="11"/>
  <c r="AF10" i="11" a="1"/>
  <c r="AF10" i="11"/>
  <c r="AF9" i="11" a="1"/>
  <c r="AF9" i="11"/>
  <c r="AF8" i="11" a="1"/>
  <c r="AF8" i="11"/>
  <c r="AF6" i="11" a="1"/>
  <c r="AF6" i="11" s="1"/>
  <c r="AF45" i="9" a="1"/>
  <c r="AF45" i="9" s="1"/>
  <c r="AF44" i="9" a="1"/>
  <c r="AF44" i="9" s="1"/>
  <c r="AF40" i="9" a="1"/>
  <c r="AF40" i="9"/>
  <c r="AF39" i="9" a="1"/>
  <c r="AF39" i="9" s="1"/>
  <c r="AF33" i="9" a="1"/>
  <c r="AF33" i="9"/>
  <c r="AF32" i="9" a="1"/>
  <c r="AF32" i="9"/>
  <c r="AF27" i="9" a="1"/>
  <c r="AF27" i="9" s="1"/>
  <c r="AF26" i="9" a="1"/>
  <c r="AF26" i="9" s="1"/>
  <c r="AF25" i="9" a="1"/>
  <c r="AF25" i="9" s="1"/>
  <c r="AF22" i="9" a="1"/>
  <c r="AF22" i="9" s="1"/>
  <c r="AF13" i="9" a="1"/>
  <c r="AF13" i="9"/>
  <c r="AE23" i="8" a="1"/>
  <c r="AE23" i="8" s="1"/>
  <c r="AD23" i="8" a="1"/>
  <c r="AD23" i="8"/>
  <c r="AC23" i="8" a="1"/>
  <c r="AC23" i="8"/>
  <c r="AB23" i="8" a="1"/>
  <c r="AB23" i="8"/>
  <c r="AA23" i="8" a="1"/>
  <c r="AA23" i="8" s="1"/>
  <c r="Z23" i="8" a="1"/>
  <c r="Z23" i="8" s="1"/>
  <c r="Y23" i="8" a="1"/>
  <c r="Y23" i="8"/>
  <c r="X23" i="8" a="1"/>
  <c r="X23" i="8"/>
  <c r="W23" i="8" a="1"/>
  <c r="W23" i="8"/>
  <c r="V23" i="8" a="1"/>
  <c r="V23" i="8"/>
  <c r="U23" i="8" a="1"/>
  <c r="U23" i="8" s="1"/>
  <c r="T23" i="8" a="1"/>
  <c r="T23" i="8"/>
  <c r="S23" i="8" a="1"/>
  <c r="S23" i="8"/>
  <c r="R23" i="8" a="1"/>
  <c r="R23" i="8"/>
  <c r="Q23" i="8" a="1"/>
  <c r="Q23" i="8" s="1"/>
  <c r="AE14" i="8" a="1"/>
  <c r="AE14" i="8"/>
  <c r="AD14" i="8" a="1"/>
  <c r="AD14" i="8"/>
  <c r="AC14" i="8" a="1"/>
  <c r="AC14" i="8"/>
  <c r="AB14" i="8" a="1"/>
  <c r="AB14" i="8"/>
  <c r="AA14" i="8" a="1"/>
  <c r="AA14" i="8"/>
  <c r="Z14" i="8" a="1"/>
  <c r="Z14" i="8"/>
  <c r="Y14" i="8" a="1"/>
  <c r="Y14" i="8" s="1"/>
  <c r="X14" i="8" a="1"/>
  <c r="X14" i="8"/>
  <c r="W14" i="8" a="1"/>
  <c r="W14" i="8"/>
  <c r="V14" i="8" a="1"/>
  <c r="V14" i="8"/>
  <c r="U14" i="8" a="1"/>
  <c r="U14" i="8" s="1"/>
  <c r="T14" i="8" a="1"/>
  <c r="T14" i="8"/>
  <c r="S14" i="8" a="1"/>
  <c r="S14" i="8"/>
  <c r="R14" i="8" a="1"/>
  <c r="R14" i="8"/>
  <c r="Q14" i="8" a="1"/>
  <c r="Q14" i="8"/>
  <c r="AL14" i="8" a="1"/>
  <c r="AL14" i="8" s="1"/>
  <c r="AF12" i="8" a="1"/>
  <c r="AF12" i="8" s="1"/>
  <c r="AF23" i="8" a="1"/>
  <c r="AF23" i="8" s="1"/>
  <c r="AF19" i="8" a="1"/>
  <c r="AF19" i="8"/>
  <c r="AF14" i="8" a="1"/>
  <c r="AF14" i="8"/>
  <c r="AF13" i="8" a="1"/>
  <c r="AF13" i="8" s="1"/>
  <c r="AF11" i="8" a="1"/>
  <c r="AF11" i="8" s="1"/>
  <c r="AF20" i="8"/>
  <c r="V24" i="1" a="1"/>
  <c r="V24" i="1"/>
  <c r="V23" i="1" a="1"/>
  <c r="V23" i="1"/>
  <c r="AA21" i="1"/>
  <c r="Z25" i="1"/>
  <c r="S69" i="12" a="1"/>
  <c r="S69" i="12"/>
  <c r="V25" i="1" a="1"/>
  <c r="V25" i="1" s="1"/>
  <c r="T23" i="1"/>
  <c r="T22" i="1"/>
  <c r="V17" i="11"/>
  <c r="S17" i="11"/>
  <c r="T17" i="11"/>
  <c r="Q23" i="12"/>
  <c r="AF3" i="12" a="1"/>
  <c r="AQ25" i="5" l="1"/>
  <c r="AQ66" i="5"/>
  <c r="AS63" i="5"/>
  <c r="AI63" i="5"/>
  <c r="AR63" i="5"/>
  <c r="AH63" i="5"/>
  <c r="AQ63" i="5"/>
  <c r="AR7" i="5"/>
  <c r="AH7" i="5"/>
  <c r="AQ7" i="5"/>
  <c r="AR75" i="3"/>
  <c r="AH75" i="3"/>
  <c r="AQ75" i="3"/>
  <c r="AF3" i="12"/>
  <c r="U14" i="1" a="1"/>
  <c r="U14" i="1" s="1"/>
  <c r="Y19" i="1" l="1"/>
  <c r="X18" i="1"/>
  <c r="W17" i="1"/>
  <c r="V16" i="1"/>
  <c r="U15" i="1"/>
  <c r="X19" i="1"/>
  <c r="W18" i="1"/>
  <c r="V17" i="1"/>
  <c r="U16" i="1"/>
  <c r="AC14" i="1"/>
  <c r="W19" i="1"/>
  <c r="V18" i="1"/>
  <c r="U17" i="1"/>
  <c r="AC15" i="1"/>
  <c r="AB14" i="1"/>
  <c r="V19" i="1"/>
  <c r="U18" i="1"/>
  <c r="AC16" i="1"/>
  <c r="AB15" i="1"/>
  <c r="AA14" i="1"/>
  <c r="U19" i="1"/>
  <c r="AC17" i="1"/>
  <c r="AB16" i="1"/>
  <c r="AA15" i="1"/>
  <c r="Z14" i="1"/>
  <c r="AC18" i="1"/>
  <c r="AB17" i="1"/>
  <c r="AA16" i="1"/>
  <c r="Z15" i="1"/>
  <c r="Y14" i="1"/>
  <c r="AC19" i="1"/>
  <c r="AB18" i="1"/>
  <c r="AA17" i="1"/>
  <c r="Z16" i="1"/>
  <c r="Y15" i="1"/>
  <c r="X14" i="1"/>
  <c r="AB19" i="1"/>
  <c r="AA18" i="1"/>
  <c r="Z17" i="1"/>
  <c r="Y16" i="1"/>
  <c r="X15" i="1"/>
  <c r="W14" i="1"/>
  <c r="AA19" i="1"/>
  <c r="Z18" i="1"/>
  <c r="Y17" i="1"/>
  <c r="X16" i="1"/>
  <c r="W15" i="1"/>
  <c r="V14" i="1"/>
  <c r="Z19" i="1"/>
  <c r="Y18" i="1"/>
  <c r="X17" i="1"/>
  <c r="W16" i="1"/>
  <c r="V15" i="1"/>
  <c r="J34" i="11"/>
  <c r="Y34" i="11" s="1"/>
  <c r="Q34" i="11"/>
  <c r="R34" i="11"/>
  <c r="S34" i="11"/>
  <c r="T34" i="11"/>
  <c r="U34" i="11"/>
  <c r="V34" i="11"/>
  <c r="W34" i="11"/>
  <c r="X34" i="11"/>
  <c r="Z34" i="11"/>
  <c r="AA34" i="11"/>
  <c r="AB34" i="11"/>
  <c r="AC34" i="11"/>
  <c r="AD34" i="11"/>
  <c r="AE34" i="11"/>
  <c r="AF34" i="11" a="1"/>
  <c r="AF34" i="11" s="1"/>
  <c r="AG34" i="11" a="1"/>
  <c r="AI34" i="11" s="1"/>
  <c r="R35" i="11"/>
  <c r="Q35" i="11"/>
  <c r="AN35" i="11" a="1"/>
  <c r="AV35" i="11" s="1"/>
  <c r="AU35" i="11"/>
  <c r="AG35" i="11" a="1"/>
  <c r="AG35" i="11" s="1"/>
  <c r="AF35" i="11" a="1"/>
  <c r="AF35" i="11" s="1"/>
  <c r="S35" i="11"/>
  <c r="T35" i="11"/>
  <c r="U35" i="11"/>
  <c r="V35" i="11"/>
  <c r="W35" i="11"/>
  <c r="X35" i="11"/>
  <c r="Z35" i="11"/>
  <c r="AA35" i="11"/>
  <c r="AB35" i="11"/>
  <c r="AC35" i="11"/>
  <c r="AD35" i="11"/>
  <c r="AE35" i="11"/>
  <c r="J35" i="11"/>
  <c r="AK35" i="11" s="1" a="1"/>
  <c r="AH39" i="11" a="1"/>
  <c r="AI39" i="11" s="1"/>
  <c r="AF39" i="11"/>
  <c r="AJ10" i="12" a="1"/>
  <c r="AL10" i="12" s="1"/>
  <c r="O19" i="19" a="1"/>
  <c r="O19" i="19"/>
  <c r="N19" i="19" a="1"/>
  <c r="N19" i="19" s="1"/>
  <c r="N17" i="19" a="1"/>
  <c r="N17" i="19" s="1"/>
  <c r="AD10" i="12" a="1"/>
  <c r="AD10" i="12" s="1"/>
  <c r="AB10" i="12" a="1"/>
  <c r="AB10" i="12" s="1"/>
  <c r="Z10" i="12" a="1"/>
  <c r="Z10" i="12" s="1"/>
  <c r="X10" i="12" a="1"/>
  <c r="X10" i="12" s="1"/>
  <c r="W10" i="12" a="1"/>
  <c r="W10" i="12" s="1"/>
  <c r="V10" i="12" a="1"/>
  <c r="V10" i="12" s="1"/>
  <c r="U10" i="12" a="1"/>
  <c r="U10" i="12" s="1"/>
  <c r="M15" i="19" a="1"/>
  <c r="M15" i="19"/>
  <c r="N15" i="19"/>
  <c r="O15" i="19"/>
  <c r="P15" i="19"/>
  <c r="I15" i="19" a="1"/>
  <c r="I15" i="19"/>
  <c r="J15" i="19"/>
  <c r="K15" i="19"/>
  <c r="L15" i="19"/>
  <c r="L19" i="19" a="1"/>
  <c r="L19" i="19" s="1"/>
  <c r="I20" i="19" a="1"/>
  <c r="I20" i="19" s="1"/>
  <c r="K20" i="19" a="1"/>
  <c r="K20" i="19" s="1"/>
  <c r="K16" i="19" a="1"/>
  <c r="K16" i="19" s="1"/>
  <c r="A39" i="19"/>
  <c r="AF69" i="12" a="1"/>
  <c r="AF69" i="12" s="1"/>
  <c r="G22" i="19" a="1"/>
  <c r="G22" i="19" s="1"/>
  <c r="AG10" i="12" a="1"/>
  <c r="AG10" i="12" s="1"/>
  <c r="AF10" i="12" a="1"/>
  <c r="AF10" i="12" s="1"/>
  <c r="AE10" i="12" a="1"/>
  <c r="AE10" i="12" s="1"/>
  <c r="A40" i="19"/>
  <c r="Y35" i="11" l="1"/>
  <c r="AJ35" i="11"/>
  <c r="AI35" i="11"/>
  <c r="AT35" i="11"/>
  <c r="AS35" i="11"/>
  <c r="AR35" i="11"/>
  <c r="AH35" i="11"/>
  <c r="AQ35" i="11"/>
  <c r="AP10" i="12"/>
  <c r="AQ10" i="12"/>
  <c r="AT10" i="12"/>
  <c r="AO10" i="12"/>
  <c r="AU10" i="12"/>
  <c r="AS10" i="12"/>
  <c r="AI10" i="12"/>
  <c r="AR10" i="12"/>
  <c r="AH10" i="12"/>
  <c r="AN10" i="12"/>
  <c r="AM10" i="12"/>
  <c r="AK10" i="12"/>
  <c r="AJ10" i="12"/>
  <c r="AV10" i="12"/>
  <c r="AK35" i="11"/>
  <c r="AL35" i="11"/>
  <c r="AM35" i="11"/>
  <c r="AL39" i="11"/>
  <c r="AN35" i="11"/>
  <c r="AV39" i="11"/>
  <c r="AK39" i="11"/>
  <c r="AR39" i="11"/>
  <c r="AU39" i="11"/>
  <c r="AJ39" i="11"/>
  <c r="AT39" i="11"/>
  <c r="AH39" i="11"/>
  <c r="AQ39" i="11"/>
  <c r="AP35" i="11"/>
  <c r="AP39" i="11"/>
  <c r="AO35" i="11"/>
  <c r="AO39" i="11"/>
  <c r="AN39" i="11"/>
  <c r="AM39" i="11"/>
  <c r="AP34" i="11"/>
  <c r="AO34" i="11"/>
  <c r="AN34" i="11"/>
  <c r="AU34" i="11"/>
  <c r="AK34" i="11"/>
  <c r="AR34" i="11"/>
  <c r="AH34" i="11"/>
  <c r="AQ34" i="11"/>
  <c r="AG34" i="11"/>
  <c r="AV34" i="11"/>
  <c r="AM34" i="11"/>
  <c r="AT34" i="11"/>
  <c r="AJ34" i="11"/>
  <c r="AL34" i="11"/>
  <c r="AS34" i="11"/>
  <c r="AS39" i="11"/>
  <c r="K21" i="19"/>
  <c r="L17" i="19"/>
  <c r="K17" i="19"/>
  <c r="L16" i="19"/>
  <c r="J8" i="12" a="1"/>
  <c r="J8" i="12" s="1"/>
  <c r="S5" i="12"/>
  <c r="L8" i="12" l="1"/>
  <c r="L9" i="12"/>
  <c r="K9" i="12"/>
  <c r="J9" i="12"/>
  <c r="K8" i="12"/>
  <c r="AG39" i="11" l="1"/>
  <c r="T39" i="11"/>
  <c r="U39" i="11"/>
  <c r="V39" i="11"/>
  <c r="W39" i="11"/>
  <c r="Z39" i="11"/>
  <c r="AA39" i="11"/>
  <c r="AB39" i="11"/>
  <c r="AC39" i="11"/>
  <c r="AD39" i="11"/>
  <c r="AE39" i="11"/>
  <c r="S39" i="11"/>
  <c r="R39" i="11"/>
  <c r="Q39" i="11"/>
  <c r="J39" i="11"/>
  <c r="X39" i="11" s="1"/>
  <c r="Y39" i="11" l="1"/>
  <c r="S10" i="12" a="1"/>
  <c r="S10" i="12" s="1"/>
  <c r="AA10" i="12" a="1"/>
  <c r="AA10" i="12" s="1"/>
  <c r="AC10" i="12" a="1"/>
  <c r="AC10" i="12" s="1"/>
  <c r="Q10" i="12" a="1"/>
  <c r="Q10" i="12" s="1"/>
  <c r="J10" i="12"/>
  <c r="W69" i="12" a="1"/>
  <c r="W69" i="12" s="1"/>
  <c r="AG69" i="12" a="1"/>
  <c r="AL69" i="12" s="1"/>
  <c r="Q69" i="12" a="1"/>
  <c r="Q69" i="12" s="1"/>
  <c r="V69" i="12" a="1"/>
  <c r="V69" i="12" s="1"/>
  <c r="X69" i="12" a="1"/>
  <c r="X69" i="12" s="1"/>
  <c r="Y69" i="12" a="1"/>
  <c r="Y69" i="12" s="1"/>
  <c r="Z69" i="12" a="1"/>
  <c r="Z69" i="12" s="1"/>
  <c r="AB69" i="12" a="1"/>
  <c r="AB69" i="12" s="1"/>
  <c r="AC69" i="12" a="1"/>
  <c r="AC69" i="12" s="1"/>
  <c r="AD69" i="12" a="1"/>
  <c r="AD69" i="12" s="1"/>
  <c r="AE69" i="12" a="1"/>
  <c r="AE69" i="12" s="1"/>
  <c r="U69" i="12" a="1"/>
  <c r="U69" i="12" s="1"/>
  <c r="R69" i="12" a="1"/>
  <c r="R69" i="12" s="1"/>
  <c r="J69" i="12"/>
  <c r="W24" i="12"/>
  <c r="Z58" i="12"/>
  <c r="AK69" i="12" l="1"/>
  <c r="AJ69" i="12"/>
  <c r="AI69" i="12"/>
  <c r="AH69" i="12"/>
  <c r="AG69" i="12"/>
  <c r="AU69" i="12"/>
  <c r="AT69" i="12"/>
  <c r="AS69" i="12"/>
  <c r="AR69" i="12"/>
  <c r="AQ69" i="12"/>
  <c r="AP69" i="12"/>
  <c r="AO69" i="12"/>
  <c r="AN69" i="12"/>
  <c r="AA69" i="12" a="1"/>
  <c r="AA69" i="12" s="1"/>
  <c r="AM69" i="12"/>
  <c r="AV69" i="12"/>
  <c r="P32" i="1" a="1"/>
  <c r="P32" i="1" s="1"/>
  <c r="Q32" i="1" a="1"/>
  <c r="Q32" i="1"/>
  <c r="P31" i="1" a="1"/>
  <c r="P31" i="1" s="1"/>
  <c r="AF49" i="3" a="1"/>
  <c r="AF49" i="3" s="1"/>
  <c r="AG49" i="3" a="1"/>
  <c r="AH49" i="3" s="1"/>
  <c r="S49" i="3" a="1"/>
  <c r="S49" i="3" s="1"/>
  <c r="R49" i="3" a="1"/>
  <c r="R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Q49" i="3" a="1"/>
  <c r="Q49" i="3" s="1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Q43" i="3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W44" i="3" a="1"/>
  <c r="W44" i="3" s="1"/>
  <c r="T44" i="3" a="1"/>
  <c r="T44" i="3" s="1"/>
  <c r="U44" i="3"/>
  <c r="V44" i="3" a="1"/>
  <c r="V44" i="3" s="1"/>
  <c r="P27" i="1" a="1"/>
  <c r="Q28" i="1" s="1"/>
  <c r="P27" i="1"/>
  <c r="Q29" i="1"/>
  <c r="R29" i="1"/>
  <c r="S44" i="3" a="1"/>
  <c r="S44" i="3" s="1"/>
  <c r="M30" i="1"/>
  <c r="Q44" i="3" a="1"/>
  <c r="Q44" i="3" s="1"/>
  <c r="AF45" i="3" a="1"/>
  <c r="AF45" i="3" s="1"/>
  <c r="Z45" i="3" a="1"/>
  <c r="Z45" i="3" s="1"/>
  <c r="AA45" i="3" a="1"/>
  <c r="AA45" i="3" s="1"/>
  <c r="AB45" i="3" a="1"/>
  <c r="AB45" i="3" s="1"/>
  <c r="AC45" i="3" a="1"/>
  <c r="AC45" i="3" s="1"/>
  <c r="Y45" i="3" a="1"/>
  <c r="Y45" i="3" s="1"/>
  <c r="W45" i="3" a="1"/>
  <c r="W45" i="3" s="1"/>
  <c r="X45" i="3" a="1"/>
  <c r="X45" i="3" s="1"/>
  <c r="U45" i="3" a="1"/>
  <c r="U45" i="3" s="1"/>
  <c r="V45" i="3" a="1"/>
  <c r="V45" i="3" s="1"/>
  <c r="T45" i="3" a="1"/>
  <c r="T45" i="3" s="1"/>
  <c r="S45" i="3" a="1"/>
  <c r="S45" i="3" s="1"/>
  <c r="R45" i="3" a="1"/>
  <c r="R45" i="3" s="1"/>
  <c r="AE45" i="3" s="1" a="1"/>
  <c r="AE45" i="3" s="1"/>
  <c r="Q45" i="3" a="1"/>
  <c r="Q45" i="3" s="1"/>
  <c r="AD45" i="3" s="1" a="1"/>
  <c r="AD45" i="3" s="1"/>
  <c r="Q76" i="5"/>
  <c r="AE76" i="5" s="1"/>
  <c r="R76" i="5"/>
  <c r="R77" i="5"/>
  <c r="Q77" i="5"/>
  <c r="AE77" i="5" s="1"/>
  <c r="S76" i="5"/>
  <c r="AG77" i="5" a="1"/>
  <c r="AG77" i="5" s="1"/>
  <c r="AS77" i="5"/>
  <c r="AT77" i="5"/>
  <c r="AV77" i="5"/>
  <c r="AD77" i="5"/>
  <c r="AC77" i="5"/>
  <c r="AB77" i="5"/>
  <c r="AA77" i="5"/>
  <c r="Z77" i="5"/>
  <c r="Y77" i="5"/>
  <c r="X77" i="5"/>
  <c r="W77" i="5"/>
  <c r="V77" i="5"/>
  <c r="U77" i="5"/>
  <c r="T77" i="5"/>
  <c r="S77" i="5"/>
  <c r="AG76" i="5" a="1"/>
  <c r="AG76" i="5" s="1"/>
  <c r="AN76" i="5"/>
  <c r="AP76" i="5"/>
  <c r="AS76" i="5"/>
  <c r="AT76" i="5"/>
  <c r="AU76" i="5"/>
  <c r="AD76" i="5"/>
  <c r="AC76" i="5"/>
  <c r="AB76" i="5"/>
  <c r="AA76" i="5"/>
  <c r="Z76" i="5"/>
  <c r="Y76" i="5"/>
  <c r="X76" i="5"/>
  <c r="W76" i="5"/>
  <c r="V76" i="5"/>
  <c r="U76" i="5"/>
  <c r="T76" i="5"/>
  <c r="AG30" i="18" a="1"/>
  <c r="AG30" i="18" s="1"/>
  <c r="AJ30" i="18"/>
  <c r="AL30" i="18"/>
  <c r="AP30" i="18"/>
  <c r="AU30" i="18"/>
  <c r="Z30" i="18"/>
  <c r="AA30" i="18"/>
  <c r="AB30" i="18"/>
  <c r="AC30" i="18"/>
  <c r="AD30" i="18"/>
  <c r="Y30" i="18"/>
  <c r="X30" i="18"/>
  <c r="W30" i="18"/>
  <c r="V30" i="18"/>
  <c r="U30" i="18"/>
  <c r="T30" i="18"/>
  <c r="S30" i="18"/>
  <c r="R30" i="18"/>
  <c r="Q30" i="18"/>
  <c r="AE30" i="18" s="1"/>
  <c r="AG29" i="18" a="1"/>
  <c r="AG29" i="18" s="1"/>
  <c r="AG28" i="18" a="1"/>
  <c r="AG28" i="18" s="1"/>
  <c r="AU28" i="18"/>
  <c r="AG27" i="18" a="1"/>
  <c r="AG27" i="18" s="1"/>
  <c r="AG26" i="18" a="1"/>
  <c r="AG26" i="18" s="1"/>
  <c r="AV26" i="18"/>
  <c r="Z26" i="18"/>
  <c r="AA26" i="18"/>
  <c r="AB26" i="18"/>
  <c r="AC26" i="18"/>
  <c r="AD26" i="18"/>
  <c r="AE26" i="18"/>
  <c r="Z27" i="18"/>
  <c r="AA27" i="18"/>
  <c r="AB27" i="18"/>
  <c r="AC27" i="18"/>
  <c r="AD27" i="18"/>
  <c r="AE27" i="18"/>
  <c r="Z28" i="18"/>
  <c r="AA28" i="18"/>
  <c r="AB28" i="18"/>
  <c r="AC28" i="18"/>
  <c r="AD28" i="18"/>
  <c r="AE28" i="18"/>
  <c r="Z29" i="18"/>
  <c r="AA29" i="18"/>
  <c r="AB29" i="18"/>
  <c r="AC29" i="18"/>
  <c r="AD29" i="18"/>
  <c r="AE29" i="18"/>
  <c r="Y29" i="18"/>
  <c r="Y28" i="18"/>
  <c r="Y27" i="18"/>
  <c r="Y26" i="18"/>
  <c r="X29" i="18"/>
  <c r="X28" i="18"/>
  <c r="X27" i="18"/>
  <c r="X26" i="18"/>
  <c r="W29" i="18"/>
  <c r="W28" i="18"/>
  <c r="W27" i="18"/>
  <c r="W26" i="18"/>
  <c r="V29" i="18"/>
  <c r="V28" i="18"/>
  <c r="V27" i="18"/>
  <c r="V26" i="18"/>
  <c r="U29" i="18"/>
  <c r="U28" i="18"/>
  <c r="U27" i="18"/>
  <c r="U26" i="18"/>
  <c r="T29" i="18"/>
  <c r="T28" i="18"/>
  <c r="T27" i="18"/>
  <c r="T26" i="18"/>
  <c r="S29" i="18"/>
  <c r="S28" i="18"/>
  <c r="S27" i="18"/>
  <c r="R29" i="18"/>
  <c r="R27" i="18"/>
  <c r="R28" i="18"/>
  <c r="Q29" i="18"/>
  <c r="Q28" i="18"/>
  <c r="Q27" i="18"/>
  <c r="S26" i="18"/>
  <c r="R26" i="18"/>
  <c r="Q26" i="18"/>
  <c r="AG72" i="5" a="1"/>
  <c r="AG72" i="5" s="1"/>
  <c r="Z72" i="5"/>
  <c r="AA72" i="5"/>
  <c r="AB72" i="5"/>
  <c r="AC72" i="5"/>
  <c r="AD72" i="5"/>
  <c r="AE72" i="5"/>
  <c r="Y72" i="5"/>
  <c r="W72" i="5"/>
  <c r="X72" i="5"/>
  <c r="V72" i="5"/>
  <c r="U72" i="5"/>
  <c r="T72" i="5"/>
  <c r="S72" i="5"/>
  <c r="R72" i="5"/>
  <c r="Q72" i="5"/>
  <c r="AG71" i="5" a="1"/>
  <c r="AG71" i="5" s="1"/>
  <c r="Z71" i="5"/>
  <c r="AA71" i="5"/>
  <c r="AB71" i="5"/>
  <c r="AC71" i="5"/>
  <c r="AD71" i="5"/>
  <c r="AE71" i="5"/>
  <c r="Y71" i="5"/>
  <c r="X71" i="5"/>
  <c r="W71" i="5"/>
  <c r="V71" i="5"/>
  <c r="U71" i="5"/>
  <c r="T71" i="5"/>
  <c r="S71" i="5"/>
  <c r="R71" i="5"/>
  <c r="Q71" i="5"/>
  <c r="S74" i="5"/>
  <c r="Y74" i="5"/>
  <c r="X74" i="5"/>
  <c r="AG74" i="5" a="1"/>
  <c r="AG74" i="5" s="1"/>
  <c r="AH74" i="5"/>
  <c r="AJ74" i="5"/>
  <c r="AN74" i="5"/>
  <c r="AR74" i="5"/>
  <c r="AS74" i="5"/>
  <c r="AT74" i="5"/>
  <c r="AE74" i="5"/>
  <c r="T74" i="5"/>
  <c r="U74" i="5"/>
  <c r="V74" i="5"/>
  <c r="W74" i="5"/>
  <c r="Z74" i="5"/>
  <c r="AA74" i="5"/>
  <c r="AB74" i="5"/>
  <c r="AC74" i="5"/>
  <c r="AD74" i="5"/>
  <c r="R74" i="5"/>
  <c r="Q74" i="5"/>
  <c r="X73" i="5"/>
  <c r="W73" i="5"/>
  <c r="S73" i="5"/>
  <c r="AG73" i="5" a="1"/>
  <c r="AG73" i="5" s="1"/>
  <c r="AL73" i="5"/>
  <c r="AU73" i="5"/>
  <c r="V73" i="5"/>
  <c r="Y73" i="5"/>
  <c r="Z73" i="5"/>
  <c r="AA73" i="5"/>
  <c r="AB73" i="5"/>
  <c r="AC73" i="5"/>
  <c r="AD73" i="5"/>
  <c r="AE73" i="5"/>
  <c r="U73" i="5"/>
  <c r="T73" i="5"/>
  <c r="R73" i="5"/>
  <c r="Q73" i="5"/>
  <c r="AG86" i="5" a="1"/>
  <c r="AG86" i="5" s="1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AE86" i="5" s="1"/>
  <c r="T85" i="5"/>
  <c r="S85" i="5"/>
  <c r="R85" i="5"/>
  <c r="U85" i="5"/>
  <c r="V85" i="5"/>
  <c r="U33" i="18"/>
  <c r="Q85" i="5"/>
  <c r="AE85" i="5" s="1"/>
  <c r="Q33" i="18"/>
  <c r="AE33" i="18" s="1"/>
  <c r="V33" i="18"/>
  <c r="S33" i="18"/>
  <c r="R33" i="18"/>
  <c r="AF33" i="18"/>
  <c r="Z33" i="18"/>
  <c r="AA33" i="18"/>
  <c r="AG85" i="5" a="1"/>
  <c r="AG85" i="5" s="1"/>
  <c r="AT85" i="5"/>
  <c r="AU85" i="5"/>
  <c r="AD85" i="5"/>
  <c r="AC85" i="5"/>
  <c r="AB85" i="5"/>
  <c r="AA85" i="5"/>
  <c r="Z85" i="5"/>
  <c r="Y85" i="5"/>
  <c r="X85" i="5"/>
  <c r="W85" i="5"/>
  <c r="AG33" i="18" a="1"/>
  <c r="AG33" i="18" s="1"/>
  <c r="X33" i="18"/>
  <c r="W33" i="18"/>
  <c r="Y33" i="18"/>
  <c r="AB33" i="18"/>
  <c r="AC33" i="18"/>
  <c r="AD33" i="18"/>
  <c r="T33" i="18"/>
  <c r="AG77" i="3" a="1"/>
  <c r="AG77" i="3" s="1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F30" i="1"/>
  <c r="F29" i="1"/>
  <c r="C27" i="1"/>
  <c r="C28" i="1"/>
  <c r="C30" i="1"/>
  <c r="C29" i="1"/>
  <c r="D33" i="1"/>
  <c r="D32" i="1"/>
  <c r="W8" i="11"/>
  <c r="C46" i="1"/>
  <c r="C48" i="1"/>
  <c r="C56" i="1"/>
  <c r="C66" i="1"/>
  <c r="C72" i="1"/>
  <c r="C76" i="1"/>
  <c r="C96" i="1"/>
  <c r="C98" i="1"/>
  <c r="C106" i="1"/>
  <c r="C116" i="1"/>
  <c r="C122" i="1"/>
  <c r="C126" i="1"/>
  <c r="C146" i="1"/>
  <c r="C148" i="1"/>
  <c r="C156" i="1"/>
  <c r="C166" i="1"/>
  <c r="C172" i="1"/>
  <c r="C176" i="1"/>
  <c r="C196" i="1"/>
  <c r="C198" i="1"/>
  <c r="C206" i="1"/>
  <c r="C216" i="1"/>
  <c r="C222" i="1"/>
  <c r="C226" i="1"/>
  <c r="C246" i="1"/>
  <c r="C248" i="1"/>
  <c r="C256" i="1"/>
  <c r="C266" i="1"/>
  <c r="C272" i="1"/>
  <c r="C276" i="1"/>
  <c r="B32" i="1"/>
  <c r="C32" i="1" s="1"/>
  <c r="AE8" i="11"/>
  <c r="AD8" i="11"/>
  <c r="AC8" i="11"/>
  <c r="AB8" i="11"/>
  <c r="AA8" i="11"/>
  <c r="Z8" i="11"/>
  <c r="X8" i="11"/>
  <c r="V8" i="11"/>
  <c r="U8" i="11"/>
  <c r="T8" i="11"/>
  <c r="S8" i="11"/>
  <c r="R8" i="11"/>
  <c r="Q8" i="11"/>
  <c r="J8" i="11"/>
  <c r="AG8" i="11" s="1" a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B47" i="1"/>
  <c r="C47" i="1" s="1"/>
  <c r="B48" i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B67" i="1"/>
  <c r="C67" i="1" s="1"/>
  <c r="B68" i="1"/>
  <c r="C68" i="1" s="1"/>
  <c r="B69" i="1"/>
  <c r="C69" i="1" s="1"/>
  <c r="B70" i="1"/>
  <c r="C70" i="1" s="1"/>
  <c r="B71" i="1"/>
  <c r="C71" i="1" s="1"/>
  <c r="B72" i="1"/>
  <c r="B73" i="1"/>
  <c r="C73" i="1" s="1"/>
  <c r="B74" i="1"/>
  <c r="C74" i="1" s="1"/>
  <c r="B75" i="1"/>
  <c r="C75" i="1" s="1"/>
  <c r="B76" i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B97" i="1"/>
  <c r="C97" i="1" s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B123" i="1"/>
  <c r="C123" i="1" s="1"/>
  <c r="B124" i="1"/>
  <c r="C124" i="1" s="1"/>
  <c r="B125" i="1"/>
  <c r="C125" i="1" s="1"/>
  <c r="B126" i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B147" i="1"/>
  <c r="C147" i="1" s="1"/>
  <c r="B148" i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B173" i="1"/>
  <c r="C173" i="1" s="1"/>
  <c r="B174" i="1"/>
  <c r="C174" i="1" s="1"/>
  <c r="B175" i="1"/>
  <c r="C175" i="1" s="1"/>
  <c r="B176" i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B197" i="1"/>
  <c r="C197" i="1" s="1"/>
  <c r="B198" i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B223" i="1"/>
  <c r="C223" i="1" s="1"/>
  <c r="B224" i="1"/>
  <c r="C224" i="1" s="1"/>
  <c r="B225" i="1"/>
  <c r="C225" i="1" s="1"/>
  <c r="B226" i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B247" i="1"/>
  <c r="C247" i="1" s="1"/>
  <c r="B248" i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B273" i="1"/>
  <c r="C273" i="1" s="1"/>
  <c r="B274" i="1"/>
  <c r="C274" i="1" s="1"/>
  <c r="B275" i="1"/>
  <c r="C275" i="1" s="1"/>
  <c r="B276" i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X6" i="11"/>
  <c r="Z6" i="11"/>
  <c r="AA6" i="11"/>
  <c r="AB6" i="11"/>
  <c r="AC6" i="11"/>
  <c r="AD6" i="11"/>
  <c r="AE6" i="11"/>
  <c r="Q6" i="11"/>
  <c r="R6" i="11"/>
  <c r="V6" i="11"/>
  <c r="W6" i="11"/>
  <c r="S6" i="11"/>
  <c r="T6" i="11"/>
  <c r="U6" i="11"/>
  <c r="J6" i="11"/>
  <c r="AG6" i="11" s="1" a="1"/>
  <c r="AF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C3" i="19"/>
  <c r="D3" i="19"/>
  <c r="D2" i="19"/>
  <c r="C2" i="19"/>
  <c r="B2" i="19"/>
  <c r="Q60" i="3"/>
  <c r="Q83" i="3"/>
  <c r="A48" i="19"/>
  <c r="A46" i="19"/>
  <c r="Q36" i="11"/>
  <c r="W36" i="11"/>
  <c r="X36" i="11"/>
  <c r="Z36" i="11"/>
  <c r="AA36" i="11"/>
  <c r="AB36" i="11"/>
  <c r="AC36" i="11"/>
  <c r="AD36" i="11"/>
  <c r="AE36" i="11"/>
  <c r="V36" i="11"/>
  <c r="R36" i="11"/>
  <c r="S36" i="11"/>
  <c r="T36" i="11"/>
  <c r="U36" i="11"/>
  <c r="J36" i="11"/>
  <c r="AG36" i="11" s="1" a="1"/>
  <c r="AG36" i="11" s="1"/>
  <c r="A47" i="19"/>
  <c r="A43" i="19"/>
  <c r="A4" i="19"/>
  <c r="A37" i="19"/>
  <c r="A45" i="19"/>
  <c r="A44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E45" i="11"/>
  <c r="AD45" i="11"/>
  <c r="AC45" i="11"/>
  <c r="AB45" i="11"/>
  <c r="AA45" i="11"/>
  <c r="Z45" i="11"/>
  <c r="X45" i="11"/>
  <c r="W45" i="11"/>
  <c r="V45" i="11"/>
  <c r="U45" i="11"/>
  <c r="T45" i="11"/>
  <c r="S45" i="11"/>
  <c r="R45" i="11"/>
  <c r="Q45" i="11"/>
  <c r="J45" i="11"/>
  <c r="AG45" i="11" s="1" a="1"/>
  <c r="AV45" i="11" s="1"/>
  <c r="AS3" i="8"/>
  <c r="AQ3" i="8"/>
  <c r="AR3" i="8"/>
  <c r="AP3" i="8"/>
  <c r="AO3" i="8"/>
  <c r="AN13" i="6" a="1"/>
  <c r="AN13" i="6" s="1"/>
  <c r="AS13" i="6"/>
  <c r="AU13" i="6"/>
  <c r="AJ13" i="6" a="1"/>
  <c r="AJ13" i="6" s="1"/>
  <c r="AG13" i="6" a="1"/>
  <c r="AG13" i="6" s="1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R11" i="6"/>
  <c r="AS11" i="6"/>
  <c r="AU11" i="6"/>
  <c r="AJ11" i="6" a="1"/>
  <c r="AJ11" i="6" s="1"/>
  <c r="AG11" i="6" a="1"/>
  <c r="AG11" i="6" s="1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J18" i="6" a="1"/>
  <c r="AJ18" i="6" s="1"/>
  <c r="AM18" i="6"/>
  <c r="AN18" i="6" a="1"/>
  <c r="AN18" i="6" s="1"/>
  <c r="AT18" i="6"/>
  <c r="AG18" i="6" a="1"/>
  <c r="AG18" i="6" s="1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Q18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V9" i="6"/>
  <c r="V9" i="6"/>
  <c r="AJ9" i="6" a="1"/>
  <c r="AJ9" i="6" s="1"/>
  <c r="AG9" i="6" a="1"/>
  <c r="AG9" i="6" s="1"/>
  <c r="AF9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H6" i="6" a="1"/>
  <c r="AH6" i="6" s="1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T3" i="12"/>
  <c r="Z3" i="12"/>
  <c r="AA3" i="12"/>
  <c r="J3" i="12"/>
  <c r="V3" i="12" s="1"/>
  <c r="Q3" i="12"/>
  <c r="AB3" i="12" s="1"/>
  <c r="Q38" i="5"/>
  <c r="Q56" i="5"/>
  <c r="Q37" i="5"/>
  <c r="AA37" i="5" s="1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AD39" i="9" s="1"/>
  <c r="K32" i="9"/>
  <c r="AG32" i="9" s="1" a="1"/>
  <c r="AG45" i="9" a="1"/>
  <c r="AG45" i="9" s="1"/>
  <c r="X45" i="9"/>
  <c r="R45" i="9"/>
  <c r="S45" i="9"/>
  <c r="T45" i="9"/>
  <c r="U45" i="9"/>
  <c r="V45" i="9"/>
  <c r="W45" i="9"/>
  <c r="Y45" i="9"/>
  <c r="AA45" i="9"/>
  <c r="AB45" i="9"/>
  <c r="AC45" i="9"/>
  <c r="AD45" i="9"/>
  <c r="AE45" i="9"/>
  <c r="Q45" i="9"/>
  <c r="Q44" i="9"/>
  <c r="K45" i="9"/>
  <c r="Z45" i="9" s="1"/>
  <c r="Y40" i="9"/>
  <c r="AG40" i="9" a="1"/>
  <c r="AG40" i="9" s="1"/>
  <c r="W13" i="9"/>
  <c r="W22" i="9"/>
  <c r="AG22" i="9" a="1"/>
  <c r="AG22" i="9" s="1"/>
  <c r="AK22" i="9"/>
  <c r="AM22" i="9"/>
  <c r="AP22" i="9"/>
  <c r="R22" i="9"/>
  <c r="S22" i="9"/>
  <c r="T22" i="9"/>
  <c r="U22" i="9"/>
  <c r="V22" i="9"/>
  <c r="AA22" i="9"/>
  <c r="AB22" i="9"/>
  <c r="AC22" i="9"/>
  <c r="Q22" i="9"/>
  <c r="AD22" i="9" s="1"/>
  <c r="K22" i="9"/>
  <c r="Z22" i="9" s="1"/>
  <c r="V13" i="9"/>
  <c r="AG13" i="9" a="1"/>
  <c r="AG13" i="9" s="1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U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K40" i="9"/>
  <c r="Z40" i="9" s="1"/>
  <c r="AG26" i="9" a="1"/>
  <c r="AG26" i="9" s="1"/>
  <c r="AG25" i="9" a="1"/>
  <c r="AJ25" i="9" s="1"/>
  <c r="AG25" i="9"/>
  <c r="AS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56" i="9"/>
  <c r="AF55" i="9"/>
  <c r="AG20" i="5" a="1"/>
  <c r="AG20" i="5" s="1"/>
  <c r="AF20" i="5"/>
  <c r="Q20" i="5"/>
  <c r="AD20" i="5" s="1"/>
  <c r="AF27" i="17"/>
  <c r="AF23" i="17"/>
  <c r="AG12" i="6" a="1"/>
  <c r="AG12" i="6" s="1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E13" i="8"/>
  <c r="AD13" i="8"/>
  <c r="AC13" i="8"/>
  <c r="AB13" i="8"/>
  <c r="AA13" i="8"/>
  <c r="Z13" i="8"/>
  <c r="X13" i="8"/>
  <c r="W13" i="8"/>
  <c r="V13" i="8"/>
  <c r="U13" i="8"/>
  <c r="T13" i="8"/>
  <c r="S13" i="8"/>
  <c r="R13" i="8"/>
  <c r="Q13" i="8"/>
  <c r="AI13" i="8" s="1" a="1"/>
  <c r="AI13" i="8" s="1"/>
  <c r="J13" i="8"/>
  <c r="Y13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M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G64" i="5" a="1"/>
  <c r="AG64" i="5" s="1"/>
  <c r="AE64" i="5"/>
  <c r="AD64" i="5"/>
  <c r="AC64" i="5"/>
  <c r="AB64" i="5"/>
  <c r="Z64" i="5"/>
  <c r="Y64" i="5"/>
  <c r="X64" i="5"/>
  <c r="W64" i="5"/>
  <c r="V64" i="5"/>
  <c r="U64" i="5"/>
  <c r="S64" i="5"/>
  <c r="R64" i="5"/>
  <c r="Q64" i="5"/>
  <c r="AG42" i="5" a="1"/>
  <c r="AG42" i="5" s="1"/>
  <c r="Y42" i="5"/>
  <c r="X42" i="5"/>
  <c r="AA42" i="5"/>
  <c r="R39" i="9"/>
  <c r="S39" i="9"/>
  <c r="T39" i="9"/>
  <c r="U39" i="9"/>
  <c r="V39" i="9"/>
  <c r="W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R3" i="12"/>
  <c r="S3" i="12"/>
  <c r="AG3" i="12" a="1"/>
  <c r="AN11" i="6" l="1"/>
  <c r="AQ13" i="6"/>
  <c r="AO13" i="6"/>
  <c r="AV11" i="6"/>
  <c r="AK77" i="3"/>
  <c r="AV53" i="3"/>
  <c r="Y45" i="11"/>
  <c r="X3" i="12"/>
  <c r="U3" i="12"/>
  <c r="AP77" i="3"/>
  <c r="AL85" i="5"/>
  <c r="AL71" i="5"/>
  <c r="AJ26" i="18"/>
  <c r="AJ77" i="5"/>
  <c r="AR6" i="6"/>
  <c r="AR13" i="9"/>
  <c r="AP6" i="6"/>
  <c r="Y8" i="11"/>
  <c r="AL77" i="3"/>
  <c r="AV33" i="18"/>
  <c r="AK85" i="5"/>
  <c r="AK71" i="5"/>
  <c r="AI26" i="18"/>
  <c r="AI77" i="5"/>
  <c r="AQ49" i="3"/>
  <c r="AU6" i="6"/>
  <c r="AS6" i="6"/>
  <c r="AQ4" i="17"/>
  <c r="AK13" i="9"/>
  <c r="AN6" i="6"/>
  <c r="AO33" i="18"/>
  <c r="AJ85" i="5"/>
  <c r="AP4" i="17"/>
  <c r="AR12" i="6"/>
  <c r="AM6" i="6"/>
  <c r="AM9" i="6"/>
  <c r="AT11" i="6"/>
  <c r="AM33" i="18"/>
  <c r="AV85" i="5"/>
  <c r="AI85" i="5"/>
  <c r="AU86" i="5"/>
  <c r="AU27" i="18"/>
  <c r="AU77" i="5"/>
  <c r="AS4" i="17"/>
  <c r="AN4" i="17"/>
  <c r="AH12" i="6"/>
  <c r="AV20" i="5"/>
  <c r="AL6" i="6"/>
  <c r="AK9" i="6"/>
  <c r="AL4" i="17"/>
  <c r="AU25" i="9"/>
  <c r="Y3" i="12"/>
  <c r="AV6" i="6"/>
  <c r="AV18" i="6"/>
  <c r="AQ11" i="6"/>
  <c r="AS85" i="5"/>
  <c r="AV71" i="5"/>
  <c r="AU26" i="18"/>
  <c r="AK30" i="18"/>
  <c r="AJ76" i="5"/>
  <c r="AO77" i="5"/>
  <c r="AP85" i="5"/>
  <c r="AU71" i="5"/>
  <c r="AS26" i="18"/>
  <c r="AM77" i="5"/>
  <c r="X39" i="9"/>
  <c r="AH25" i="9"/>
  <c r="AV39" i="9"/>
  <c r="AS54" i="9"/>
  <c r="AT6" i="6"/>
  <c r="AT9" i="6"/>
  <c r="AQ18" i="6"/>
  <c r="AT13" i="6"/>
  <c r="AO85" i="5"/>
  <c r="AP71" i="5"/>
  <c r="AN26" i="18"/>
  <c r="AL77" i="5"/>
  <c r="AT77" i="3"/>
  <c r="AM85" i="5"/>
  <c r="AV74" i="5"/>
  <c r="AO71" i="5"/>
  <c r="AV72" i="5"/>
  <c r="AM26" i="18"/>
  <c r="AK77" i="5"/>
  <c r="AG8" i="11"/>
  <c r="AT8" i="11"/>
  <c r="AI8" i="11"/>
  <c r="AU8" i="11"/>
  <c r="AJ8" i="11"/>
  <c r="AV8" i="11"/>
  <c r="AK8" i="11"/>
  <c r="AL8" i="11"/>
  <c r="AM8" i="11"/>
  <c r="AN8" i="11"/>
  <c r="AO8" i="11"/>
  <c r="AP8" i="11"/>
  <c r="AS8" i="11"/>
  <c r="AG6" i="11"/>
  <c r="AN6" i="11"/>
  <c r="AO6" i="11"/>
  <c r="AP6" i="11"/>
  <c r="AT6" i="11"/>
  <c r="AU6" i="11"/>
  <c r="AV6" i="11"/>
  <c r="AJ6" i="11"/>
  <c r="AK6" i="11"/>
  <c r="AL6" i="11"/>
  <c r="AS27" i="18"/>
  <c r="AS30" i="18"/>
  <c r="AK76" i="5"/>
  <c r="R30" i="1"/>
  <c r="P28" i="1"/>
  <c r="AV49" i="3"/>
  <c r="AK49" i="3"/>
  <c r="AT86" i="5"/>
  <c r="AK73" i="5"/>
  <c r="AM74" i="5"/>
  <c r="AT72" i="5"/>
  <c r="AP27" i="18"/>
  <c r="AT28" i="18"/>
  <c r="AV29" i="18"/>
  <c r="Q30" i="1"/>
  <c r="S27" i="1"/>
  <c r="AU49" i="3"/>
  <c r="AJ49" i="3"/>
  <c r="AU53" i="3"/>
  <c r="AJ4" i="17"/>
  <c r="AQ12" i="6"/>
  <c r="AN25" i="9"/>
  <c r="AU22" i="9"/>
  <c r="AV77" i="3"/>
  <c r="AJ77" i="3"/>
  <c r="AS86" i="5"/>
  <c r="AJ73" i="5"/>
  <c r="AL74" i="5"/>
  <c r="AS72" i="5"/>
  <c r="AL26" i="18"/>
  <c r="AO27" i="18"/>
  <c r="AS28" i="18"/>
  <c r="AT29" i="18"/>
  <c r="AN30" i="18"/>
  <c r="AV76" i="5"/>
  <c r="AI76" i="5"/>
  <c r="AP77" i="5"/>
  <c r="P30" i="1"/>
  <c r="R27" i="1"/>
  <c r="AT49" i="3"/>
  <c r="AI49" i="3"/>
  <c r="AO25" i="9"/>
  <c r="AN13" i="9"/>
  <c r="AT22" i="9"/>
  <c r="AQ40" i="9"/>
  <c r="AQ6" i="6"/>
  <c r="AI11" i="6"/>
  <c r="AP11" i="6"/>
  <c r="AL13" i="6"/>
  <c r="Y36" i="11"/>
  <c r="Y6" i="11"/>
  <c r="AU77" i="3"/>
  <c r="AI77" i="3"/>
  <c r="AP33" i="18"/>
  <c r="AN85" i="5"/>
  <c r="AR86" i="5"/>
  <c r="AV73" i="5"/>
  <c r="AI73" i="5"/>
  <c r="AK74" i="5"/>
  <c r="AP72" i="5"/>
  <c r="AK26" i="18"/>
  <c r="AM27" i="18"/>
  <c r="AP28" i="18"/>
  <c r="AR29" i="18"/>
  <c r="AM30" i="18"/>
  <c r="S29" i="1"/>
  <c r="Q27" i="1"/>
  <c r="AS49" i="3"/>
  <c r="AG49" i="3"/>
  <c r="AG13" i="8" a="1"/>
  <c r="AG13" i="8" s="1"/>
  <c r="AL25" i="9"/>
  <c r="AP86" i="5"/>
  <c r="AO72" i="5"/>
  <c r="AL27" i="18"/>
  <c r="AN28" i="18"/>
  <c r="AP29" i="18"/>
  <c r="AP25" i="9"/>
  <c r="AV64" i="5"/>
  <c r="AV4" i="17"/>
  <c r="AK25" i="9"/>
  <c r="Y22" i="9"/>
  <c r="AR22" i="9"/>
  <c r="AU64" i="5"/>
  <c r="AT4" i="17"/>
  <c r="AV25" i="9"/>
  <c r="AI25" i="9"/>
  <c r="AV54" i="9"/>
  <c r="X22" i="9"/>
  <c r="AQ22" i="9"/>
  <c r="AO6" i="6"/>
  <c r="AL11" i="6"/>
  <c r="AV13" i="6"/>
  <c r="AS77" i="3"/>
  <c r="AN33" i="18"/>
  <c r="AL86" i="5"/>
  <c r="AT73" i="5"/>
  <c r="AU74" i="5"/>
  <c r="AI74" i="5"/>
  <c r="AN72" i="5"/>
  <c r="AK27" i="18"/>
  <c r="AM28" i="18"/>
  <c r="AO29" i="18"/>
  <c r="AP49" i="3"/>
  <c r="AK86" i="5"/>
  <c r="AS73" i="5"/>
  <c r="AM72" i="5"/>
  <c r="AJ27" i="18"/>
  <c r="AL28" i="18"/>
  <c r="AM29" i="18"/>
  <c r="P29" i="1"/>
  <c r="AO49" i="3"/>
  <c r="AO77" i="3"/>
  <c r="AL33" i="18"/>
  <c r="AJ86" i="5"/>
  <c r="AP73" i="5"/>
  <c r="AL72" i="5"/>
  <c r="AT26" i="18"/>
  <c r="AV27" i="18"/>
  <c r="AI27" i="18"/>
  <c r="AK28" i="18"/>
  <c r="AL29" i="18"/>
  <c r="AV30" i="18"/>
  <c r="AI30" i="18"/>
  <c r="AO76" i="5"/>
  <c r="S28" i="1"/>
  <c r="AN49" i="3"/>
  <c r="AR25" i="9"/>
  <c r="AR54" i="9"/>
  <c r="AN77" i="3"/>
  <c r="AI86" i="5"/>
  <c r="AO73" i="5"/>
  <c r="AJ72" i="5"/>
  <c r="AJ28" i="18"/>
  <c r="AJ29" i="18"/>
  <c r="R28" i="1"/>
  <c r="AM49" i="3"/>
  <c r="AK13" i="8" a="1"/>
  <c r="AM13" i="8" s="1"/>
  <c r="AQ25" i="9"/>
  <c r="AQ54" i="9"/>
  <c r="AE22" i="9"/>
  <c r="AJ22" i="9"/>
  <c r="W3" i="12"/>
  <c r="AR13" i="6"/>
  <c r="AM77" i="3"/>
  <c r="AV86" i="5"/>
  <c r="AH86" i="5"/>
  <c r="AN73" i="5"/>
  <c r="AP74" i="5"/>
  <c r="AI72" i="5"/>
  <c r="AP26" i="18"/>
  <c r="AT27" i="18"/>
  <c r="AV28" i="18"/>
  <c r="AI28" i="18"/>
  <c r="AH29" i="18"/>
  <c r="AT30" i="18"/>
  <c r="AL76" i="5"/>
  <c r="S30" i="1"/>
  <c r="AL49" i="3"/>
  <c r="AR49" i="3"/>
  <c r="AN77" i="5"/>
  <c r="AR77" i="5"/>
  <c r="AH77" i="5"/>
  <c r="AQ77" i="5"/>
  <c r="AM76" i="5"/>
  <c r="AR76" i="5"/>
  <c r="AH76" i="5"/>
  <c r="AQ76" i="5"/>
  <c r="AO30" i="18"/>
  <c r="AR30" i="18"/>
  <c r="AH30" i="18"/>
  <c r="AQ30" i="18"/>
  <c r="AN29" i="18"/>
  <c r="AU29" i="18"/>
  <c r="AK29" i="18"/>
  <c r="AS29" i="18"/>
  <c r="AI29" i="18"/>
  <c r="AQ29" i="18"/>
  <c r="AO28" i="18"/>
  <c r="AR28" i="18"/>
  <c r="AH28" i="18"/>
  <c r="AQ28" i="18"/>
  <c r="AN27" i="18"/>
  <c r="AR27" i="18"/>
  <c r="AH27" i="18"/>
  <c r="AQ27" i="18"/>
  <c r="AO26" i="18"/>
  <c r="AR26" i="18"/>
  <c r="AH26" i="18"/>
  <c r="AQ26" i="18"/>
  <c r="AU72" i="5"/>
  <c r="AK72" i="5"/>
  <c r="AR72" i="5"/>
  <c r="AH72" i="5"/>
  <c r="AQ72" i="5"/>
  <c r="AN71" i="5"/>
  <c r="AM71" i="5"/>
  <c r="AT71" i="5"/>
  <c r="AJ71" i="5"/>
  <c r="AS71" i="5"/>
  <c r="AI71" i="5"/>
  <c r="AR71" i="5"/>
  <c r="AH71" i="5"/>
  <c r="AQ71" i="5"/>
  <c r="AO74" i="5"/>
  <c r="AQ74" i="5"/>
  <c r="AM73" i="5"/>
  <c r="AR73" i="5"/>
  <c r="AH73" i="5"/>
  <c r="AQ73" i="5"/>
  <c r="AO86" i="5"/>
  <c r="AN86" i="5"/>
  <c r="AM86" i="5"/>
  <c r="AQ86" i="5"/>
  <c r="AR85" i="5"/>
  <c r="AH85" i="5"/>
  <c r="AQ85" i="5"/>
  <c r="AU33" i="18"/>
  <c r="AJ33" i="18"/>
  <c r="AS33" i="18"/>
  <c r="AI33" i="18"/>
  <c r="AK33" i="18"/>
  <c r="AT33" i="18"/>
  <c r="AR33" i="18"/>
  <c r="AH33" i="18"/>
  <c r="AQ33" i="18"/>
  <c r="AR77" i="3"/>
  <c r="AH77" i="3"/>
  <c r="AQ77" i="3"/>
  <c r="AR8" i="11"/>
  <c r="AH8" i="11"/>
  <c r="AQ8" i="11"/>
  <c r="D29" i="1" a="1"/>
  <c r="D29" i="1" s="1"/>
  <c r="I27" i="1"/>
  <c r="I29" i="1"/>
  <c r="AM6" i="11"/>
  <c r="AS6" i="11"/>
  <c r="AI6" i="11"/>
  <c r="AR6" i="11"/>
  <c r="AH6" i="11"/>
  <c r="AQ6" i="11"/>
  <c r="B3" i="19"/>
  <c r="AO36" i="11"/>
  <c r="AP36" i="11"/>
  <c r="AN36" i="11"/>
  <c r="AM36" i="11"/>
  <c r="AV36" i="11"/>
  <c r="AL36" i="11"/>
  <c r="AU36" i="11"/>
  <c r="AK36" i="11"/>
  <c r="AT36" i="11"/>
  <c r="AJ36" i="11"/>
  <c r="AS36" i="11"/>
  <c r="AI36" i="11"/>
  <c r="AR36" i="11"/>
  <c r="AH36" i="11"/>
  <c r="AQ36" i="11"/>
  <c r="AM45" i="11"/>
  <c r="AN45" i="11"/>
  <c r="AO45" i="11"/>
  <c r="AP45" i="11"/>
  <c r="AG45" i="11"/>
  <c r="AQ45" i="11"/>
  <c r="AH45" i="11"/>
  <c r="AR45" i="11"/>
  <c r="AI45" i="11"/>
  <c r="AS45" i="11"/>
  <c r="AJ45" i="11"/>
  <c r="AT45" i="11"/>
  <c r="AK45" i="11"/>
  <c r="AU45" i="11"/>
  <c r="AL45" i="11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8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8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8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8" i="6"/>
  <c r="AK13" i="6"/>
  <c r="AI13" i="6"/>
  <c r="AH13" i="6"/>
  <c r="AK11" i="6"/>
  <c r="AK18" i="6"/>
  <c r="AP18" i="6"/>
  <c r="AO18" i="6"/>
  <c r="AI18" i="6"/>
  <c r="AH18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J13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AH13" i="8" l="1"/>
  <c r="AR13" i="8"/>
  <c r="AQ13" i="8"/>
  <c r="AL13" i="8"/>
  <c r="AN13" i="8"/>
  <c r="AO13" i="8"/>
  <c r="AV13" i="8"/>
  <c r="AP13" i="8"/>
  <c r="AU13" i="8"/>
  <c r="AT13" i="8"/>
  <c r="AS13" i="8"/>
  <c r="I30" i="1"/>
  <c r="AK13" i="8"/>
  <c r="B4" i="19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G14" i="6" a="1"/>
  <c r="AI14" i="6" s="1"/>
  <c r="AG8" i="6" a="1"/>
  <c r="AG8" i="6" s="1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2" i="11"/>
  <c r="AM32" i="11" a="1"/>
  <c r="AM32" i="11" s="1"/>
  <c r="AJ32" i="11" a="1"/>
  <c r="AJ32" i="11" s="1"/>
  <c r="AG32" i="11" a="1"/>
  <c r="AG32" i="11" s="1"/>
  <c r="AE32" i="11"/>
  <c r="U32" i="11"/>
  <c r="V32" i="11"/>
  <c r="W32" i="11"/>
  <c r="AA32" i="11"/>
  <c r="AB32" i="11"/>
  <c r="AC32" i="11"/>
  <c r="AD32" i="11"/>
  <c r="R32" i="11"/>
  <c r="S32" i="11"/>
  <c r="X32" i="11"/>
  <c r="Z32" i="11"/>
  <c r="Q32" i="11"/>
  <c r="J32" i="11"/>
  <c r="Y32" i="11" s="1"/>
  <c r="U9" i="17"/>
  <c r="W9" i="17"/>
  <c r="V9" i="17"/>
  <c r="AG9" i="17" a="1"/>
  <c r="AG9" i="17" s="1"/>
  <c r="Q5" i="17"/>
  <c r="T9" i="17"/>
  <c r="S9" i="17"/>
  <c r="X9" i="17"/>
  <c r="AF9" i="17" a="1"/>
  <c r="AF9" i="17" s="1"/>
  <c r="AD9" i="17"/>
  <c r="R9" i="17"/>
  <c r="Y9" i="17"/>
  <c r="Z9" i="17"/>
  <c r="AA9" i="17"/>
  <c r="AB9" i="17"/>
  <c r="AC9" i="17"/>
  <c r="AE9" i="17"/>
  <c r="O13" i="1"/>
  <c r="AU8" i="6" l="1"/>
  <c r="AS8" i="6"/>
  <c r="AQ8" i="6"/>
  <c r="AV8" i="6"/>
  <c r="AT8" i="6"/>
  <c r="AR8" i="6"/>
  <c r="D5" i="19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2" i="11"/>
  <c r="AP32" i="11"/>
  <c r="AV32" i="11"/>
  <c r="AU32" i="11"/>
  <c r="AT32" i="11"/>
  <c r="AS32" i="11"/>
  <c r="AR32" i="11"/>
  <c r="AO32" i="11"/>
  <c r="AN32" i="11"/>
  <c r="AL32" i="11"/>
  <c r="AK32" i="11"/>
  <c r="AI32" i="11"/>
  <c r="AH32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AO14" i="8" a="1"/>
  <c r="AO14" i="8" s="1"/>
  <c r="AM14" i="8" a="1"/>
  <c r="AM14" i="8" s="1"/>
  <c r="AI14" i="8" a="1"/>
  <c r="AI14" i="8" s="1"/>
  <c r="AG14" i="8" a="1"/>
  <c r="AG14" i="8" s="1"/>
  <c r="J14" i="8"/>
  <c r="AS14" i="8" s="1" a="1"/>
  <c r="AS14" i="8" s="1"/>
  <c r="AA20" i="8"/>
  <c r="Z20" i="8"/>
  <c r="P16" i="1"/>
  <c r="P17" i="1"/>
  <c r="M11" i="1"/>
  <c r="D6" i="19" l="1"/>
  <c r="B6" i="19"/>
  <c r="C6" i="19"/>
  <c r="AU14" i="8"/>
  <c r="AV14" i="8"/>
  <c r="AT14" i="8"/>
  <c r="AP14" i="8"/>
  <c r="AR14" i="8"/>
  <c r="AQ14" i="8"/>
  <c r="AN14" i="8"/>
  <c r="AK14" i="8"/>
  <c r="AJ14" i="8"/>
  <c r="AH14" i="8"/>
  <c r="I14" i="1"/>
  <c r="D7" i="19" l="1"/>
  <c r="C7" i="19"/>
  <c r="B7" i="19"/>
  <c r="J14" i="1"/>
  <c r="J15" i="1"/>
  <c r="W73" i="3"/>
  <c r="B8" i="19" l="1"/>
  <c r="C8" i="19"/>
  <c r="D8" i="19"/>
  <c r="X47" i="3"/>
  <c r="C9" i="19" l="1"/>
  <c r="D9" i="19"/>
  <c r="B9" i="19"/>
  <c r="R32" i="3"/>
  <c r="R76" i="3"/>
  <c r="Q32" i="3"/>
  <c r="Q47" i="3"/>
  <c r="R68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V110" i="5"/>
  <c r="AM109" i="5" a="1"/>
  <c r="AO109" i="5" s="1"/>
  <c r="AM108" i="5" a="1"/>
  <c r="AM108" i="5" s="1"/>
  <c r="AG111" i="5" a="1"/>
  <c r="AH111" i="5" s="1"/>
  <c r="AG110" i="5" a="1"/>
  <c r="AG110" i="5" s="1"/>
  <c r="AG109" i="5" a="1"/>
  <c r="AI109" i="5" s="1"/>
  <c r="AG108" i="5" a="1"/>
  <c r="AG108" i="5" s="1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M109" i="5" l="1"/>
  <c r="AU110" i="5"/>
  <c r="AH108" i="5"/>
  <c r="AR110" i="5"/>
  <c r="AG109" i="5"/>
  <c r="AO108" i="5"/>
  <c r="AL110" i="5"/>
  <c r="AJ110" i="5"/>
  <c r="AU108" i="5"/>
  <c r="AJ41" i="18"/>
  <c r="AK109" i="5"/>
  <c r="AT108" i="5"/>
  <c r="AJ109" i="5"/>
  <c r="AS108" i="5"/>
  <c r="AH109" i="5"/>
  <c r="AR108" i="5"/>
  <c r="B14" i="19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M97" i="5" a="1"/>
  <c r="AM97" i="5" s="1"/>
  <c r="AN97" i="5"/>
  <c r="AG98" i="5" a="1"/>
  <c r="AG98" i="5" s="1"/>
  <c r="AG97" i="5" a="1"/>
  <c r="AG97" i="5" s="1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Q97" i="5" l="1"/>
  <c r="AU98" i="5"/>
  <c r="AS98" i="5"/>
  <c r="AR98" i="5"/>
  <c r="AL97" i="5"/>
  <c r="AJ97" i="5"/>
  <c r="AV98" i="5"/>
  <c r="B15" i="19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9" i="11" a="1"/>
  <c r="AK9" i="11" s="1"/>
  <c r="AG9" i="11" a="1"/>
  <c r="AG9" i="11" s="1"/>
  <c r="V9" i="11"/>
  <c r="Q9" i="11"/>
  <c r="Z9" i="11"/>
  <c r="AA9" i="11"/>
  <c r="AB9" i="11"/>
  <c r="AC9" i="11"/>
  <c r="AD9" i="11"/>
  <c r="AE9" i="11"/>
  <c r="Z10" i="11"/>
  <c r="AA10" i="11"/>
  <c r="AB10" i="11"/>
  <c r="AC10" i="11"/>
  <c r="R10" i="11"/>
  <c r="S10" i="11"/>
  <c r="T10" i="11"/>
  <c r="U10" i="11"/>
  <c r="V10" i="11"/>
  <c r="Q10" i="11"/>
  <c r="AD10" i="11" s="1"/>
  <c r="R9" i="11"/>
  <c r="S9" i="11"/>
  <c r="T9" i="11"/>
  <c r="U9" i="11"/>
  <c r="J10" i="11"/>
  <c r="AG10" i="11" s="1" a="1"/>
  <c r="AG10" i="11" s="1"/>
  <c r="J9" i="11"/>
  <c r="W9" i="11" s="1"/>
  <c r="C16" i="19" l="1"/>
  <c r="D16" i="19"/>
  <c r="B16" i="19"/>
  <c r="Y9" i="11"/>
  <c r="X9" i="11"/>
  <c r="X10" i="11"/>
  <c r="W10" i="11"/>
  <c r="Y10" i="11"/>
  <c r="AE10" i="11"/>
  <c r="AU9" i="11"/>
  <c r="AO9" i="11"/>
  <c r="AN9" i="11"/>
  <c r="AS9" i="11"/>
  <c r="AP9" i="11"/>
  <c r="AM9" i="11"/>
  <c r="AQ9" i="11"/>
  <c r="AL9" i="11"/>
  <c r="AV9" i="11"/>
  <c r="AT9" i="11"/>
  <c r="AR9" i="11"/>
  <c r="AJ9" i="11"/>
  <c r="AI9" i="11"/>
  <c r="AH9" i="11"/>
  <c r="AI10" i="11"/>
  <c r="AV10" i="11"/>
  <c r="AT10" i="11"/>
  <c r="AR10" i="11"/>
  <c r="AQ10" i="11"/>
  <c r="AO10" i="11"/>
  <c r="AN10" i="11"/>
  <c r="AL10" i="11"/>
  <c r="AJ10" i="11"/>
  <c r="AH10" i="11"/>
  <c r="AU10" i="11"/>
  <c r="AS10" i="11"/>
  <c r="AP10" i="11"/>
  <c r="AM10" i="11"/>
  <c r="AK10" i="11"/>
  <c r="AO10" i="8" a="1"/>
  <c r="AP10" i="8" s="1"/>
  <c r="AG10" i="8" a="1"/>
  <c r="AG10" i="8" s="1"/>
  <c r="AO25" i="8" a="1"/>
  <c r="AO25" i="8" s="1"/>
  <c r="AG25" i="8" a="1"/>
  <c r="AG25" i="8" s="1"/>
  <c r="V10" i="8"/>
  <c r="V25" i="8"/>
  <c r="C17" i="19" l="1"/>
  <c r="D17" i="19"/>
  <c r="B17" i="19"/>
  <c r="AO10" i="8"/>
  <c r="AN10" i="8"/>
  <c r="AQ10" i="8"/>
  <c r="AV10" i="8"/>
  <c r="AU10" i="8"/>
  <c r="AT10" i="8"/>
  <c r="AS10" i="8"/>
  <c r="AR10" i="8"/>
  <c r="AM10" i="8"/>
  <c r="AL10" i="8"/>
  <c r="AK10" i="8"/>
  <c r="AJ10" i="8"/>
  <c r="AI10" i="8"/>
  <c r="AH10" i="8"/>
  <c r="AV25" i="8"/>
  <c r="AT25" i="8"/>
  <c r="AR25" i="8"/>
  <c r="AQ25" i="8"/>
  <c r="AU25" i="8"/>
  <c r="AS25" i="8"/>
  <c r="AP25" i="8"/>
  <c r="AI25" i="8"/>
  <c r="AN25" i="8"/>
  <c r="AL25" i="8"/>
  <c r="AJ25" i="8"/>
  <c r="AH25" i="8"/>
  <c r="AM25" i="8"/>
  <c r="AK25" i="8"/>
  <c r="M25" i="1"/>
  <c r="B18" i="19" l="1"/>
  <c r="D18" i="19"/>
  <c r="C18" i="19"/>
  <c r="W61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4" i="12"/>
  <c r="V23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4" i="3" a="1"/>
  <c r="AH74" i="3" s="1"/>
  <c r="AF74" i="3" a="1"/>
  <c r="AF74" i="3" s="1"/>
  <c r="Z74" i="3"/>
  <c r="AA74" i="3"/>
  <c r="AB74" i="3"/>
  <c r="AC74" i="3"/>
  <c r="AD74" i="3"/>
  <c r="AE74" i="3"/>
  <c r="Y74" i="3"/>
  <c r="X74" i="3"/>
  <c r="W74" i="3"/>
  <c r="V74" i="3"/>
  <c r="U74" i="3"/>
  <c r="R74" i="3"/>
  <c r="S74" i="3"/>
  <c r="T74" i="3"/>
  <c r="Q74" i="3"/>
  <c r="B26" i="19" l="1"/>
  <c r="C26" i="19"/>
  <c r="D26" i="19"/>
  <c r="AG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G20" i="6" a="1"/>
  <c r="AG20" i="6" s="1"/>
  <c r="V20" i="6"/>
  <c r="C27" i="19" l="1"/>
  <c r="D27" i="19"/>
  <c r="B27" i="19"/>
  <c r="AQ20" i="6"/>
  <c r="AH20" i="6"/>
  <c r="AO20" i="6"/>
  <c r="AJ20" i="6"/>
  <c r="AV20" i="6"/>
  <c r="AU20" i="6"/>
  <c r="AT20" i="6"/>
  <c r="AS20" i="6"/>
  <c r="AR20" i="6"/>
  <c r="AP20" i="6"/>
  <c r="AN20" i="6"/>
  <c r="AM20" i="6"/>
  <c r="AL20" i="6"/>
  <c r="AK20" i="6"/>
  <c r="AI20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9" i="12" a="1"/>
  <c r="AS19" i="12" s="1"/>
  <c r="R19" i="8"/>
  <c r="S19" i="8"/>
  <c r="T19" i="8"/>
  <c r="U19" i="8"/>
  <c r="V19" i="8"/>
  <c r="W19" i="8"/>
  <c r="X19" i="8"/>
  <c r="Z19" i="8"/>
  <c r="AA19" i="8"/>
  <c r="AB19" i="8"/>
  <c r="AC19" i="8"/>
  <c r="AD19" i="8"/>
  <c r="AE19" i="8"/>
  <c r="Q19" i="8"/>
  <c r="J19" i="8"/>
  <c r="Y19" i="8" s="1"/>
  <c r="AQ20" i="8"/>
  <c r="AS26" i="8"/>
  <c r="AR26" i="8"/>
  <c r="AQ26" i="8"/>
  <c r="AP26" i="8"/>
  <c r="AO26" i="8"/>
  <c r="AN26" i="8"/>
  <c r="AK26" i="8" a="1"/>
  <c r="AK26" i="8" s="1"/>
  <c r="AF26" i="8"/>
  <c r="R26" i="8"/>
  <c r="S26" i="8"/>
  <c r="T26" i="8"/>
  <c r="U26" i="8"/>
  <c r="V26" i="8"/>
  <c r="W26" i="8"/>
  <c r="X26" i="8"/>
  <c r="Z26" i="8"/>
  <c r="AA26" i="8"/>
  <c r="AB26" i="8"/>
  <c r="AC26" i="8"/>
  <c r="AD26" i="8"/>
  <c r="AE26" i="8"/>
  <c r="Q26" i="8"/>
  <c r="J26" i="8"/>
  <c r="AG26" i="8" s="1" a="1"/>
  <c r="AG26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20" i="8"/>
  <c r="V20" i="8"/>
  <c r="R20" i="8"/>
  <c r="S20" i="8"/>
  <c r="T20" i="8"/>
  <c r="U20" i="8"/>
  <c r="X20" i="8"/>
  <c r="AB20" i="8"/>
  <c r="AC20" i="8"/>
  <c r="AD20" i="8"/>
  <c r="AE20" i="8"/>
  <c r="Q20" i="8"/>
  <c r="AP20" i="8"/>
  <c r="AO20" i="8"/>
  <c r="J3" i="8"/>
  <c r="Y3" i="8" s="1"/>
  <c r="I10" i="8"/>
  <c r="AN20" i="8"/>
  <c r="AK20" i="8" a="1"/>
  <c r="AK20" i="8" s="1"/>
  <c r="B32" i="19" l="1"/>
  <c r="C32" i="19"/>
  <c r="D32" i="19"/>
  <c r="AG19" i="8" a="1"/>
  <c r="AR19" i="8" s="1"/>
  <c r="AI26" i="8" a="1"/>
  <c r="AI26" i="8" s="1"/>
  <c r="Y26" i="8"/>
  <c r="AM26" i="8"/>
  <c r="AT21" i="12"/>
  <c r="AG3" i="8" a="1"/>
  <c r="AG3" i="8" s="1"/>
  <c r="AI3" i="8" a="1"/>
  <c r="AI3" i="8" s="1"/>
  <c r="AS21" i="12"/>
  <c r="AT20" i="12"/>
  <c r="AS20" i="12"/>
  <c r="AT19" i="12"/>
  <c r="AL26" i="8"/>
  <c r="AH26" i="8"/>
  <c r="AM3" i="8"/>
  <c r="AL3" i="8"/>
  <c r="AL20" i="8"/>
  <c r="AM20" i="8"/>
  <c r="J20" i="8"/>
  <c r="Y20" i="8" s="1"/>
  <c r="AR19" i="12" a="1"/>
  <c r="AR19" i="12" s="1"/>
  <c r="AP19" i="12" a="1"/>
  <c r="AQ19" i="12" s="1"/>
  <c r="Q21" i="12"/>
  <c r="Q20" i="12"/>
  <c r="U19" i="12"/>
  <c r="AJ26" i="8" l="1"/>
  <c r="AL19" i="8"/>
  <c r="AI19" i="8"/>
  <c r="AK19" i="8"/>
  <c r="AT19" i="8"/>
  <c r="AO19" i="8"/>
  <c r="AH19" i="8"/>
  <c r="AU19" i="8"/>
  <c r="AP19" i="8"/>
  <c r="AV19" i="8"/>
  <c r="C33" i="19"/>
  <c r="D33" i="19"/>
  <c r="B33" i="19"/>
  <c r="AH3" i="8"/>
  <c r="AJ3" i="8"/>
  <c r="AQ21" i="12"/>
  <c r="AM19" i="8"/>
  <c r="AJ19" i="8"/>
  <c r="AG19" i="8"/>
  <c r="AQ19" i="8"/>
  <c r="AS19" i="8"/>
  <c r="AN19" i="8"/>
  <c r="AR21" i="12"/>
  <c r="AP21" i="12"/>
  <c r="AP19" i="12"/>
  <c r="AI20" i="8" a="1"/>
  <c r="AG20" i="8" a="1"/>
  <c r="AR20" i="12"/>
  <c r="AQ20" i="12"/>
  <c r="AP20" i="12"/>
  <c r="AM21" i="12" a="1"/>
  <c r="AM21" i="12" s="1"/>
  <c r="AN19" i="12" a="1"/>
  <c r="AN19" i="12" s="1"/>
  <c r="AJ19" i="12" a="1"/>
  <c r="AJ19" i="12" s="1"/>
  <c r="AL19" i="12" a="1"/>
  <c r="AL19" i="12" s="1"/>
  <c r="AH19" i="12" a="1"/>
  <c r="AH19" i="12" s="1"/>
  <c r="AA21" i="12"/>
  <c r="Z21" i="12"/>
  <c r="AB21" i="12"/>
  <c r="AC21" i="12"/>
  <c r="AD21" i="12"/>
  <c r="AE21" i="12"/>
  <c r="AG19" i="12" a="1"/>
  <c r="AG19" i="12" s="1"/>
  <c r="Y20" i="12" a="1"/>
  <c r="Y20" i="12" s="1"/>
  <c r="X20" i="12"/>
  <c r="W20" i="12"/>
  <c r="V20" i="12"/>
  <c r="U20" i="12"/>
  <c r="T20" i="12"/>
  <c r="T19" i="12"/>
  <c r="S19" i="12"/>
  <c r="R19" i="12"/>
  <c r="S20" i="12"/>
  <c r="R20" i="12"/>
  <c r="V19" i="12"/>
  <c r="W19" i="12"/>
  <c r="Y19" i="12"/>
  <c r="Z19" i="12"/>
  <c r="AA19" i="12"/>
  <c r="AB19" i="12"/>
  <c r="AC19" i="12"/>
  <c r="AD19" i="12"/>
  <c r="Q19" i="12"/>
  <c r="AE19" i="12" s="1"/>
  <c r="J21" i="12"/>
  <c r="Y21" i="12" s="1"/>
  <c r="J20" i="12"/>
  <c r="J19" i="12"/>
  <c r="X19" i="12" s="1"/>
  <c r="C34" i="19" l="1"/>
  <c r="D34" i="19"/>
  <c r="B34" i="19"/>
  <c r="AH20" i="8"/>
  <c r="AG20" i="8"/>
  <c r="AI20" i="8"/>
  <c r="AJ20" i="8"/>
  <c r="AN21" i="12"/>
  <c r="AO20" i="12"/>
  <c r="AO19" i="12"/>
  <c r="AN20" i="12"/>
  <c r="AK20" i="12"/>
  <c r="AK19" i="12"/>
  <c r="AK21" i="12"/>
  <c r="AJ21" i="12"/>
  <c r="AJ20" i="12"/>
  <c r="AM19" i="12"/>
  <c r="AI19" i="12"/>
  <c r="AG20" i="12"/>
  <c r="Z20" i="12"/>
  <c r="J23" i="8"/>
  <c r="AG23" i="8" s="1" a="1"/>
  <c r="AG23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AN23" i="8"/>
  <c r="AJ23" i="8"/>
  <c r="AU23" i="8"/>
  <c r="AT23" i="8"/>
  <c r="AS23" i="8"/>
  <c r="AQ23" i="8"/>
  <c r="AI23" i="8"/>
  <c r="AV23" i="8"/>
  <c r="AM23" i="8"/>
  <c r="AL23" i="8"/>
  <c r="AK23" i="8"/>
  <c r="AR23" i="8"/>
  <c r="AP23" i="8"/>
  <c r="AH23" i="8"/>
  <c r="AO23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V62" i="12"/>
  <c r="V61" i="12"/>
  <c r="V60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60" i="12" a="1"/>
  <c r="AS60" i="12" s="1"/>
  <c r="AP60" i="12" a="1"/>
  <c r="AP60" i="12" s="1"/>
  <c r="AM60" i="12" a="1"/>
  <c r="AN60" i="12" s="1"/>
  <c r="AJ60" i="12" a="1"/>
  <c r="AJ60" i="12" s="1"/>
  <c r="AG60" i="12" a="1"/>
  <c r="AG60" i="12" s="1"/>
  <c r="Q61" i="12"/>
  <c r="R61" i="12"/>
  <c r="S61" i="12"/>
  <c r="T61" i="12"/>
  <c r="U61" i="12"/>
  <c r="X61" i="12"/>
  <c r="Y61" i="12"/>
  <c r="Z61" i="12"/>
  <c r="AA61" i="12"/>
  <c r="AB61" i="12"/>
  <c r="AC61" i="12"/>
  <c r="AD61" i="12"/>
  <c r="AE61" i="12"/>
  <c r="Q62" i="12"/>
  <c r="R62" i="12"/>
  <c r="S62" i="12"/>
  <c r="T62" i="12"/>
  <c r="U62" i="12"/>
  <c r="W62" i="12"/>
  <c r="X62" i="12"/>
  <c r="Y62" i="12"/>
  <c r="Z62" i="12"/>
  <c r="AA62" i="12"/>
  <c r="AB62" i="12"/>
  <c r="AC62" i="12"/>
  <c r="AD62" i="12"/>
  <c r="AE62" i="12"/>
  <c r="R60" i="12"/>
  <c r="S60" i="12"/>
  <c r="T60" i="12"/>
  <c r="U60" i="12"/>
  <c r="W60" i="12"/>
  <c r="X60" i="12"/>
  <c r="Y60" i="12"/>
  <c r="Z60" i="12"/>
  <c r="AA60" i="12"/>
  <c r="AB60" i="12"/>
  <c r="AC60" i="12"/>
  <c r="AD60" i="12"/>
  <c r="AE60" i="12"/>
  <c r="Q60" i="12"/>
  <c r="J60" i="12"/>
  <c r="B36" i="19" l="1"/>
  <c r="C36" i="19"/>
  <c r="D36" i="19"/>
  <c r="AK62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62" i="12"/>
  <c r="AJ61" i="12"/>
  <c r="AL60" i="12"/>
  <c r="AU62" i="12"/>
  <c r="AU60" i="12"/>
  <c r="AT62" i="12"/>
  <c r="AT61" i="12"/>
  <c r="AT60" i="12"/>
  <c r="AV62" i="12"/>
  <c r="AV61" i="12"/>
  <c r="AV60" i="12"/>
  <c r="AU61" i="12"/>
  <c r="AS62" i="12"/>
  <c r="AS61" i="12"/>
  <c r="AQ62" i="12"/>
  <c r="AP61" i="12"/>
  <c r="AR60" i="12"/>
  <c r="AR61" i="12"/>
  <c r="AQ60" i="12"/>
  <c r="AP62" i="12"/>
  <c r="AR62" i="12"/>
  <c r="AQ61" i="12"/>
  <c r="AO62" i="12"/>
  <c r="AN61" i="12"/>
  <c r="AM60" i="12"/>
  <c r="AN62" i="12"/>
  <c r="AM61" i="12"/>
  <c r="AM62" i="12"/>
  <c r="AO60" i="12"/>
  <c r="AO61" i="12"/>
  <c r="AL61" i="12"/>
  <c r="AK60" i="12"/>
  <c r="AL62" i="12"/>
  <c r="AK61" i="12"/>
  <c r="AG61" i="12"/>
  <c r="AG62" i="12"/>
  <c r="AI60" i="12"/>
  <c r="AI61" i="12"/>
  <c r="AH60" i="12"/>
  <c r="AH62" i="12"/>
  <c r="AI62" i="12"/>
  <c r="AH61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8" i="15" l="1"/>
  <c r="D37" i="19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71" i="12"/>
  <c r="S71" i="12"/>
  <c r="T71" i="12"/>
  <c r="U71" i="12"/>
  <c r="V71" i="12"/>
  <c r="W71" i="12"/>
  <c r="X71" i="12"/>
  <c r="Z71" i="12"/>
  <c r="AA71" i="12"/>
  <c r="AB71" i="12"/>
  <c r="AC71" i="12"/>
  <c r="AD71" i="12"/>
  <c r="AE71" i="12"/>
  <c r="R72" i="12"/>
  <c r="S72" i="12"/>
  <c r="T72" i="12"/>
  <c r="U72" i="12"/>
  <c r="V72" i="12"/>
  <c r="W72" i="12"/>
  <c r="X72" i="12"/>
  <c r="Z72" i="12"/>
  <c r="AA72" i="12"/>
  <c r="AB72" i="12"/>
  <c r="AC72" i="12"/>
  <c r="AD72" i="12"/>
  <c r="AE72" i="12"/>
  <c r="R73" i="12"/>
  <c r="S73" i="12"/>
  <c r="T73" i="12"/>
  <c r="U73" i="12"/>
  <c r="V73" i="12"/>
  <c r="W73" i="12"/>
  <c r="X73" i="12"/>
  <c r="Z73" i="12"/>
  <c r="AA73" i="12"/>
  <c r="AB73" i="12"/>
  <c r="AC73" i="12"/>
  <c r="AD73" i="12"/>
  <c r="AE73" i="12"/>
  <c r="Q73" i="12"/>
  <c r="Q72" i="12"/>
  <c r="Q71" i="12"/>
  <c r="J73" i="12"/>
  <c r="Y73" i="12" s="1"/>
  <c r="J72" i="12"/>
  <c r="Y72" i="12" s="1"/>
  <c r="J71" i="12"/>
  <c r="Q13" i="12"/>
  <c r="Q15" i="12"/>
  <c r="AE14" i="12"/>
  <c r="AD14" i="12"/>
  <c r="AC14" i="12"/>
  <c r="AB14" i="12"/>
  <c r="AA14" i="12"/>
  <c r="Z14" i="12"/>
  <c r="X14" i="12"/>
  <c r="W14" i="12"/>
  <c r="V14" i="12"/>
  <c r="U14" i="12"/>
  <c r="T14" i="12"/>
  <c r="S14" i="12"/>
  <c r="R14" i="12"/>
  <c r="Q14" i="12"/>
  <c r="J14" i="12"/>
  <c r="Y14" i="12" s="1"/>
  <c r="R15" i="12"/>
  <c r="S15" i="12"/>
  <c r="T15" i="12"/>
  <c r="U15" i="12"/>
  <c r="V15" i="12"/>
  <c r="W15" i="12"/>
  <c r="X15" i="12"/>
  <c r="Z15" i="12"/>
  <c r="AA15" i="12"/>
  <c r="AB15" i="12"/>
  <c r="AC15" i="12"/>
  <c r="AD15" i="12"/>
  <c r="AE15" i="12"/>
  <c r="J15" i="12"/>
  <c r="Y15" i="12" s="1"/>
  <c r="X13" i="12"/>
  <c r="Z13" i="12"/>
  <c r="AA13" i="12"/>
  <c r="AB13" i="12"/>
  <c r="AC13" i="12"/>
  <c r="AD13" i="12"/>
  <c r="AE13" i="12"/>
  <c r="R13" i="12"/>
  <c r="S13" i="12"/>
  <c r="T13" i="12"/>
  <c r="U13" i="12"/>
  <c r="V13" i="12"/>
  <c r="W13" i="12"/>
  <c r="AF23" i="12"/>
  <c r="J13" i="12"/>
  <c r="AG13" i="12" s="1" a="1"/>
  <c r="AG13" i="12" s="1"/>
  <c r="Y71" i="12" l="1"/>
  <c r="B42" i="19"/>
  <c r="D42" i="19"/>
  <c r="C42" i="19"/>
  <c r="AT3" i="13"/>
  <c r="AP3" i="13"/>
  <c r="AM3" i="13"/>
  <c r="AU3" i="13"/>
  <c r="AN3" i="13"/>
  <c r="AV3" i="13"/>
  <c r="Y13" i="12"/>
  <c r="AR3" i="13"/>
  <c r="AS3" i="13"/>
  <c r="AL3" i="13"/>
  <c r="AQ3" i="13"/>
  <c r="AO3" i="13"/>
  <c r="AV13" i="12"/>
  <c r="AN13" i="12"/>
  <c r="AU13" i="12"/>
  <c r="AM13" i="12"/>
  <c r="AT13" i="12"/>
  <c r="AL13" i="12"/>
  <c r="AS13" i="12"/>
  <c r="AK13" i="12"/>
  <c r="AR13" i="12"/>
  <c r="AJ13" i="12"/>
  <c r="AQ13" i="12"/>
  <c r="AI13" i="12"/>
  <c r="AP13" i="12"/>
  <c r="AH13" i="12"/>
  <c r="AO13" i="12"/>
  <c r="Q50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R56" i="12"/>
  <c r="S56" i="12"/>
  <c r="T56" i="12"/>
  <c r="U56" i="12"/>
  <c r="V56" i="12"/>
  <c r="W56" i="12"/>
  <c r="X56" i="12"/>
  <c r="Z56" i="12"/>
  <c r="AA56" i="12"/>
  <c r="AB56" i="12"/>
  <c r="AC56" i="12"/>
  <c r="AD56" i="12"/>
  <c r="AE56" i="12"/>
  <c r="R57" i="12"/>
  <c r="S57" i="12"/>
  <c r="T57" i="12"/>
  <c r="U57" i="12"/>
  <c r="V57" i="12"/>
  <c r="W57" i="12"/>
  <c r="X57" i="12"/>
  <c r="Z57" i="12"/>
  <c r="AA57" i="12"/>
  <c r="AB57" i="12"/>
  <c r="AC57" i="12"/>
  <c r="AD57" i="12"/>
  <c r="AE57" i="12"/>
  <c r="R58" i="12"/>
  <c r="S58" i="12"/>
  <c r="T58" i="12"/>
  <c r="U58" i="12"/>
  <c r="V58" i="12"/>
  <c r="W58" i="12"/>
  <c r="X58" i="12"/>
  <c r="AA58" i="12"/>
  <c r="AB58" i="12"/>
  <c r="AC58" i="12"/>
  <c r="AD58" i="12"/>
  <c r="AE58" i="12"/>
  <c r="Q53" i="12"/>
  <c r="Q44" i="12"/>
  <c r="Q35" i="12"/>
  <c r="Q58" i="12"/>
  <c r="Q57" i="12"/>
  <c r="Q56" i="12"/>
  <c r="Q55" i="12"/>
  <c r="Q54" i="12"/>
  <c r="Q52" i="12"/>
  <c r="Q51" i="12"/>
  <c r="J58" i="12"/>
  <c r="Y58" i="12" s="1"/>
  <c r="J57" i="12"/>
  <c r="Y57" i="12" s="1"/>
  <c r="J56" i="12"/>
  <c r="Y56" i="12" s="1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Q49" i="12"/>
  <c r="Q48" i="12"/>
  <c r="Q45" i="12"/>
  <c r="Q42" i="12"/>
  <c r="Q40" i="12"/>
  <c r="Q39" i="12"/>
  <c r="Q36" i="12"/>
  <c r="Q33" i="12"/>
  <c r="Q47" i="12"/>
  <c r="Q46" i="12"/>
  <c r="Q43" i="12"/>
  <c r="Q41" i="12"/>
  <c r="Q32" i="12"/>
  <c r="J49" i="12"/>
  <c r="Y49" i="12" s="1"/>
  <c r="J48" i="12"/>
  <c r="Y48" i="12" s="1"/>
  <c r="J47" i="12"/>
  <c r="Y47" i="12" s="1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Q37" i="12"/>
  <c r="Q34" i="12"/>
  <c r="Q38" i="12"/>
  <c r="J40" i="12"/>
  <c r="Y40" i="12" s="1"/>
  <c r="J39" i="12"/>
  <c r="Y39" i="12" s="1"/>
  <c r="J38" i="12"/>
  <c r="Y38" i="12" s="1"/>
  <c r="J37" i="12"/>
  <c r="Y37" i="12" s="1"/>
  <c r="J36" i="12"/>
  <c r="Y36" i="12" s="1"/>
  <c r="J35" i="12"/>
  <c r="Y35" i="12" s="1"/>
  <c r="J34" i="12"/>
  <c r="Y34" i="12" s="1"/>
  <c r="J33" i="12"/>
  <c r="Y33" i="12" s="1"/>
  <c r="Q31" i="12"/>
  <c r="Q30" i="12"/>
  <c r="Q29" i="12"/>
  <c r="Q28" i="12"/>
  <c r="Q27" i="12"/>
  <c r="Q26" i="12"/>
  <c r="Q25" i="12"/>
  <c r="Q24" i="12"/>
  <c r="R31" i="12"/>
  <c r="R30" i="12"/>
  <c r="R29" i="12"/>
  <c r="R28" i="12"/>
  <c r="R27" i="12"/>
  <c r="R26" i="12"/>
  <c r="R25" i="12"/>
  <c r="R24" i="12"/>
  <c r="J32" i="12"/>
  <c r="Y32" i="12" s="1"/>
  <c r="AE31" i="12"/>
  <c r="AD31" i="12"/>
  <c r="AC31" i="12"/>
  <c r="AB31" i="12"/>
  <c r="AA31" i="12"/>
  <c r="Z31" i="12"/>
  <c r="X31" i="12"/>
  <c r="W31" i="12"/>
  <c r="V31" i="12"/>
  <c r="U31" i="12"/>
  <c r="T31" i="12"/>
  <c r="S31" i="12"/>
  <c r="AE30" i="12"/>
  <c r="AD30" i="12"/>
  <c r="AC30" i="12"/>
  <c r="AB30" i="12"/>
  <c r="AA30" i="12"/>
  <c r="Z30" i="12"/>
  <c r="X30" i="12"/>
  <c r="W30" i="12"/>
  <c r="V30" i="12"/>
  <c r="U30" i="12"/>
  <c r="T30" i="12"/>
  <c r="S30" i="12"/>
  <c r="AE29" i="12"/>
  <c r="AD29" i="12"/>
  <c r="AC29" i="12"/>
  <c r="AB29" i="12"/>
  <c r="AA29" i="12"/>
  <c r="Z29" i="12"/>
  <c r="X29" i="12"/>
  <c r="W29" i="12"/>
  <c r="V29" i="12"/>
  <c r="U29" i="12"/>
  <c r="T29" i="12"/>
  <c r="S29" i="12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U24" i="12"/>
  <c r="T24" i="12"/>
  <c r="S24" i="12"/>
  <c r="AE23" i="12"/>
  <c r="AD23" i="12"/>
  <c r="AC23" i="12"/>
  <c r="AB23" i="12"/>
  <c r="AA23" i="12"/>
  <c r="Z23" i="12"/>
  <c r="X23" i="12"/>
  <c r="W23" i="12"/>
  <c r="U23" i="12"/>
  <c r="T23" i="12"/>
  <c r="S23" i="12"/>
  <c r="R23" i="12"/>
  <c r="B43" i="19" l="1"/>
  <c r="D43" i="19"/>
  <c r="C43" i="19"/>
  <c r="AF28" i="12"/>
  <c r="AF31" i="12"/>
  <c r="AF30" i="12"/>
  <c r="AF29" i="12"/>
  <c r="AF27" i="12"/>
  <c r="AF26" i="12"/>
  <c r="AF25" i="12"/>
  <c r="AF24" i="12"/>
  <c r="J23" i="12"/>
  <c r="B44" i="19" l="1"/>
  <c r="C44" i="19"/>
  <c r="D44" i="19"/>
  <c r="Y29" i="12"/>
  <c r="AG29" i="12" a="1"/>
  <c r="Y24" i="12"/>
  <c r="AG28" i="12" a="1"/>
  <c r="AG26" i="12" a="1"/>
  <c r="Y27" i="12"/>
  <c r="AG25" i="12" a="1"/>
  <c r="AG31" i="12" a="1"/>
  <c r="Y30" i="12"/>
  <c r="AG24" i="12" a="1"/>
  <c r="Y25" i="12"/>
  <c r="AG30" i="12" a="1"/>
  <c r="AG23" i="12" a="1"/>
  <c r="AG27" i="12" a="1"/>
  <c r="Y28" i="12"/>
  <c r="Y31" i="12"/>
  <c r="Y23" i="12"/>
  <c r="Y26" i="12"/>
  <c r="R19" i="11"/>
  <c r="S19" i="11"/>
  <c r="T19" i="11"/>
  <c r="U19" i="11"/>
  <c r="V19" i="11"/>
  <c r="W19" i="11"/>
  <c r="X19" i="11"/>
  <c r="Z19" i="11"/>
  <c r="AA19" i="11"/>
  <c r="AB19" i="11"/>
  <c r="AC19" i="11"/>
  <c r="AD19" i="11"/>
  <c r="AE19" i="11"/>
  <c r="Q19" i="11"/>
  <c r="J19" i="11"/>
  <c r="AG19" i="11" s="1" a="1"/>
  <c r="R21" i="11"/>
  <c r="S21" i="11"/>
  <c r="T21" i="11"/>
  <c r="U21" i="11"/>
  <c r="V21" i="11"/>
  <c r="W21" i="11"/>
  <c r="X21" i="11"/>
  <c r="Z21" i="11"/>
  <c r="AA21" i="11"/>
  <c r="AB21" i="11"/>
  <c r="AC21" i="11"/>
  <c r="AD21" i="11"/>
  <c r="AE21" i="11"/>
  <c r="Q21" i="11"/>
  <c r="J21" i="11"/>
  <c r="AG21" i="11" s="1" a="1"/>
  <c r="R44" i="11"/>
  <c r="S44" i="11"/>
  <c r="T44" i="11"/>
  <c r="U44" i="11"/>
  <c r="V44" i="11"/>
  <c r="W44" i="11"/>
  <c r="X44" i="11"/>
  <c r="Z44" i="11"/>
  <c r="AA44" i="11"/>
  <c r="AB44" i="11"/>
  <c r="AC44" i="11"/>
  <c r="AD44" i="11"/>
  <c r="AE44" i="11"/>
  <c r="Q44" i="11"/>
  <c r="J44" i="11"/>
  <c r="Y44" i="11" s="1"/>
  <c r="R41" i="11"/>
  <c r="S41" i="11"/>
  <c r="T41" i="11"/>
  <c r="U41" i="11"/>
  <c r="V41" i="11"/>
  <c r="W41" i="11"/>
  <c r="X41" i="11"/>
  <c r="Z41" i="11"/>
  <c r="AA41" i="11"/>
  <c r="AB41" i="11"/>
  <c r="AC41" i="11"/>
  <c r="AD41" i="11"/>
  <c r="AE41" i="11"/>
  <c r="Q41" i="11"/>
  <c r="J41" i="11"/>
  <c r="Y41" i="11" s="1"/>
  <c r="U27" i="11"/>
  <c r="Q27" i="11"/>
  <c r="AG27" i="11" a="1"/>
  <c r="AH27" i="11" s="1"/>
  <c r="Z27" i="11"/>
  <c r="AA27" i="11"/>
  <c r="AB27" i="11"/>
  <c r="AC27" i="11"/>
  <c r="AD27" i="11"/>
  <c r="AE27" i="11"/>
  <c r="X27" i="11"/>
  <c r="W27" i="11"/>
  <c r="V27" i="11"/>
  <c r="T27" i="11"/>
  <c r="S27" i="11"/>
  <c r="R27" i="11"/>
  <c r="J27" i="11"/>
  <c r="AJ27" i="11" s="1" a="1"/>
  <c r="AJ27" i="11" s="1"/>
  <c r="AG14" i="11" a="1"/>
  <c r="AG14" i="11" s="1"/>
  <c r="X14" i="11"/>
  <c r="Z14" i="11"/>
  <c r="AA14" i="11"/>
  <c r="AB14" i="11"/>
  <c r="AC14" i="11"/>
  <c r="AD14" i="11"/>
  <c r="AE14" i="11"/>
  <c r="W14" i="11"/>
  <c r="V14" i="11"/>
  <c r="U14" i="11"/>
  <c r="T14" i="11"/>
  <c r="S14" i="11"/>
  <c r="R14" i="11"/>
  <c r="Q14" i="11"/>
  <c r="J14" i="11"/>
  <c r="Y14" i="11" s="1"/>
  <c r="U22" i="11"/>
  <c r="T22" i="11"/>
  <c r="Q22" i="11"/>
  <c r="AG22" i="11" a="1"/>
  <c r="AG22" i="11" s="1"/>
  <c r="Z22" i="11"/>
  <c r="AA22" i="11"/>
  <c r="AB22" i="11"/>
  <c r="AC22" i="11"/>
  <c r="AD22" i="11"/>
  <c r="AE22" i="11"/>
  <c r="X22" i="11"/>
  <c r="W22" i="11"/>
  <c r="V22" i="11"/>
  <c r="Q17" i="11"/>
  <c r="S22" i="11"/>
  <c r="R22" i="11"/>
  <c r="J22" i="11"/>
  <c r="AJ22" i="11" s="1" a="1"/>
  <c r="AG30" i="11" a="1"/>
  <c r="AI30" i="11" s="1"/>
  <c r="AE30" i="11"/>
  <c r="AD30" i="11"/>
  <c r="AC30" i="11"/>
  <c r="AB30" i="11"/>
  <c r="AA30" i="11"/>
  <c r="Z30" i="11"/>
  <c r="X30" i="11"/>
  <c r="W30" i="11"/>
  <c r="V30" i="11"/>
  <c r="U30" i="11"/>
  <c r="T30" i="11"/>
  <c r="S30" i="11"/>
  <c r="R30" i="11"/>
  <c r="Q30" i="11"/>
  <c r="J30" i="11"/>
  <c r="Y30" i="11" s="1"/>
  <c r="W17" i="11"/>
  <c r="AG17" i="11" a="1"/>
  <c r="AI17" i="11" s="1"/>
  <c r="Z17" i="11"/>
  <c r="AA17" i="11"/>
  <c r="AB17" i="11"/>
  <c r="AC17" i="11"/>
  <c r="AD17" i="11"/>
  <c r="AE17" i="11"/>
  <c r="X17" i="11"/>
  <c r="R17" i="11"/>
  <c r="U17" i="11"/>
  <c r="J17" i="11"/>
  <c r="AJ17" i="11" s="1" a="1"/>
  <c r="AJ17" i="11" s="1"/>
  <c r="B45" i="19" l="1"/>
  <c r="C45" i="19"/>
  <c r="D45" i="19"/>
  <c r="Y27" i="11"/>
  <c r="AG17" i="11"/>
  <c r="AI27" i="11"/>
  <c r="AH30" i="11"/>
  <c r="AG30" i="11"/>
  <c r="AH22" i="11"/>
  <c r="AH17" i="11"/>
  <c r="AI22" i="11"/>
  <c r="AJ30" i="11" a="1"/>
  <c r="AP30" i="11" s="1"/>
  <c r="AG41" i="11" a="1"/>
  <c r="AG41" i="11" s="1"/>
  <c r="AO22" i="11"/>
  <c r="AP22" i="11"/>
  <c r="AQ22" i="11"/>
  <c r="AJ22" i="11"/>
  <c r="AR22" i="11"/>
  <c r="AK22" i="11"/>
  <c r="AS22" i="11"/>
  <c r="AL22" i="11"/>
  <c r="AT22" i="11"/>
  <c r="AM22" i="11"/>
  <c r="AU22" i="11"/>
  <c r="AN22" i="11"/>
  <c r="AV22" i="11"/>
  <c r="AJ21" i="11"/>
  <c r="AR21" i="11"/>
  <c r="AK21" i="11"/>
  <c r="AS21" i="11"/>
  <c r="AL21" i="11"/>
  <c r="AT21" i="11"/>
  <c r="AM21" i="11"/>
  <c r="AU21" i="11"/>
  <c r="AN21" i="11"/>
  <c r="AV21" i="11"/>
  <c r="AG21" i="11"/>
  <c r="AO21" i="11"/>
  <c r="AH21" i="11"/>
  <c r="AP21" i="11"/>
  <c r="AI21" i="11"/>
  <c r="AQ21" i="11"/>
  <c r="AL19" i="11"/>
  <c r="AT19" i="11"/>
  <c r="AM19" i="11"/>
  <c r="AU19" i="11"/>
  <c r="AN19" i="11"/>
  <c r="AV19" i="11"/>
  <c r="AG19" i="11"/>
  <c r="AO19" i="11"/>
  <c r="AH19" i="11"/>
  <c r="AP19" i="11"/>
  <c r="AI19" i="11"/>
  <c r="AQ19" i="11"/>
  <c r="AJ19" i="11"/>
  <c r="AR19" i="11"/>
  <c r="AK19" i="11"/>
  <c r="AS19" i="11"/>
  <c r="AG27" i="11"/>
  <c r="AG44" i="11" a="1"/>
  <c r="Y17" i="11"/>
  <c r="Y21" i="11"/>
  <c r="Y22" i="11"/>
  <c r="Y19" i="11"/>
  <c r="AJ14" i="11" a="1"/>
  <c r="AV14" i="11" s="1"/>
  <c r="AH31" i="12"/>
  <c r="AP31" i="12"/>
  <c r="AI31" i="12"/>
  <c r="AQ31" i="12"/>
  <c r="AG31" i="12"/>
  <c r="AJ31" i="12"/>
  <c r="AR31" i="12"/>
  <c r="AL31" i="12"/>
  <c r="AT31" i="12"/>
  <c r="AK31" i="12"/>
  <c r="AS31" i="12"/>
  <c r="AN31" i="12"/>
  <c r="AV31" i="12"/>
  <c r="AO31" i="12"/>
  <c r="AM31" i="12"/>
  <c r="AU31" i="12"/>
  <c r="AN26" i="12"/>
  <c r="AV26" i="12"/>
  <c r="AG26" i="12"/>
  <c r="AO26" i="12"/>
  <c r="AQ26" i="12"/>
  <c r="AH26" i="12"/>
  <c r="AP26" i="12"/>
  <c r="AK26" i="12"/>
  <c r="AS26" i="12"/>
  <c r="AI26" i="12"/>
  <c r="AJ26" i="12"/>
  <c r="AR26" i="12"/>
  <c r="AL26" i="12"/>
  <c r="AU26" i="12"/>
  <c r="AT26" i="12"/>
  <c r="AM26" i="12"/>
  <c r="AM25" i="12"/>
  <c r="AU25" i="12"/>
  <c r="AR25" i="12"/>
  <c r="AK25" i="12"/>
  <c r="AL25" i="12"/>
  <c r="AN25" i="12"/>
  <c r="AV25" i="12"/>
  <c r="AG25" i="12"/>
  <c r="AO25" i="12"/>
  <c r="AH25" i="12"/>
  <c r="AP25" i="12"/>
  <c r="AS25" i="12"/>
  <c r="AI25" i="12"/>
  <c r="AQ25" i="12"/>
  <c r="AJ25" i="12"/>
  <c r="AT25" i="12"/>
  <c r="AG28" i="12"/>
  <c r="AP28" i="12"/>
  <c r="AH28" i="12"/>
  <c r="AQ28" i="12"/>
  <c r="AJ28" i="12"/>
  <c r="AS28" i="12"/>
  <c r="AI28" i="12"/>
  <c r="AR28" i="12"/>
  <c r="AL28" i="12"/>
  <c r="AV28" i="12"/>
  <c r="AK28" i="12"/>
  <c r="AT28" i="12"/>
  <c r="AU28" i="12"/>
  <c r="AM28" i="12"/>
  <c r="AN28" i="12"/>
  <c r="AO28" i="12"/>
  <c r="AK23" i="12"/>
  <c r="AS23" i="12"/>
  <c r="AH23" i="12"/>
  <c r="AL23" i="12"/>
  <c r="AT23" i="12"/>
  <c r="AM23" i="12"/>
  <c r="AU23" i="12"/>
  <c r="AN23" i="12"/>
  <c r="AV23" i="12"/>
  <c r="AP23" i="12"/>
  <c r="AQ23" i="12"/>
  <c r="AG23" i="12"/>
  <c r="AO23" i="12"/>
  <c r="AR23" i="12"/>
  <c r="AI23" i="12"/>
  <c r="AJ23" i="12"/>
  <c r="AG29" i="12"/>
  <c r="AO29" i="12"/>
  <c r="AM29" i="12"/>
  <c r="AV29" i="12"/>
  <c r="AH29" i="12"/>
  <c r="AP29" i="12"/>
  <c r="AJ29" i="12"/>
  <c r="AI29" i="12"/>
  <c r="AQ29" i="12"/>
  <c r="AL29" i="12"/>
  <c r="AR29" i="12"/>
  <c r="AK29" i="12"/>
  <c r="AS29" i="12"/>
  <c r="AN29" i="12"/>
  <c r="AT29" i="12"/>
  <c r="AU29" i="12"/>
  <c r="AG27" i="12"/>
  <c r="AO27" i="12"/>
  <c r="AT27" i="12"/>
  <c r="AM27" i="12"/>
  <c r="AV27" i="12"/>
  <c r="AH27" i="12"/>
  <c r="AP27" i="12"/>
  <c r="AR27" i="12"/>
  <c r="AI27" i="12"/>
  <c r="AQ27" i="12"/>
  <c r="AJ27" i="12"/>
  <c r="AL27" i="12"/>
  <c r="AU27" i="12"/>
  <c r="AK27" i="12"/>
  <c r="AS27" i="12"/>
  <c r="AN27" i="12"/>
  <c r="AG30" i="12"/>
  <c r="AO30" i="12"/>
  <c r="AH30" i="12"/>
  <c r="AP30" i="12"/>
  <c r="AU30" i="12"/>
  <c r="AI30" i="12"/>
  <c r="AQ30" i="12"/>
  <c r="AK30" i="12"/>
  <c r="AS30" i="12"/>
  <c r="AJ30" i="12"/>
  <c r="AR30" i="12"/>
  <c r="AM30" i="12"/>
  <c r="AV30" i="12"/>
  <c r="AL30" i="12"/>
  <c r="AT30" i="12"/>
  <c r="AN30" i="12"/>
  <c r="AL24" i="12"/>
  <c r="AT24" i="12"/>
  <c r="AR24" i="12"/>
  <c r="AS24" i="12"/>
  <c r="AM24" i="12"/>
  <c r="AU24" i="12"/>
  <c r="AN24" i="12"/>
  <c r="AV24" i="12"/>
  <c r="AG24" i="12"/>
  <c r="AO24" i="12"/>
  <c r="AI24" i="12"/>
  <c r="AH24" i="12"/>
  <c r="AP24" i="12"/>
  <c r="AQ24" i="12"/>
  <c r="AJ24" i="12"/>
  <c r="AK24" i="12"/>
  <c r="AQ27" i="11"/>
  <c r="AP27" i="11"/>
  <c r="AO27" i="11"/>
  <c r="AV27" i="11"/>
  <c r="AN27" i="11"/>
  <c r="AU27" i="11"/>
  <c r="AM27" i="11"/>
  <c r="AT27" i="11"/>
  <c r="AL27" i="11"/>
  <c r="AS27" i="11"/>
  <c r="AK27" i="11"/>
  <c r="AR27" i="11"/>
  <c r="AI14" i="11"/>
  <c r="AH14" i="11"/>
  <c r="AQ17" i="11"/>
  <c r="AP17" i="11"/>
  <c r="AO17" i="11"/>
  <c r="AV17" i="11"/>
  <c r="AN17" i="11"/>
  <c r="AU17" i="11"/>
  <c r="AM17" i="11"/>
  <c r="AT17" i="11"/>
  <c r="AL17" i="11"/>
  <c r="AS17" i="11"/>
  <c r="AK17" i="11"/>
  <c r="AR17" i="11"/>
  <c r="V12" i="8"/>
  <c r="W12" i="8"/>
  <c r="X12" i="8"/>
  <c r="Z12" i="8"/>
  <c r="AA12" i="8"/>
  <c r="AB12" i="8"/>
  <c r="AC12" i="8"/>
  <c r="AD12" i="8"/>
  <c r="R12" i="8"/>
  <c r="S12" i="8"/>
  <c r="T12" i="8"/>
  <c r="U12" i="8"/>
  <c r="Q12" i="8"/>
  <c r="J12" i="8"/>
  <c r="AG13" i="3" a="1"/>
  <c r="AG13" i="3" s="1"/>
  <c r="AP11" i="8" a="1"/>
  <c r="AP11" i="8" s="1"/>
  <c r="AS11" i="8" a="1"/>
  <c r="AS11" i="8" s="1"/>
  <c r="AK11" i="8" a="1"/>
  <c r="AK11" i="8" s="1"/>
  <c r="AI11" i="8" a="1"/>
  <c r="AI11" i="8" s="1"/>
  <c r="AG11" i="8" a="1"/>
  <c r="AG11" i="8" s="1"/>
  <c r="AF76" i="3"/>
  <c r="AA11" i="8"/>
  <c r="S11" i="8"/>
  <c r="W11" i="8"/>
  <c r="V11" i="8"/>
  <c r="R11" i="8"/>
  <c r="T11" i="8"/>
  <c r="U11" i="8"/>
  <c r="X11" i="8"/>
  <c r="Z11" i="8"/>
  <c r="AB11" i="8"/>
  <c r="AC11" i="8"/>
  <c r="AD11" i="8"/>
  <c r="AE11" i="8"/>
  <c r="Q11" i="8"/>
  <c r="J11" i="8"/>
  <c r="Y11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G83" i="3" a="1"/>
  <c r="AH83" i="3" s="1"/>
  <c r="R18" i="3"/>
  <c r="R17" i="3"/>
  <c r="AG64" i="3" a="1"/>
  <c r="AG64" i="3" s="1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Q64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X71" i="3"/>
  <c r="V71" i="3"/>
  <c r="W71" i="3"/>
  <c r="Q71" i="3"/>
  <c r="R71" i="3"/>
  <c r="S71" i="3"/>
  <c r="T71" i="3"/>
  <c r="U71" i="3"/>
  <c r="Y71" i="3"/>
  <c r="Z71" i="3"/>
  <c r="AA71" i="3"/>
  <c r="AB71" i="3"/>
  <c r="AC71" i="3"/>
  <c r="AD71" i="3"/>
  <c r="AE71" i="3"/>
  <c r="AG71" i="3" a="1"/>
  <c r="AH71" i="3" s="1"/>
  <c r="X59" i="3"/>
  <c r="V59" i="3"/>
  <c r="S59" i="3"/>
  <c r="T59" i="3"/>
  <c r="U59" i="3"/>
  <c r="W59" i="3"/>
  <c r="Y59" i="3"/>
  <c r="Z59" i="3"/>
  <c r="AA59" i="3"/>
  <c r="AB59" i="3"/>
  <c r="AC59" i="3"/>
  <c r="AD59" i="3"/>
  <c r="AE59" i="3"/>
  <c r="R59" i="3"/>
  <c r="Q59" i="3"/>
  <c r="W60" i="3"/>
  <c r="AG59" i="3" a="1"/>
  <c r="AG59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2" i="3" a="1"/>
  <c r="AG62" i="3" s="1"/>
  <c r="R62" i="3"/>
  <c r="S62" i="3"/>
  <c r="S61" i="3"/>
  <c r="T61" i="3"/>
  <c r="AG61" i="3" a="1"/>
  <c r="AG61" i="3" s="1"/>
  <c r="Q62" i="3"/>
  <c r="U62" i="3"/>
  <c r="U61" i="3"/>
  <c r="U60" i="3"/>
  <c r="Q61" i="3"/>
  <c r="R61" i="3"/>
  <c r="V61" i="3"/>
  <c r="W61" i="3"/>
  <c r="X61" i="3"/>
  <c r="Y61" i="3"/>
  <c r="Z61" i="3"/>
  <c r="AA61" i="3"/>
  <c r="AB61" i="3"/>
  <c r="AC61" i="3"/>
  <c r="AD61" i="3"/>
  <c r="AE61" i="3"/>
  <c r="T62" i="3"/>
  <c r="V62" i="3"/>
  <c r="W62" i="3"/>
  <c r="X62" i="3"/>
  <c r="Y62" i="3"/>
  <c r="Z62" i="3"/>
  <c r="AA62" i="3"/>
  <c r="AB62" i="3"/>
  <c r="AC62" i="3"/>
  <c r="AD62" i="3"/>
  <c r="AE62" i="3"/>
  <c r="AG60" i="3" a="1"/>
  <c r="AG60" i="3" s="1"/>
  <c r="S60" i="3"/>
  <c r="Y60" i="3"/>
  <c r="Z60" i="3"/>
  <c r="AA60" i="3"/>
  <c r="AB60" i="3"/>
  <c r="AC60" i="3"/>
  <c r="AD60" i="3"/>
  <c r="AE60" i="3"/>
  <c r="X60" i="3"/>
  <c r="V60" i="3"/>
  <c r="T60" i="3"/>
  <c r="R60" i="3"/>
  <c r="W67" i="3"/>
  <c r="R67" i="3"/>
  <c r="S67" i="3"/>
  <c r="T67" i="3"/>
  <c r="U67" i="3"/>
  <c r="V67" i="3"/>
  <c r="X67" i="3"/>
  <c r="Z67" i="3"/>
  <c r="AA67" i="3"/>
  <c r="AB67" i="3"/>
  <c r="AC67" i="3"/>
  <c r="AD67" i="3"/>
  <c r="AE67" i="3"/>
  <c r="Q67" i="3"/>
  <c r="J67" i="3"/>
  <c r="Y67" i="3" s="1"/>
  <c r="W58" i="3"/>
  <c r="X58" i="3"/>
  <c r="V58" i="3"/>
  <c r="T58" i="3"/>
  <c r="U58" i="3"/>
  <c r="Q58" i="3"/>
  <c r="S58" i="3"/>
  <c r="R58" i="3"/>
  <c r="AE58" i="3"/>
  <c r="Z73" i="3"/>
  <c r="Z58" i="3"/>
  <c r="AA58" i="3"/>
  <c r="AD58" i="3"/>
  <c r="Y58" i="3"/>
  <c r="AB58" i="3"/>
  <c r="AC58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3" i="3"/>
  <c r="T73" i="3"/>
  <c r="S73" i="3"/>
  <c r="R73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8" i="3"/>
  <c r="X69" i="3"/>
  <c r="X70" i="3"/>
  <c r="X76" i="3"/>
  <c r="X81" i="3"/>
  <c r="X82" i="3"/>
  <c r="AG82" i="3" a="1"/>
  <c r="AG82" i="3" s="1"/>
  <c r="AG81" i="3" a="1"/>
  <c r="AM81" i="3" s="1"/>
  <c r="AG76" i="3" a="1"/>
  <c r="AL76" i="3" s="1"/>
  <c r="AM73" i="3" a="1"/>
  <c r="AQ73" i="3" s="1"/>
  <c r="AG70" i="3" a="1"/>
  <c r="AG70" i="3" s="1"/>
  <c r="AG69" i="3" a="1"/>
  <c r="AM69" i="3" s="1"/>
  <c r="AG68" i="3" a="1"/>
  <c r="AU68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G12" i="8" l="1" a="1"/>
  <c r="AH12" i="8" s="1"/>
  <c r="Y12" i="8"/>
  <c r="AG6" i="3"/>
  <c r="AG67" i="3" a="1"/>
  <c r="AH67" i="3" s="1"/>
  <c r="B46" i="19"/>
  <c r="C46" i="19"/>
  <c r="D46" i="19"/>
  <c r="AO70" i="3"/>
  <c r="AN70" i="3"/>
  <c r="AT73" i="3"/>
  <c r="AU30" i="11"/>
  <c r="AU41" i="11"/>
  <c r="AJ30" i="11"/>
  <c r="AH51" i="3"/>
  <c r="AH41" i="11"/>
  <c r="AR24" i="3"/>
  <c r="AG31" i="3"/>
  <c r="AI41" i="11"/>
  <c r="AJ41" i="11"/>
  <c r="AL30" i="11"/>
  <c r="AR41" i="11"/>
  <c r="AJ22" i="3"/>
  <c r="AU11" i="8"/>
  <c r="AK41" i="11"/>
  <c r="AT11" i="8"/>
  <c r="AS41" i="11"/>
  <c r="AM41" i="11"/>
  <c r="AI61" i="5"/>
  <c r="AK65" i="5"/>
  <c r="AV4" i="5"/>
  <c r="AT4" i="5"/>
  <c r="AH61" i="5"/>
  <c r="AH11" i="8"/>
  <c r="AK12" i="8" a="1"/>
  <c r="AL12" i="8" s="1"/>
  <c r="AT30" i="3"/>
  <c r="AK30" i="3"/>
  <c r="AR35" i="3"/>
  <c r="AR32" i="3"/>
  <c r="AI47" i="3"/>
  <c r="AK61" i="5"/>
  <c r="AR61" i="5"/>
  <c r="AI4" i="5"/>
  <c r="AV11" i="8"/>
  <c r="AP13" i="3"/>
  <c r="AK30" i="11"/>
  <c r="AK6" i="3"/>
  <c r="AI22" i="3"/>
  <c r="AJ30" i="3"/>
  <c r="AH35" i="3"/>
  <c r="AV71" i="3"/>
  <c r="AI63" i="3"/>
  <c r="AQ32" i="3"/>
  <c r="AJ61" i="5"/>
  <c r="AQ61" i="5"/>
  <c r="AH4" i="5"/>
  <c r="AI13" i="3"/>
  <c r="AQ41" i="11"/>
  <c r="AN41" i="11"/>
  <c r="AO30" i="11"/>
  <c r="AS30" i="11"/>
  <c r="AG51" i="3"/>
  <c r="AM70" i="3"/>
  <c r="AH29" i="3"/>
  <c r="AG32" i="3"/>
  <c r="AN61" i="5"/>
  <c r="AV41" i="11"/>
  <c r="AV30" i="3"/>
  <c r="AI30" i="3"/>
  <c r="AU30" i="3"/>
  <c r="AH30" i="3"/>
  <c r="AM11" i="8" a="1"/>
  <c r="AM11" i="8" s="1"/>
  <c r="AS30" i="3"/>
  <c r="AH33" i="3"/>
  <c r="AN41" i="3"/>
  <c r="AV61" i="5"/>
  <c r="AT65" i="5"/>
  <c r="AN4" i="5"/>
  <c r="AQ11" i="8"/>
  <c r="AM30" i="11"/>
  <c r="AQ30" i="11"/>
  <c r="AH21" i="3"/>
  <c r="AR30" i="3"/>
  <c r="AT61" i="5"/>
  <c r="AK14" i="11"/>
  <c r="AO41" i="11"/>
  <c r="AL41" i="11"/>
  <c r="AN30" i="11"/>
  <c r="AR30" i="11"/>
  <c r="AT30" i="11"/>
  <c r="AJ5" i="3"/>
  <c r="AL12" i="3"/>
  <c r="AM30" i="3"/>
  <c r="AV32" i="3"/>
  <c r="AS61" i="5"/>
  <c r="AK4" i="5"/>
  <c r="AR13" i="3"/>
  <c r="AM14" i="11"/>
  <c r="AP41" i="11"/>
  <c r="AT41" i="11"/>
  <c r="AV30" i="11"/>
  <c r="AG12" i="8"/>
  <c r="AM4" i="3"/>
  <c r="AL47" i="3"/>
  <c r="AO65" i="5"/>
  <c r="AQ4" i="5"/>
  <c r="AP76" i="3"/>
  <c r="AK4" i="3"/>
  <c r="AH63" i="3"/>
  <c r="AL61" i="5"/>
  <c r="AU61" i="5"/>
  <c r="AM61" i="5"/>
  <c r="AV65" i="5"/>
  <c r="AN65" i="5"/>
  <c r="AG4" i="5"/>
  <c r="AP4" i="5"/>
  <c r="AR11" i="8"/>
  <c r="AQ13" i="3"/>
  <c r="AH13" i="3"/>
  <c r="AE12" i="8"/>
  <c r="AI12" i="8" a="1"/>
  <c r="AU14" i="11"/>
  <c r="AL10" i="3"/>
  <c r="AL4" i="3"/>
  <c r="AQ21" i="3"/>
  <c r="AJ21" i="3"/>
  <c r="AR27" i="3"/>
  <c r="AH76" i="3"/>
  <c r="AJ4" i="3"/>
  <c r="AI21" i="3"/>
  <c r="AS24" i="3"/>
  <c r="AQ27" i="3"/>
  <c r="AQ30" i="3"/>
  <c r="AT33" i="3"/>
  <c r="AU37" i="3"/>
  <c r="AG76" i="3"/>
  <c r="AV50" i="3"/>
  <c r="AJ47" i="3"/>
  <c r="AL65" i="5"/>
  <c r="AU65" i="5"/>
  <c r="AM65" i="5"/>
  <c r="AO4" i="5"/>
  <c r="AN14" i="11"/>
  <c r="AR50" i="3"/>
  <c r="AO31" i="3"/>
  <c r="AH32" i="3"/>
  <c r="AN13" i="3"/>
  <c r="AR14" i="11"/>
  <c r="AL37" i="3"/>
  <c r="AK5" i="3"/>
  <c r="AH10" i="3"/>
  <c r="AL30" i="3"/>
  <c r="AK37" i="3"/>
  <c r="AQ46" i="3"/>
  <c r="AP73" i="3"/>
  <c r="AP81" i="3"/>
  <c r="AQ50" i="3"/>
  <c r="AG67" i="3"/>
  <c r="AH47" i="3"/>
  <c r="AJ65" i="5"/>
  <c r="AS65" i="5"/>
  <c r="AL4" i="5"/>
  <c r="AU4" i="5"/>
  <c r="AM4" i="5"/>
  <c r="AV13" i="3"/>
  <c r="AM13" i="3"/>
  <c r="AJ14" i="11"/>
  <c r="AO14" i="11"/>
  <c r="AP14" i="11"/>
  <c r="AQ14" i="11"/>
  <c r="AP22" i="3"/>
  <c r="AH25" i="3"/>
  <c r="AH34" i="3"/>
  <c r="AJ37" i="3"/>
  <c r="AP46" i="3"/>
  <c r="AO73" i="3"/>
  <c r="AG81" i="3"/>
  <c r="AI50" i="3"/>
  <c r="AG47" i="3"/>
  <c r="AI65" i="5"/>
  <c r="AR65" i="5"/>
  <c r="AU13" i="3"/>
  <c r="AL13" i="3"/>
  <c r="AS14" i="11"/>
  <c r="AU4" i="3"/>
  <c r="AT4" i="3"/>
  <c r="AG11" i="3"/>
  <c r="AH18" i="3"/>
  <c r="AG25" i="3"/>
  <c r="AI37" i="3"/>
  <c r="AI46" i="3"/>
  <c r="AN73" i="3"/>
  <c r="AH50" i="3"/>
  <c r="AP59" i="3"/>
  <c r="AP61" i="5"/>
  <c r="AH65" i="5"/>
  <c r="AQ65" i="5"/>
  <c r="AS4" i="5"/>
  <c r="AJ11" i="8"/>
  <c r="AT13" i="3"/>
  <c r="AK13" i="3"/>
  <c r="AL14" i="11"/>
  <c r="AG50" i="3"/>
  <c r="AM47" i="3"/>
  <c r="AS13" i="3"/>
  <c r="AJ13" i="3"/>
  <c r="AT14" i="11"/>
  <c r="AG44" i="11"/>
  <c r="AO44" i="11"/>
  <c r="AH44" i="11"/>
  <c r="AP44" i="11"/>
  <c r="AI44" i="11"/>
  <c r="AQ44" i="11"/>
  <c r="AJ44" i="11"/>
  <c r="AR44" i="11"/>
  <c r="AK44" i="11"/>
  <c r="AS44" i="11"/>
  <c r="AL44" i="11"/>
  <c r="AT44" i="11"/>
  <c r="AM44" i="11"/>
  <c r="AU44" i="11"/>
  <c r="AN44" i="11"/>
  <c r="AV44" i="11"/>
  <c r="AO13" i="3"/>
  <c r="AN11" i="8"/>
  <c r="AL11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9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3" i="3"/>
  <c r="AP29" i="3"/>
  <c r="AP50" i="3"/>
  <c r="AO32" i="3"/>
  <c r="AV6" i="3"/>
  <c r="AP34" i="3"/>
  <c r="AN29" i="3"/>
  <c r="AO50" i="3"/>
  <c r="AR63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3" i="3"/>
  <c r="AR76" i="3"/>
  <c r="AJ29" i="3"/>
  <c r="AN50" i="3"/>
  <c r="AQ63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3" i="3"/>
  <c r="AQ76" i="3"/>
  <c r="AI29" i="3"/>
  <c r="AJ50" i="3"/>
  <c r="AP63" i="3"/>
  <c r="AI32" i="3"/>
  <c r="AS47" i="3"/>
  <c r="AN64" i="3"/>
  <c r="AV31" i="3"/>
  <c r="AN31" i="3"/>
  <c r="AN81" i="3"/>
  <c r="AV82" i="3"/>
  <c r="AM82" i="3"/>
  <c r="AV59" i="3"/>
  <c r="AN59" i="3"/>
  <c r="AV64" i="3"/>
  <c r="AM64" i="3"/>
  <c r="AU31" i="3"/>
  <c r="AM31" i="3"/>
  <c r="AP64" i="3"/>
  <c r="AQ35" i="3"/>
  <c r="AO81" i="3"/>
  <c r="AN23" i="3"/>
  <c r="AO27" i="3"/>
  <c r="AM35" i="3"/>
  <c r="AN51" i="3"/>
  <c r="AV52" i="3"/>
  <c r="AM52" i="3"/>
  <c r="AO76" i="3"/>
  <c r="AV81" i="3"/>
  <c r="AL81" i="3"/>
  <c r="AU82" i="3"/>
  <c r="AL82" i="3"/>
  <c r="AO29" i="3"/>
  <c r="AG29" i="3"/>
  <c r="AL67" i="3"/>
  <c r="AU59" i="3"/>
  <c r="AM59" i="3"/>
  <c r="AN63" i="3"/>
  <c r="AU64" i="3"/>
  <c r="AL64" i="3"/>
  <c r="AT31" i="3"/>
  <c r="AL31" i="3"/>
  <c r="AR47" i="3"/>
  <c r="AP82" i="3"/>
  <c r="AQ23" i="3"/>
  <c r="AP52" i="3"/>
  <c r="AV67" i="3"/>
  <c r="AO59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9" i="3"/>
  <c r="AN76" i="3"/>
  <c r="AT81" i="3"/>
  <c r="AK81" i="3"/>
  <c r="AT82" i="3"/>
  <c r="AK82" i="3"/>
  <c r="AT59" i="3"/>
  <c r="AL59" i="3"/>
  <c r="AO71" i="3"/>
  <c r="AV63" i="3"/>
  <c r="AM63" i="3"/>
  <c r="AT64" i="3"/>
  <c r="AK64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9" i="3"/>
  <c r="AK76" i="3"/>
  <c r="AS81" i="3"/>
  <c r="AJ81" i="3"/>
  <c r="AS82" i="3"/>
  <c r="AJ82" i="3"/>
  <c r="AU29" i="3"/>
  <c r="AM29" i="3"/>
  <c r="AU50" i="3"/>
  <c r="AM50" i="3"/>
  <c r="AR67" i="3"/>
  <c r="AJ67" i="3"/>
  <c r="AS59" i="3"/>
  <c r="AK59" i="3"/>
  <c r="AG71" i="3"/>
  <c r="AU63" i="3"/>
  <c r="AL63" i="3"/>
  <c r="AS64" i="3"/>
  <c r="AJ64" i="3"/>
  <c r="AR31" i="3"/>
  <c r="AJ31" i="3"/>
  <c r="AU32" i="3"/>
  <c r="AM32" i="3"/>
  <c r="AP47" i="3"/>
  <c r="AN82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9" i="3"/>
  <c r="AV76" i="3"/>
  <c r="AJ76" i="3"/>
  <c r="AR81" i="3"/>
  <c r="AI81" i="3"/>
  <c r="AR82" i="3"/>
  <c r="AI82" i="3"/>
  <c r="AT29" i="3"/>
  <c r="AL29" i="3"/>
  <c r="AT50" i="3"/>
  <c r="AL50" i="3"/>
  <c r="AQ67" i="3"/>
  <c r="AI67" i="3"/>
  <c r="AR59" i="3"/>
  <c r="AJ59" i="3"/>
  <c r="AT63" i="3"/>
  <c r="AK63" i="3"/>
  <c r="AR64" i="3"/>
  <c r="AI64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6" i="3"/>
  <c r="AI76" i="3"/>
  <c r="AQ81" i="3"/>
  <c r="AH81" i="3"/>
  <c r="AQ82" i="3"/>
  <c r="AH82" i="3"/>
  <c r="AS29" i="3"/>
  <c r="AS50" i="3"/>
  <c r="AQ59" i="3"/>
  <c r="AI59" i="3"/>
  <c r="AS63" i="3"/>
  <c r="AJ63" i="3"/>
  <c r="AQ64" i="3"/>
  <c r="AH64" i="3"/>
  <c r="AP31" i="3"/>
  <c r="AS32" i="3"/>
  <c r="AV47" i="3"/>
  <c r="AN83" i="3"/>
  <c r="AT83" i="3"/>
  <c r="AL83" i="3"/>
  <c r="AO83" i="3"/>
  <c r="AS83" i="3"/>
  <c r="AK83" i="3"/>
  <c r="AR83" i="3"/>
  <c r="AJ83" i="3"/>
  <c r="AV83" i="3"/>
  <c r="AG83" i="3"/>
  <c r="AM83" i="3"/>
  <c r="AQ83" i="3"/>
  <c r="AI83" i="3"/>
  <c r="AU83" i="3"/>
  <c r="AP83" i="3"/>
  <c r="AO64" i="3"/>
  <c r="AO63" i="3"/>
  <c r="AR71" i="3"/>
  <c r="AJ71" i="3"/>
  <c r="AT71" i="3"/>
  <c r="AK71" i="3"/>
  <c r="AQ71" i="3"/>
  <c r="AI71" i="3"/>
  <c r="AN71" i="3"/>
  <c r="AU71" i="3"/>
  <c r="AM71" i="3"/>
  <c r="AL71" i="3"/>
  <c r="AS71" i="3"/>
  <c r="AP71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2" i="3"/>
  <c r="AT62" i="3"/>
  <c r="AU62" i="3"/>
  <c r="AL62" i="3"/>
  <c r="AK62" i="3"/>
  <c r="AR62" i="3"/>
  <c r="AQ62" i="3"/>
  <c r="AI62" i="3"/>
  <c r="AN62" i="3"/>
  <c r="AJ62" i="3"/>
  <c r="AP62" i="3"/>
  <c r="AH62" i="3"/>
  <c r="AS62" i="3"/>
  <c r="AV62" i="3"/>
  <c r="AO62" i="3"/>
  <c r="AN61" i="3"/>
  <c r="AM61" i="3"/>
  <c r="AT61" i="3"/>
  <c r="AK61" i="3"/>
  <c r="AJ61" i="3"/>
  <c r="AQ61" i="3"/>
  <c r="AI61" i="3"/>
  <c r="AU61" i="3"/>
  <c r="AP61" i="3"/>
  <c r="AH61" i="3"/>
  <c r="AL61" i="3"/>
  <c r="AS61" i="3"/>
  <c r="AR61" i="3"/>
  <c r="AV61" i="3"/>
  <c r="AO61" i="3"/>
  <c r="AM60" i="3"/>
  <c r="AS60" i="3"/>
  <c r="AN60" i="3"/>
  <c r="AK60" i="3"/>
  <c r="AR60" i="3"/>
  <c r="AJ60" i="3"/>
  <c r="AQ60" i="3"/>
  <c r="AI60" i="3"/>
  <c r="AL60" i="3"/>
  <c r="AP60" i="3"/>
  <c r="AH60" i="3"/>
  <c r="AU60" i="3"/>
  <c r="AT60" i="3"/>
  <c r="AV60" i="3"/>
  <c r="AO60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8" i="3"/>
  <c r="AP68" i="3"/>
  <c r="AI68" i="3"/>
  <c r="AQ68" i="3"/>
  <c r="AJ68" i="3"/>
  <c r="AR68" i="3"/>
  <c r="AK68" i="3"/>
  <c r="AS68" i="3"/>
  <c r="AL68" i="3"/>
  <c r="AT68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8" i="3"/>
  <c r="AH70" i="3"/>
  <c r="AP70" i="3"/>
  <c r="AI70" i="3"/>
  <c r="AQ70" i="3"/>
  <c r="AJ70" i="3"/>
  <c r="AR70" i="3"/>
  <c r="AK70" i="3"/>
  <c r="AS70" i="3"/>
  <c r="AL70" i="3"/>
  <c r="AT70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9" i="3"/>
  <c r="AH69" i="3"/>
  <c r="AQ69" i="3"/>
  <c r="AI69" i="3"/>
  <c r="AR69" i="3"/>
  <c r="AJ69" i="3"/>
  <c r="AS69" i="3"/>
  <c r="AK69" i="3"/>
  <c r="AT69" i="3"/>
  <c r="AL69" i="3"/>
  <c r="AU69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8" i="3"/>
  <c r="AN5" i="3"/>
  <c r="AV41" i="3"/>
  <c r="AP42" i="3"/>
  <c r="AN55" i="3"/>
  <c r="AM68" i="3"/>
  <c r="AV70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8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8" i="3"/>
  <c r="AU70" i="3"/>
  <c r="AN26" i="3"/>
  <c r="AP4" i="3"/>
  <c r="AH4" i="3"/>
  <c r="AU21" i="3"/>
  <c r="AM21" i="3"/>
  <c r="AO23" i="3"/>
  <c r="AG23" i="3"/>
  <c r="AU26" i="3"/>
  <c r="AM26" i="3"/>
  <c r="AO28" i="3"/>
  <c r="AG28" i="3"/>
  <c r="AS73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3" i="3"/>
  <c r="AU76" i="3"/>
  <c r="AM76" i="3"/>
  <c r="AO82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6" i="3"/>
  <c r="AU81" i="3"/>
  <c r="AO69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U35" i="3"/>
  <c r="AB35" i="3"/>
  <c r="T35" i="3"/>
  <c r="AC35" i="3"/>
  <c r="Z35" i="3"/>
  <c r="V35" i="3"/>
  <c r="AE35" i="3"/>
  <c r="Q35" i="3"/>
  <c r="AD35" i="3"/>
  <c r="Y35" i="3"/>
  <c r="S35" i="3"/>
  <c r="R35" i="3"/>
  <c r="AA35" i="3"/>
  <c r="W35" i="3"/>
  <c r="AK67" i="3" l="1"/>
  <c r="AT67" i="3"/>
  <c r="AS67" i="3"/>
  <c r="AP67" i="3"/>
  <c r="AN67" i="3"/>
  <c r="AM67" i="3"/>
  <c r="AU67" i="3"/>
  <c r="AO67" i="3"/>
  <c r="AS12" i="8"/>
  <c r="AR12" i="8"/>
  <c r="AN12" i="8"/>
  <c r="AK12" i="8"/>
  <c r="D47" i="19"/>
  <c r="B47" i="19"/>
  <c r="C47" i="19"/>
  <c r="AP12" i="8"/>
  <c r="AO12" i="8"/>
  <c r="AV12" i="8"/>
  <c r="AQ12" i="8"/>
  <c r="AU12" i="8"/>
  <c r="AM12" i="8"/>
  <c r="AT12" i="8"/>
  <c r="AO11" i="8"/>
  <c r="AJ12" i="8"/>
  <c r="AI12" i="8"/>
  <c r="AG73" i="3" a="1"/>
  <c r="AG73" i="3" s="1"/>
  <c r="AL73" i="3"/>
  <c r="AF73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3" i="3"/>
  <c r="AJ73" i="3"/>
  <c r="AI73" i="3"/>
  <c r="AH73" i="3"/>
  <c r="AE73" i="3"/>
  <c r="AD73" i="3"/>
  <c r="AC73" i="3"/>
  <c r="AB73" i="3"/>
  <c r="AA73" i="3"/>
  <c r="Y73" i="3"/>
  <c r="V73" i="3"/>
  <c r="U73" i="3"/>
  <c r="Q73" i="3"/>
  <c r="J3" i="3"/>
  <c r="AG3" i="3" s="1" a="1"/>
  <c r="Z4" i="3"/>
  <c r="Z3" i="3"/>
  <c r="AE76" i="3"/>
  <c r="AD76" i="3"/>
  <c r="AC76" i="3"/>
  <c r="AB76" i="3"/>
  <c r="AA76" i="3"/>
  <c r="Z76" i="3"/>
  <c r="Y76" i="3"/>
  <c r="W76" i="3"/>
  <c r="V76" i="3"/>
  <c r="U76" i="3"/>
  <c r="T76" i="3"/>
  <c r="S76" i="3"/>
  <c r="Q76" i="3"/>
  <c r="V3" i="3"/>
  <c r="V4" i="3"/>
  <c r="V10" i="3"/>
  <c r="V11" i="3"/>
  <c r="V12" i="3"/>
  <c r="V14" i="3"/>
  <c r="V21" i="3"/>
  <c r="V22" i="3"/>
  <c r="V28" i="3"/>
  <c r="V30" i="3"/>
  <c r="V40" i="3"/>
  <c r="V55" i="3"/>
  <c r="V68" i="3"/>
  <c r="V69" i="3"/>
  <c r="V70" i="3"/>
  <c r="V81" i="3"/>
  <c r="V82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70" i="3"/>
  <c r="AE55" i="3"/>
  <c r="AE28" i="3"/>
  <c r="AE3" i="3"/>
  <c r="AE82" i="3"/>
  <c r="AE81" i="3"/>
  <c r="AE69" i="3"/>
  <c r="AE68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8" i="3"/>
  <c r="Z68" i="3"/>
  <c r="AA68" i="3"/>
  <c r="AB68" i="3"/>
  <c r="AC68" i="3"/>
  <c r="AD68" i="3"/>
  <c r="Y69" i="3"/>
  <c r="Z69" i="3"/>
  <c r="AA69" i="3"/>
  <c r="AB69" i="3"/>
  <c r="AC69" i="3"/>
  <c r="AD69" i="3"/>
  <c r="Y81" i="3"/>
  <c r="Z81" i="3"/>
  <c r="AA81" i="3"/>
  <c r="AB81" i="3"/>
  <c r="AC81" i="3"/>
  <c r="AD81" i="3"/>
  <c r="Y82" i="3"/>
  <c r="Z82" i="3"/>
  <c r="AA82" i="3"/>
  <c r="AB82" i="3"/>
  <c r="AC82" i="3"/>
  <c r="AD82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70" i="3"/>
  <c r="Z70" i="3"/>
  <c r="AA70" i="3"/>
  <c r="AB70" i="3"/>
  <c r="AC70" i="3"/>
  <c r="AD70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8" i="3"/>
  <c r="T68" i="3"/>
  <c r="U68" i="3"/>
  <c r="W68" i="3"/>
  <c r="R69" i="3"/>
  <c r="S69" i="3"/>
  <c r="T69" i="3"/>
  <c r="U69" i="3"/>
  <c r="W69" i="3"/>
  <c r="R81" i="3"/>
  <c r="S81" i="3"/>
  <c r="T81" i="3"/>
  <c r="U81" i="3"/>
  <c r="W81" i="3"/>
  <c r="R82" i="3"/>
  <c r="S82" i="3"/>
  <c r="T82" i="3"/>
  <c r="U82" i="3"/>
  <c r="W82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70" i="3"/>
  <c r="S70" i="3"/>
  <c r="T70" i="3"/>
  <c r="U70" i="3"/>
  <c r="W70" i="3"/>
  <c r="Q70" i="3"/>
  <c r="Q55" i="3"/>
  <c r="Q28" i="3"/>
  <c r="Q3" i="3"/>
  <c r="Q82" i="3"/>
  <c r="Q81" i="3"/>
  <c r="Q69" i="3"/>
  <c r="Q68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F25" i="1" s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<sst xmlns="http://schemas.openxmlformats.org/spreadsheetml/2006/main" count="949" uniqueCount="554">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</sst>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800]dddd\,\ mmmm\ dd\,\ yyyy"/>
    <numFmt numFmtId="166" formatCode="0.000"/>
    <numFmt numFmtId="167" formatCode="[$-F400]h:mm:ss\ AM/PM"/>
  </numFmts>
  <fonts count="1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10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167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3"/>
  <sheetViews>
    <sheetView topLeftCell="N63" zoomScale="190" zoomScaleNormal="190" workbookViewId="0">
      <selection activeCell="AG75" sqref="AG75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5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W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 t="shared" si="5"/>
        <v>0</v>
      </c>
      <c r="W9" s="6" t="e">
        <f t="shared" si="5"/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 t="shared" ref="V27:AE27" si="25">_xlfn.DECIMAL("FF",G27)</f>
        <v>#NUM!</v>
      </c>
      <c r="W27" s="6" t="e">
        <f t="shared" si="25"/>
        <v>#VALUE!</v>
      </c>
      <c r="X27" s="6" t="e">
        <f t="shared" si="25"/>
        <v>#NUM!</v>
      </c>
      <c r="Y27" s="6" t="e">
        <f t="shared" si="25"/>
        <v>#VALUE!</v>
      </c>
      <c r="Z27" s="6" t="e">
        <f t="shared" si="25"/>
        <v>#N/A</v>
      </c>
      <c r="AA27" s="6" t="e">
        <f t="shared" si="25"/>
        <v>#DIV/0!</v>
      </c>
      <c r="AB27" s="6" t="e">
        <f t="shared" si="25"/>
        <v>#NAME?</v>
      </c>
      <c r="AC27" s="6" t="e">
        <f t="shared" si="25"/>
        <v>#NULL!</v>
      </c>
      <c r="AD27" s="6" t="e">
        <f t="shared" si="25"/>
        <v>#NUM!</v>
      </c>
      <c r="AE27" s="6" t="e">
        <f t="shared" si="25"/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26">DEGREES(B28)</f>
        <v>0</v>
      </c>
      <c r="R28" s="6">
        <f t="shared" si="26"/>
        <v>57.295779513082323</v>
      </c>
      <c r="S28" s="6">
        <f t="shared" si="26"/>
        <v>131.78029288008932</v>
      </c>
      <c r="T28" s="6">
        <f t="shared" si="26"/>
        <v>572.95779513082323</v>
      </c>
      <c r="U28" s="6">
        <f t="shared" si="26"/>
        <v>-57.295779513082323</v>
      </c>
      <c r="V28" s="6">
        <f t="shared" si="26"/>
        <v>0</v>
      </c>
      <c r="W28" s="6" t="e">
        <f t="shared" si="26"/>
        <v>#VALUE!</v>
      </c>
      <c r="X28" s="6">
        <f t="shared" si="26"/>
        <v>57.295779513082323</v>
      </c>
      <c r="Y28" s="6" t="e">
        <f t="shared" si="26"/>
        <v>#VALUE!</v>
      </c>
      <c r="Z28" s="6" t="e">
        <f t="shared" si="26"/>
        <v>#N/A</v>
      </c>
      <c r="AA28" s="6" t="e">
        <f t="shared" si="26"/>
        <v>#DIV/0!</v>
      </c>
      <c r="AB28" s="6" t="e">
        <f t="shared" si="26"/>
        <v>#NAME?</v>
      </c>
      <c r="AC28" s="6" t="e">
        <f t="shared" si="26"/>
        <v>#NULL!</v>
      </c>
      <c r="AD28" s="6" t="e">
        <f t="shared" si="26"/>
        <v>#NUM!</v>
      </c>
      <c r="AE28" s="6" t="e">
        <f t="shared" si="26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27">EVEN(C29)</f>
        <v>2</v>
      </c>
      <c r="S29" s="6">
        <f t="shared" si="27"/>
        <v>4</v>
      </c>
      <c r="T29" s="6">
        <f t="shared" si="27"/>
        <v>-2</v>
      </c>
      <c r="U29" s="6">
        <f t="shared" si="27"/>
        <v>-2</v>
      </c>
      <c r="V29" s="6">
        <f t="shared" si="27"/>
        <v>0</v>
      </c>
      <c r="W29" s="6" t="e">
        <f t="shared" si="27"/>
        <v>#VALUE!</v>
      </c>
      <c r="X29" s="6">
        <f t="shared" si="27"/>
        <v>2</v>
      </c>
      <c r="Y29" s="6" t="e">
        <f t="shared" si="27"/>
        <v>#VALUE!</v>
      </c>
      <c r="Z29" s="6" t="e">
        <f t="shared" si="27"/>
        <v>#N/A</v>
      </c>
      <c r="AA29" s="6" t="e">
        <f t="shared" si="27"/>
        <v>#DIV/0!</v>
      </c>
      <c r="AB29" s="6" t="e">
        <f t="shared" si="27"/>
        <v>#NAME?</v>
      </c>
      <c r="AC29" s="6" t="e">
        <f t="shared" si="27"/>
        <v>#NULL!</v>
      </c>
      <c r="AD29" s="6" t="e">
        <f t="shared" si="27"/>
        <v>#NUM!</v>
      </c>
      <c r="AE29" s="6" t="e">
        <f t="shared" si="27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28">EXP(B30)</f>
        <v>1</v>
      </c>
      <c r="R30" s="6">
        <f t="shared" si="28"/>
        <v>2.7182818284590451</v>
      </c>
      <c r="S30" s="6">
        <f t="shared" si="28"/>
        <v>9.9741824548147182</v>
      </c>
      <c r="T30" s="6">
        <f t="shared" si="28"/>
        <v>22026.465794806718</v>
      </c>
      <c r="U30" s="6">
        <f t="shared" si="28"/>
        <v>0.36787944117144233</v>
      </c>
      <c r="V30" s="6">
        <f t="shared" si="28"/>
        <v>1</v>
      </c>
      <c r="W30" s="6" t="e">
        <f t="shared" si="28"/>
        <v>#VALUE!</v>
      </c>
      <c r="X30" s="6">
        <f t="shared" si="28"/>
        <v>2.7182818284590451</v>
      </c>
      <c r="Y30" s="6" t="e">
        <f t="shared" si="28"/>
        <v>#VALUE!</v>
      </c>
      <c r="Z30" s="6" t="e">
        <f t="shared" si="28"/>
        <v>#N/A</v>
      </c>
      <c r="AA30" s="6" t="e">
        <f t="shared" si="28"/>
        <v>#DIV/0!</v>
      </c>
      <c r="AB30" s="6" t="e">
        <f t="shared" si="28"/>
        <v>#NAME?</v>
      </c>
      <c r="AC30" s="6" t="e">
        <f t="shared" si="28"/>
        <v>#NULL!</v>
      </c>
      <c r="AD30" s="6" t="e">
        <f t="shared" si="28"/>
        <v>#NUM!</v>
      </c>
      <c r="AE30" s="6" t="e">
        <f t="shared" si="28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29">FACT(C31)</f>
        <v>1</v>
      </c>
      <c r="S31" s="6">
        <f t="shared" si="29"/>
        <v>2</v>
      </c>
      <c r="T31" s="6">
        <f t="shared" si="29"/>
        <v>120</v>
      </c>
      <c r="U31" s="6" t="e">
        <f>FACT(F31)</f>
        <v>#NUM!</v>
      </c>
      <c r="V31" s="6">
        <f t="shared" si="29"/>
        <v>1</v>
      </c>
      <c r="W31" s="6" t="e">
        <f t="shared" si="29"/>
        <v>#VALUE!</v>
      </c>
      <c r="X31" s="6">
        <f t="shared" si="29"/>
        <v>1</v>
      </c>
      <c r="Y31" s="6" t="e">
        <f t="shared" si="29"/>
        <v>#VALUE!</v>
      </c>
      <c r="Z31" s="6" t="e">
        <f t="shared" si="29"/>
        <v>#N/A</v>
      </c>
      <c r="AA31" s="6" t="e">
        <f t="shared" si="29"/>
        <v>#DIV/0!</v>
      </c>
      <c r="AB31" s="6" t="e">
        <f t="shared" si="29"/>
        <v>#NAME?</v>
      </c>
      <c r="AC31" s="6" t="e">
        <f t="shared" si="29"/>
        <v>#NULL!</v>
      </c>
      <c r="AD31" s="6" t="e">
        <f t="shared" si="29"/>
        <v>#NUM!</v>
      </c>
      <c r="AE31" s="6" t="e">
        <f t="shared" si="29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0">FACTDOUBLE(I32)</f>
        <v>#VALUE!</v>
      </c>
      <c r="Y32" s="6" t="e">
        <f t="shared" si="30"/>
        <v>#VALUE!</v>
      </c>
      <c r="Z32" s="6" t="e">
        <f t="shared" si="30"/>
        <v>#N/A</v>
      </c>
      <c r="AA32" s="6" t="e">
        <f t="shared" si="30"/>
        <v>#DIV/0!</v>
      </c>
      <c r="AB32" s="6" t="e">
        <f t="shared" si="30"/>
        <v>#NAME?</v>
      </c>
      <c r="AC32" s="6" t="e">
        <f t="shared" si="30"/>
        <v>#NULL!</v>
      </c>
      <c r="AD32" s="6" t="e">
        <f t="shared" si="30"/>
        <v>#NUM!</v>
      </c>
      <c r="AE32" s="6" t="e">
        <f t="shared" si="30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 t="shared" ref="Y33:AE33" si="31">FLOOR(2.3,J33)</f>
        <v>#VALUE!</v>
      </c>
      <c r="Z33" s="6" t="e">
        <f t="shared" si="31"/>
        <v>#N/A</v>
      </c>
      <c r="AA33" s="6" t="e">
        <f t="shared" si="31"/>
        <v>#DIV/0!</v>
      </c>
      <c r="AB33" s="6" t="e">
        <f t="shared" si="31"/>
        <v>#NAME?</v>
      </c>
      <c r="AC33" s="6" t="e">
        <f t="shared" si="31"/>
        <v>#NULL!</v>
      </c>
      <c r="AD33" s="6" t="e">
        <f t="shared" si="31"/>
        <v>#NUM!</v>
      </c>
      <c r="AE33" s="6" t="e">
        <f t="shared" si="31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2">_xlfn.FLOOR.MATH(K34)</f>
        <v>#N/A</v>
      </c>
      <c r="AA34" s="6" t="e">
        <f t="shared" si="32"/>
        <v>#DIV/0!</v>
      </c>
      <c r="AB34" s="6" t="e">
        <f t="shared" si="32"/>
        <v>#NAME?</v>
      </c>
      <c r="AC34" s="6" t="e">
        <f t="shared" si="32"/>
        <v>#NULL!</v>
      </c>
      <c r="AD34" s="6" t="e">
        <f t="shared" si="32"/>
        <v>#NUM!</v>
      </c>
      <c r="AE34" s="6" t="e">
        <f t="shared" si="32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3">_xlfn.FLOOR.PRECISE(K35)</f>
        <v>#N/A</v>
      </c>
      <c r="AA35" s="6" t="e">
        <f t="shared" si="33"/>
        <v>#DIV/0!</v>
      </c>
      <c r="AB35" s="6" t="e">
        <f t="shared" si="33"/>
        <v>#NAME?</v>
      </c>
      <c r="AC35" s="6" t="e">
        <f t="shared" si="33"/>
        <v>#NULL!</v>
      </c>
      <c r="AD35" s="6" t="e">
        <f t="shared" si="33"/>
        <v>#NUM!</v>
      </c>
      <c r="AE35" s="6" t="e">
        <f t="shared" si="33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4">GCD(H36)</f>
        <v>#VALUE!</v>
      </c>
      <c r="X36" s="6" t="e">
        <f>GCD(F36,I36)</f>
        <v>#VALUE!</v>
      </c>
      <c r="Y36" s="6" t="e">
        <f t="shared" si="34"/>
        <v>#VALUE!</v>
      </c>
      <c r="Z36" s="6" t="e">
        <f t="shared" si="34"/>
        <v>#N/A</v>
      </c>
      <c r="AA36" s="6" t="e">
        <f t="shared" si="34"/>
        <v>#DIV/0!</v>
      </c>
      <c r="AB36" s="6" t="e">
        <f t="shared" si="34"/>
        <v>#NAME?</v>
      </c>
      <c r="AC36" s="6" t="e">
        <f t="shared" si="34"/>
        <v>#NULL!</v>
      </c>
      <c r="AD36" s="6" t="e">
        <f t="shared" si="34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>GCD(O36:AB36,P36:AC36)</f>
        <v>#NUM!</v>
      </c>
      <c r="AU36" s="6" t="e">
        <f>GCD(P36:AC36,Q36:AD36)</f>
        <v>#REF!</v>
      </c>
      <c r="AV36" s="4" t="e">
        <f>GCD(Q36:AD36,R36:AE36)</f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35">INT(B37)</f>
        <v>0</v>
      </c>
      <c r="R37" s="6">
        <f t="shared" si="35"/>
        <v>1</v>
      </c>
      <c r="S37" s="6">
        <f t="shared" si="35"/>
        <v>2</v>
      </c>
      <c r="T37" s="6">
        <f t="shared" si="35"/>
        <v>10</v>
      </c>
      <c r="U37" s="6">
        <f t="shared" si="35"/>
        <v>-1</v>
      </c>
      <c r="V37" s="6">
        <f t="shared" si="35"/>
        <v>0</v>
      </c>
      <c r="W37" s="6" t="e">
        <f t="shared" si="35"/>
        <v>#VALUE!</v>
      </c>
      <c r="X37" s="6">
        <f t="shared" si="35"/>
        <v>1</v>
      </c>
      <c r="Y37" s="6" t="e">
        <f t="shared" si="35"/>
        <v>#VALUE!</v>
      </c>
      <c r="Z37" s="6" t="e">
        <f t="shared" si="35"/>
        <v>#N/A</v>
      </c>
      <c r="AA37" s="6" t="e">
        <f t="shared" si="35"/>
        <v>#DIV/0!</v>
      </c>
      <c r="AB37" s="6" t="e">
        <f t="shared" si="35"/>
        <v>#NAME?</v>
      </c>
      <c r="AC37" s="6" t="e">
        <f t="shared" si="35"/>
        <v>#NULL!</v>
      </c>
      <c r="AD37" s="6" t="e">
        <f t="shared" si="35"/>
        <v>#NUM!</v>
      </c>
      <c r="AE37" s="6" t="e">
        <f t="shared" si="35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36">ISO.CEILING(2.3,J38)</f>
        <v>#VALUE!</v>
      </c>
      <c r="Z38" s="6" t="e">
        <f t="shared" si="36"/>
        <v>#N/A</v>
      </c>
      <c r="AA38" s="6" t="e">
        <f t="shared" si="36"/>
        <v>#DIV/0!</v>
      </c>
      <c r="AB38" s="6" t="e">
        <f t="shared" si="36"/>
        <v>#NAME?</v>
      </c>
      <c r="AC38" s="6" t="e">
        <f t="shared" si="36"/>
        <v>#NULL!</v>
      </c>
      <c r="AD38" s="6" t="e">
        <f t="shared" si="36"/>
        <v>#NUM!</v>
      </c>
      <c r="AE38" s="6" t="e">
        <f t="shared" si="36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37">LCM(J39)</f>
        <v>#VALUE!</v>
      </c>
      <c r="Z39" s="6" t="e">
        <f t="shared" si="37"/>
        <v>#N/A</v>
      </c>
      <c r="AA39" s="6" t="e">
        <f t="shared" si="37"/>
        <v>#DIV/0!</v>
      </c>
      <c r="AB39" s="6" t="e">
        <f t="shared" si="37"/>
        <v>#NAME?</v>
      </c>
      <c r="AC39" s="6" t="e">
        <f t="shared" si="37"/>
        <v>#NULL!</v>
      </c>
      <c r="AD39" s="6" t="e">
        <f t="shared" si="37"/>
        <v>#NUM!</v>
      </c>
      <c r="AE39" s="6" t="e">
        <f t="shared" si="37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38">LN(B40)</f>
        <v>#NUM!</v>
      </c>
      <c r="R40" s="6">
        <f t="shared" si="38"/>
        <v>0</v>
      </c>
      <c r="S40" s="6">
        <f t="shared" si="38"/>
        <v>0.83290912293510388</v>
      </c>
      <c r="T40" s="6">
        <f t="shared" si="38"/>
        <v>2.3025850929940459</v>
      </c>
      <c r="U40" s="6" t="e">
        <f t="shared" si="38"/>
        <v>#NUM!</v>
      </c>
      <c r="V40" s="6" t="e">
        <f t="shared" si="38"/>
        <v>#NUM!</v>
      </c>
      <c r="W40" s="6" t="e">
        <f t="shared" si="38"/>
        <v>#VALUE!</v>
      </c>
      <c r="X40" s="6">
        <f t="shared" si="38"/>
        <v>0</v>
      </c>
      <c r="Y40" s="6" t="e">
        <f t="shared" si="38"/>
        <v>#VALUE!</v>
      </c>
      <c r="Z40" s="6" t="e">
        <f t="shared" si="38"/>
        <v>#N/A</v>
      </c>
      <c r="AA40" s="6" t="e">
        <f t="shared" si="38"/>
        <v>#DIV/0!</v>
      </c>
      <c r="AB40" s="6" t="e">
        <f t="shared" si="38"/>
        <v>#NAME?</v>
      </c>
      <c r="AC40" s="6" t="e">
        <f t="shared" si="38"/>
        <v>#NULL!</v>
      </c>
      <c r="AD40" s="6" t="e">
        <f t="shared" si="38"/>
        <v>#NUM!</v>
      </c>
      <c r="AE40" s="6" t="e">
        <f t="shared" si="38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39">LOG(J41,3)</f>
        <v>#VALUE!</v>
      </c>
      <c r="Z41" s="6" t="e">
        <f t="shared" si="39"/>
        <v>#N/A</v>
      </c>
      <c r="AA41" s="6" t="e">
        <f t="shared" si="39"/>
        <v>#DIV/0!</v>
      </c>
      <c r="AB41" s="6" t="e">
        <f t="shared" si="39"/>
        <v>#NAME?</v>
      </c>
      <c r="AC41" s="6" t="e">
        <f t="shared" si="39"/>
        <v>#NULL!</v>
      </c>
      <c r="AD41" s="6" t="e">
        <f t="shared" si="39"/>
        <v>#NUM!</v>
      </c>
      <c r="AE41" s="6" t="e">
        <f t="shared" si="39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0">LOG10(B42)</f>
        <v>#NUM!</v>
      </c>
      <c r="R42" s="6">
        <f t="shared" si="40"/>
        <v>0</v>
      </c>
      <c r="S42" s="6">
        <f t="shared" si="40"/>
        <v>0.36172783601759284</v>
      </c>
      <c r="T42" s="6">
        <f t="shared" si="40"/>
        <v>1</v>
      </c>
      <c r="U42" s="6" t="e">
        <f t="shared" si="40"/>
        <v>#NUM!</v>
      </c>
      <c r="V42" s="6" t="e">
        <f t="shared" si="40"/>
        <v>#NUM!</v>
      </c>
      <c r="W42" s="6" t="e">
        <f t="shared" si="40"/>
        <v>#VALUE!</v>
      </c>
      <c r="X42" s="6">
        <f t="shared" si="40"/>
        <v>0</v>
      </c>
      <c r="Y42" s="6" t="e">
        <f t="shared" ref="Y42:AE42" si="41">LOG10(J42)</f>
        <v>#VALUE!</v>
      </c>
      <c r="Z42" s="6" t="e">
        <f t="shared" si="41"/>
        <v>#N/A</v>
      </c>
      <c r="AA42" s="6" t="e">
        <f t="shared" si="41"/>
        <v>#DIV/0!</v>
      </c>
      <c r="AB42" s="6" t="e">
        <f t="shared" si="41"/>
        <v>#NAME?</v>
      </c>
      <c r="AC42" s="6" t="e">
        <f t="shared" si="41"/>
        <v>#NULL!</v>
      </c>
      <c r="AD42" s="6" t="e">
        <f t="shared" si="41"/>
        <v>#NUM!</v>
      </c>
      <c r="AE42" s="6" t="e">
        <f t="shared" si="41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7" t="s">
        <v>65</v>
      </c>
      <c r="B43" s="4">
        <v>1</v>
      </c>
      <c r="C43" s="4">
        <v>1</v>
      </c>
      <c r="D43" s="4">
        <v>2.2999999999999998</v>
      </c>
      <c r="E43" s="4">
        <v>10</v>
      </c>
      <c r="F43" s="4">
        <v>-1</v>
      </c>
      <c r="G43" s="6"/>
      <c r="H43" s="6" t="s">
        <v>32</v>
      </c>
      <c r="I43" s="6" t="b">
        <v>1</v>
      </c>
      <c r="J43" s="6" t="e">
        <v>#VALUE!</v>
      </c>
      <c r="K43" s="6" t="e">
        <v>#N/A</v>
      </c>
      <c r="L43" s="8" t="e">
        <v>#DIV/0!</v>
      </c>
      <c r="M43" s="8" t="e">
        <v>#NAME?</v>
      </c>
      <c r="N43" s="8" t="e">
        <v>#NULL!</v>
      </c>
      <c r="O43" s="8" t="e">
        <v>#NUM!</v>
      </c>
      <c r="P43" s="8" t="e">
        <v>#REF!</v>
      </c>
      <c r="Q43" s="6">
        <f>MDETERM(B43:C44)</f>
        <v>0</v>
      </c>
      <c r="R43" s="6">
        <f>MDETERM(C43:D44)</f>
        <v>0</v>
      </c>
      <c r="S43" s="6">
        <f t="shared" ref="S43:AE43" si="42">MDETERM(D43:E44)</f>
        <v>0</v>
      </c>
      <c r="T43" s="6">
        <f t="shared" si="42"/>
        <v>0</v>
      </c>
      <c r="U43" s="6" t="e">
        <f t="shared" si="42"/>
        <v>#VALUE!</v>
      </c>
      <c r="V43" s="6" t="e">
        <f t="shared" si="42"/>
        <v>#VALUE!</v>
      </c>
      <c r="W43" s="6" t="e">
        <f t="shared" si="42"/>
        <v>#VALUE!</v>
      </c>
      <c r="X43" s="6" t="e">
        <f t="shared" si="42"/>
        <v>#VALUE!</v>
      </c>
      <c r="Y43" s="6" t="e">
        <f t="shared" si="42"/>
        <v>#VALUE!</v>
      </c>
      <c r="Z43" s="6" t="e">
        <f t="shared" si="42"/>
        <v>#N/A</v>
      </c>
      <c r="AA43" s="6" t="e">
        <f t="shared" si="42"/>
        <v>#DIV/0!</v>
      </c>
      <c r="AB43" s="6" t="e">
        <f t="shared" si="42"/>
        <v>#NAME?</v>
      </c>
      <c r="AC43" s="6" t="e">
        <f t="shared" si="42"/>
        <v>#NULL!</v>
      </c>
      <c r="AD43" s="6" t="e">
        <f t="shared" si="42"/>
        <v>#NUM!</v>
      </c>
      <c r="AE43" s="6" t="e">
        <f t="shared" si="42"/>
        <v>#REF!</v>
      </c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7" t="s">
        <v>66</v>
      </c>
      <c r="B44" s="4">
        <v>1</v>
      </c>
      <c r="C44" s="4">
        <v>1</v>
      </c>
      <c r="D44" s="4">
        <v>2.2999999999999998</v>
      </c>
      <c r="E44" s="4">
        <v>10</v>
      </c>
      <c r="F44" s="4">
        <v>-1</v>
      </c>
      <c r="G44" s="6"/>
      <c r="H44" s="6" t="s">
        <v>32</v>
      </c>
      <c r="I44" s="6" t="b">
        <v>1</v>
      </c>
      <c r="J44" s="6" t="e">
        <v>#VALUE!</v>
      </c>
      <c r="K44" s="6" t="e">
        <v>#N/A</v>
      </c>
      <c r="L44" s="8" t="e">
        <v>#DIV/0!</v>
      </c>
      <c r="M44" s="8" t="e">
        <v>#NAME?</v>
      </c>
      <c r="N44" s="8" t="e">
        <v>#NULL!</v>
      </c>
      <c r="O44" s="8" t="e">
        <v>#NUM!</v>
      </c>
      <c r="P44" s="8" t="e">
        <v>#REF!</v>
      </c>
      <c r="Q44" s="6">
        <f t="array" ref="Q44">MINVERSE(B44:C45)</f>
        <v>1</v>
      </c>
      <c r="R44" s="6"/>
      <c r="S44" s="6" t="e" cm="1">
        <f t="array" ref="S44">MINVERSE(D44:E45)</f>
        <v>#NUM!</v>
      </c>
      <c r="T44" s="6" t="e" cm="1">
        <f t="array" ref="T44">MINVERSE(E44:F45)</f>
        <v>#NUM!</v>
      </c>
      <c r="U44" s="6" t="e">
        <f>SUM(MINVERSE({1,1;1,1}))</f>
        <v>#NUM!</v>
      </c>
      <c r="V44" s="6" t="e" cm="1">
        <f t="array" ref="V44">MINVERSE({1,3,8,5;1,3,6,1})</f>
        <v>#VALUE!</v>
      </c>
      <c r="W44" s="6" t="e" cm="1">
        <f t="array" ref="W44">MINVERSE(E44:F45)</f>
        <v>#NUM!</v>
      </c>
      <c r="X44" s="6" t="e" cm="1">
        <f t="array" ref="X44">MINVERSE(F44:G45)</f>
        <v>#VALUE!</v>
      </c>
      <c r="Y44" s="6" t="e" cm="1">
        <f t="array" ref="Y44">MINVERSE(G44:H45)</f>
        <v>#VALUE!</v>
      </c>
      <c r="Z44" s="6" t="e" cm="1">
        <f t="array" ref="Z44">MINVERSE(H44:I45)</f>
        <v>#VALUE!</v>
      </c>
      <c r="AA44" s="6" t="e" cm="1">
        <f t="array" ref="AA44">MINVERSE(I44:J45)</f>
        <v>#VALUE!</v>
      </c>
      <c r="AB44" s="6" t="e" cm="1">
        <f t="array" ref="AB44">MINVERSE(J44:K45)</f>
        <v>#VALUE!</v>
      </c>
      <c r="AC44" s="6" t="e" cm="1">
        <f t="array" ref="AC44">MINVERSE(K44:L45)</f>
        <v>#N/A</v>
      </c>
      <c r="AD44" s="6" t="e" cm="1">
        <f t="array" ref="AD44">MINVERSE(L44:M45)</f>
        <v>#DIV/0!</v>
      </c>
      <c r="AE44" s="6" t="e" cm="1">
        <f t="array" ref="AE44">MINVERSE(M44:N45)</f>
        <v>#NAME?</v>
      </c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7" t="s">
        <v>67</v>
      </c>
      <c r="B45" s="4">
        <v>0</v>
      </c>
      <c r="C45" s="4">
        <v>1</v>
      </c>
      <c r="D45" s="4">
        <v>2.2999999999999998</v>
      </c>
      <c r="E45" s="4">
        <v>10</v>
      </c>
      <c r="F45" s="4">
        <v>-1</v>
      </c>
      <c r="G45" s="6"/>
      <c r="H45" s="6" t="s">
        <v>32</v>
      </c>
      <c r="I45" s="6" t="b">
        <v>1</v>
      </c>
      <c r="J45" s="6" t="e">
        <v>#VALUE!</v>
      </c>
      <c r="K45" s="6" t="e">
        <v>#N/A</v>
      </c>
      <c r="L45" s="8" t="e">
        <v>#DIV/0!</v>
      </c>
      <c r="M45" s="8" t="e">
        <v>#NAME?</v>
      </c>
      <c r="N45" s="8" t="e">
        <v>#NULL!</v>
      </c>
      <c r="O45" s="8" t="e">
        <v>#NUM!</v>
      </c>
      <c r="P45" s="8" t="e">
        <v>#REF!</v>
      </c>
      <c r="Q45" s="6" t="e" cm="1">
        <f t="array" ref="Q45">MMULT(B45:C46,D45:E45)</f>
        <v>#VALUE!</v>
      </c>
      <c r="R45" s="6">
        <f t="array" ref="R45">MMULT(C45:D46,E45:E46)</f>
        <v>33</v>
      </c>
      <c r="S45" s="6" cm="1">
        <f t="array" ref="S45">MMULT(D45:E45,F45:F46)</f>
        <v>-32.299999999999997</v>
      </c>
      <c r="T45" s="6" t="e" cm="1">
        <f t="array" ref="T45">MMULT(E45:F45,G45:G46)</f>
        <v>#VALUE!</v>
      </c>
      <c r="U45" s="6" t="e" cm="1">
        <f t="array" ref="U45">MMULT(F45:G45,H45:H46)</f>
        <v>#VALUE!</v>
      </c>
      <c r="V45" s="6" t="e" cm="1">
        <f t="array" ref="V45">MMULT(G45:H45,I45:I46)</f>
        <v>#VALUE!</v>
      </c>
      <c r="W45" s="6" t="e" cm="1">
        <f t="array" ref="W45">MMULT(H45:I45,J45:J46)</f>
        <v>#VALUE!</v>
      </c>
      <c r="X45" s="6" t="e" cm="1">
        <f t="array" ref="X45">MMULT(I45:J45,K45:K46)</f>
        <v>#VALUE!</v>
      </c>
      <c r="Y45" s="6" t="e" cm="1">
        <f t="array" ref="Y45">MMULT(J45:K45,L45:L46)</f>
        <v>#VALUE!</v>
      </c>
      <c r="Z45" s="6" t="e" cm="1">
        <f t="array" ref="Z45">MMULT(K45:L45,M45:M46)</f>
        <v>#N/A</v>
      </c>
      <c r="AA45" s="6" t="e" cm="1">
        <f t="array" ref="AA45">MMULT(L45:M45,N45:N46)</f>
        <v>#DIV/0!</v>
      </c>
      <c r="AB45" s="6" t="e" cm="1">
        <f t="array" ref="AB45">MMULT(M45:N45,O45:O46)</f>
        <v>#NAME?</v>
      </c>
      <c r="AC45" s="6" t="e" cm="1">
        <f t="array" ref="AC45">MMULT(N45:O45,P45:P46)</f>
        <v>#NULL!</v>
      </c>
      <c r="AD45" s="6" t="e" cm="1">
        <f t="array" ref="AD45">MMULT(O45:P45,Q45:Q46)</f>
        <v>#NUM!</v>
      </c>
      <c r="AE45" s="6" t="e" cm="1">
        <f t="array" ref="AE45">MMULT(P45:Q45,R45:R46)</f>
        <v>#REF!</v>
      </c>
      <c r="AF45" s="6" cm="1">
        <f t="array" ref="AF45">MMULT(D45:F45,F45:F47)</f>
        <v>-32.533999999999999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3">MOD(J46,K46)</f>
        <v>#VALUE!</v>
      </c>
      <c r="Z46" s="6" t="e">
        <f t="shared" si="43"/>
        <v>#N/A</v>
      </c>
      <c r="AA46" s="6" t="e">
        <f t="shared" si="43"/>
        <v>#DIV/0!</v>
      </c>
      <c r="AB46" s="6" t="e">
        <f t="shared" si="43"/>
        <v>#NAME?</v>
      </c>
      <c r="AC46" s="6" t="e">
        <f t="shared" si="43"/>
        <v>#NULL!</v>
      </c>
      <c r="AD46" s="6" t="e">
        <f t="shared" si="43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4">MROUND(K47,J47)</f>
        <v>#N/A</v>
      </c>
      <c r="AA47" s="6" t="e">
        <f t="shared" si="44"/>
        <v>#DIV/0!</v>
      </c>
      <c r="AB47" s="6" t="e">
        <f t="shared" si="44"/>
        <v>#NAME?</v>
      </c>
      <c r="AC47" s="6" t="e">
        <f t="shared" si="44"/>
        <v>#NULL!</v>
      </c>
      <c r="AD47" s="6" t="e">
        <f t="shared" si="44"/>
        <v>#NUM!</v>
      </c>
      <c r="AE47" s="6" t="e">
        <f t="shared" si="44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7" t="s">
        <v>70</v>
      </c>
      <c r="B49" s="4">
        <v>0</v>
      </c>
      <c r="C49" s="4">
        <v>2</v>
      </c>
      <c r="D49" s="4">
        <v>2.2999999999999998</v>
      </c>
      <c r="E49" s="4">
        <v>-0.2</v>
      </c>
      <c r="F49" s="4">
        <v>-2</v>
      </c>
      <c r="G49" s="6"/>
      <c r="H49" s="6" t="s">
        <v>32</v>
      </c>
      <c r="I49" s="6" t="b">
        <v>1</v>
      </c>
      <c r="J49" s="6" t="e">
        <v>#VALUE!</v>
      </c>
      <c r="K49" s="6" t="e">
        <v>#N/A</v>
      </c>
      <c r="L49" s="8" t="e">
        <v>#DIV/0!</v>
      </c>
      <c r="M49" s="8" t="e">
        <v>#NAME?</v>
      </c>
      <c r="N49" s="8" t="e">
        <v>#NULL!</v>
      </c>
      <c r="O49" s="8" t="e">
        <v>#NUM!</v>
      </c>
      <c r="P49" s="8" t="e">
        <v>#REF!</v>
      </c>
      <c r="Q49" s="6" t="e" cm="1">
        <f t="array" ref="Q49">_xlfn.MUNIT(B49)</f>
        <v>#VALUE!</v>
      </c>
      <c r="R49" s="6">
        <f t="array" ref="R49">_xlfn.MUNIT(C49)</f>
        <v>1</v>
      </c>
      <c r="S49" s="6">
        <f t="array" ref="S49">_xlfn.MUNIT(D49)</f>
        <v>1</v>
      </c>
      <c r="T49" s="6" t="e" cm="1">
        <f t="array" ref="T49">_xlfn.MUNIT(E49)</f>
        <v>#VALUE!</v>
      </c>
      <c r="U49" s="6" t="e" cm="1">
        <f t="array" ref="U49">_xlfn.MUNIT(F49)</f>
        <v>#VALUE!</v>
      </c>
      <c r="V49" s="6" t="e" cm="1">
        <f t="array" ref="V49">_xlfn.MUNIT(G49)</f>
        <v>#VALUE!</v>
      </c>
      <c r="W49" s="6" t="e" cm="1">
        <f t="array" ref="W49">_xlfn.MUNIT(H49)</f>
        <v>#VALUE!</v>
      </c>
      <c r="X49" s="6" cm="1">
        <f t="array" ref="X49">_xlfn.MUNIT(I49)</f>
        <v>1</v>
      </c>
      <c r="Y49" s="6" t="e" cm="1">
        <f t="array" ref="Y49">_xlfn.MUNIT(J49)</f>
        <v>#VALUE!</v>
      </c>
      <c r="Z49" s="6" t="e" cm="1">
        <f t="array" ref="Z49">_xlfn.MUNIT(K49)</f>
        <v>#N/A</v>
      </c>
      <c r="AA49" s="6" t="e" cm="1">
        <f t="array" ref="AA49">_xlfn.MUNIT(L49)</f>
        <v>#DIV/0!</v>
      </c>
      <c r="AB49" s="6" t="e" cm="1">
        <f t="array" ref="AB49">_xlfn.MUNIT(M49)</f>
        <v>#NAME?</v>
      </c>
      <c r="AC49" s="6" t="e" cm="1">
        <f t="array" ref="AC49">_xlfn.MUNIT(N49)</f>
        <v>#NULL!</v>
      </c>
      <c r="AD49" s="6" t="e" cm="1">
        <f t="array" ref="AD49">_xlfn.MUNIT(O49)</f>
        <v>#NUM!</v>
      </c>
      <c r="AE49" s="6" t="e" cm="1">
        <f t="array" ref="AE49">_xlfn.MUNIT(P49)</f>
        <v>#REF!</v>
      </c>
      <c r="AF49" s="9" t="e">
        <f t="array" ref="AF49">_xlfn.MUNIT(B49:P49)</f>
        <v>#VALUE!</v>
      </c>
      <c r="AG49" s="6" t="e">
        <f t="array" ref="AG49:AV49">_xlfn.MUNIT(B49:P49)</f>
        <v>#VALUE!</v>
      </c>
      <c r="AH49" s="6">
        <v>1</v>
      </c>
      <c r="AI49" s="6">
        <v>1</v>
      </c>
      <c r="AJ49" s="6" t="e">
        <v>#VALUE!</v>
      </c>
      <c r="AK49" s="6" t="e">
        <v>#VALUE!</v>
      </c>
      <c r="AL49" s="6" t="e">
        <v>#VALUE!</v>
      </c>
      <c r="AM49" s="6" t="e">
        <v>#VALUE!</v>
      </c>
      <c r="AN49" s="6">
        <v>1</v>
      </c>
      <c r="AO49" s="6" t="e">
        <v>#VALUE!</v>
      </c>
      <c r="AP49" s="6" t="e">
        <v>#N/A</v>
      </c>
      <c r="AQ49" s="6" t="e">
        <v>#DIV/0!</v>
      </c>
      <c r="AR49" s="6" t="e">
        <v>#NAME?</v>
      </c>
      <c r="AS49" s="6" t="e">
        <v>#NULL!</v>
      </c>
      <c r="AT49" s="6" t="e">
        <v>#NUM!</v>
      </c>
      <c r="AU49" s="6" t="e">
        <v>#REF!</v>
      </c>
      <c r="AV49" s="4" t="e">
        <v>#N/A</v>
      </c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45">ODD(C50)</f>
        <v>3</v>
      </c>
      <c r="S50" s="6">
        <f t="shared" si="45"/>
        <v>3</v>
      </c>
      <c r="T50" s="6">
        <f t="shared" si="45"/>
        <v>-1</v>
      </c>
      <c r="U50" s="6">
        <f t="shared" si="45"/>
        <v>-3</v>
      </c>
      <c r="V50" s="6">
        <f t="shared" si="45"/>
        <v>1</v>
      </c>
      <c r="W50" s="6" t="e">
        <f t="shared" si="45"/>
        <v>#VALUE!</v>
      </c>
      <c r="X50" s="6">
        <f t="shared" si="45"/>
        <v>1</v>
      </c>
      <c r="Y50" s="6" t="e">
        <f t="shared" si="45"/>
        <v>#VALUE!</v>
      </c>
      <c r="Z50" s="6" t="e">
        <f t="shared" si="45"/>
        <v>#N/A</v>
      </c>
      <c r="AA50" s="6" t="e">
        <f t="shared" si="45"/>
        <v>#DIV/0!</v>
      </c>
      <c r="AB50" s="6" t="e">
        <f t="shared" si="45"/>
        <v>#NAME?</v>
      </c>
      <c r="AC50" s="6" t="e">
        <f t="shared" si="45"/>
        <v>#NULL!</v>
      </c>
      <c r="AD50" s="6" t="e">
        <f t="shared" si="45"/>
        <v>#NUM!</v>
      </c>
      <c r="AE50" s="6" t="e">
        <f t="shared" si="45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6">POWER(J52,K52)</f>
        <v>#VALUE!</v>
      </c>
      <c r="Z52" s="6" t="e">
        <f t="shared" si="46"/>
        <v>#N/A</v>
      </c>
      <c r="AA52" s="6" t="e">
        <f t="shared" si="46"/>
        <v>#DIV/0!</v>
      </c>
      <c r="AB52" s="6" t="e">
        <f t="shared" si="46"/>
        <v>#NAME?</v>
      </c>
      <c r="AC52" s="6" t="e">
        <f t="shared" si="46"/>
        <v>#NULL!</v>
      </c>
      <c r="AD52" s="6" t="e">
        <f t="shared" si="46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47">RADIANS(B55)</f>
        <v>0</v>
      </c>
      <c r="R55" s="6">
        <f t="shared" si="47"/>
        <v>1.7453292519943295E-2</v>
      </c>
      <c r="S55" s="6">
        <f t="shared" si="47"/>
        <v>4.014257279586958E-2</v>
      </c>
      <c r="T55" s="6">
        <f t="shared" si="47"/>
        <v>0.17453292519943295</v>
      </c>
      <c r="U55" s="6">
        <f t="shared" si="47"/>
        <v>-1.7453292519943295E-2</v>
      </c>
      <c r="V55" s="6">
        <f t="shared" si="47"/>
        <v>0</v>
      </c>
      <c r="W55" s="6" t="e">
        <f t="shared" si="47"/>
        <v>#VALUE!</v>
      </c>
      <c r="X55" s="6">
        <f t="shared" si="47"/>
        <v>1.7453292519943295E-2</v>
      </c>
      <c r="Y55" s="6" t="e">
        <f t="shared" si="47"/>
        <v>#VALUE!</v>
      </c>
      <c r="Z55" s="6" t="e">
        <f t="shared" si="47"/>
        <v>#N/A</v>
      </c>
      <c r="AA55" s="6" t="e">
        <f t="shared" si="47"/>
        <v>#DIV/0!</v>
      </c>
      <c r="AB55" s="6" t="e">
        <f t="shared" si="47"/>
        <v>#NAME?</v>
      </c>
      <c r="AC55" s="6" t="e">
        <f t="shared" si="47"/>
        <v>#NULL!</v>
      </c>
      <c r="AD55" s="6" t="e">
        <f t="shared" si="47"/>
        <v>#NUM!</v>
      </c>
      <c r="AE55" s="6" t="e">
        <f t="shared" si="47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4" t="s">
        <v>520</v>
      </c>
      <c r="G57" s="6"/>
      <c r="H57" s="6"/>
      <c r="I57" s="6"/>
      <c r="J57" s="6"/>
      <c r="K57" s="6"/>
      <c r="L57" s="8"/>
      <c r="M57" s="8"/>
      <c r="N57" s="8"/>
      <c r="O57" s="8"/>
      <c r="P57" s="8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9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8" x14ac:dyDescent="0.15">
      <c r="A58" s="7" t="s">
        <v>76</v>
      </c>
      <c r="B58" s="4">
        <v>1</v>
      </c>
      <c r="C58" s="4">
        <v>4</v>
      </c>
      <c r="D58" s="4">
        <v>4</v>
      </c>
      <c r="E58" s="4">
        <v>-5</v>
      </c>
      <c r="F58" s="4">
        <v>-3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b">
        <f ca="1">RANDBETWEEN(B58,C58)&gt;=B58</f>
        <v>1</v>
      </c>
      <c r="R58" s="6">
        <f ca="1">RANDBETWEEN(C58,D58)</f>
        <v>4</v>
      </c>
      <c r="S58" s="6" t="e">
        <f ca="1">RANDBETWEEN(D58,E58)</f>
        <v>#NUM!</v>
      </c>
      <c r="T58" s="6" t="b">
        <f ca="1">RANDBETWEEN(E58,F58)&gt;=E58</f>
        <v>1</v>
      </c>
      <c r="U58" s="6">
        <f ca="1">RANDBETWEEN(G58,G58)</f>
        <v>0</v>
      </c>
      <c r="V58" s="6" t="e">
        <f ca="1">RANDBETWEEN(G58,H58)</f>
        <v>#VALUE!</v>
      </c>
      <c r="W58" s="6" t="e">
        <f ca="1">RANDBETWEEN(F58,I58)</f>
        <v>#VALUE!</v>
      </c>
      <c r="X58" s="6" t="e">
        <f t="shared" ref="X58:AD58" ca="1" si="48">RANDBETWEEN(I58,J58)</f>
        <v>#VALUE!</v>
      </c>
      <c r="Y58" s="6" t="e">
        <f t="shared" ca="1" si="48"/>
        <v>#N/A</v>
      </c>
      <c r="Z58" s="6" t="e">
        <f t="shared" ca="1" si="48"/>
        <v>#DIV/0!</v>
      </c>
      <c r="AA58" s="6" t="e">
        <f t="shared" ca="1" si="48"/>
        <v>#NAME?</v>
      </c>
      <c r="AB58" s="6" t="e">
        <f t="shared" ca="1" si="48"/>
        <v>#NULL!</v>
      </c>
      <c r="AC58" s="6" t="e">
        <f t="shared" ca="1" si="48"/>
        <v>#NUM!</v>
      </c>
      <c r="AD58" s="6" t="e">
        <f t="shared" ca="1" si="48"/>
        <v>#REF!</v>
      </c>
      <c r="AE58" s="6" t="e">
        <f ca="1">RANDBETWEEN(P58,O58)</f>
        <v>#NUM!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5"/>
    </row>
    <row r="59" spans="1:48" x14ac:dyDescent="0.15">
      <c r="A59" s="7" t="s">
        <v>77</v>
      </c>
      <c r="B59" s="4">
        <v>0</v>
      </c>
      <c r="C59" s="4">
        <v>1.9</v>
      </c>
      <c r="D59" s="4">
        <v>2.9</v>
      </c>
      <c r="E59" s="4">
        <v>3.9</v>
      </c>
      <c r="F59" s="4">
        <v>4.9000000000000004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 t="str">
        <f>ROMAN(999.9)</f>
        <v>CMXCIX</v>
      </c>
      <c r="R59" s="6" t="str">
        <f>ROMAN(999.9,C59)</f>
        <v>LMVLIV</v>
      </c>
      <c r="S59" s="6" t="str">
        <f t="shared" ref="S59:AE59" si="49">ROMAN(999.9,D59)</f>
        <v>XMIX</v>
      </c>
      <c r="T59" s="6" t="str">
        <f t="shared" si="49"/>
        <v>VMIV</v>
      </c>
      <c r="U59" s="6" t="str">
        <f t="shared" si="49"/>
        <v>IM</v>
      </c>
      <c r="V59" s="6" t="str">
        <f>ROMAN(999.9,G59)</f>
        <v>CMXCIX</v>
      </c>
      <c r="W59" s="6" t="e">
        <f t="shared" si="49"/>
        <v>#VALUE!</v>
      </c>
      <c r="X59" s="6" t="str">
        <f>ROMAN(999.9,I59)</f>
        <v>CMXCIX</v>
      </c>
      <c r="Y59" s="6" t="e">
        <f t="shared" si="49"/>
        <v>#VALUE!</v>
      </c>
      <c r="Z59" s="6" t="e">
        <f t="shared" si="49"/>
        <v>#N/A</v>
      </c>
      <c r="AA59" s="6" t="e">
        <f t="shared" si="49"/>
        <v>#DIV/0!</v>
      </c>
      <c r="AB59" s="6" t="e">
        <f t="shared" si="49"/>
        <v>#NAME?</v>
      </c>
      <c r="AC59" s="6" t="e">
        <f t="shared" si="49"/>
        <v>#NULL!</v>
      </c>
      <c r="AD59" s="6" t="e">
        <f t="shared" si="49"/>
        <v>#NUM!</v>
      </c>
      <c r="AE59" s="6" t="e">
        <f t="shared" si="49"/>
        <v>#REF!</v>
      </c>
      <c r="AF59" s="9"/>
      <c r="AG59" s="6" t="str">
        <f t="array" ref="AG59:AV59">ROMAN(B59:P59)</f>
        <v/>
      </c>
      <c r="AH59" s="6" t="str">
        <v>I</v>
      </c>
      <c r="AI59" s="6" t="str">
        <v>II</v>
      </c>
      <c r="AJ59" s="6" t="str">
        <v>III</v>
      </c>
      <c r="AK59" s="6" t="str">
        <v>IV</v>
      </c>
      <c r="AL59" s="6" t="str">
        <v/>
      </c>
      <c r="AM59" s="6" t="e">
        <v>#VALUE!</v>
      </c>
      <c r="AN59" s="6" t="str">
        <v>I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#REF!</v>
      </c>
      <c r="AV59" s="4" t="e">
        <v>#N/A</v>
      </c>
    </row>
    <row r="60" spans="1:48" x14ac:dyDescent="0.15">
      <c r="A60" s="7" t="s">
        <v>78</v>
      </c>
      <c r="B60" s="4">
        <v>2.5499999999999998</v>
      </c>
      <c r="C60" s="4">
        <v>-222.5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ROUND(B60,1)</f>
        <v>2.6</v>
      </c>
      <c r="R60" s="6">
        <f>ROUND(C60,-2)</f>
        <v>-200</v>
      </c>
      <c r="S60" s="6">
        <f>ROUND(D60,1)</f>
        <v>-2.6</v>
      </c>
      <c r="T60" s="6">
        <f>ROUND(E60,0)</f>
        <v>2</v>
      </c>
      <c r="U60" s="6">
        <f>ROUND(F60,1.9)</f>
        <v>0.2</v>
      </c>
      <c r="V60" s="6">
        <f>ROUND(G60,-2)</f>
        <v>0</v>
      </c>
      <c r="W60" s="6" t="e">
        <f>ROUND(H60,0)</f>
        <v>#VALUE!</v>
      </c>
      <c r="X60" s="6">
        <f>ROUND(I60,0)</f>
        <v>1</v>
      </c>
      <c r="Y60" s="6" t="e">
        <f t="shared" ref="Y60:AE60" si="50">ROUND(J60,I60)</f>
        <v>#VALUE!</v>
      </c>
      <c r="Z60" s="6" t="e">
        <f t="shared" si="50"/>
        <v>#N/A</v>
      </c>
      <c r="AA60" s="6" t="e">
        <f t="shared" si="50"/>
        <v>#DIV/0!</v>
      </c>
      <c r="AB60" s="6" t="e">
        <f t="shared" si="50"/>
        <v>#NAME?</v>
      </c>
      <c r="AC60" s="6" t="e">
        <f t="shared" si="50"/>
        <v>#NULL!</v>
      </c>
      <c r="AD60" s="6" t="e">
        <f t="shared" si="50"/>
        <v>#NUM!</v>
      </c>
      <c r="AE60" s="6" t="e">
        <f t="shared" si="50"/>
        <v>#REF!</v>
      </c>
      <c r="AF60" s="9"/>
      <c r="AG60" s="6">
        <f t="array" ref="AG60:AV60">ROUND(B60:O60,C60:P60)</f>
        <v>0</v>
      </c>
      <c r="AH60" s="6">
        <v>-200</v>
      </c>
      <c r="AI60" s="6">
        <v>-2.6</v>
      </c>
      <c r="AJ60" s="6">
        <v>2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79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ROUNDDOWN(B61,1)</f>
        <v>2.5</v>
      </c>
      <c r="R61" s="6">
        <f>ROUNDDOWN(C61,-2)</f>
        <v>-200</v>
      </c>
      <c r="S61" s="6">
        <f>ROUNDDOWN(D61,1)</f>
        <v>-2.5</v>
      </c>
      <c r="T61" s="6">
        <f>ROUNDDOWN(E61,0)</f>
        <v>1</v>
      </c>
      <c r="U61" s="6">
        <f>ROUNDDOWN(F61,1.9)</f>
        <v>0.2</v>
      </c>
      <c r="V61" s="6">
        <f>ROUNDDOWN(G61,-2)</f>
        <v>0</v>
      </c>
      <c r="W61" s="6" t="e">
        <f>ROUNDDOWN(H61,0)</f>
        <v>#VALUE!</v>
      </c>
      <c r="X61" s="6">
        <f>ROUNDDOWN(I61,0)</f>
        <v>1</v>
      </c>
      <c r="Y61" s="6" t="e">
        <f t="shared" ref="Y61:AE61" si="51">ROUNDDOWN(J61,I61)</f>
        <v>#VALUE!</v>
      </c>
      <c r="Z61" s="6" t="e">
        <f t="shared" si="51"/>
        <v>#N/A</v>
      </c>
      <c r="AA61" s="6" t="e">
        <f t="shared" si="51"/>
        <v>#DIV/0!</v>
      </c>
      <c r="AB61" s="6" t="e">
        <f t="shared" si="51"/>
        <v>#NAME?</v>
      </c>
      <c r="AC61" s="6" t="e">
        <f t="shared" si="51"/>
        <v>#NULL!</v>
      </c>
      <c r="AD61" s="6" t="e">
        <f t="shared" si="51"/>
        <v>#NUM!</v>
      </c>
      <c r="AE61" s="6" t="e">
        <f t="shared" si="51"/>
        <v>#REF!</v>
      </c>
      <c r="AF61" s="9"/>
      <c r="AG61" s="6">
        <f t="array" ref="AG61:AV61">ROUNDDOWN(B61:O61,C61:P61)</f>
        <v>0</v>
      </c>
      <c r="AH61" s="6">
        <v>-200</v>
      </c>
      <c r="AI61" s="6">
        <v>-2.5</v>
      </c>
      <c r="AJ61" s="6">
        <v>1</v>
      </c>
      <c r="AK61" s="6">
        <v>0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80</v>
      </c>
      <c r="B62" s="4">
        <v>2.5499999999999998</v>
      </c>
      <c r="C62" s="4">
        <v>-255.5</v>
      </c>
      <c r="D62" s="4">
        <v>-2.5499999999999998</v>
      </c>
      <c r="E62" s="4">
        <v>1.5</v>
      </c>
      <c r="F62" s="4">
        <v>0.23400000000000001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ROUNDUP(B62,1)</f>
        <v>2.6</v>
      </c>
      <c r="R62" s="6">
        <f>ROUNDUP(C62,-2)</f>
        <v>-300</v>
      </c>
      <c r="S62" s="6">
        <f>ROUNDUP(D62,1)</f>
        <v>-2.6</v>
      </c>
      <c r="T62" s="6">
        <f>ROUNDUP(E62,0)</f>
        <v>2</v>
      </c>
      <c r="U62" s="6">
        <f>ROUNDUP(F62,1.2)</f>
        <v>0.30000000000000004</v>
      </c>
      <c r="V62" s="6">
        <f>ROUNDUP(G62,-2)</f>
        <v>0</v>
      </c>
      <c r="W62" s="6" t="e">
        <f>ROUNDUP(H62,0)</f>
        <v>#VALUE!</v>
      </c>
      <c r="X62" s="6">
        <f>ROUNDUP(I62,0)</f>
        <v>1</v>
      </c>
      <c r="Y62" s="6" t="e">
        <f t="shared" ref="Y62:AE62" si="52">ROUNDUP(J62,I62)</f>
        <v>#VALUE!</v>
      </c>
      <c r="Z62" s="6" t="e">
        <f t="shared" si="52"/>
        <v>#N/A</v>
      </c>
      <c r="AA62" s="6" t="e">
        <f t="shared" si="52"/>
        <v>#DIV/0!</v>
      </c>
      <c r="AB62" s="6" t="e">
        <f t="shared" si="52"/>
        <v>#NAME?</v>
      </c>
      <c r="AC62" s="6" t="e">
        <f t="shared" si="52"/>
        <v>#NULL!</v>
      </c>
      <c r="AD62" s="6" t="e">
        <f t="shared" si="52"/>
        <v>#NUM!</v>
      </c>
      <c r="AE62" s="6" t="e">
        <f t="shared" si="52"/>
        <v>#REF!</v>
      </c>
      <c r="AF62" s="9"/>
      <c r="AG62" s="6">
        <f t="array" ref="AG62:AV62">ROUNDUP(B62:O62,C62:P62)</f>
        <v>9.9999999999999999E+254</v>
      </c>
      <c r="AH62" s="6">
        <v>-300</v>
      </c>
      <c r="AI62" s="6">
        <v>-2.6</v>
      </c>
      <c r="AJ62" s="6">
        <v>2</v>
      </c>
      <c r="AK62" s="6">
        <v>1</v>
      </c>
      <c r="AL62" s="6" t="e">
        <v>#VALUE!</v>
      </c>
      <c r="AM62" s="6" t="e">
        <v>#VALUE!</v>
      </c>
      <c r="AN62" s="6" t="e">
        <v>#VALUE!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#N/A</v>
      </c>
      <c r="AV62" s="4" t="e">
        <v>#N/A</v>
      </c>
    </row>
    <row r="63" spans="1:48" x14ac:dyDescent="0.15">
      <c r="A63" s="7" t="s">
        <v>81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_xlfn.SEC(B63)</f>
        <v>1</v>
      </c>
      <c r="R63" s="6">
        <f t="shared" ref="R63:AE63" si="53">_xlfn.SEC(C63)</f>
        <v>1.8508157176809255</v>
      </c>
      <c r="S63" s="6">
        <f t="shared" si="53"/>
        <v>-1.500879467460255</v>
      </c>
      <c r="T63" s="6">
        <f t="shared" si="53"/>
        <v>-1.1917935066878957</v>
      </c>
      <c r="U63" s="6">
        <f t="shared" si="53"/>
        <v>1.8508157176809255</v>
      </c>
      <c r="V63" s="6">
        <f t="shared" si="53"/>
        <v>1</v>
      </c>
      <c r="W63" s="6" t="e">
        <f t="shared" si="53"/>
        <v>#VALUE!</v>
      </c>
      <c r="X63" s="6">
        <f t="shared" si="53"/>
        <v>1.8508157176809255</v>
      </c>
      <c r="Y63" s="6" t="e">
        <f t="shared" si="53"/>
        <v>#VALUE!</v>
      </c>
      <c r="Z63" s="6" t="e">
        <f t="shared" si="53"/>
        <v>#N/A</v>
      </c>
      <c r="AA63" s="6" t="e">
        <f t="shared" si="53"/>
        <v>#DIV/0!</v>
      </c>
      <c r="AB63" s="6" t="e">
        <f t="shared" si="53"/>
        <v>#NAME?</v>
      </c>
      <c r="AC63" s="6" t="e">
        <f t="shared" si="53"/>
        <v>#NULL!</v>
      </c>
      <c r="AD63" s="6" t="e">
        <f t="shared" si="53"/>
        <v>#NUM!</v>
      </c>
      <c r="AE63" s="6" t="e">
        <f t="shared" si="53"/>
        <v>#REF!</v>
      </c>
      <c r="AF63" s="9"/>
      <c r="AG63" s="6">
        <f t="array" ref="AG63:AV63">_xlfn.SEC(B63:P63)</f>
        <v>1</v>
      </c>
      <c r="AH63" s="6">
        <v>1.8508157176809255</v>
      </c>
      <c r="AI63" s="6">
        <v>-1.500879467460255</v>
      </c>
      <c r="AJ63" s="6">
        <v>-1.1917935066878957</v>
      </c>
      <c r="AK63" s="6">
        <v>1.8508157176809255</v>
      </c>
      <c r="AL63" s="6">
        <v>1</v>
      </c>
      <c r="AM63" s="6" t="e">
        <v>#VALUE!</v>
      </c>
      <c r="AN63" s="6">
        <v>1.8508157176809255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7" t="s">
        <v>82</v>
      </c>
      <c r="B64" s="4">
        <v>0</v>
      </c>
      <c r="C64" s="4">
        <v>1</v>
      </c>
      <c r="D64" s="4">
        <v>2.2999999999999998</v>
      </c>
      <c r="E64" s="4">
        <v>10</v>
      </c>
      <c r="F64" s="4">
        <v>-1</v>
      </c>
      <c r="G64" s="6"/>
      <c r="H64" s="6" t="s">
        <v>32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_xlfn.SECH(B64)</f>
        <v>1</v>
      </c>
      <c r="R64" s="6">
        <f t="shared" ref="R64:AE64" si="54">_xlfn.SECH(C64)</f>
        <v>0.64805427366388546</v>
      </c>
      <c r="S64" s="6">
        <f t="shared" si="54"/>
        <v>0.19852217514933898</v>
      </c>
      <c r="T64" s="6">
        <f t="shared" si="54"/>
        <v>9.0799859337817237E-5</v>
      </c>
      <c r="U64" s="6">
        <f t="shared" si="54"/>
        <v>0.64805427366388546</v>
      </c>
      <c r="V64" s="6">
        <f t="shared" si="54"/>
        <v>1</v>
      </c>
      <c r="W64" s="6" t="e">
        <f t="shared" si="54"/>
        <v>#VALUE!</v>
      </c>
      <c r="X64" s="6">
        <f t="shared" si="54"/>
        <v>0.64805427366388546</v>
      </c>
      <c r="Y64" s="6" t="e">
        <f t="shared" si="54"/>
        <v>#VALUE!</v>
      </c>
      <c r="Z64" s="6" t="e">
        <f t="shared" si="54"/>
        <v>#N/A</v>
      </c>
      <c r="AA64" s="6" t="e">
        <f t="shared" si="54"/>
        <v>#DIV/0!</v>
      </c>
      <c r="AB64" s="6" t="e">
        <f t="shared" si="54"/>
        <v>#NAME?</v>
      </c>
      <c r="AC64" s="6" t="e">
        <f t="shared" si="54"/>
        <v>#NULL!</v>
      </c>
      <c r="AD64" s="6" t="e">
        <f t="shared" si="54"/>
        <v>#NUM!</v>
      </c>
      <c r="AE64" s="6" t="e">
        <f t="shared" si="54"/>
        <v>#REF!</v>
      </c>
      <c r="AF64" s="9"/>
      <c r="AG64" s="6">
        <f t="array" ref="AG64:AV64">_xlfn.SECH(B64:P64)</f>
        <v>1</v>
      </c>
      <c r="AH64" s="6">
        <v>0.64805427366388546</v>
      </c>
      <c r="AI64" s="6">
        <v>0.19852217514933898</v>
      </c>
      <c r="AJ64" s="6">
        <v>9.0799859337817237E-5</v>
      </c>
      <c r="AK64" s="6">
        <v>0.64805427366388546</v>
      </c>
      <c r="AL64" s="6">
        <v>1</v>
      </c>
      <c r="AM64" s="6" t="e">
        <v>#VALUE!</v>
      </c>
      <c r="AN64" s="6">
        <v>0.64805427366388546</v>
      </c>
      <c r="AO64" s="6" t="e">
        <v>#VALUE!</v>
      </c>
      <c r="AP64" s="6" t="e">
        <v>#N/A</v>
      </c>
      <c r="AQ64" s="6" t="e">
        <v>#DIV/0!</v>
      </c>
      <c r="AR64" s="6" t="e">
        <v>#NAME?</v>
      </c>
      <c r="AS64" s="6" t="e">
        <v>#NULL!</v>
      </c>
      <c r="AT64" s="6" t="e">
        <v>#NUM!</v>
      </c>
      <c r="AU64" s="6" t="e">
        <v>#REF!</v>
      </c>
      <c r="AV64" s="4" t="e">
        <v>#N/A</v>
      </c>
    </row>
    <row r="65" spans="1:48" x14ac:dyDescent="0.15">
      <c r="A65" s="4" t="s">
        <v>83</v>
      </c>
      <c r="G65" s="6"/>
      <c r="H65" s="6"/>
      <c r="I65" s="6"/>
      <c r="J65" s="6"/>
      <c r="K65" s="6"/>
      <c r="L65" s="8"/>
      <c r="M65" s="8"/>
      <c r="N65" s="8"/>
      <c r="O65" s="8"/>
      <c r="P65" s="8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9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8" x14ac:dyDescent="0.15">
      <c r="A66" s="4" t="s">
        <v>521</v>
      </c>
      <c r="G66" s="6"/>
      <c r="H66" s="6"/>
      <c r="I66" s="6"/>
      <c r="J66" s="6"/>
      <c r="K66" s="6"/>
      <c r="L66" s="8"/>
      <c r="M66" s="8"/>
      <c r="N66" s="8"/>
      <c r="O66" s="8"/>
      <c r="P66" s="8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9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8" x14ac:dyDescent="0.15">
      <c r="A67" s="7" t="s">
        <v>84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f>#VALUE!</f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SIGN(B67)</f>
        <v>0</v>
      </c>
      <c r="R67" s="6">
        <f t="shared" ref="R67:AE67" si="55">SIGN(C67)</f>
        <v>1</v>
      </c>
      <c r="S67" s="6">
        <f t="shared" si="55"/>
        <v>1</v>
      </c>
      <c r="T67" s="6">
        <f t="shared" si="55"/>
        <v>1</v>
      </c>
      <c r="U67" s="6">
        <f t="shared" si="55"/>
        <v>-1</v>
      </c>
      <c r="V67" s="6">
        <f t="shared" si="55"/>
        <v>0</v>
      </c>
      <c r="W67" s="6" t="e">
        <f>SIGN(H67)</f>
        <v>#VALUE!</v>
      </c>
      <c r="X67" s="6">
        <f t="shared" si="55"/>
        <v>1</v>
      </c>
      <c r="Y67" s="6" t="e">
        <f t="shared" si="55"/>
        <v>#VALUE!</v>
      </c>
      <c r="Z67" s="6" t="e">
        <f t="shared" si="55"/>
        <v>#N/A</v>
      </c>
      <c r="AA67" s="6" t="e">
        <f t="shared" si="55"/>
        <v>#DIV/0!</v>
      </c>
      <c r="AB67" s="6" t="e">
        <f t="shared" si="55"/>
        <v>#NAME?</v>
      </c>
      <c r="AC67" s="6" t="e">
        <f t="shared" si="55"/>
        <v>#NULL!</v>
      </c>
      <c r="AD67" s="6" t="e">
        <f t="shared" si="55"/>
        <v>#NUM!</v>
      </c>
      <c r="AE67" s="6" t="e">
        <f t="shared" si="55"/>
        <v>#REF!</v>
      </c>
      <c r="AF67" s="9"/>
      <c r="AG67" s="6">
        <f t="array" ref="AG67:AV67">SIGN(B67:P67)</f>
        <v>0</v>
      </c>
      <c r="AH67" s="6">
        <v>1</v>
      </c>
      <c r="AI67" s="6">
        <v>1</v>
      </c>
      <c r="AJ67" s="6">
        <v>1</v>
      </c>
      <c r="AK67" s="6">
        <v>-1</v>
      </c>
      <c r="AL67" s="6">
        <v>0</v>
      </c>
      <c r="AM67" s="6" t="e">
        <v>#VALUE!</v>
      </c>
      <c r="AN67" s="6">
        <v>1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56">SIN(B68)</f>
        <v>0</v>
      </c>
      <c r="R68" s="6">
        <f t="shared" si="56"/>
        <v>0.8414709848078965</v>
      </c>
      <c r="S68" s="6">
        <f t="shared" si="56"/>
        <v>0.74570521217672037</v>
      </c>
      <c r="T68" s="6">
        <f t="shared" si="56"/>
        <v>-0.54402111088936977</v>
      </c>
      <c r="U68" s="6">
        <f t="shared" si="56"/>
        <v>-0.8414709848078965</v>
      </c>
      <c r="V68" s="6">
        <f t="shared" si="56"/>
        <v>0</v>
      </c>
      <c r="W68" s="6" t="e">
        <f t="shared" si="56"/>
        <v>#VALUE!</v>
      </c>
      <c r="X68" s="6">
        <f t="shared" si="56"/>
        <v>0.8414709848078965</v>
      </c>
      <c r="Y68" s="6" t="e">
        <f t="shared" si="56"/>
        <v>#VALUE!</v>
      </c>
      <c r="Z68" s="6" t="e">
        <f t="shared" si="56"/>
        <v>#N/A</v>
      </c>
      <c r="AA68" s="6" t="e">
        <f t="shared" si="56"/>
        <v>#DIV/0!</v>
      </c>
      <c r="AB68" s="6" t="e">
        <f t="shared" si="56"/>
        <v>#NAME?</v>
      </c>
      <c r="AC68" s="6" t="e">
        <f t="shared" si="56"/>
        <v>#NULL!</v>
      </c>
      <c r="AD68" s="6" t="e">
        <f t="shared" si="56"/>
        <v>#NUM!</v>
      </c>
      <c r="AE68" s="6" t="e">
        <f t="shared" si="56"/>
        <v>#REF!</v>
      </c>
      <c r="AF68" s="9"/>
      <c r="AG68" s="6">
        <f t="array" ref="AG68:AV68">SIN(B68:P68)</f>
        <v>0</v>
      </c>
      <c r="AH68" s="6">
        <v>0.8414709848078965</v>
      </c>
      <c r="AI68" s="6">
        <v>0.74570521217672037</v>
      </c>
      <c r="AJ68" s="6">
        <v>-0.54402111088936977</v>
      </c>
      <c r="AK68" s="6">
        <v>-0.8414709848078965</v>
      </c>
      <c r="AL68" s="6">
        <v>0</v>
      </c>
      <c r="AM68" s="6" t="e">
        <v>#VALUE!</v>
      </c>
      <c r="AN68" s="6">
        <v>0.8414709848078965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14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 t="shared" ref="Q69:AE69" si="57">SINH(B69)</f>
        <v>0</v>
      </c>
      <c r="R69" s="6">
        <f t="shared" si="57"/>
        <v>1.1752011936438014</v>
      </c>
      <c r="S69" s="6">
        <f t="shared" si="57"/>
        <v>4.9369618055459572</v>
      </c>
      <c r="T69" s="6">
        <f t="shared" si="57"/>
        <v>11013.232874703393</v>
      </c>
      <c r="U69" s="6">
        <f t="shared" si="57"/>
        <v>-1.1752011936438014</v>
      </c>
      <c r="V69" s="6">
        <f t="shared" si="57"/>
        <v>0</v>
      </c>
      <c r="W69" s="6" t="e">
        <f t="shared" si="57"/>
        <v>#VALUE!</v>
      </c>
      <c r="X69" s="6">
        <f t="shared" si="57"/>
        <v>1.1752011936438014</v>
      </c>
      <c r="Y69" s="6" t="e">
        <f t="shared" si="57"/>
        <v>#VALUE!</v>
      </c>
      <c r="Z69" s="6" t="e">
        <f t="shared" si="57"/>
        <v>#N/A</v>
      </c>
      <c r="AA69" s="6" t="e">
        <f t="shared" si="57"/>
        <v>#DIV/0!</v>
      </c>
      <c r="AB69" s="6" t="e">
        <f t="shared" si="57"/>
        <v>#NAME?</v>
      </c>
      <c r="AC69" s="6" t="e">
        <f t="shared" si="57"/>
        <v>#NULL!</v>
      </c>
      <c r="AD69" s="6" t="e">
        <f t="shared" si="57"/>
        <v>#NUM!</v>
      </c>
      <c r="AE69" s="6" t="e">
        <f t="shared" si="57"/>
        <v>#REF!</v>
      </c>
      <c r="AF69" s="9"/>
      <c r="AG69" s="6">
        <f t="array" ref="AG69:AV69">SINH(B69:P69)</f>
        <v>0</v>
      </c>
      <c r="AH69" s="6">
        <v>1.1752011936438014</v>
      </c>
      <c r="AI69" s="6">
        <v>4.9369618055459572</v>
      </c>
      <c r="AJ69" s="6">
        <v>11013.232874703393</v>
      </c>
      <c r="AK69" s="6">
        <v>-1.1752011936438014</v>
      </c>
      <c r="AL69" s="6">
        <v>0</v>
      </c>
      <c r="AM69" s="6" t="e">
        <v>#VALUE!</v>
      </c>
      <c r="AN69" s="6">
        <v>1.1752011936438014</v>
      </c>
      <c r="AO69" s="6" t="e">
        <v>#VALUE!</v>
      </c>
      <c r="AP69" s="6" t="e">
        <v>#N/A</v>
      </c>
      <c r="AQ69" s="6" t="e">
        <v>#DIV/0!</v>
      </c>
      <c r="AR69" s="6" t="e">
        <v>#NAME?</v>
      </c>
      <c r="AS69" s="6" t="e">
        <v>#NULL!</v>
      </c>
      <c r="AT69" s="6" t="e">
        <v>#NUM!</v>
      </c>
      <c r="AU69" s="6" t="e">
        <v>#REF!</v>
      </c>
      <c r="AV69" s="4" t="e">
        <v>#N/A</v>
      </c>
    </row>
    <row r="70" spans="1:48" x14ac:dyDescent="0.15">
      <c r="A70" s="7" t="s">
        <v>24</v>
      </c>
      <c r="B70" s="4">
        <v>0</v>
      </c>
      <c r="C70" s="4">
        <v>1</v>
      </c>
      <c r="D70" s="4">
        <v>2.2999999999999998</v>
      </c>
      <c r="E70" s="4">
        <v>10</v>
      </c>
      <c r="F70" s="4">
        <v>-1</v>
      </c>
      <c r="G70" s="6"/>
      <c r="H70" s="6" t="s">
        <v>32</v>
      </c>
      <c r="I70" s="6" t="b">
        <v>1</v>
      </c>
      <c r="J70" s="6" t="e">
        <v>#VALUE!</v>
      </c>
      <c r="K70" s="6" t="e">
        <v>#N/A</v>
      </c>
      <c r="L70" s="8" t="e">
        <v>#DIV/0!</v>
      </c>
      <c r="M70" s="8" t="e">
        <v>#NAME?</v>
      </c>
      <c r="N70" s="8" t="e">
        <v>#NULL!</v>
      </c>
      <c r="O70" s="8" t="e">
        <v>#NUM!</v>
      </c>
      <c r="P70" s="8" t="e">
        <v>#REF!</v>
      </c>
      <c r="Q70" s="6">
        <f t="shared" ref="Q70:AE70" si="58">SQRT(B70)</f>
        <v>0</v>
      </c>
      <c r="R70" s="6">
        <f t="shared" si="58"/>
        <v>1</v>
      </c>
      <c r="S70" s="6">
        <f t="shared" si="58"/>
        <v>1.51657508881031</v>
      </c>
      <c r="T70" s="6">
        <f t="shared" si="58"/>
        <v>3.1622776601683795</v>
      </c>
      <c r="U70" s="6" t="e">
        <f t="shared" si="58"/>
        <v>#NUM!</v>
      </c>
      <c r="V70" s="6">
        <f t="shared" si="58"/>
        <v>0</v>
      </c>
      <c r="W70" s="6" t="e">
        <f t="shared" si="58"/>
        <v>#VALUE!</v>
      </c>
      <c r="X70" s="6">
        <f t="shared" si="58"/>
        <v>1</v>
      </c>
      <c r="Y70" s="6" t="e">
        <f t="shared" si="58"/>
        <v>#VALUE!</v>
      </c>
      <c r="Z70" s="6" t="e">
        <f t="shared" si="58"/>
        <v>#N/A</v>
      </c>
      <c r="AA70" s="6" t="e">
        <f t="shared" si="58"/>
        <v>#DIV/0!</v>
      </c>
      <c r="AB70" s="6" t="e">
        <f t="shared" si="58"/>
        <v>#NAME?</v>
      </c>
      <c r="AC70" s="6" t="e">
        <f t="shared" si="58"/>
        <v>#NULL!</v>
      </c>
      <c r="AD70" s="6" t="e">
        <f t="shared" si="58"/>
        <v>#NUM!</v>
      </c>
      <c r="AE70" s="6" t="e">
        <f t="shared" si="58"/>
        <v>#REF!</v>
      </c>
      <c r="AF70" s="9"/>
      <c r="AG70" s="6">
        <f t="array" ref="AG70:AV70">SQRT(B70:P70)</f>
        <v>0</v>
      </c>
      <c r="AH70" s="6">
        <v>1</v>
      </c>
      <c r="AI70" s="6">
        <v>1.51657508881031</v>
      </c>
      <c r="AJ70" s="6">
        <v>3.1622776601683795</v>
      </c>
      <c r="AK70" s="6" t="e">
        <v>#NUM!</v>
      </c>
      <c r="AL70" s="6">
        <v>0</v>
      </c>
      <c r="AM70" s="6" t="e">
        <v>#VALUE!</v>
      </c>
      <c r="AN70" s="6">
        <v>1</v>
      </c>
      <c r="AO70" s="6" t="e">
        <v>#VALUE!</v>
      </c>
      <c r="AP70" s="6" t="e">
        <v>#N/A</v>
      </c>
      <c r="AQ70" s="6" t="e">
        <v>#DIV/0!</v>
      </c>
      <c r="AR70" s="6" t="e">
        <v>#NAME?</v>
      </c>
      <c r="AS70" s="6" t="e">
        <v>#NULL!</v>
      </c>
      <c r="AT70" s="6" t="e">
        <v>#NUM!</v>
      </c>
      <c r="AU70" s="6" t="e">
        <v>#REF!</v>
      </c>
      <c r="AV70" s="4" t="e">
        <v>#N/A</v>
      </c>
    </row>
    <row r="71" spans="1:48" x14ac:dyDescent="0.15">
      <c r="A71" s="7" t="s">
        <v>85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SQRTPI(B71)</f>
        <v>0</v>
      </c>
      <c r="R71" s="6">
        <f t="shared" ref="R71:AE71" si="59">SQRTPI(C71)</f>
        <v>1.7724538509055159</v>
      </c>
      <c r="S71" s="6">
        <f t="shared" si="59"/>
        <v>2.6880593563492088</v>
      </c>
      <c r="T71" s="6">
        <f t="shared" si="59"/>
        <v>5.604991216397929</v>
      </c>
      <c r="U71" s="6" t="e">
        <f t="shared" si="59"/>
        <v>#NUM!</v>
      </c>
      <c r="V71" s="6">
        <f>SQRTPI(G71)</f>
        <v>0</v>
      </c>
      <c r="W71" s="6" t="e">
        <f>SQRTPI(H71)</f>
        <v>#VALUE!</v>
      </c>
      <c r="X71" s="6" t="e">
        <f>SQRTPI(I71)</f>
        <v>#VALUE!</v>
      </c>
      <c r="Y71" s="6" t="e">
        <f t="shared" si="59"/>
        <v>#VALUE!</v>
      </c>
      <c r="Z71" s="6" t="e">
        <f t="shared" si="59"/>
        <v>#N/A</v>
      </c>
      <c r="AA71" s="6" t="e">
        <f t="shared" si="59"/>
        <v>#DIV/0!</v>
      </c>
      <c r="AB71" s="6" t="e">
        <f t="shared" si="59"/>
        <v>#NAME?</v>
      </c>
      <c r="AC71" s="6" t="e">
        <f t="shared" si="59"/>
        <v>#NULL!</v>
      </c>
      <c r="AD71" s="6" t="e">
        <f t="shared" si="59"/>
        <v>#NUM!</v>
      </c>
      <c r="AE71" s="6" t="e">
        <f t="shared" si="59"/>
        <v>#REF!</v>
      </c>
      <c r="AF71" s="9"/>
      <c r="AG71" s="6" t="e">
        <f t="array" ref="AG71:AV71">SQRTPI(B71:P71)</f>
        <v>#VALUE!</v>
      </c>
      <c r="AH71" s="6" t="e">
        <v>#VALUE!</v>
      </c>
      <c r="AI71" s="6" t="e">
        <v>#VALUE!</v>
      </c>
      <c r="AJ71" s="6" t="e">
        <v>#VALUE!</v>
      </c>
      <c r="AK71" s="6" t="e">
        <v>#VALUE!</v>
      </c>
      <c r="AL71" s="6" t="e">
        <v>#VALUE!</v>
      </c>
      <c r="AM71" s="6" t="e">
        <v>#VALUE!</v>
      </c>
      <c r="AN71" s="6" t="e">
        <v>#VALUE!</v>
      </c>
      <c r="AO71" s="6" t="e">
        <v>#VALUE!</v>
      </c>
      <c r="AP71" s="6" t="e">
        <v>#VALUE!</v>
      </c>
      <c r="AQ71" s="6" t="e">
        <v>#VALUE!</v>
      </c>
      <c r="AR71" s="6" t="e">
        <v>#VALUE!</v>
      </c>
      <c r="AS71" s="6" t="e">
        <v>#VALUE!</v>
      </c>
      <c r="AT71" s="6" t="e">
        <v>#VALUE!</v>
      </c>
      <c r="AU71" s="6" t="e">
        <v>#VALUE!</v>
      </c>
      <c r="AV71" s="4" t="e">
        <v>#VALUE!</v>
      </c>
    </row>
    <row r="72" spans="1:48" x14ac:dyDescent="0.15">
      <c r="A72" s="4" t="s">
        <v>86</v>
      </c>
      <c r="G72" s="6"/>
      <c r="H72" s="6"/>
      <c r="I72" s="6"/>
      <c r="J72" s="6"/>
      <c r="K72" s="6"/>
      <c r="L72" s="8"/>
      <c r="M72" s="8"/>
      <c r="N72" s="8"/>
      <c r="O72" s="8"/>
      <c r="P72" s="8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9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7" t="s">
        <v>39</v>
      </c>
      <c r="B73" s="4">
        <v>0</v>
      </c>
      <c r="C73" s="4">
        <v>1</v>
      </c>
      <c r="D73" s="4">
        <v>2.2999999999999998</v>
      </c>
      <c r="E73" s="4">
        <v>10</v>
      </c>
      <c r="F73" s="4">
        <v>-1</v>
      </c>
      <c r="G73" s="6"/>
      <c r="H73" s="6" t="s">
        <v>32</v>
      </c>
      <c r="I73" s="6" t="b">
        <v>1</v>
      </c>
      <c r="J73" s="6" t="e">
        <v>#VALUE!</v>
      </c>
      <c r="K73" s="6" t="e">
        <v>#N/A</v>
      </c>
      <c r="L73" s="8" t="e">
        <v>#DIV/0!</v>
      </c>
      <c r="M73" s="8" t="e">
        <v>#NAME?</v>
      </c>
      <c r="N73" s="8" t="e">
        <v>#NULL!</v>
      </c>
      <c r="O73" s="8" t="e">
        <v>#NUM!</v>
      </c>
      <c r="P73" s="8" t="e">
        <v>#REF!</v>
      </c>
      <c r="Q73" s="6">
        <f>SUM(B73:C73,C73:D73,D73:E73)</f>
        <v>16.600000000000001</v>
      </c>
      <c r="R73" s="6">
        <f>SUM(C73:D73,D73:E73,E73:F73)</f>
        <v>24.6</v>
      </c>
      <c r="S73" s="6">
        <f>SUM(E73:F73,E73:F73,C73:D73)</f>
        <v>21.3</v>
      </c>
      <c r="T73" s="6">
        <f>SUM(E73:F73,B73:C73,C73:D73)</f>
        <v>13.3</v>
      </c>
      <c r="U73" s="6">
        <f>SUM(D73:F73,B73:D73,C73:E73)</f>
        <v>27.900000000000002</v>
      </c>
      <c r="V73" s="6">
        <f>SUM(E73:F73,F73:G73,D73:E73)</f>
        <v>20.3</v>
      </c>
      <c r="W73" s="6">
        <f>SUM(G73:H73,D73:E73,E73:F73)</f>
        <v>21.3</v>
      </c>
      <c r="X73" s="6">
        <f>SUM(H73:I73,E73:F73,F73:G73)</f>
        <v>8</v>
      </c>
      <c r="Y73" s="6" t="e">
        <f>SUM(J73:K73,B73:C73,C73:D73)</f>
        <v>#VALUE!</v>
      </c>
      <c r="Z73" s="6" t="e">
        <f>SUM(K73:L73,C73:D73,D73:E73)</f>
        <v>#N/A</v>
      </c>
      <c r="AA73" s="6" t="e">
        <f>SUM(L73:M73,D73:E73,E73:F73)</f>
        <v>#DIV/0!</v>
      </c>
      <c r="AB73" s="6" t="e">
        <f>SUM(M73:N73,E73:F73,F73:G73)</f>
        <v>#NAME?</v>
      </c>
      <c r="AC73" s="6" t="e">
        <f>SUM(N73:O73,F73:G73,G73:H73)</f>
        <v>#NULL!</v>
      </c>
      <c r="AD73" s="6" t="e">
        <f>SUM(O73:P73,G73:H73,H73:J73)</f>
        <v>#NUM!</v>
      </c>
      <c r="AE73" s="6" t="e">
        <f>SUM(P73:Q73,H73:J73,J73:K73)</f>
        <v>#REF!</v>
      </c>
      <c r="AF73" s="6">
        <f>SUM(C73:G73,B73:F73)</f>
        <v>24.6</v>
      </c>
      <c r="AG73" s="6">
        <f t="array" ref="AG73:AK73">SUM(C73:G73,B73:F73)</f>
        <v>24.6</v>
      </c>
      <c r="AH73" s="6">
        <v>24.6</v>
      </c>
      <c r="AI73" s="6">
        <v>24.6</v>
      </c>
      <c r="AJ73" s="6">
        <v>24.6</v>
      </c>
      <c r="AK73" s="6">
        <v>24.6</v>
      </c>
      <c r="AL73" s="6">
        <f>SUM(C73:H73,B73:G73)</f>
        <v>24.6</v>
      </c>
      <c r="AM73" s="6" t="e">
        <f t="array" ref="AM73:AV73">SUM(K73:P73,J73:O73)</f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4" t="e">
        <v>#N/A</v>
      </c>
    </row>
    <row r="74" spans="1:48" x14ac:dyDescent="0.15">
      <c r="A74" s="7" t="s">
        <v>87</v>
      </c>
      <c r="B74" s="4">
        <v>0</v>
      </c>
      <c r="C74" s="4">
        <v>1</v>
      </c>
      <c r="D74" s="4">
        <v>2.2999999999999998</v>
      </c>
      <c r="E74" s="4">
        <v>10</v>
      </c>
      <c r="F74" s="4">
        <v>-1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SUMIF(B74:C74,1,D74:E74)</f>
        <v>10</v>
      </c>
      <c r="R74" s="6">
        <f>SUMIF(C74:D74,"1",E74:F74)</f>
        <v>10</v>
      </c>
      <c r="S74" s="6">
        <f>SUMIF(D74:E74,"&gt;1",F74:G74)</f>
        <v>-1</v>
      </c>
      <c r="T74" s="6">
        <f>SUMIF(E74:F74,"&lt;&gt;-1",F74:G74)</f>
        <v>-1</v>
      </c>
      <c r="U74" s="6">
        <f>SUMIF(F74:G74,1,H74:I74)</f>
        <v>0</v>
      </c>
      <c r="V74" s="6">
        <f>SUMIF(G74:H74,G74,C74:D74)</f>
        <v>0</v>
      </c>
      <c r="W74" s="6">
        <f>SUMIF(H74:I74,H74,D74:E74)</f>
        <v>2.2999999999999998</v>
      </c>
      <c r="X74" s="6">
        <f>SUMIF(H74:I74,"&lt;=TRUE",E74:F74)</f>
        <v>-1</v>
      </c>
      <c r="Y74" s="6" t="e">
        <f>SUMIF(H74:I74,H74,J74:K74)</f>
        <v>#VALUE!</v>
      </c>
      <c r="Z74" s="6" t="e">
        <f t="shared" ref="Z74:AE74" si="60">SUMIF(I74:J74,I74,K74:L74)</f>
        <v>#N/A</v>
      </c>
      <c r="AA74" s="6" t="e">
        <f t="shared" si="60"/>
        <v>#DIV/0!</v>
      </c>
      <c r="AB74" s="6" t="e">
        <f t="shared" si="60"/>
        <v>#NAME?</v>
      </c>
      <c r="AC74" s="6" t="e">
        <f t="shared" si="60"/>
        <v>#NULL!</v>
      </c>
      <c r="AD74" s="6" t="e">
        <f t="shared" si="60"/>
        <v>#NUM!</v>
      </c>
      <c r="AE74" s="6" t="e">
        <f t="shared" si="60"/>
        <v>#REF!</v>
      </c>
      <c r="AF74" s="6">
        <f t="array" ref="AF74">SUMIF(C74:G74,{1,"&gt;3"},D74:H74)</f>
        <v>2.2999999999999998</v>
      </c>
      <c r="AG74" s="6">
        <f t="array" ref="AG74:AV74">SUMIF(E74:I74,{"*ao","","TRUE",TRUE,"*a?"},B74:F74)</f>
        <v>10</v>
      </c>
      <c r="AH74" s="6">
        <v>2.2999999999999998</v>
      </c>
      <c r="AI74" s="6">
        <v>-1</v>
      </c>
      <c r="AJ74" s="6">
        <v>-1</v>
      </c>
      <c r="AK74" s="6">
        <v>10</v>
      </c>
      <c r="AL74" s="6" t="e">
        <v>#N/A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4" t="e">
        <v>#N/A</v>
      </c>
    </row>
    <row r="75" spans="1:48" x14ac:dyDescent="0.15">
      <c r="A75" s="7" t="s">
        <v>88</v>
      </c>
      <c r="B75" s="4">
        <v>0</v>
      </c>
      <c r="C75" s="4">
        <v>1</v>
      </c>
      <c r="D75" s="4">
        <v>2.2999999999999998</v>
      </c>
      <c r="E75" s="4">
        <v>10</v>
      </c>
      <c r="F75" s="4">
        <v>-1</v>
      </c>
      <c r="G75" s="6"/>
      <c r="H75" s="6" t="s">
        <v>32</v>
      </c>
      <c r="I75" s="6" t="b">
        <v>1</v>
      </c>
      <c r="J75" s="6" t="e">
        <v>#VALUE!</v>
      </c>
      <c r="K75" s="6" t="e">
        <v>#N/A</v>
      </c>
      <c r="L75" s="8" t="e">
        <v>#DIV/0!</v>
      </c>
      <c r="M75" s="8" t="e">
        <v>#NAME?</v>
      </c>
      <c r="N75" s="8" t="e">
        <v>#NULL!</v>
      </c>
      <c r="O75" s="8" t="e">
        <v>#NUM!</v>
      </c>
      <c r="P75" s="8" t="e">
        <v>#REF!</v>
      </c>
      <c r="Q75" s="6">
        <f>SUMIFS(D75:E75, B75:C75,1,D75:E75, 2.3 )</f>
        <v>0</v>
      </c>
      <c r="R75" s="6">
        <f>SUMIFS(E75:F75, C75:D75,"1")</f>
        <v>10</v>
      </c>
      <c r="S75" s="6">
        <f>SUMIFS(F75:G75, D75:E75,"&gt;1")</f>
        <v>-1</v>
      </c>
      <c r="T75" s="6">
        <f>SUMIFS(F75:G75, E75:F75,"&lt;&gt;-1")</f>
        <v>-1</v>
      </c>
      <c r="U75" s="6">
        <f>SUMIFS(H75:I75, F75:G75,1)</f>
        <v>0</v>
      </c>
      <c r="V75" s="6">
        <f>SUMIFS(C75:D75,G75:H75,G75)</f>
        <v>0</v>
      </c>
      <c r="W75" s="6">
        <f>SUMIFS(D75:E75, H75:I75,H75)</f>
        <v>2.2999999999999998</v>
      </c>
      <c r="X75" s="6">
        <f>SUMIFS(E75:F75,H75:I75,"&lt;=TRUE")</f>
        <v>-1</v>
      </c>
      <c r="Y75" s="6" t="e">
        <f>SUMIFS(J75:K75, H75:I75,H75)</f>
        <v>#VALUE!</v>
      </c>
      <c r="Z75" s="6" t="e">
        <f t="shared" ref="Z75:AE75" si="61">SUMIFS(K75:L75, I75:J75,I75)</f>
        <v>#N/A</v>
      </c>
      <c r="AA75" s="6" t="e">
        <f t="shared" si="61"/>
        <v>#DIV/0!</v>
      </c>
      <c r="AB75" s="6" t="e">
        <f t="shared" si="61"/>
        <v>#NAME?</v>
      </c>
      <c r="AC75" s="6" t="e">
        <f t="shared" si="61"/>
        <v>#NULL!</v>
      </c>
      <c r="AD75" s="6" t="e">
        <f t="shared" si="61"/>
        <v>#NUM!</v>
      </c>
      <c r="AE75" s="6" t="e">
        <f t="shared" si="61"/>
        <v>#REF!</v>
      </c>
      <c r="AF75" s="6" t="e">
        <f t="array" ref="AF75">SUMIFS(D75:H75, C75:G75,{1,"&gt;3"}, B75:C75,{0,1})</f>
        <v>#VALUE!</v>
      </c>
      <c r="AG75" s="6">
        <f t="array" ref="AG75:AV75">SUMIFS(B75:F75, E75:I75,{"*ao","","TRUE",TRUE,"*a?"}, C75:G75, "&gt;0")</f>
        <v>0</v>
      </c>
      <c r="AH75" s="6">
        <v>2.2999999999999998</v>
      </c>
      <c r="AI75" s="6">
        <v>0</v>
      </c>
      <c r="AJ75" s="6">
        <v>0</v>
      </c>
      <c r="AK75" s="6">
        <v>0</v>
      </c>
      <c r="AL75" s="6" t="e">
        <v>#N/A</v>
      </c>
      <c r="AM75" s="6" t="e">
        <v>#N/A</v>
      </c>
      <c r="AN75" s="6" t="e">
        <v>#N/A</v>
      </c>
      <c r="AO75" s="6" t="e">
        <v>#N/A</v>
      </c>
      <c r="AP75" s="6" t="e">
        <v>#N/A</v>
      </c>
      <c r="AQ75" s="6" t="e">
        <v>#N/A</v>
      </c>
      <c r="AR75" s="6" t="e">
        <v>#N/A</v>
      </c>
      <c r="AS75" s="6" t="e">
        <v>#N/A</v>
      </c>
      <c r="AT75" s="6" t="e">
        <v>#N/A</v>
      </c>
      <c r="AU75" s="6" t="e">
        <v>#N/A</v>
      </c>
      <c r="AV75" s="4" t="e">
        <v>#N/A</v>
      </c>
    </row>
    <row r="76" spans="1:48" x14ac:dyDescent="0.15">
      <c r="A76" s="7" t="s">
        <v>25</v>
      </c>
      <c r="B76" s="4">
        <v>0</v>
      </c>
      <c r="C76" s="4">
        <v>2</v>
      </c>
      <c r="D76" s="4">
        <v>1.2</v>
      </c>
      <c r="E76" s="4">
        <v>-4</v>
      </c>
      <c r="F76" s="4">
        <v>1.3</v>
      </c>
      <c r="G76" s="6"/>
      <c r="H76" s="6" t="s">
        <v>32</v>
      </c>
      <c r="I76" s="6" t="b">
        <v>1</v>
      </c>
      <c r="J76" s="6" t="e">
        <v>#VALUE!</v>
      </c>
      <c r="K76" s="6" t="e">
        <v>#N/A</v>
      </c>
      <c r="L76" s="8" t="e">
        <v>#DIV/0!</v>
      </c>
      <c r="M76" s="8" t="e">
        <v>#NAME?</v>
      </c>
      <c r="N76" s="8" t="e">
        <v>#NULL!</v>
      </c>
      <c r="O76" s="8" t="e">
        <v>#NUM!</v>
      </c>
      <c r="P76" s="8" t="e">
        <v>#REF!</v>
      </c>
      <c r="Q76" s="6">
        <f>SUMPRODUCT(B76:C76,C76:D76,D76:E76)</f>
        <v>-9.6</v>
      </c>
      <c r="R76" s="6">
        <f>SUMPRODUCT(C76:D76,D76:E76,E76:F76)</f>
        <v>-15.84</v>
      </c>
      <c r="S76" s="6">
        <f>SUMPRODUCT(E76:F76,E76:F76,C76:D76)</f>
        <v>34.027999999999999</v>
      </c>
      <c r="T76" s="6">
        <f>SUMPRODUCT(E76:F76,B76:C76,C76:D76)</f>
        <v>3.12</v>
      </c>
      <c r="U76" s="6">
        <f>SUMPRODUCT(D76:F76,B76:D76,C76:E76)</f>
        <v>-15.84</v>
      </c>
      <c r="V76" s="6">
        <f>SUMPRODUCT(E76:F76,F76:G76,D76:E76)</f>
        <v>-6.24</v>
      </c>
      <c r="W76" s="6">
        <f>SUMPRODUCT(G76:H76,D76:E76,E76:F76)</f>
        <v>0</v>
      </c>
      <c r="X76" s="6">
        <f>SUMPRODUCT(H76:I76,E76:F76,F76:G76)</f>
        <v>0</v>
      </c>
      <c r="Y76" s="6" t="e">
        <f>SUMPRODUCT(J76:K76,B76:C76,C76:D76)</f>
        <v>#VALUE!</v>
      </c>
      <c r="Z76" s="6" t="e">
        <f>SUMPRODUCT(K76:L76,C76:D76,D76:E76)</f>
        <v>#N/A</v>
      </c>
      <c r="AA76" s="6" t="e">
        <f>SUMPRODUCT(L76:M76,D76:E76,E76:F76)</f>
        <v>#DIV/0!</v>
      </c>
      <c r="AB76" s="6" t="e">
        <f>SUMPRODUCT(M76:N76,E76:F76,F76:G76)</f>
        <v>#NAME?</v>
      </c>
      <c r="AC76" s="6" t="e">
        <f>SUMPRODUCT(N76:O76,F76:G76,G76:H76)</f>
        <v>#NULL!</v>
      </c>
      <c r="AD76" s="6" t="e">
        <f>SUMPRODUCT(O76:P76,G76:H76,H76:J76)</f>
        <v>#NUM!</v>
      </c>
      <c r="AE76" s="6" t="e">
        <f>SUMPRODUCT(P76:Q76,H76:J76,J76:K76)</f>
        <v>#REF!</v>
      </c>
      <c r="AF76" s="6">
        <f>SUMPRODUCT(C76:G76,B76:F76)</f>
        <v>-7.6</v>
      </c>
      <c r="AG76" s="6">
        <f t="array" ref="AG76:AV76">SUMPRODUCT(C76:G76,B76:F76)</f>
        <v>-7.6</v>
      </c>
      <c r="AH76" s="6">
        <v>-7.6</v>
      </c>
      <c r="AI76" s="6">
        <v>-7.6</v>
      </c>
      <c r="AJ76" s="6">
        <v>-7.6</v>
      </c>
      <c r="AK76" s="6">
        <v>-7.6</v>
      </c>
      <c r="AL76" s="6">
        <v>-7.6</v>
      </c>
      <c r="AM76" s="6">
        <v>-7.6</v>
      </c>
      <c r="AN76" s="6">
        <v>-7.6</v>
      </c>
      <c r="AO76" s="6">
        <v>-7.6</v>
      </c>
      <c r="AP76" s="6">
        <v>-7.6</v>
      </c>
      <c r="AQ76" s="6">
        <v>-7.6</v>
      </c>
      <c r="AR76" s="6">
        <v>-7.6</v>
      </c>
      <c r="AS76" s="6">
        <v>-7.6</v>
      </c>
      <c r="AT76" s="6">
        <v>-7.6</v>
      </c>
      <c r="AU76" s="6">
        <v>-7.6</v>
      </c>
      <c r="AV76" s="4">
        <v>-7.6</v>
      </c>
    </row>
    <row r="77" spans="1:48" x14ac:dyDescent="0.15">
      <c r="A77" s="7" t="s">
        <v>89</v>
      </c>
      <c r="B77" s="12">
        <v>0</v>
      </c>
      <c r="C77" s="12">
        <v>2</v>
      </c>
      <c r="D77" s="12">
        <v>1.2</v>
      </c>
      <c r="E77" s="12">
        <v>-4</v>
      </c>
      <c r="F77" s="12">
        <v>1.3</v>
      </c>
      <c r="G77" s="33"/>
      <c r="H77" s="33" t="s">
        <v>32</v>
      </c>
      <c r="I77" s="33" t="b">
        <v>1</v>
      </c>
      <c r="J77" s="33" t="e">
        <v>#VALUE!</v>
      </c>
      <c r="K77" s="33" t="e">
        <v>#N/A</v>
      </c>
      <c r="L77" s="33" t="e">
        <v>#DIV/0!</v>
      </c>
      <c r="M77" s="33" t="e">
        <v>#NAME?</v>
      </c>
      <c r="N77" s="33" t="e">
        <v>#NULL!</v>
      </c>
      <c r="O77" s="33" t="e">
        <v>#NUM!</v>
      </c>
      <c r="P77" s="33" t="e">
        <v>#REF!</v>
      </c>
      <c r="Q77" s="33">
        <f>SUMSQ(B77:C77,C77:D77,D77:E77)</f>
        <v>26.88</v>
      </c>
      <c r="R77" s="33">
        <f>SUMSQ(C77:D77,D77:E77,E77:F77)</f>
        <v>40.569999999999993</v>
      </c>
      <c r="S77" s="33">
        <f>SUMSQ(E77:F77,E77:F77,C77:D77)</f>
        <v>40.819999999999993</v>
      </c>
      <c r="T77" s="33">
        <f>SUMSQ(E77:F77,B77:C77,C77:D77)</f>
        <v>27.130000000000003</v>
      </c>
      <c r="U77" s="33">
        <f>SUMSQ(D77:F77,B77:D77,C77:E77)</f>
        <v>46.010000000000005</v>
      </c>
      <c r="V77" s="33">
        <f>SUMSQ(E77:F77,F77:G77,D77:E77)</f>
        <v>36.820000000000007</v>
      </c>
      <c r="W77" s="33">
        <f>SUMSQ(G77:H77,D77:E77,E77:F77)</f>
        <v>35.129999999999995</v>
      </c>
      <c r="X77" s="33">
        <f>SUMSQ(H77:I77,E77:F77,F77:G77)</f>
        <v>19.380000000000003</v>
      </c>
      <c r="Y77" s="33" t="e">
        <f>SUMSQ(J77:K77,B77:C77,C77:D77)</f>
        <v>#VALUE!</v>
      </c>
      <c r="Z77" s="33" t="e">
        <f>SUMSQ(K77:L77,C77:D77,D77:E77)</f>
        <v>#N/A</v>
      </c>
      <c r="AA77" s="33" t="e">
        <f>SUMSQ(L77:M77,D77:E77,E77:F77)</f>
        <v>#DIV/0!</v>
      </c>
      <c r="AB77" s="33" t="e">
        <f>SUMSQ(M77:N77,E77:F77,F77:G77)</f>
        <v>#NAME?</v>
      </c>
      <c r="AC77" s="33" t="e">
        <f>SUMSQ(N77:O77,F77:G77,G77:H77)</f>
        <v>#NULL!</v>
      </c>
      <c r="AD77" s="33" t="e">
        <f>SUMSQ(O77:P77,G77:H77,H77:J77)</f>
        <v>#NUM!</v>
      </c>
      <c r="AE77" s="33" t="e">
        <f>SUMSQ(P77:Q77,H77:J77,J77:K77)</f>
        <v>#REF!</v>
      </c>
      <c r="AF77" s="33">
        <f>SUMSQ(C77:G77,B77:F77)</f>
        <v>46.26</v>
      </c>
      <c r="AG77" s="33">
        <f t="array" ref="AG77:AV77">SUMSQ(C77:G77,B77:F77)</f>
        <v>46.26</v>
      </c>
      <c r="AH77" s="33">
        <v>46.26</v>
      </c>
      <c r="AI77" s="33">
        <v>46.26</v>
      </c>
      <c r="AJ77" s="33">
        <v>46.26</v>
      </c>
      <c r="AK77" s="33">
        <v>46.26</v>
      </c>
      <c r="AL77" s="33">
        <v>46.26</v>
      </c>
      <c r="AM77" s="33">
        <v>46.26</v>
      </c>
      <c r="AN77" s="33">
        <v>46.26</v>
      </c>
      <c r="AO77" s="33">
        <v>46.26</v>
      </c>
      <c r="AP77" s="33">
        <v>46.26</v>
      </c>
      <c r="AQ77" s="33">
        <v>46.26</v>
      </c>
      <c r="AR77" s="33">
        <v>46.26</v>
      </c>
      <c r="AS77" s="33">
        <v>46.26</v>
      </c>
      <c r="AT77" s="33">
        <v>46.26</v>
      </c>
      <c r="AU77" s="33">
        <v>46.26</v>
      </c>
      <c r="AV77" s="12">
        <v>46.26</v>
      </c>
    </row>
    <row r="78" spans="1:48" x14ac:dyDescent="0.15">
      <c r="A78" s="4" t="s">
        <v>90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4" t="s">
        <v>91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9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8" x14ac:dyDescent="0.15">
      <c r="A80" s="4" t="s">
        <v>92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9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8" x14ac:dyDescent="0.15">
      <c r="A81" s="7" t="s">
        <v>15</v>
      </c>
      <c r="B81" s="4">
        <v>0</v>
      </c>
      <c r="C81" s="4">
        <v>1</v>
      </c>
      <c r="D81" s="4">
        <v>2.2999999999999998</v>
      </c>
      <c r="E81" s="4">
        <v>10</v>
      </c>
      <c r="F81" s="4">
        <v>-1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 t="shared" ref="Q81:AE81" si="62">TAN(B81)</f>
        <v>0</v>
      </c>
      <c r="R81" s="6">
        <f t="shared" si="62"/>
        <v>1.5574077246549021</v>
      </c>
      <c r="S81" s="6">
        <f t="shared" si="62"/>
        <v>-1.1192136417341327</v>
      </c>
      <c r="T81" s="6">
        <f t="shared" si="62"/>
        <v>0.64836082745908674</v>
      </c>
      <c r="U81" s="6">
        <f t="shared" si="62"/>
        <v>-1.5574077246549021</v>
      </c>
      <c r="V81" s="6">
        <f t="shared" si="62"/>
        <v>0</v>
      </c>
      <c r="W81" s="6" t="e">
        <f t="shared" si="62"/>
        <v>#VALUE!</v>
      </c>
      <c r="X81" s="6">
        <f t="shared" si="62"/>
        <v>1.5574077246549021</v>
      </c>
      <c r="Y81" s="6" t="e">
        <f t="shared" si="62"/>
        <v>#VALUE!</v>
      </c>
      <c r="Z81" s="6" t="e">
        <f t="shared" si="62"/>
        <v>#N/A</v>
      </c>
      <c r="AA81" s="6" t="e">
        <f t="shared" si="62"/>
        <v>#DIV/0!</v>
      </c>
      <c r="AB81" s="6" t="e">
        <f t="shared" si="62"/>
        <v>#NAME?</v>
      </c>
      <c r="AC81" s="6" t="e">
        <f t="shared" si="62"/>
        <v>#NULL!</v>
      </c>
      <c r="AD81" s="6" t="e">
        <f t="shared" si="62"/>
        <v>#NUM!</v>
      </c>
      <c r="AE81" s="6" t="e">
        <f t="shared" si="62"/>
        <v>#REF!</v>
      </c>
      <c r="AF81" s="9"/>
      <c r="AG81" s="6">
        <f t="array" ref="AG81:AV81">TAN(B81:P81)</f>
        <v>0</v>
      </c>
      <c r="AH81" s="6">
        <v>1.5574077246549021</v>
      </c>
      <c r="AI81" s="6">
        <v>-1.1192136417341327</v>
      </c>
      <c r="AJ81" s="6">
        <v>0.64836082745908674</v>
      </c>
      <c r="AK81" s="6">
        <v>-1.5574077246549021</v>
      </c>
      <c r="AL81" s="6">
        <v>0</v>
      </c>
      <c r="AM81" s="6" t="e">
        <v>#VALUE!</v>
      </c>
      <c r="AN81" s="6">
        <v>1.5574077246549021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#REF!</v>
      </c>
      <c r="AV81" s="4" t="e">
        <v>#N/A</v>
      </c>
    </row>
    <row r="82" spans="1:48" x14ac:dyDescent="0.15">
      <c r="A82" s="7" t="s">
        <v>16</v>
      </c>
      <c r="B82" s="4">
        <v>0</v>
      </c>
      <c r="C82" s="4">
        <v>1</v>
      </c>
      <c r="D82" s="4">
        <v>2.2999999999999998</v>
      </c>
      <c r="E82" s="4">
        <v>10</v>
      </c>
      <c r="F82" s="4">
        <v>-1</v>
      </c>
      <c r="G82" s="6"/>
      <c r="H82" s="6" t="s">
        <v>32</v>
      </c>
      <c r="I82" s="6" t="b">
        <v>1</v>
      </c>
      <c r="J82" s="6" t="e">
        <v>#VALUE!</v>
      </c>
      <c r="K82" s="6" t="e">
        <v>#N/A</v>
      </c>
      <c r="L82" s="8" t="e">
        <v>#DIV/0!</v>
      </c>
      <c r="M82" s="8" t="e">
        <v>#NAME?</v>
      </c>
      <c r="N82" s="8" t="e">
        <v>#NULL!</v>
      </c>
      <c r="O82" s="8" t="e">
        <v>#NUM!</v>
      </c>
      <c r="P82" s="8" t="e">
        <v>#REF!</v>
      </c>
      <c r="Q82" s="6">
        <f t="shared" ref="Q82:AE82" si="63">TANH(B82)</f>
        <v>0</v>
      </c>
      <c r="R82" s="6">
        <f t="shared" si="63"/>
        <v>0.76159415595576485</v>
      </c>
      <c r="S82" s="6">
        <f t="shared" si="63"/>
        <v>0.98009639626619138</v>
      </c>
      <c r="T82" s="6">
        <f t="shared" si="63"/>
        <v>0.99999999587769262</v>
      </c>
      <c r="U82" s="6">
        <f t="shared" si="63"/>
        <v>-0.76159415595576485</v>
      </c>
      <c r="V82" s="6">
        <f t="shared" si="63"/>
        <v>0</v>
      </c>
      <c r="W82" s="6" t="e">
        <f t="shared" si="63"/>
        <v>#VALUE!</v>
      </c>
      <c r="X82" s="6">
        <f t="shared" si="63"/>
        <v>0.76159415595576485</v>
      </c>
      <c r="Y82" s="6" t="e">
        <f t="shared" si="63"/>
        <v>#VALUE!</v>
      </c>
      <c r="Z82" s="6" t="e">
        <f t="shared" si="63"/>
        <v>#N/A</v>
      </c>
      <c r="AA82" s="6" t="e">
        <f t="shared" si="63"/>
        <v>#DIV/0!</v>
      </c>
      <c r="AB82" s="6" t="e">
        <f t="shared" si="63"/>
        <v>#NAME?</v>
      </c>
      <c r="AC82" s="6" t="e">
        <f t="shared" si="63"/>
        <v>#NULL!</v>
      </c>
      <c r="AD82" s="6" t="e">
        <f t="shared" si="63"/>
        <v>#NUM!</v>
      </c>
      <c r="AE82" s="6" t="e">
        <f t="shared" si="63"/>
        <v>#REF!</v>
      </c>
      <c r="AF82" s="9"/>
      <c r="AG82" s="6">
        <f t="array" ref="AG82:AV82">TANH(B82:P82)</f>
        <v>0</v>
      </c>
      <c r="AH82" s="6">
        <v>0.76159415595576485</v>
      </c>
      <c r="AI82" s="6">
        <v>0.98009639626619138</v>
      </c>
      <c r="AJ82" s="6">
        <v>0.99999999587769262</v>
      </c>
      <c r="AK82" s="6">
        <v>-0.76159415595576485</v>
      </c>
      <c r="AL82" s="6">
        <v>0</v>
      </c>
      <c r="AM82" s="6" t="e">
        <v>#VALUE!</v>
      </c>
      <c r="AN82" s="6">
        <v>0.76159415595576485</v>
      </c>
      <c r="AO82" s="6" t="e">
        <v>#VALUE!</v>
      </c>
      <c r="AP82" s="6" t="e">
        <v>#N/A</v>
      </c>
      <c r="AQ82" s="6" t="e">
        <v>#DIV/0!</v>
      </c>
      <c r="AR82" s="6" t="e">
        <v>#NAME?</v>
      </c>
      <c r="AS82" s="6" t="e">
        <v>#NULL!</v>
      </c>
      <c r="AT82" s="6" t="e">
        <v>#NUM!</v>
      </c>
      <c r="AU82" s="6" t="e">
        <v>#REF!</v>
      </c>
      <c r="AV82" s="4" t="e">
        <v>#N/A</v>
      </c>
    </row>
    <row r="83" spans="1:48" x14ac:dyDescent="0.15">
      <c r="A83" s="7" t="s">
        <v>93</v>
      </c>
      <c r="B83" s="4">
        <v>2.5499999999999998</v>
      </c>
      <c r="C83" s="4">
        <v>-255.5</v>
      </c>
      <c r="D83" s="4">
        <v>-2.5499999999999998</v>
      </c>
      <c r="E83" s="4">
        <v>1.5</v>
      </c>
      <c r="F83" s="4">
        <v>0.23400000000000001</v>
      </c>
      <c r="G83" s="6"/>
      <c r="H83" s="6" t="s">
        <v>32</v>
      </c>
      <c r="I83" s="6" t="b">
        <v>1</v>
      </c>
      <c r="J83" s="6" t="e">
        <v>#VALUE!</v>
      </c>
      <c r="K83" s="6" t="e">
        <v>#N/A</v>
      </c>
      <c r="L83" s="8" t="e">
        <v>#DIV/0!</v>
      </c>
      <c r="M83" s="8" t="e">
        <v>#NAME?</v>
      </c>
      <c r="N83" s="8" t="e">
        <v>#NULL!</v>
      </c>
      <c r="O83" s="8" t="e">
        <v>#NUM!</v>
      </c>
      <c r="P83" s="8" t="e">
        <v>#REF!</v>
      </c>
      <c r="Q83" s="6">
        <f>TRUNC(B83,1)</f>
        <v>2.5</v>
      </c>
      <c r="R83" s="6">
        <f>TRUNC(C83,-2)</f>
        <v>-200</v>
      </c>
      <c r="S83" s="6">
        <f>TRUNC(D83,1)</f>
        <v>-2.5</v>
      </c>
      <c r="T83" s="6">
        <f>TRUNC(E83,0)</f>
        <v>1</v>
      </c>
      <c r="U83" s="6">
        <f>TRUNC(F83,1.9)</f>
        <v>0.2</v>
      </c>
      <c r="V83" s="6">
        <f>TRUNC(G83,-2)</f>
        <v>0</v>
      </c>
      <c r="W83" s="6" t="e">
        <f>TRUNC(H83,0)</f>
        <v>#VALUE!</v>
      </c>
      <c r="X83" s="6">
        <f>TRUNC(I83,0)</f>
        <v>1</v>
      </c>
      <c r="Y83" s="6" t="e">
        <f t="shared" ref="Y83:AE83" si="64">TRUNC(J83,I83)</f>
        <v>#VALUE!</v>
      </c>
      <c r="Z83" s="6" t="e">
        <f t="shared" si="64"/>
        <v>#N/A</v>
      </c>
      <c r="AA83" s="6" t="e">
        <f t="shared" si="64"/>
        <v>#DIV/0!</v>
      </c>
      <c r="AB83" s="6" t="e">
        <f t="shared" si="64"/>
        <v>#NAME?</v>
      </c>
      <c r="AC83" s="6" t="e">
        <f t="shared" si="64"/>
        <v>#NULL!</v>
      </c>
      <c r="AD83" s="6" t="e">
        <f t="shared" si="64"/>
        <v>#NUM!</v>
      </c>
      <c r="AE83" s="6" t="e">
        <f t="shared" si="64"/>
        <v>#REF!</v>
      </c>
      <c r="AF83" s="9"/>
      <c r="AG83" s="6">
        <f t="array" ref="AG83:AV83">TRUNC(B83:O83,C83:P83)</f>
        <v>0</v>
      </c>
      <c r="AH83" s="6">
        <v>-200</v>
      </c>
      <c r="AI83" s="6">
        <v>-2.5</v>
      </c>
      <c r="AJ83" s="6">
        <v>1</v>
      </c>
      <c r="AK83" s="6">
        <v>0</v>
      </c>
      <c r="AL83" s="6" t="e">
        <v>#VALUE!</v>
      </c>
      <c r="AM83" s="6" t="e">
        <v>#VALUE!</v>
      </c>
      <c r="AN83" s="6" t="e">
        <v>#VALUE!</v>
      </c>
      <c r="AO83" s="6" t="e">
        <v>#VALUE!</v>
      </c>
      <c r="AP83" s="6" t="e">
        <v>#N/A</v>
      </c>
      <c r="AQ83" s="6" t="e">
        <v>#DIV/0!</v>
      </c>
      <c r="AR83" s="6" t="e">
        <v>#NAME?</v>
      </c>
      <c r="AS83" s="6" t="e">
        <v>#NULL!</v>
      </c>
      <c r="AT83" s="6" t="e">
        <v>#NUM!</v>
      </c>
      <c r="AU83" s="6" t="e">
        <v>#N/A</v>
      </c>
      <c r="AV83" s="4" t="e">
        <v>#N/A</v>
      </c>
    </row>
  </sheetData>
  <sortState xmlns:xlrd2="http://schemas.microsoft.com/office/spreadsheetml/2017/richdata2" ref="A3:AT83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activeCell="G53" sqref="G53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 t="array" ref="AF13"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>
        <f t="array" ref="AF22">FV(B22:F22, 10, 5.6)</f>
        <v>-2989032.9212936191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>
        <f t="array" ref="AF25">IPMT(B25:F25, 1, 3*12, 8000)</f>
        <v>-24000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42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>IRR(D27:F27,H26)</f>
        <v>#VALUE!</v>
      </c>
      <c r="X26" s="4" t="e">
        <f>IRR(E27:G27,I26)</f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>
        <f t="array" ref="AF26">IRR({-7,2,-1,4,-3;7,2,-1,4,4},B54:D54)</f>
        <v>0.19086464188385843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42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 t="array" ref="AF27"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3">NPER(F32/12,G32,H32,10000,1)</f>
        <v>#VALUE!</v>
      </c>
      <c r="V32" s="4" t="e">
        <f t="shared" si="3"/>
        <v>#VALUE!</v>
      </c>
      <c r="W32" s="4" t="e">
        <f t="shared" si="3"/>
        <v>#VALUE!</v>
      </c>
      <c r="X32" s="4" t="e">
        <f t="shared" si="3"/>
        <v>#N/A</v>
      </c>
      <c r="Y32" s="4" t="e">
        <f t="shared" si="3"/>
        <v>#N/A</v>
      </c>
      <c r="Z32" s="4" t="e">
        <f t="shared" si="3"/>
        <v>#VALUE!</v>
      </c>
      <c r="AA32" s="4" t="e">
        <f t="shared" si="3"/>
        <v>#DIV/0!</v>
      </c>
      <c r="AB32" s="4" t="e">
        <f t="shared" si="3"/>
        <v>#NAME?</v>
      </c>
      <c r="AC32" s="4" t="e">
        <f t="shared" si="3"/>
        <v>#NULL!</v>
      </c>
      <c r="AD32" s="4" t="e">
        <f t="shared" si="3"/>
        <v>#NUM!</v>
      </c>
      <c r="AE32" s="4" t="e">
        <f t="shared" si="3"/>
        <v>#REF!</v>
      </c>
      <c r="AF32" s="4">
        <f t="array" ref="AF32">NPER(B32:P32,C32,D32,10000,1)</f>
        <v>-60.001291342880876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4">NPV(B33,B33:F33)</f>
        <v>16.922200206608068</v>
      </c>
      <c r="R33" s="4">
        <f t="shared" si="4"/>
        <v>0.87654320987654322</v>
      </c>
      <c r="S33" s="4">
        <f t="shared" si="4"/>
        <v>9</v>
      </c>
      <c r="T33" s="4">
        <f t="shared" si="4"/>
        <v>1</v>
      </c>
      <c r="U33" s="4" t="e">
        <f t="shared" si="4"/>
        <v>#N/A</v>
      </c>
      <c r="V33" s="4" t="e">
        <f t="shared" si="4"/>
        <v>#N/A</v>
      </c>
      <c r="W33" s="4" t="e">
        <f>NPV(H33,H33:L33)</f>
        <v>#VALUE!</v>
      </c>
      <c r="X33" s="4" t="e">
        <f t="shared" si="4"/>
        <v>#N/A</v>
      </c>
      <c r="Y33" s="4" t="e">
        <f t="shared" ref="Y33:AD33" si="5">NPV(J33,J33:N33)</f>
        <v>#N/A</v>
      </c>
      <c r="Z33" s="4" t="e">
        <f>NPV(K33,K33:O33)</f>
        <v>#VALUE!</v>
      </c>
      <c r="AA33" s="4" t="e">
        <f t="shared" si="5"/>
        <v>#DIV/0!</v>
      </c>
      <c r="AB33" s="4" t="e">
        <f t="shared" si="5"/>
        <v>#NAME?</v>
      </c>
      <c r="AC33" s="4" t="e">
        <f t="shared" si="5"/>
        <v>#NULL!</v>
      </c>
      <c r="AD33" s="4" t="e">
        <f t="shared" si="5"/>
        <v>#NUM!</v>
      </c>
      <c r="AE33" s="4" t="e">
        <f>NPV(P33,P33:T33)</f>
        <v>#REF!</v>
      </c>
      <c r="AF33" s="4">
        <f t="array" ref="AF33">NPV(B33:F33,B33:F33)</f>
        <v>16.922200206608068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6">PMT(D39/12,E39,F39,10000,1)</f>
        <v>-2501.25</v>
      </c>
      <c r="T39" s="4">
        <f t="shared" si="6"/>
        <v>-777.84891165172849</v>
      </c>
      <c r="U39" s="4" t="e">
        <f t="shared" si="6"/>
        <v>#VALUE!</v>
      </c>
      <c r="V39" s="4" t="e">
        <f t="shared" si="6"/>
        <v>#VALUE!</v>
      </c>
      <c r="W39" s="4" t="e">
        <f t="shared" si="6"/>
        <v>#VALUE!</v>
      </c>
      <c r="X39" s="4" t="e">
        <f t="shared" si="6"/>
        <v>#N/A</v>
      </c>
      <c r="Y39" s="4" t="e">
        <f t="shared" si="6"/>
        <v>#N/A</v>
      </c>
      <c r="Z39" s="4" t="e">
        <f t="shared" si="6"/>
        <v>#VALUE!</v>
      </c>
      <c r="AA39" s="4" t="e">
        <f t="shared" si="6"/>
        <v>#DIV/0!</v>
      </c>
      <c r="AB39" s="4" t="e">
        <f t="shared" si="6"/>
        <v>#NAME?</v>
      </c>
      <c r="AC39" s="4" t="e">
        <f t="shared" si="6"/>
        <v>#NULL!</v>
      </c>
      <c r="AD39" s="4" t="e">
        <f t="shared" si="6"/>
        <v>#NUM!</v>
      </c>
      <c r="AE39" s="4" t="e">
        <f t="shared" si="6"/>
        <v>#REF!</v>
      </c>
      <c r="AF39" s="4">
        <f t="array" ref="AF39">PMT(B39/12,C39,D39,E39:F39,1)</f>
        <v>-2.0252452445413311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7">PPMT(C40,"3","33","10000","1")</f>
        <v>-3.2382809621291993E-11</v>
      </c>
      <c r="S40" s="4">
        <f t="shared" si="7"/>
        <v>-4.6570785349068514E-6</v>
      </c>
      <c r="T40" s="4">
        <f t="shared" si="7"/>
        <v>-8.5907935854592492E-18</v>
      </c>
      <c r="U40" s="4">
        <f t="shared" si="7"/>
        <v>-3.7698552037230904E-20</v>
      </c>
      <c r="V40" s="4">
        <f t="shared" si="7"/>
        <v>-303.06060606060606</v>
      </c>
      <c r="W40" s="4" t="e">
        <f t="shared" si="7"/>
        <v>#VALUE!</v>
      </c>
      <c r="X40" s="4">
        <f t="shared" si="7"/>
        <v>-4.6570785349068514E-6</v>
      </c>
      <c r="Y40" s="4" t="e">
        <f>PPMT(J40,"3","33","10000","1")</f>
        <v>#N/A</v>
      </c>
      <c r="Z40" s="4" t="e">
        <f t="shared" si="7"/>
        <v>#VALUE!</v>
      </c>
      <c r="AA40" s="4" t="e">
        <f t="shared" si="7"/>
        <v>#DIV/0!</v>
      </c>
      <c r="AB40" s="4" t="e">
        <f t="shared" si="7"/>
        <v>#NAME?</v>
      </c>
      <c r="AC40" s="4" t="e">
        <f t="shared" si="7"/>
        <v>#NULL!</v>
      </c>
      <c r="AD40" s="4" t="e">
        <f t="shared" si="7"/>
        <v>#NUM!</v>
      </c>
      <c r="AE40" s="4" t="e">
        <f t="shared" si="7"/>
        <v>#REF!</v>
      </c>
      <c r="AF40" s="4" t="e">
        <f t="array" ref="AF40">PPMT(B40/12,C40,D40,E40:F40,1)</f>
        <v>#NUM!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8">PV(C44,3, 22)</f>
        <v>-10.592592592592593</v>
      </c>
      <c r="S44" s="4">
        <f t="shared" si="8"/>
        <v>-66</v>
      </c>
      <c r="T44" s="4">
        <f t="shared" si="8"/>
        <v>-5.4560000000000004</v>
      </c>
      <c r="U44" s="4">
        <f t="shared" si="8"/>
        <v>-4.3796296296296298</v>
      </c>
      <c r="V44" s="4">
        <f t="shared" si="8"/>
        <v>-66</v>
      </c>
      <c r="W44" s="4" t="e">
        <f t="shared" si="8"/>
        <v>#VALUE!</v>
      </c>
      <c r="X44" s="4">
        <f t="shared" si="8"/>
        <v>-19.25</v>
      </c>
      <c r="Y44" s="4" t="e">
        <f t="shared" si="8"/>
        <v>#N/A</v>
      </c>
      <c r="Z44" s="4" t="e">
        <f t="shared" si="8"/>
        <v>#VALUE!</v>
      </c>
      <c r="AA44" s="4" t="e">
        <f t="shared" si="8"/>
        <v>#DIV/0!</v>
      </c>
      <c r="AB44" s="4" t="e">
        <f t="shared" si="8"/>
        <v>#NAME?</v>
      </c>
      <c r="AC44" s="4" t="e">
        <f t="shared" si="8"/>
        <v>#NULL!</v>
      </c>
      <c r="AD44" s="4" t="e">
        <f t="shared" si="8"/>
        <v>#NUM!</v>
      </c>
      <c r="AE44" s="4" t="e">
        <f t="shared" si="8"/>
        <v>#REF!</v>
      </c>
      <c r="AF44" s="4">
        <f t="array" ref="AF44">PV(B44:F44,3, 22)</f>
        <v>-81.783264746227673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9">RATE(C45,-388, 22000)</f>
        <v>-0.85808740069204448</v>
      </c>
      <c r="S45" s="4" t="e">
        <f t="shared" si="9"/>
        <v>#NUM!</v>
      </c>
      <c r="T45" s="4">
        <f t="shared" si="9"/>
        <v>-0.58668028478913636</v>
      </c>
      <c r="U45" s="4">
        <f t="shared" si="9"/>
        <v>-0.48911548311486908</v>
      </c>
      <c r="V45" s="4" t="e">
        <f t="shared" si="9"/>
        <v>#NUM!</v>
      </c>
      <c r="W45" s="4" t="e">
        <f t="shared" si="9"/>
        <v>#VALUE!</v>
      </c>
      <c r="X45" s="4">
        <f>RATE(I45,-388, 22000)</f>
        <v>-0.98236363636363633</v>
      </c>
      <c r="Y45" s="4" t="e">
        <f t="shared" si="9"/>
        <v>#N/A</v>
      </c>
      <c r="Z45" s="4" t="e">
        <f t="shared" si="9"/>
        <v>#VALUE!</v>
      </c>
      <c r="AA45" s="4" t="e">
        <f t="shared" si="9"/>
        <v>#DIV/0!</v>
      </c>
      <c r="AB45" s="4" t="e">
        <f t="shared" si="9"/>
        <v>#NAME?</v>
      </c>
      <c r="AC45" s="4" t="e">
        <f t="shared" si="9"/>
        <v>#NULL!</v>
      </c>
      <c r="AD45" s="4" t="e">
        <f t="shared" si="9"/>
        <v>#NUM!</v>
      </c>
      <c r="AE45" s="4" t="e">
        <f t="shared" si="9"/>
        <v>#REF!</v>
      </c>
      <c r="AF45" s="4" t="e">
        <f t="array" ref="AF45">RATE(B45:F45,-388, 22000)</f>
        <v>#NUM!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42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42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459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0">XIRR($B$55:$F$55,$B$54:$F$54,J56)</f>
        <v>#N/A</v>
      </c>
      <c r="Z55" s="4" t="e">
        <f t="shared" si="10"/>
        <v>#VALUE!</v>
      </c>
      <c r="AA55" s="4" t="e">
        <f t="shared" si="10"/>
        <v>#DIV/0!</v>
      </c>
      <c r="AB55" s="4" t="e">
        <f t="shared" si="10"/>
        <v>#NAME?</v>
      </c>
      <c r="AC55" s="4" t="e">
        <f t="shared" si="10"/>
        <v>#NULL!</v>
      </c>
      <c r="AD55" s="4" t="e">
        <f t="shared" si="10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1">XNPV(B56,$B$55:$F$55,$B$54:$F$54)</f>
        <v>#NUM!</v>
      </c>
      <c r="S56" s="4">
        <f t="shared" si="11"/>
        <v>-0.61247484329765634</v>
      </c>
      <c r="T56" s="4" t="e">
        <f t="shared" si="11"/>
        <v>#NUM!</v>
      </c>
      <c r="U56" s="4">
        <f t="shared" si="11"/>
        <v>-1.0661583524424625</v>
      </c>
      <c r="V56" s="4">
        <f t="shared" si="11"/>
        <v>-1.2193650514728072</v>
      </c>
      <c r="W56" s="4" t="e">
        <f t="shared" si="11"/>
        <v>#NUM!</v>
      </c>
      <c r="X56" s="4" t="e">
        <f t="shared" si="11"/>
        <v>#VALUE!</v>
      </c>
      <c r="Y56" s="4" t="e">
        <f t="shared" si="11"/>
        <v>#VALUE!</v>
      </c>
      <c r="Z56" s="4" t="e">
        <f t="shared" si="11"/>
        <v>#N/A</v>
      </c>
      <c r="AA56" s="4" t="e">
        <f>XNPV(K56,$B$55:$F$55,$B$54:$F$54)</f>
        <v>#VALUE!</v>
      </c>
      <c r="AB56" s="4" t="e">
        <f>XNPV(L56,$B$55:$F$55,$B$54:$F$54)</f>
        <v>#DIV/0!</v>
      </c>
      <c r="AC56" s="4" t="e">
        <f>XNPV(M56,$B$55:$F$55,$B$54:$F$54)</f>
        <v>#NAME?</v>
      </c>
      <c r="AD56" s="4" t="e">
        <f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6"/>
  <sheetViews>
    <sheetView topLeftCell="U28" zoomScale="190" zoomScaleNormal="190" workbookViewId="0">
      <selection activeCell="AF46" sqref="AF4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6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62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62" x14ac:dyDescent="0.15">
      <c r="A3" s="4" t="s">
        <v>518</v>
      </c>
    </row>
    <row r="4" spans="1:62" x14ac:dyDescent="0.15">
      <c r="A4" s="12" t="s">
        <v>292</v>
      </c>
    </row>
    <row r="5" spans="1:62" x14ac:dyDescent="0.15">
      <c r="A5" s="12" t="s">
        <v>293</v>
      </c>
    </row>
    <row r="6" spans="1:62" x14ac:dyDescent="0.15">
      <c r="A6" s="13" t="s">
        <v>294</v>
      </c>
      <c r="B6" s="4">
        <v>0</v>
      </c>
      <c r="C6" s="4">
        <v>157</v>
      </c>
      <c r="D6" s="4">
        <v>65</v>
      </c>
      <c r="E6" s="4">
        <v>65.8</v>
      </c>
      <c r="F6" s="4">
        <v>-1</v>
      </c>
      <c r="G6" s="20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e">
        <f t="shared" ref="Q6:AE6" si="0">CHAR(B6)</f>
        <v>#VALUE!</v>
      </c>
      <c r="R6" s="6" t="str">
        <f t="shared" si="0"/>
        <v>ù</v>
      </c>
      <c r="S6" s="6" t="str">
        <f t="shared" si="0"/>
        <v>A</v>
      </c>
      <c r="T6" s="6" t="str">
        <f t="shared" si="0"/>
        <v>A</v>
      </c>
      <c r="U6" s="6" t="e">
        <f t="shared" si="0"/>
        <v>#VALUE!</v>
      </c>
      <c r="V6" s="6" t="e">
        <f t="shared" si="0"/>
        <v>#VALUE!</v>
      </c>
      <c r="W6" s="6" t="e">
        <f t="shared" si="0"/>
        <v>#VALUE!</v>
      </c>
      <c r="X6" s="6" t="str">
        <f t="shared" si="0"/>
        <v>_x0001_</v>
      </c>
      <c r="Y6" s="6" t="e">
        <f t="shared" si="0"/>
        <v>#VALUE!</v>
      </c>
      <c r="Z6" s="6" t="e">
        <f t="shared" si="0"/>
        <v>#N/A</v>
      </c>
      <c r="AA6" s="6" t="e">
        <f t="shared" si="0"/>
        <v>#DIV/0!</v>
      </c>
      <c r="AB6" s="6" t="e">
        <f t="shared" si="0"/>
        <v>#NAME?</v>
      </c>
      <c r="AC6" s="6" t="e">
        <f t="shared" si="0"/>
        <v>#NULL!</v>
      </c>
      <c r="AD6" s="6" t="e">
        <f t="shared" si="0"/>
        <v>#NUM!</v>
      </c>
      <c r="AE6" s="6" t="e">
        <f t="shared" si="0"/>
        <v>#REF!</v>
      </c>
      <c r="AF6" s="6" t="str">
        <f t="array" ref="AF6">CHAR(C6:E6)</f>
        <v>ù</v>
      </c>
      <c r="AG6" s="6" t="e">
        <f t="array" ref="AG6:AV6">CHAR(B6:P6)</f>
        <v>#VALUE!</v>
      </c>
      <c r="AH6" s="6" t="str">
        <v>ù</v>
      </c>
      <c r="AI6" s="6" t="str">
        <v>A</v>
      </c>
      <c r="AJ6" s="6" t="str">
        <v>A</v>
      </c>
      <c r="AK6" s="6" t="e">
        <v>#VALUE!</v>
      </c>
      <c r="AL6" s="6" t="e">
        <v>#VALUE!</v>
      </c>
      <c r="AM6" s="6" t="e">
        <v>#VALUE!</v>
      </c>
      <c r="AN6" s="6" t="str">
        <v>_x0001_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62" x14ac:dyDescent="0.15">
      <c r="A7" s="12" t="s">
        <v>295</v>
      </c>
      <c r="G7" s="6"/>
      <c r="H7" s="6"/>
      <c r="I7" s="6"/>
      <c r="J7" s="6"/>
      <c r="K7" s="6"/>
      <c r="L7" s="8"/>
      <c r="M7" s="8"/>
      <c r="N7" s="8"/>
      <c r="O7" s="8"/>
      <c r="P7" s="8"/>
    </row>
    <row r="8" spans="1:62" x14ac:dyDescent="0.15">
      <c r="A8" s="13" t="s">
        <v>296</v>
      </c>
      <c r="B8" s="25">
        <v>0</v>
      </c>
      <c r="C8" s="25">
        <v>1.9</v>
      </c>
      <c r="D8" s="25">
        <v>2.2999999999999998</v>
      </c>
      <c r="E8" s="25">
        <v>10</v>
      </c>
      <c r="F8" s="25">
        <v>-1</v>
      </c>
      <c r="G8" s="6"/>
      <c r="H8" s="6" t="s">
        <v>427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 t="shared" ref="Q8:AE8" si="1">CODE(B8)</f>
        <v>48</v>
      </c>
      <c r="R8" s="4">
        <f t="shared" si="1"/>
        <v>49</v>
      </c>
      <c r="S8" s="4">
        <f t="shared" si="1"/>
        <v>50</v>
      </c>
      <c r="T8" s="4">
        <f t="shared" si="1"/>
        <v>49</v>
      </c>
      <c r="U8" s="4">
        <f t="shared" si="1"/>
        <v>45</v>
      </c>
      <c r="V8" s="4" t="e">
        <f t="shared" si="1"/>
        <v>#VALUE!</v>
      </c>
      <c r="W8" s="4">
        <f>CODE(H8)</f>
        <v>99</v>
      </c>
      <c r="X8" s="4">
        <f t="shared" si="1"/>
        <v>84</v>
      </c>
      <c r="Y8" s="4" t="e">
        <f t="shared" si="1"/>
        <v>#VALUE!</v>
      </c>
      <c r="Z8" s="4" t="e">
        <f t="shared" si="1"/>
        <v>#N/A</v>
      </c>
      <c r="AA8" s="4" t="e">
        <f t="shared" si="1"/>
        <v>#DIV/0!</v>
      </c>
      <c r="AB8" s="4" t="e">
        <f t="shared" si="1"/>
        <v>#NAME?</v>
      </c>
      <c r="AC8" s="4" t="e">
        <f t="shared" si="1"/>
        <v>#NULL!</v>
      </c>
      <c r="AD8" s="4" t="e">
        <f t="shared" si="1"/>
        <v>#NUM!</v>
      </c>
      <c r="AE8" s="4" t="e">
        <f t="shared" si="1"/>
        <v>#REF!</v>
      </c>
      <c r="AF8" s="4">
        <f t="array" ref="AF8">CODE(B8:F8)</f>
        <v>48</v>
      </c>
      <c r="AG8" s="4">
        <f t="array" ref="AG8:AV8">CODE(B8:P8)</f>
        <v>48</v>
      </c>
      <c r="AH8" s="4">
        <v>49</v>
      </c>
      <c r="AI8" s="4">
        <v>50</v>
      </c>
      <c r="AJ8" s="4">
        <v>49</v>
      </c>
      <c r="AK8" s="4">
        <v>45</v>
      </c>
      <c r="AL8" s="4" t="e">
        <v>#VALUE!</v>
      </c>
      <c r="AM8" s="4">
        <v>99</v>
      </c>
      <c r="AN8" s="4">
        <v>84</v>
      </c>
      <c r="AO8" s="4" t="e">
        <v>#VALUE!</v>
      </c>
      <c r="AP8" s="4" t="e">
        <v>#N/A</v>
      </c>
      <c r="AQ8" s="4" t="e">
        <v>#DIV/0!</v>
      </c>
      <c r="AR8" s="4" t="e">
        <v>#NAME?</v>
      </c>
      <c r="AS8" s="4" t="e">
        <v>#NULL!</v>
      </c>
      <c r="AT8" s="4" t="e">
        <v>#NUM!</v>
      </c>
      <c r="AU8" s="4" t="e">
        <v>#REF!</v>
      </c>
      <c r="AV8" s="4" t="e">
        <v>#N/A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x14ac:dyDescent="0.15">
      <c r="A9" s="13" t="s">
        <v>297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 t="shared" ref="Q9:AE9" si="2">_xlfn.CONCAT(B9,C9,D9)</f>
        <v>023</v>
      </c>
      <c r="R9" s="6" t="str">
        <f t="shared" si="2"/>
        <v>2310</v>
      </c>
      <c r="S9" s="6" t="str">
        <f t="shared" si="2"/>
        <v>310-1</v>
      </c>
      <c r="T9" s="6" t="str">
        <f t="shared" si="2"/>
        <v>10-1</v>
      </c>
      <c r="U9" s="6" t="str">
        <f t="shared" si="2"/>
        <v>-1ciao</v>
      </c>
      <c r="V9" s="6" t="str">
        <f t="shared" si="2"/>
        <v>ciaoTRUE</v>
      </c>
      <c r="W9" s="6" t="e">
        <f t="shared" si="2"/>
        <v>#VALUE!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  <c r="AF9" s="6" t="str">
        <f t="array" ref="AF9">_xlfn.CONCAT(B9:I9)</f>
        <v>02310-1ciaoTRUE</v>
      </c>
      <c r="AG9" s="4" t="str">
        <f t="array" ref="AG9:AJ9">_xlfn.CONCAT(B9:E9,C9:D9)</f>
        <v>0231023</v>
      </c>
      <c r="AH9" s="6" t="str">
        <v>0231023</v>
      </c>
      <c r="AI9" s="6" t="str">
        <v>0231023</v>
      </c>
      <c r="AJ9" s="6" t="str">
        <v>0231023</v>
      </c>
      <c r="AK9" s="6" t="e">
        <f t="array" ref="AK9:AV9">_xlfn.CONCAT(L9:O9,I9:J9)</f>
        <v>#DIV/0!</v>
      </c>
      <c r="AL9" s="6" t="e">
        <v>#DIV/0!</v>
      </c>
      <c r="AM9" s="6" t="e">
        <v>#DIV/0!</v>
      </c>
      <c r="AN9" s="6" t="e">
        <v>#DIV/0!</v>
      </c>
      <c r="AO9" s="6" t="e">
        <v>#DIV/0!</v>
      </c>
      <c r="AP9" s="6" t="e">
        <v>#DIV/0!</v>
      </c>
      <c r="AQ9" s="6" t="e">
        <v>#DIV/0!</v>
      </c>
      <c r="AR9" s="6" t="e">
        <v>#DIV/0!</v>
      </c>
      <c r="AS9" s="6" t="e">
        <v>#DIV/0!</v>
      </c>
      <c r="AT9" s="6" t="e">
        <v>#DIV/0!</v>
      </c>
      <c r="AU9" s="6" t="e">
        <v>#DIV/0!</v>
      </c>
      <c r="AV9" s="4" t="e">
        <v>#DIV/0!</v>
      </c>
    </row>
    <row r="10" spans="1:62" x14ac:dyDescent="0.15">
      <c r="A10" s="13" t="s">
        <v>298</v>
      </c>
      <c r="B10" s="4">
        <v>0</v>
      </c>
      <c r="C10" s="4">
        <v>2</v>
      </c>
      <c r="D10" s="4">
        <v>3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str">
        <f>CONCATENATE(B10,C10,D10)</f>
        <v>023</v>
      </c>
      <c r="R10" s="6" t="str">
        <f t="shared" ref="R10:X10" si="3">CONCATENATE(C10,D10,E10)</f>
        <v>2310</v>
      </c>
      <c r="S10" s="6" t="str">
        <f t="shared" si="3"/>
        <v>310-1</v>
      </c>
      <c r="T10" s="6" t="str">
        <f t="shared" si="3"/>
        <v>10-1</v>
      </c>
      <c r="U10" s="6" t="str">
        <f t="shared" si="3"/>
        <v>-1ciao</v>
      </c>
      <c r="V10" s="6" t="str">
        <f t="shared" si="3"/>
        <v>ciaoTRUE</v>
      </c>
      <c r="W10" s="6" t="e">
        <f t="shared" si="3"/>
        <v>#VALUE!</v>
      </c>
      <c r="X10" s="6" t="e">
        <f t="shared" si="3"/>
        <v>#VALUE!</v>
      </c>
      <c r="Y10" s="6" t="e">
        <f t="shared" ref="Y10:AE10" si="4">CONCATENATE(J10,K10,L10)</f>
        <v>#VALUE!</v>
      </c>
      <c r="Z10" s="6" t="e">
        <f t="shared" si="4"/>
        <v>#N/A</v>
      </c>
      <c r="AA10" s="6" t="e">
        <f t="shared" si="4"/>
        <v>#DIV/0!</v>
      </c>
      <c r="AB10" s="6" t="e">
        <f t="shared" si="4"/>
        <v>#NAME?</v>
      </c>
      <c r="AC10" s="6" t="e">
        <f t="shared" si="4"/>
        <v>#NULL!</v>
      </c>
      <c r="AD10" s="6" t="e">
        <f t="shared" si="4"/>
        <v>#NUM!</v>
      </c>
      <c r="AE10" s="6" t="e">
        <f t="shared" si="4"/>
        <v>#REF!</v>
      </c>
      <c r="AF10" s="6" t="str">
        <f t="array" ref="AF10">CONCATENATE(B10:I10)</f>
        <v>0</v>
      </c>
      <c r="AG10" s="4" t="str">
        <f t="array" ref="AG10:AV10">CONCATENATE(B10:O10,C10:P10)</f>
        <v>02</v>
      </c>
      <c r="AH10" s="4" t="str">
        <v>23</v>
      </c>
      <c r="AI10" s="4" t="str">
        <v>310</v>
      </c>
      <c r="AJ10" s="4" t="str">
        <v>10-1</v>
      </c>
      <c r="AK10" s="4" t="str">
        <v>-1</v>
      </c>
      <c r="AL10" s="4" t="str">
        <v>ciao</v>
      </c>
      <c r="AM10" s="4" t="str">
        <v>ciaoTRUE</v>
      </c>
      <c r="AN10" s="4" t="e">
        <v>#VALUE!</v>
      </c>
      <c r="AO10" s="4" t="e">
        <v>#VALUE!</v>
      </c>
      <c r="AP10" s="4" t="e">
        <v>#N/A</v>
      </c>
      <c r="AQ10" s="4" t="e">
        <v>#DIV/0!</v>
      </c>
      <c r="AR10" s="4" t="e">
        <v>#NAME?</v>
      </c>
      <c r="AS10" s="4" t="e">
        <v>#NULL!</v>
      </c>
      <c r="AT10" s="4" t="e">
        <v>#NUM!</v>
      </c>
      <c r="AU10" s="4" t="e">
        <v>#N/A</v>
      </c>
      <c r="AV10" s="4" t="e">
        <v>#N/A</v>
      </c>
    </row>
    <row r="11" spans="1:62" x14ac:dyDescent="0.15">
      <c r="A11" s="12" t="s">
        <v>299</v>
      </c>
    </row>
    <row r="12" spans="1:62" x14ac:dyDescent="0.15">
      <c r="A12" s="12" t="s">
        <v>300</v>
      </c>
    </row>
    <row r="13" spans="1:62" x14ac:dyDescent="0.15">
      <c r="A13" s="12" t="s">
        <v>301</v>
      </c>
    </row>
    <row r="14" spans="1:62" x14ac:dyDescent="0.15">
      <c r="A14" s="13" t="s">
        <v>302</v>
      </c>
      <c r="B14" s="4">
        <v>0</v>
      </c>
      <c r="C14" s="4">
        <v>2</v>
      </c>
      <c r="D14" s="4">
        <v>3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f>#VALUE!</f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e">
        <f>FIND("ia",B14)</f>
        <v>#VALUE!</v>
      </c>
      <c r="R14" s="4">
        <f>FIND("ia","ciao",C14)</f>
        <v>2</v>
      </c>
      <c r="S14" s="4" t="e">
        <f>FIND("ia","ciao",D14)</f>
        <v>#VALUE!</v>
      </c>
      <c r="T14" s="4" t="e">
        <f>FIND("q","ciao",E14)</f>
        <v>#VALUE!</v>
      </c>
      <c r="U14" s="4" t="e">
        <f>FIND("v","ciao",F14)</f>
        <v>#VALUE!</v>
      </c>
      <c r="V14" s="4" t="e">
        <f>FIND("ia","ciao",G14)</f>
        <v>#VALUE!</v>
      </c>
      <c r="W14" s="4" t="e">
        <f>FIND("ia","ciao",H14)</f>
        <v>#VALUE!</v>
      </c>
      <c r="X14" s="4">
        <f t="shared" ref="X14:AE14" si="5">FIND("ia","ciao",I14)</f>
        <v>2</v>
      </c>
      <c r="Y14" s="4" t="e">
        <f t="shared" si="5"/>
        <v>#VALUE!</v>
      </c>
      <c r="Z14" s="4" t="e">
        <f t="shared" si="5"/>
        <v>#N/A</v>
      </c>
      <c r="AA14" s="4" t="e">
        <f t="shared" si="5"/>
        <v>#DIV/0!</v>
      </c>
      <c r="AB14" s="4" t="e">
        <f t="shared" si="5"/>
        <v>#NAME?</v>
      </c>
      <c r="AC14" s="4" t="e">
        <f t="shared" si="5"/>
        <v>#NULL!</v>
      </c>
      <c r="AD14" s="4" t="e">
        <f t="shared" si="5"/>
        <v>#NUM!</v>
      </c>
      <c r="AE14" s="4" t="e">
        <f t="shared" si="5"/>
        <v>#REF!</v>
      </c>
      <c r="AF14" s="4">
        <f t="array" ref="AF14">FIND("ia",{"ciao","bau"},1)</f>
        <v>2</v>
      </c>
      <c r="AG14" s="4">
        <f t="array" ref="AG14:AI14">FIND({"a","b"},{"ciao","bau"})</f>
        <v>3</v>
      </c>
      <c r="AH14" s="4">
        <v>1</v>
      </c>
      <c r="AI14" s="4" t="e">
        <v>#N/A</v>
      </c>
      <c r="AJ14" s="4" t="e">
        <f t="array" ref="AJ14:AV14">FIND("ia", "ciao",B14:P14)</f>
        <v>#VALUE!</v>
      </c>
      <c r="AK14" s="4">
        <v>2</v>
      </c>
      <c r="AL14" s="4" t="e">
        <v>#VALUE!</v>
      </c>
      <c r="AM14" s="4" t="e">
        <v>#VALUE!</v>
      </c>
      <c r="AN14" s="4" t="e">
        <v>#VALUE!</v>
      </c>
      <c r="AO14" s="4" t="e">
        <v>#VALUE!</v>
      </c>
      <c r="AP14" s="4" t="e">
        <v>#VALUE!</v>
      </c>
      <c r="AQ14" s="4">
        <v>2</v>
      </c>
      <c r="AR14" s="4" t="e">
        <v>#VALUE!</v>
      </c>
      <c r="AS14" s="4" t="e">
        <v>#N/A</v>
      </c>
      <c r="AT14" s="4" t="e">
        <v>#DIV/0!</v>
      </c>
      <c r="AU14" s="4" t="e">
        <v>#NAME?</v>
      </c>
      <c r="AV14" s="4" t="e">
        <v>#NULL!</v>
      </c>
    </row>
    <row r="15" spans="1:62" x14ac:dyDescent="0.15">
      <c r="A15" s="12" t="s">
        <v>303</v>
      </c>
      <c r="AO15" s="6"/>
      <c r="AP15" s="6"/>
      <c r="AQ15" s="6"/>
      <c r="AR15" s="6"/>
      <c r="AS15" s="6"/>
      <c r="AT15" s="8"/>
      <c r="AU15" s="8"/>
      <c r="AV15" s="8"/>
    </row>
    <row r="16" spans="1:62" x14ac:dyDescent="0.15">
      <c r="A16" s="12" t="s">
        <v>304</v>
      </c>
    </row>
    <row r="17" spans="1:48" x14ac:dyDescent="0.15">
      <c r="A17" s="13" t="s">
        <v>305</v>
      </c>
      <c r="B17" s="4">
        <v>0</v>
      </c>
      <c r="C17" s="4">
        <v>1.9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4" t="str">
        <f>LEFT("ciao",B17)</f>
        <v/>
      </c>
      <c r="R17" s="4" t="str">
        <f>LEFT("ciao",C17)</f>
        <v>c</v>
      </c>
      <c r="S17" s="4" t="str">
        <f>LEFT(D17,2)</f>
        <v>2.</v>
      </c>
      <c r="T17" s="4" t="str">
        <f>LEFT("ciao",E17)</f>
        <v>ciao</v>
      </c>
      <c r="U17" s="4" t="e">
        <f>LEFT("ciao",F17)</f>
        <v>#VALUE!</v>
      </c>
      <c r="V17" s="4" t="str">
        <f>LEFT("ciao",G17)</f>
        <v/>
      </c>
      <c r="W17" s="4" t="e">
        <f>LEFT("ciao",H17)</f>
        <v>#VALUE!</v>
      </c>
      <c r="X17" s="4" t="str">
        <f>LEFT("ciao",I17)</f>
        <v>c</v>
      </c>
      <c r="Y17" s="4" t="e">
        <f t="shared" ref="Y17:AE17" si="6">LEFT("ciao",J17)</f>
        <v>#VALUE!</v>
      </c>
      <c r="Z17" s="4" t="e">
        <f t="shared" si="6"/>
        <v>#N/A</v>
      </c>
      <c r="AA17" s="4" t="e">
        <f t="shared" si="6"/>
        <v>#DIV/0!</v>
      </c>
      <c r="AB17" s="4" t="e">
        <f t="shared" si="6"/>
        <v>#NAME?</v>
      </c>
      <c r="AC17" s="4" t="e">
        <f t="shared" si="6"/>
        <v>#NULL!</v>
      </c>
      <c r="AD17" s="4" t="e">
        <f t="shared" si="6"/>
        <v>#NUM!</v>
      </c>
      <c r="AE17" s="4" t="e">
        <f t="shared" si="6"/>
        <v>#REF!</v>
      </c>
      <c r="AF17" s="4" t="str">
        <f t="array" ref="AF17">LEFT({TRUE,"bau"},3)</f>
        <v>TRU</v>
      </c>
      <c r="AG17" s="4" t="str">
        <f t="array" ref="AG17:AI17">LEFT({"ciao","bau"},B17:C17)</f>
        <v/>
      </c>
      <c r="AH17" s="4" t="str">
        <v>b</v>
      </c>
      <c r="AI17" s="4" t="e">
        <v>#N/A</v>
      </c>
      <c r="AJ17" s="4" t="str">
        <f t="array" ref="AJ17:AV17">LEFT("ciao",B17:P17)</f>
        <v/>
      </c>
      <c r="AK17" s="4" t="str">
        <v>c</v>
      </c>
      <c r="AL17" s="4" t="str">
        <v>ci</v>
      </c>
      <c r="AM17" s="4" t="str">
        <v>ciao</v>
      </c>
      <c r="AN17" s="4" t="e">
        <v>#VALUE!</v>
      </c>
      <c r="AO17" s="4" t="str">
        <v/>
      </c>
      <c r="AP17" s="4" t="e">
        <v>#VALUE!</v>
      </c>
      <c r="AQ17" s="4" t="str">
        <v>c</v>
      </c>
      <c r="AR17" s="4" t="e">
        <v>#VALUE!</v>
      </c>
      <c r="AS17" s="4" t="e">
        <v>#N/A</v>
      </c>
      <c r="AT17" s="4" t="e">
        <v>#DIV/0!</v>
      </c>
      <c r="AU17" s="4" t="e">
        <v>#NAME?</v>
      </c>
      <c r="AV17" s="4" t="e">
        <v>#NULL!</v>
      </c>
    </row>
    <row r="18" spans="1:48" x14ac:dyDescent="0.15">
      <c r="A18" s="12" t="s">
        <v>306</v>
      </c>
    </row>
    <row r="19" spans="1:48" x14ac:dyDescent="0.15">
      <c r="A19" s="13" t="s">
        <v>307</v>
      </c>
      <c r="B19" s="4">
        <v>0</v>
      </c>
      <c r="C19" s="4">
        <v>1.9</v>
      </c>
      <c r="D19" s="4">
        <v>2.2999999999999998</v>
      </c>
      <c r="E19" s="4">
        <v>10</v>
      </c>
      <c r="F19" s="4">
        <v>-1</v>
      </c>
      <c r="G19" s="6"/>
      <c r="H19" s="6" t="s">
        <v>32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4">
        <f>LEN(B19)</f>
        <v>1</v>
      </c>
      <c r="R19" s="4">
        <f t="shared" ref="R19:AE19" si="7">LEN(C19)</f>
        <v>3</v>
      </c>
      <c r="S19" s="4">
        <f t="shared" si="7"/>
        <v>3</v>
      </c>
      <c r="T19" s="4">
        <f t="shared" si="7"/>
        <v>2</v>
      </c>
      <c r="U19" s="4">
        <f t="shared" si="7"/>
        <v>2</v>
      </c>
      <c r="V19" s="4">
        <f t="shared" si="7"/>
        <v>0</v>
      </c>
      <c r="W19" s="4">
        <f t="shared" si="7"/>
        <v>4</v>
      </c>
      <c r="X19" s="4">
        <f t="shared" si="7"/>
        <v>4</v>
      </c>
      <c r="Y19" s="4" t="e">
        <f t="shared" si="7"/>
        <v>#VALUE!</v>
      </c>
      <c r="Z19" s="4" t="e">
        <f t="shared" si="7"/>
        <v>#N/A</v>
      </c>
      <c r="AA19" s="4" t="e">
        <f t="shared" si="7"/>
        <v>#DIV/0!</v>
      </c>
      <c r="AB19" s="4" t="e">
        <f t="shared" si="7"/>
        <v>#NAME?</v>
      </c>
      <c r="AC19" s="4" t="e">
        <f t="shared" si="7"/>
        <v>#NULL!</v>
      </c>
      <c r="AD19" s="4" t="e">
        <f t="shared" si="7"/>
        <v>#NUM!</v>
      </c>
      <c r="AE19" s="4" t="e">
        <f t="shared" si="7"/>
        <v>#REF!</v>
      </c>
      <c r="AF19" s="4">
        <f t="array" ref="AF19">LEN(B19:C19)</f>
        <v>1</v>
      </c>
      <c r="AG19" s="4">
        <f t="array" ref="AG19:AV19">LEN(B19:P19)</f>
        <v>1</v>
      </c>
      <c r="AH19" s="4">
        <v>3</v>
      </c>
      <c r="AI19" s="4">
        <v>3</v>
      </c>
      <c r="AJ19" s="4">
        <v>2</v>
      </c>
      <c r="AK19" s="4">
        <v>2</v>
      </c>
      <c r="AL19" s="4">
        <v>0</v>
      </c>
      <c r="AM19" s="4">
        <v>4</v>
      </c>
      <c r="AN19" s="4">
        <v>4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12" t="s">
        <v>308</v>
      </c>
    </row>
    <row r="21" spans="1:48" x14ac:dyDescent="0.15">
      <c r="A21" s="13" t="s">
        <v>309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LOWER(B21)</f>
        <v>0</v>
      </c>
      <c r="R21" s="4" t="str">
        <f t="shared" ref="R21:AE21" si="8">LOWER(C21)</f>
        <v>1.9</v>
      </c>
      <c r="S21" s="4" t="str">
        <f t="shared" si="8"/>
        <v>2.3</v>
      </c>
      <c r="T21" s="4" t="str">
        <f t="shared" si="8"/>
        <v>10</v>
      </c>
      <c r="U21" s="4" t="str">
        <f t="shared" si="8"/>
        <v>-1</v>
      </c>
      <c r="V21" s="4" t="str">
        <f t="shared" si="8"/>
        <v/>
      </c>
      <c r="W21" s="4" t="str">
        <f t="shared" si="8"/>
        <v>ciao</v>
      </c>
      <c r="X21" s="4" t="str">
        <f t="shared" si="8"/>
        <v>true</v>
      </c>
      <c r="Y21" s="4" t="e">
        <f t="shared" si="8"/>
        <v>#VALUE!</v>
      </c>
      <c r="Z21" s="4" t="e">
        <f t="shared" si="8"/>
        <v>#N/A</v>
      </c>
      <c r="AA21" s="4" t="e">
        <f t="shared" si="8"/>
        <v>#DIV/0!</v>
      </c>
      <c r="AB21" s="4" t="e">
        <f t="shared" si="8"/>
        <v>#NAME?</v>
      </c>
      <c r="AC21" s="4" t="e">
        <f t="shared" si="8"/>
        <v>#NULL!</v>
      </c>
      <c r="AD21" s="4" t="e">
        <f t="shared" si="8"/>
        <v>#NUM!</v>
      </c>
      <c r="AE21" s="4" t="e">
        <f t="shared" si="8"/>
        <v>#REF!</v>
      </c>
      <c r="AF21" s="4" t="str">
        <f t="array" ref="AF21">LOWER(B21:C21)</f>
        <v>0</v>
      </c>
      <c r="AG21" s="4" t="str">
        <f t="array" ref="AG21:AV21">LOWER(B21:P21)</f>
        <v>0</v>
      </c>
      <c r="AH21" s="4" t="str">
        <v>1.9</v>
      </c>
      <c r="AI21" s="4" t="str">
        <v>2.3</v>
      </c>
      <c r="AJ21" s="4" t="str">
        <v>10</v>
      </c>
      <c r="AK21" s="4" t="str">
        <v>-1</v>
      </c>
      <c r="AL21" s="4" t="str">
        <v/>
      </c>
      <c r="AM21" s="4" t="str">
        <v>ciao</v>
      </c>
      <c r="AN21" s="4" t="str">
        <v>true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13" t="s">
        <v>310</v>
      </c>
      <c r="B22" s="4">
        <v>0</v>
      </c>
      <c r="C22" s="4">
        <v>1.9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f>#VALUE!</f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 t="str">
        <f>MID("ciao",2,B22)</f>
        <v/>
      </c>
      <c r="R22" s="4" t="str">
        <f>MID("ciao",C22,2)</f>
        <v>ci</v>
      </c>
      <c r="S22" s="4" t="str">
        <f>MID(D22,1,2)</f>
        <v>2.</v>
      </c>
      <c r="T22" s="4" t="str">
        <f>MID("ciao",E22,2)</f>
        <v/>
      </c>
      <c r="U22" s="4" t="e">
        <f>MID("ciao",2,F22)</f>
        <v>#VALUE!</v>
      </c>
      <c r="V22" s="4" t="e">
        <f>MID("ciao",G22,2)</f>
        <v>#VALUE!</v>
      </c>
      <c r="W22" s="4" t="e">
        <f>MID("ciao",H22,D22)</f>
        <v>#VALUE!</v>
      </c>
      <c r="X22" s="4" t="str">
        <f>MID("ciao",I22,G22)</f>
        <v/>
      </c>
      <c r="Y22" s="4" t="e">
        <f>MID("ciao",J22,2)</f>
        <v>#VALUE!</v>
      </c>
      <c r="Z22" s="4" t="e">
        <f t="shared" ref="Z22:AE22" si="9">MID("ciao",K22,2)</f>
        <v>#N/A</v>
      </c>
      <c r="AA22" s="4" t="e">
        <f t="shared" si="9"/>
        <v>#DIV/0!</v>
      </c>
      <c r="AB22" s="4" t="e">
        <f t="shared" si="9"/>
        <v>#NAME?</v>
      </c>
      <c r="AC22" s="4" t="e">
        <f t="shared" si="9"/>
        <v>#NULL!</v>
      </c>
      <c r="AD22" s="4" t="e">
        <f t="shared" si="9"/>
        <v>#NUM!</v>
      </c>
      <c r="AE22" s="4" t="e">
        <f t="shared" si="9"/>
        <v>#REF!</v>
      </c>
      <c r="AF22" s="4" t="str">
        <f t="array" ref="AF22">MID({"ciao","bau"},3,2)</f>
        <v>ao</v>
      </c>
      <c r="AG22" s="4" t="e">
        <f t="array" ref="AG22:AI22">MID({"ciao","bau"},B22:C22,C22:D22)</f>
        <v>#VALUE!</v>
      </c>
      <c r="AH22" s="4" t="str">
        <v>ba</v>
      </c>
      <c r="AI22" s="4" t="e">
        <v>#N/A</v>
      </c>
      <c r="AJ22" s="4" t="str">
        <f t="array" ref="AJ22:AV22">MID("ciao",1,B22:P22)</f>
        <v/>
      </c>
      <c r="AK22" s="4" t="str">
        <v>c</v>
      </c>
      <c r="AL22" s="4" t="str">
        <v>ci</v>
      </c>
      <c r="AM22" s="4" t="str">
        <v>ciao</v>
      </c>
      <c r="AN22" s="4" t="e">
        <v>#VALUE!</v>
      </c>
      <c r="AO22" s="4" t="str">
        <v/>
      </c>
      <c r="AP22" s="4" t="e">
        <v>#VALUE!</v>
      </c>
      <c r="AQ22" s="4" t="str">
        <v>c</v>
      </c>
      <c r="AR22" s="4" t="e">
        <v>#VALUE!</v>
      </c>
      <c r="AS22" s="4" t="e">
        <v>#N/A</v>
      </c>
      <c r="AT22" s="4" t="e">
        <v>#DIV/0!</v>
      </c>
      <c r="AU22" s="4" t="e">
        <v>#NAME?</v>
      </c>
      <c r="AV22" s="4" t="e">
        <v>#NULL!</v>
      </c>
    </row>
    <row r="23" spans="1:48" x14ac:dyDescent="0.15">
      <c r="A23" s="12" t="s">
        <v>311</v>
      </c>
    </row>
    <row r="24" spans="1:48" x14ac:dyDescent="0.15">
      <c r="A24" s="12" t="s">
        <v>312</v>
      </c>
    </row>
    <row r="25" spans="1:48" x14ac:dyDescent="0.15">
      <c r="A25" s="12" t="s">
        <v>313</v>
      </c>
    </row>
    <row r="26" spans="1:48" x14ac:dyDescent="0.15">
      <c r="A26" s="12" t="s">
        <v>314</v>
      </c>
    </row>
    <row r="27" spans="1:48" x14ac:dyDescent="0.15">
      <c r="A27" s="13" t="s">
        <v>315</v>
      </c>
      <c r="B27" s="4">
        <v>0</v>
      </c>
      <c r="C27" s="4">
        <v>1.9</v>
      </c>
      <c r="D27" s="4">
        <v>2.2999999999999998</v>
      </c>
      <c r="E27" s="4">
        <v>10</v>
      </c>
      <c r="F27" s="4">
        <v>-1</v>
      </c>
      <c r="G27" s="6"/>
      <c r="H27" s="6" t="s">
        <v>32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 t="str">
        <f>REPLACE("ciao",2,B27,"vvv")</f>
        <v>cvvviao</v>
      </c>
      <c r="R27" s="4" t="str">
        <f>REPLACE("ciao",C27,2,"cc")</f>
        <v>ccao</v>
      </c>
      <c r="S27" s="4" t="str">
        <f>REPLACE(D27,1,2,"c")</f>
        <v>c3</v>
      </c>
      <c r="T27" s="4" t="str">
        <f>REPLACE("ciao",E27,2,3)</f>
        <v>ciao3</v>
      </c>
      <c r="U27" s="4" t="e">
        <f>REPLACE("ciao",2,F27,TRUE)</f>
        <v>#VALUE!</v>
      </c>
      <c r="V27" s="4" t="e">
        <f>REPLACE("ciao",G27,2,2)</f>
        <v>#VALUE!</v>
      </c>
      <c r="W27" s="4" t="e">
        <f>REPLACE("ciao",H27,D27,2)</f>
        <v>#VALUE!</v>
      </c>
      <c r="X27" s="4" t="str">
        <f>REPLACE("ciao",I27,G27,"a")</f>
        <v>aciao</v>
      </c>
      <c r="Y27" s="4" t="e">
        <f>REPLACE("ciao",J27,2,"vv")</f>
        <v>#VALUE!</v>
      </c>
      <c r="Z27" s="4" t="e">
        <f t="shared" ref="Z27:AE27" si="10">REPLACE("ciao",K27,2,"vv")</f>
        <v>#N/A</v>
      </c>
      <c r="AA27" s="4" t="e">
        <f t="shared" si="10"/>
        <v>#DIV/0!</v>
      </c>
      <c r="AB27" s="4" t="e">
        <f t="shared" si="10"/>
        <v>#NAME?</v>
      </c>
      <c r="AC27" s="4" t="e">
        <f t="shared" si="10"/>
        <v>#NULL!</v>
      </c>
      <c r="AD27" s="4" t="e">
        <f t="shared" si="10"/>
        <v>#NUM!</v>
      </c>
      <c r="AE27" s="4" t="e">
        <f t="shared" si="10"/>
        <v>#REF!</v>
      </c>
      <c r="AF27" s="4" t="str">
        <f t="array" ref="AF27">REPLACE({"ciao","bau"},3,2,{"ss","ee"})</f>
        <v>ciss</v>
      </c>
      <c r="AG27" s="4" t="str">
        <f t="array" ref="AG27:AI27">REPLACE({"ciao","bau"},2,C27:D27, {"ss","ee"})</f>
        <v>cssao</v>
      </c>
      <c r="AH27" s="4" t="str">
        <v>bee</v>
      </c>
      <c r="AI27" s="4" t="e">
        <v>#N/A</v>
      </c>
      <c r="AJ27" s="4" t="str">
        <f t="array" ref="AJ27:AV27">REPLACE("ciao",1,B27:P27,"cc")</f>
        <v>ccciao</v>
      </c>
      <c r="AK27" s="4" t="str">
        <v>cciao</v>
      </c>
      <c r="AL27" s="4" t="str">
        <v>ccao</v>
      </c>
      <c r="AM27" s="4" t="str">
        <v>cc</v>
      </c>
      <c r="AN27" s="4" t="e">
        <v>#VALUE!</v>
      </c>
      <c r="AO27" s="4" t="str">
        <v>ccciao</v>
      </c>
      <c r="AP27" s="4" t="e">
        <v>#VALUE!</v>
      </c>
      <c r="AQ27" s="4" t="str">
        <v>cciao</v>
      </c>
      <c r="AR27" s="4" t="e">
        <v>#VALUE!</v>
      </c>
      <c r="AS27" s="4" t="e">
        <v>#N/A</v>
      </c>
      <c r="AT27" s="4" t="e">
        <v>#DIV/0!</v>
      </c>
      <c r="AU27" s="4" t="e">
        <v>#NAME?</v>
      </c>
      <c r="AV27" s="4" t="e">
        <v>#NULL!</v>
      </c>
    </row>
    <row r="28" spans="1:48" x14ac:dyDescent="0.15">
      <c r="A28" s="12" t="s">
        <v>316</v>
      </c>
    </row>
    <row r="29" spans="1:48" x14ac:dyDescent="0.15">
      <c r="A29" s="12" t="s">
        <v>317</v>
      </c>
    </row>
    <row r="30" spans="1:48" x14ac:dyDescent="0.15">
      <c r="A30" s="13" t="s">
        <v>318</v>
      </c>
      <c r="B30" s="4">
        <v>0</v>
      </c>
      <c r="C30" s="4">
        <v>1.9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f>#VALUE!</f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4" t="str">
        <f>RIGHT("ciao",B30)</f>
        <v/>
      </c>
      <c r="R30" s="4" t="str">
        <f>RIGHT("ciao",C30)</f>
        <v>o</v>
      </c>
      <c r="S30" s="4" t="str">
        <f>RIGHT(D30,1)</f>
        <v>3</v>
      </c>
      <c r="T30" s="4" t="str">
        <f t="shared" ref="T30:AE30" si="11">RIGHT("ciao",E30)</f>
        <v>ciao</v>
      </c>
      <c r="U30" s="4" t="e">
        <f t="shared" si="11"/>
        <v>#VALUE!</v>
      </c>
      <c r="V30" s="4" t="str">
        <f t="shared" si="11"/>
        <v/>
      </c>
      <c r="W30" s="4" t="e">
        <f t="shared" si="11"/>
        <v>#VALUE!</v>
      </c>
      <c r="X30" s="4" t="str">
        <f t="shared" si="11"/>
        <v>o</v>
      </c>
      <c r="Y30" s="4" t="e">
        <f t="shared" si="11"/>
        <v>#VALUE!</v>
      </c>
      <c r="Z30" s="4" t="e">
        <f t="shared" si="11"/>
        <v>#N/A</v>
      </c>
      <c r="AA30" s="4" t="e">
        <f t="shared" si="11"/>
        <v>#DIV/0!</v>
      </c>
      <c r="AB30" s="4" t="e">
        <f t="shared" si="11"/>
        <v>#NAME?</v>
      </c>
      <c r="AC30" s="4" t="e">
        <f t="shared" si="11"/>
        <v>#NULL!</v>
      </c>
      <c r="AD30" s="4" t="e">
        <f t="shared" si="11"/>
        <v>#NUM!</v>
      </c>
      <c r="AE30" s="4" t="e">
        <f t="shared" si="11"/>
        <v>#REF!</v>
      </c>
      <c r="AF30" s="4" t="str">
        <f t="array" ref="AF30">RIGHT({"ciao","bau"},3)</f>
        <v>iao</v>
      </c>
      <c r="AG30" s="4" t="str">
        <f t="array" ref="AG30:AI30">RIGHT({"ciao","bau"},B30:C30)</f>
        <v/>
      </c>
      <c r="AH30" s="4" t="str">
        <v>u</v>
      </c>
      <c r="AI30" s="4" t="e">
        <v>#N/A</v>
      </c>
      <c r="AJ30" s="4" t="str">
        <f t="array" ref="AJ30:AV30">RIGHT("ciao",B30:P30)</f>
        <v/>
      </c>
      <c r="AK30" s="4" t="str">
        <v>o</v>
      </c>
      <c r="AL30" s="4" t="str">
        <v>ao</v>
      </c>
      <c r="AM30" s="4" t="str">
        <v>ciao</v>
      </c>
      <c r="AN30" s="4" t="e">
        <v>#VALUE!</v>
      </c>
      <c r="AO30" s="4" t="str">
        <v/>
      </c>
      <c r="AP30" s="4" t="e">
        <v>#VALUE!</v>
      </c>
      <c r="AQ30" s="4" t="str">
        <v>o</v>
      </c>
      <c r="AR30" s="4" t="e">
        <v>#VALUE!</v>
      </c>
      <c r="AS30" s="4" t="e">
        <v>#N/A</v>
      </c>
      <c r="AT30" s="4" t="e">
        <v>#DIV/0!</v>
      </c>
      <c r="AU30" s="4" t="e">
        <v>#NAME?</v>
      </c>
      <c r="AV30" s="4" t="e">
        <v>#NULL!</v>
      </c>
    </row>
    <row r="31" spans="1:48" x14ac:dyDescent="0.15">
      <c r="A31" s="12" t="s">
        <v>319</v>
      </c>
    </row>
    <row r="32" spans="1:48" x14ac:dyDescent="0.15">
      <c r="A32" s="13" t="s">
        <v>320</v>
      </c>
      <c r="B32" s="4">
        <v>0</v>
      </c>
      <c r="C32" s="4">
        <v>1.9</v>
      </c>
      <c r="D32" s="4">
        <v>2.2999999999999998</v>
      </c>
      <c r="E32" s="4">
        <v>10</v>
      </c>
      <c r="F32" s="4">
        <v>-1</v>
      </c>
      <c r="G32" s="6"/>
      <c r="H32" s="6" t="s">
        <v>32</v>
      </c>
      <c r="I32" s="6" t="b">
        <v>1</v>
      </c>
      <c r="J32" s="6" t="e">
        <f>#VALUE!</f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4" t="e">
        <f>SEARCH("BASE","database",B32)</f>
        <v>#VALUE!</v>
      </c>
      <c r="R32" s="4">
        <f t="shared" ref="R32:Z32" si="12">SEARCH("BASE","database",C32)</f>
        <v>5</v>
      </c>
      <c r="S32" s="4">
        <f t="shared" si="12"/>
        <v>5</v>
      </c>
      <c r="T32" s="4" t="e">
        <f>SEARCH("BASE","database",E32)</f>
        <v>#VALUE!</v>
      </c>
      <c r="U32" s="4" t="e">
        <f>SEARCH("BASE","database",F32)</f>
        <v>#VALUE!</v>
      </c>
      <c r="V32" s="4" t="e">
        <f>SEARCH("BASE","database",G32)</f>
        <v>#VALUE!</v>
      </c>
      <c r="W32" s="4" t="e">
        <f>SEARCH("BASE","database",H32)</f>
        <v>#VALUE!</v>
      </c>
      <c r="X32" s="4">
        <f t="shared" si="12"/>
        <v>5</v>
      </c>
      <c r="Y32" s="4" t="e">
        <f t="shared" si="12"/>
        <v>#VALUE!</v>
      </c>
      <c r="Z32" s="4" t="e">
        <f t="shared" si="12"/>
        <v>#N/A</v>
      </c>
      <c r="AA32" s="4" t="e">
        <f>SEARCH("BASE","database",L32)</f>
        <v>#DIV/0!</v>
      </c>
      <c r="AB32" s="4" t="e">
        <f>SEARCH("BASE","database",M32)</f>
        <v>#NAME?</v>
      </c>
      <c r="AC32" s="4" t="e">
        <f>SEARCH("BASE","database",N32)</f>
        <v>#NULL!</v>
      </c>
      <c r="AD32" s="4" t="e">
        <f>SEARCH("BASE","database",O32)</f>
        <v>#NUM!</v>
      </c>
      <c r="AE32" s="4" t="e">
        <f>SEARCH("BASE","database",P32)</f>
        <v>#REF!</v>
      </c>
      <c r="AF32" s="4">
        <f t="array" ref="AF32">SEARCH({"BASE","bau"},"database")</f>
        <v>5</v>
      </c>
      <c r="AG32" s="4">
        <f t="array" ref="AG32:AI32">SEARCH({"BASE","bau"},"database")</f>
        <v>5</v>
      </c>
      <c r="AH32" s="4" t="e">
        <v>#VALUE!</v>
      </c>
      <c r="AI32" s="4" t="e">
        <v>#N/A</v>
      </c>
      <c r="AJ32" s="4" t="e">
        <f t="array" ref="AJ32:AL32">SEARCH({"bau","BASE"},"database",B32:C32)</f>
        <v>#VALUE!</v>
      </c>
      <c r="AK32" s="4">
        <v>5</v>
      </c>
      <c r="AL32" s="4" t="e">
        <v>#N/A</v>
      </c>
      <c r="AM32" s="4" t="e">
        <f t="array" ref="AM32:AV32">SEARCH({"bau","BASE",3},"database",B32:D32)</f>
        <v>#VALUE!</v>
      </c>
      <c r="AN32" s="4">
        <v>5</v>
      </c>
      <c r="AO32" s="4" t="e">
        <v>#VALUE!</v>
      </c>
      <c r="AP32" s="4" t="e">
        <v>#N/A</v>
      </c>
      <c r="AQ32" s="4" t="e">
        <v>#N/A</v>
      </c>
      <c r="AR32" s="4" t="e">
        <v>#N/A</v>
      </c>
      <c r="AS32" s="4" t="e">
        <v>#N/A</v>
      </c>
      <c r="AT32" s="4" t="e">
        <v>#N/A</v>
      </c>
      <c r="AU32" s="4" t="e">
        <v>#N/A</v>
      </c>
      <c r="AV32" s="4" t="e">
        <v>#N/A</v>
      </c>
    </row>
    <row r="33" spans="1:48" x14ac:dyDescent="0.15">
      <c r="A33" s="12" t="s">
        <v>321</v>
      </c>
    </row>
    <row r="34" spans="1:48" x14ac:dyDescent="0.15">
      <c r="A34" s="13" t="s">
        <v>322</v>
      </c>
      <c r="B34" s="4">
        <v>0</v>
      </c>
      <c r="C34" s="4">
        <v>1.9</v>
      </c>
      <c r="D34" s="4">
        <v>2.2999999999999998</v>
      </c>
      <c r="E34" s="4">
        <v>10</v>
      </c>
      <c r="F34" s="4">
        <v>-1</v>
      </c>
      <c r="G34" s="6"/>
      <c r="H34" s="6" t="s">
        <v>32</v>
      </c>
      <c r="I34" s="6" t="b">
        <v>1</v>
      </c>
      <c r="J34" s="6" t="e">
        <f>#VALUE!</f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4" t="str">
        <f>SUBSTITUTE("0, 1.9,2.3,10,-1,ciao, TRUE",B34,"")</f>
        <v>, 1.9,2.3,1,-1,ciao, TRUE</v>
      </c>
      <c r="R34" s="4" t="str">
        <f t="shared" ref="R34:AE34" si="13">SUBSTITUTE("0, 1.9,2.3,10,-1,ciao, TRUE",C34,"")</f>
        <v>0, ,2.3,10,-1,ciao, TRUE</v>
      </c>
      <c r="S34" s="4" t="str">
        <f t="shared" si="13"/>
        <v>0, 1.9,,10,-1,ciao, TRUE</v>
      </c>
      <c r="T34" s="4" t="str">
        <f t="shared" si="13"/>
        <v>0, 1.9,2.3,,-1,ciao, TRUE</v>
      </c>
      <c r="U34" s="4" t="str">
        <f t="shared" si="13"/>
        <v>0, 1.9,2.3,10,,ciao, TRUE</v>
      </c>
      <c r="V34" s="4" t="str">
        <f>SUBSTITUTE("0, 1.9,2.3,10,-1,ciao, TRUE",G34,"")</f>
        <v>0, 1.9,2.3,10,-1,ciao, TRUE</v>
      </c>
      <c r="W34" s="4" t="str">
        <f t="shared" si="13"/>
        <v>0, 1.9,2.3,10,-1,, TRUE</v>
      </c>
      <c r="X34" s="4" t="str">
        <f t="shared" si="13"/>
        <v xml:space="preserve">0, 1.9,2.3,10,-1,ciao, </v>
      </c>
      <c r="Y34" s="4" t="e">
        <f t="shared" si="13"/>
        <v>#VALUE!</v>
      </c>
      <c r="Z34" s="4" t="e">
        <f t="shared" si="13"/>
        <v>#N/A</v>
      </c>
      <c r="AA34" s="4" t="e">
        <f t="shared" si="13"/>
        <v>#DIV/0!</v>
      </c>
      <c r="AB34" s="4" t="e">
        <f t="shared" si="13"/>
        <v>#NAME?</v>
      </c>
      <c r="AC34" s="4" t="e">
        <f t="shared" si="13"/>
        <v>#NULL!</v>
      </c>
      <c r="AD34" s="4" t="e">
        <f t="shared" si="13"/>
        <v>#NUM!</v>
      </c>
      <c r="AE34" s="4" t="e">
        <f t="shared" si="13"/>
        <v>#REF!</v>
      </c>
      <c r="AF34" s="4" t="str">
        <f t="array" ref="AF34">SUBSTITUTE("0, 1.9,2.3,10,-1,ciao, TRUE",B34:I34,"")</f>
        <v>, 1.9,2.3,1,-1,ciao, TRUE</v>
      </c>
      <c r="AG34" s="4" t="str">
        <f t="array" ref="AG34:AV34">SUBSTITUTE("0, 1.9,2.3,10,-1,ciao, TRUE",B34:P34,"")</f>
        <v>, 1.9,2.3,1,-1,ciao, TRUE</v>
      </c>
      <c r="AH34" s="4" t="str">
        <v>0, ,2.3,10,-1,ciao, TRUE</v>
      </c>
      <c r="AI34" s="4" t="str">
        <v>0, 1.9,,10,-1,ciao, TRUE</v>
      </c>
      <c r="AJ34" s="4" t="str">
        <v>0, 1.9,2.3,,-1,ciao, TRUE</v>
      </c>
      <c r="AK34" s="4" t="str">
        <v>0, 1.9,2.3,10,,ciao, TRUE</v>
      </c>
      <c r="AL34" s="4" t="str">
        <v>0, 1.9,2.3,10,-1,ciao, TRUE</v>
      </c>
      <c r="AM34" s="4" t="str">
        <v>0, 1.9,2.3,10,-1,, TRUE</v>
      </c>
      <c r="AN34" s="4" t="str">
        <v xml:space="preserve">0, 1.9,2.3,10,-1,ciao, </v>
      </c>
      <c r="AO34" s="4" t="e">
        <v>#VALUE!</v>
      </c>
      <c r="AP34" s="4" t="e">
        <v>#N/A</v>
      </c>
      <c r="AQ34" s="4" t="e">
        <v>#DIV/0!</v>
      </c>
      <c r="AR34" s="4" t="e">
        <v>#NAME?</v>
      </c>
      <c r="AS34" s="4" t="e">
        <v>#NULL!</v>
      </c>
      <c r="AT34" s="4" t="e">
        <v>#NUM!</v>
      </c>
      <c r="AU34" s="4" t="e">
        <v>#REF!</v>
      </c>
      <c r="AV34" s="4" t="e">
        <v>#N/A</v>
      </c>
    </row>
    <row r="35" spans="1:48" x14ac:dyDescent="0.15">
      <c r="A35" s="13" t="s">
        <v>323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504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b">
        <f>ISBLANK(T(B35))</f>
        <v>0</v>
      </c>
      <c r="R35" s="4" t="b">
        <f>ISTEXT(T(C35))</f>
        <v>1</v>
      </c>
      <c r="S35" s="4" t="str">
        <f t="shared" ref="S35:AE35" si="14">T(D35)</f>
        <v/>
      </c>
      <c r="T35" s="4" t="str">
        <f t="shared" si="14"/>
        <v/>
      </c>
      <c r="U35" s="4" t="str">
        <f t="shared" si="14"/>
        <v/>
      </c>
      <c r="V35" s="4" t="str">
        <f t="shared" si="14"/>
        <v/>
      </c>
      <c r="W35" s="4" t="str">
        <f t="shared" si="14"/>
        <v>26/08/1987</v>
      </c>
      <c r="X35" s="4" t="str">
        <f t="shared" si="14"/>
        <v/>
      </c>
      <c r="Y35" s="4" t="e">
        <f t="shared" si="14"/>
        <v>#VALUE!</v>
      </c>
      <c r="Z35" s="4" t="e">
        <f t="shared" si="14"/>
        <v>#N/A</v>
      </c>
      <c r="AA35" s="4" t="e">
        <f t="shared" si="14"/>
        <v>#DIV/0!</v>
      </c>
      <c r="AB35" s="4" t="e">
        <f t="shared" si="14"/>
        <v>#NAME?</v>
      </c>
      <c r="AC35" s="4" t="e">
        <f t="shared" si="14"/>
        <v>#NULL!</v>
      </c>
      <c r="AD35" s="4" t="e">
        <f t="shared" si="14"/>
        <v>#NUM!</v>
      </c>
      <c r="AE35" s="4" t="e">
        <f t="shared" si="14"/>
        <v>#REF!</v>
      </c>
      <c r="AF35" s="4" t="str">
        <f t="array" ref="AF35">T(B35:P35)</f>
        <v/>
      </c>
      <c r="AG35" s="4" t="str">
        <f t="array" ref="AG35:AJ35">T(H35:P35)</f>
        <v>26/08/1987</v>
      </c>
      <c r="AH35" s="4" t="str">
        <v>26/08/1987</v>
      </c>
      <c r="AI35" s="4" t="str">
        <v>26/08/1987</v>
      </c>
      <c r="AJ35" s="4" t="str">
        <v>26/08/1987</v>
      </c>
      <c r="AK35" s="4" t="e">
        <f t="array" ref="AK35:AM35">T(J35:P35)</f>
        <v>#VALUE!</v>
      </c>
      <c r="AL35" s="4" t="e">
        <v>#VALUE!</v>
      </c>
      <c r="AM35" s="4" t="e">
        <v>#VALUE!</v>
      </c>
      <c r="AN35" s="4" t="str">
        <f t="array" ref="AN35:AV35">T(G35:O35)</f>
        <v/>
      </c>
      <c r="AO35" s="4" t="str">
        <v/>
      </c>
      <c r="AP35" s="4" t="str">
        <v/>
      </c>
      <c r="AQ35" s="4" t="str">
        <v/>
      </c>
      <c r="AR35" s="4" t="str">
        <v/>
      </c>
      <c r="AS35" s="4" t="str">
        <v/>
      </c>
      <c r="AT35" s="4" t="str">
        <v/>
      </c>
      <c r="AU35" s="4" t="str">
        <v/>
      </c>
      <c r="AV35" s="4" t="str">
        <v/>
      </c>
    </row>
    <row r="36" spans="1:48" x14ac:dyDescent="0.15">
      <c r="A36" s="13" t="s">
        <v>324</v>
      </c>
      <c r="B36" s="4">
        <v>0</v>
      </c>
      <c r="C36" s="4">
        <v>1.9</v>
      </c>
      <c r="D36" s="4">
        <v>2.2999999999999998</v>
      </c>
      <c r="E36" s="4">
        <v>10</v>
      </c>
      <c r="F36" s="4">
        <v>-1</v>
      </c>
      <c r="G36" s="6"/>
      <c r="H36" s="20" t="s">
        <v>551</v>
      </c>
      <c r="I36" s="6" t="b">
        <v>1</v>
      </c>
      <c r="J36" s="6" t="e">
        <f>#VALUE!</f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4" t="str">
        <f t="shared" ref="Q36:V36" si="15">TEXT(B36,"#.00")</f>
        <v>.00</v>
      </c>
      <c r="R36" s="4" t="str">
        <f t="shared" si="15"/>
        <v>1.90</v>
      </c>
      <c r="S36" s="4" t="str">
        <f t="shared" si="15"/>
        <v>2.30</v>
      </c>
      <c r="T36" s="4" t="str">
        <f t="shared" si="15"/>
        <v>10.00</v>
      </c>
      <c r="U36" s="4" t="str">
        <f t="shared" si="15"/>
        <v>-1.00</v>
      </c>
      <c r="V36" s="4" t="str">
        <f t="shared" si="15"/>
        <v>.00</v>
      </c>
      <c r="W36" s="4" t="str">
        <f t="shared" ref="W36:AE36" si="16">TEXT(H36,"#.00")</f>
        <v>32015.00</v>
      </c>
      <c r="X36" s="4" t="str">
        <f t="shared" si="16"/>
        <v>TRUE</v>
      </c>
      <c r="Y36" s="4" t="e">
        <f t="shared" si="16"/>
        <v>#VALUE!</v>
      </c>
      <c r="Z36" s="4" t="e">
        <f t="shared" si="16"/>
        <v>#N/A</v>
      </c>
      <c r="AA36" s="4" t="e">
        <f t="shared" si="16"/>
        <v>#DIV/0!</v>
      </c>
      <c r="AB36" s="4" t="e">
        <f t="shared" si="16"/>
        <v>#NAME?</v>
      </c>
      <c r="AC36" s="4" t="e">
        <f t="shared" si="16"/>
        <v>#NULL!</v>
      </c>
      <c r="AD36" s="4" t="e">
        <f t="shared" si="16"/>
        <v>#NUM!</v>
      </c>
      <c r="AE36" s="4" t="e">
        <f t="shared" si="16"/>
        <v>#REF!</v>
      </c>
      <c r="AF36" s="4" t="str">
        <f t="array" ref="AF36">TEXT(B36:C36,"#.00")</f>
        <v>.00</v>
      </c>
      <c r="AG36" s="4" t="str">
        <f t="array" ref="AG36:AV36">TEXT(B36:P36,"#.00")</f>
        <v>.00</v>
      </c>
      <c r="AH36" s="4" t="str">
        <v>1.90</v>
      </c>
      <c r="AI36" s="4" t="str">
        <v>2.30</v>
      </c>
      <c r="AJ36" s="4" t="str">
        <v>10.00</v>
      </c>
      <c r="AK36" s="4" t="str">
        <v>-1.00</v>
      </c>
      <c r="AL36" s="4" t="str">
        <v>.00</v>
      </c>
      <c r="AM36" s="4" t="str">
        <v>32015.00</v>
      </c>
      <c r="AN36" s="4" t="str">
        <v>TRUE</v>
      </c>
      <c r="AO36" s="4" t="e">
        <v>#VALUE!</v>
      </c>
      <c r="AP36" s="4" t="e">
        <v>#N/A</v>
      </c>
      <c r="AQ36" s="4" t="e">
        <v>#DIV/0!</v>
      </c>
      <c r="AR36" s="4" t="e">
        <v>#NAME?</v>
      </c>
      <c r="AS36" s="4" t="e">
        <v>#NULL!</v>
      </c>
      <c r="AT36" s="4" t="e">
        <v>#NUM!</v>
      </c>
      <c r="AU36" s="4" t="e">
        <v>#REF!</v>
      </c>
      <c r="AV36" s="4" t="e">
        <v>#N/A</v>
      </c>
    </row>
    <row r="37" spans="1:48" x14ac:dyDescent="0.15">
      <c r="A37" s="12" t="s">
        <v>543</v>
      </c>
      <c r="G37" s="6"/>
      <c r="H37" s="20"/>
      <c r="I37" s="6"/>
      <c r="J37" s="6"/>
      <c r="K37" s="6"/>
      <c r="L37" s="8"/>
      <c r="M37" s="8"/>
      <c r="N37" s="8"/>
      <c r="O37" s="8"/>
      <c r="P37" s="8"/>
    </row>
    <row r="38" spans="1:48" x14ac:dyDescent="0.15">
      <c r="A38" s="12" t="s">
        <v>544</v>
      </c>
      <c r="G38" s="6"/>
      <c r="H38" s="20"/>
      <c r="I38" s="6"/>
      <c r="J38" s="6"/>
      <c r="K38" s="6"/>
      <c r="L38" s="8"/>
      <c r="M38" s="8"/>
      <c r="N38" s="8"/>
      <c r="O38" s="8"/>
      <c r="P38" s="8"/>
    </row>
    <row r="39" spans="1:48" x14ac:dyDescent="0.15">
      <c r="A39" s="13" t="s">
        <v>325</v>
      </c>
      <c r="B39" s="4">
        <v>0</v>
      </c>
      <c r="C39" s="4">
        <v>1.9</v>
      </c>
      <c r="D39" s="4">
        <v>2.2999999999999998</v>
      </c>
      <c r="E39" s="4">
        <v>10</v>
      </c>
      <c r="F39" s="4">
        <v>-1</v>
      </c>
      <c r="G39" s="6"/>
      <c r="H39" s="20" t="s">
        <v>504</v>
      </c>
      <c r="I39" s="6" t="b">
        <v>1</v>
      </c>
      <c r="J39" s="6" t="e">
        <f>#VALUE!</f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4" t="str">
        <f>_xlfn.TEXTJOIN(",",FALSE,B39:H39)</f>
        <v>0,1.9,2.3,10,-1,,26/08/1987</v>
      </c>
      <c r="R39" s="4" t="str">
        <f>_xlfn.TEXTJOIN(",",TRUE,C39:I39)</f>
        <v>1.9,2.3,10,-1,26/08/1987,TRUE</v>
      </c>
      <c r="S39" s="4" t="str">
        <f>_xlfn.TEXTJOIN(",",TRUE,D39:E39)</f>
        <v>2.3,10</v>
      </c>
      <c r="T39" s="4" t="str">
        <f t="shared" ref="T39:AE39" si="17">_xlfn.TEXTJOIN(",",TRUE,E39:F39)</f>
        <v>10,-1</v>
      </c>
      <c r="U39" s="4" t="str">
        <f t="shared" si="17"/>
        <v>-1</v>
      </c>
      <c r="V39" s="4" t="str">
        <f t="shared" si="17"/>
        <v>26/08/1987</v>
      </c>
      <c r="W39" s="4" t="str">
        <f t="shared" si="17"/>
        <v>26/08/1987,TRUE</v>
      </c>
      <c r="X39" s="4" t="e">
        <f t="shared" si="17"/>
        <v>#VALUE!</v>
      </c>
      <c r="Y39" s="4" t="e">
        <f t="shared" si="17"/>
        <v>#VALUE!</v>
      </c>
      <c r="Z39" s="4" t="e">
        <f t="shared" si="17"/>
        <v>#N/A</v>
      </c>
      <c r="AA39" s="4" t="e">
        <f t="shared" si="17"/>
        <v>#DIV/0!</v>
      </c>
      <c r="AB39" s="4" t="e">
        <f t="shared" si="17"/>
        <v>#NAME?</v>
      </c>
      <c r="AC39" s="4" t="e">
        <f t="shared" si="17"/>
        <v>#NULL!</v>
      </c>
      <c r="AD39" s="4" t="e">
        <f t="shared" si="17"/>
        <v>#NUM!</v>
      </c>
      <c r="AE39" s="4" t="e">
        <f t="shared" si="17"/>
        <v>#REF!</v>
      </c>
      <c r="AF39" s="4" t="str">
        <f>_xlfn.TEXTJOIN(",",TRUE,B39:I39)</f>
        <v>0,1.9,2.3,10,-1,26/08/1987,TRUE</v>
      </c>
      <c r="AG39" s="4" t="str">
        <f>_xlfn.TEXTJOIN({",",";"},TRUE,B39:C39)</f>
        <v>0,1.9</v>
      </c>
      <c r="AH39" s="4" t="str">
        <f t="array" ref="AH39:AV39">_xlfn.TEXTJOIN(",",FALSE, F41:H41)</f>
        <v>-1,,ciao</v>
      </c>
      <c r="AI39" s="4" t="str">
        <v>-1,,ciao</v>
      </c>
      <c r="AJ39" s="4" t="str">
        <v>-1,,ciao</v>
      </c>
      <c r="AK39" s="4" t="str">
        <v>-1,,ciao</v>
      </c>
      <c r="AL39" s="4" t="str">
        <v>-1,,ciao</v>
      </c>
      <c r="AM39" s="4" t="str">
        <v>-1,,ciao</v>
      </c>
      <c r="AN39" s="4" t="str">
        <v>-1,,ciao</v>
      </c>
      <c r="AO39" s="4" t="str">
        <v>-1,,ciao</v>
      </c>
      <c r="AP39" s="4" t="str">
        <v>-1,,ciao</v>
      </c>
      <c r="AQ39" s="4" t="str">
        <v>-1,,ciao</v>
      </c>
      <c r="AR39" s="4" t="str">
        <v>-1,,ciao</v>
      </c>
      <c r="AS39" s="4" t="str">
        <v>-1,,ciao</v>
      </c>
      <c r="AT39" s="4" t="str">
        <v>-1,,ciao</v>
      </c>
      <c r="AU39" s="4" t="str">
        <v>-1,,ciao</v>
      </c>
      <c r="AV39" s="4" t="str">
        <v>-1,,ciao</v>
      </c>
    </row>
    <row r="40" spans="1:48" x14ac:dyDescent="0.15">
      <c r="A40" s="12" t="s">
        <v>545</v>
      </c>
      <c r="G40" s="6"/>
      <c r="H40" s="20"/>
      <c r="I40" s="6"/>
      <c r="J40" s="6"/>
      <c r="K40" s="6"/>
      <c r="L40" s="8"/>
      <c r="M40" s="8"/>
      <c r="N40" s="8"/>
      <c r="O40" s="8"/>
      <c r="P40" s="8"/>
    </row>
    <row r="41" spans="1:48" x14ac:dyDescent="0.15">
      <c r="A41" s="13" t="s">
        <v>326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 t="str">
        <f>TRIM(B41)</f>
        <v>0</v>
      </c>
      <c r="R41" s="4" t="str">
        <f t="shared" ref="R41:AE41" si="18">TRIM(C41)</f>
        <v>1.9</v>
      </c>
      <c r="S41" s="4" t="str">
        <f t="shared" si="18"/>
        <v>2.3</v>
      </c>
      <c r="T41" s="4" t="str">
        <f t="shared" si="18"/>
        <v>10</v>
      </c>
      <c r="U41" s="4" t="str">
        <f t="shared" si="18"/>
        <v>-1</v>
      </c>
      <c r="V41" s="4" t="str">
        <f t="shared" si="18"/>
        <v/>
      </c>
      <c r="W41" s="4" t="str">
        <f t="shared" si="18"/>
        <v>ciao</v>
      </c>
      <c r="X41" s="4" t="str">
        <f t="shared" si="18"/>
        <v>TRUE</v>
      </c>
      <c r="Y41" s="4" t="e">
        <f t="shared" si="18"/>
        <v>#VALUE!</v>
      </c>
      <c r="Z41" s="4" t="e">
        <f t="shared" si="18"/>
        <v>#N/A</v>
      </c>
      <c r="AA41" s="4" t="e">
        <f t="shared" si="18"/>
        <v>#DIV/0!</v>
      </c>
      <c r="AB41" s="4" t="e">
        <f t="shared" si="18"/>
        <v>#NAME?</v>
      </c>
      <c r="AC41" s="4" t="e">
        <f t="shared" si="18"/>
        <v>#NULL!</v>
      </c>
      <c r="AD41" s="4" t="e">
        <f t="shared" si="18"/>
        <v>#NUM!</v>
      </c>
      <c r="AE41" s="4" t="e">
        <f t="shared" si="18"/>
        <v>#REF!</v>
      </c>
      <c r="AF41" s="4" t="str">
        <f t="array" ref="AF41">TRIM(B41:C41)</f>
        <v>0</v>
      </c>
      <c r="AG41" s="4" t="str">
        <f t="array" ref="AG41:AV41">TRIM(B41:P41)</f>
        <v>0</v>
      </c>
      <c r="AH41" s="4" t="str">
        <v>1.9</v>
      </c>
      <c r="AI41" s="4" t="str">
        <v>2.3</v>
      </c>
      <c r="AJ41" s="4" t="str">
        <v>10</v>
      </c>
      <c r="AK41" s="4" t="str">
        <v>-1</v>
      </c>
      <c r="AL41" s="4" t="str">
        <v/>
      </c>
      <c r="AM41" s="4" t="str">
        <v>ciao</v>
      </c>
      <c r="AN41" s="4" t="str">
        <v>TRUE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  <row r="42" spans="1:48" x14ac:dyDescent="0.15">
      <c r="A42" s="12" t="s">
        <v>327</v>
      </c>
    </row>
    <row r="43" spans="1:48" x14ac:dyDescent="0.15">
      <c r="A43" s="12" t="s">
        <v>328</v>
      </c>
    </row>
    <row r="44" spans="1:48" x14ac:dyDescent="0.15">
      <c r="A44" s="13" t="s">
        <v>329</v>
      </c>
      <c r="B44" s="4">
        <v>0</v>
      </c>
      <c r="C44" s="4">
        <v>1.9</v>
      </c>
      <c r="D44" s="4">
        <v>2.2999999999999998</v>
      </c>
      <c r="E44" s="4">
        <v>10</v>
      </c>
      <c r="F44" s="4">
        <v>-1</v>
      </c>
      <c r="G44" s="6"/>
      <c r="H44" s="6" t="s">
        <v>32</v>
      </c>
      <c r="I44" s="6" t="b">
        <v>1</v>
      </c>
      <c r="J44" s="6" t="e">
        <f>#VALUE!</f>
        <v>#VALUE!</v>
      </c>
      <c r="K44" s="6" t="e">
        <v>#N/A</v>
      </c>
      <c r="L44" s="8" t="e">
        <v>#DIV/0!</v>
      </c>
      <c r="M44" s="8" t="e">
        <v>#NAME?</v>
      </c>
      <c r="N44" s="8" t="e">
        <v>#NULL!</v>
      </c>
      <c r="O44" s="8" t="e">
        <v>#NUM!</v>
      </c>
      <c r="P44" s="8" t="e">
        <v>#REF!</v>
      </c>
      <c r="Q44" s="4" t="str">
        <f>UPPER(B44)</f>
        <v>0</v>
      </c>
      <c r="R44" s="4" t="str">
        <f t="shared" ref="R44:AE44" si="19">UPPER(C44)</f>
        <v>1.9</v>
      </c>
      <c r="S44" s="4" t="str">
        <f t="shared" si="19"/>
        <v>2.3</v>
      </c>
      <c r="T44" s="4" t="str">
        <f t="shared" si="19"/>
        <v>10</v>
      </c>
      <c r="U44" s="4" t="str">
        <f t="shared" si="19"/>
        <v>-1</v>
      </c>
      <c r="V44" s="4" t="str">
        <f t="shared" si="19"/>
        <v/>
      </c>
      <c r="W44" s="4" t="str">
        <f t="shared" si="19"/>
        <v>CIAO</v>
      </c>
      <c r="X44" s="4" t="str">
        <f t="shared" si="19"/>
        <v>TRUE</v>
      </c>
      <c r="Y44" s="4" t="e">
        <f t="shared" si="19"/>
        <v>#VALUE!</v>
      </c>
      <c r="Z44" s="4" t="e">
        <f t="shared" si="19"/>
        <v>#N/A</v>
      </c>
      <c r="AA44" s="4" t="e">
        <f t="shared" si="19"/>
        <v>#DIV/0!</v>
      </c>
      <c r="AB44" s="4" t="e">
        <f t="shared" si="19"/>
        <v>#NAME?</v>
      </c>
      <c r="AC44" s="4" t="e">
        <f t="shared" si="19"/>
        <v>#NULL!</v>
      </c>
      <c r="AD44" s="4" t="e">
        <f t="shared" si="19"/>
        <v>#NUM!</v>
      </c>
      <c r="AE44" s="4" t="e">
        <f t="shared" si="19"/>
        <v>#REF!</v>
      </c>
      <c r="AF44" s="4" t="str">
        <f t="array" ref="AF44">UPPER(B44:C44)</f>
        <v>0</v>
      </c>
      <c r="AG44" s="4" t="str">
        <f t="array" ref="AG44:AV44">UPPER(B44:P44)</f>
        <v>0</v>
      </c>
      <c r="AH44" s="4" t="str">
        <v>1.9</v>
      </c>
      <c r="AI44" s="4" t="str">
        <v>2.3</v>
      </c>
      <c r="AJ44" s="4" t="str">
        <v>10</v>
      </c>
      <c r="AK44" s="4" t="str">
        <v>-1</v>
      </c>
      <c r="AL44" s="4" t="str">
        <v/>
      </c>
      <c r="AM44" s="4" t="str">
        <v>CIAO</v>
      </c>
      <c r="AN44" s="4" t="str">
        <v>TRUE</v>
      </c>
      <c r="AO44" s="4" t="e">
        <v>#VALUE!</v>
      </c>
      <c r="AP44" s="4" t="e">
        <v>#N/A</v>
      </c>
      <c r="AQ44" s="4" t="e">
        <v>#DIV/0!</v>
      </c>
      <c r="AR44" s="4" t="e">
        <v>#NAME?</v>
      </c>
      <c r="AS44" s="4" t="e">
        <v>#NULL!</v>
      </c>
      <c r="AT44" s="4" t="e">
        <v>#NUM!</v>
      </c>
      <c r="AU44" s="4" t="e">
        <v>#REF!</v>
      </c>
      <c r="AV44" s="4" t="e">
        <v>#N/A</v>
      </c>
    </row>
    <row r="45" spans="1:48" x14ac:dyDescent="0.15">
      <c r="A45" s="13" t="s">
        <v>330</v>
      </c>
      <c r="B45" s="4">
        <v>0</v>
      </c>
      <c r="C45" s="4">
        <v>1.9</v>
      </c>
      <c r="D45" s="4">
        <v>2.2999999999999998</v>
      </c>
      <c r="E45" s="4">
        <v>10</v>
      </c>
      <c r="F45" s="4">
        <v>-1</v>
      </c>
      <c r="G45" s="6"/>
      <c r="H45" s="20" t="s">
        <v>551</v>
      </c>
      <c r="I45" s="6" t="b">
        <v>1</v>
      </c>
      <c r="J45" s="6" t="e">
        <f>#VALUE!</f>
        <v>#VALUE!</v>
      </c>
      <c r="K45" s="6" t="e">
        <v>#N/A</v>
      </c>
      <c r="L45" s="8" t="e">
        <v>#DIV/0!</v>
      </c>
      <c r="M45" s="8" t="e">
        <v>#NAME?</v>
      </c>
      <c r="N45" s="8" t="e">
        <v>#NULL!</v>
      </c>
      <c r="O45" s="8" t="e">
        <v>#NUM!</v>
      </c>
      <c r="P45" s="8" t="e">
        <v>#REF!</v>
      </c>
      <c r="Q45" s="4">
        <f t="shared" ref="Q45:AE45" si="20">VALUE(B45)</f>
        <v>0</v>
      </c>
      <c r="R45" s="4">
        <f t="shared" si="20"/>
        <v>1.9</v>
      </c>
      <c r="S45" s="4">
        <f t="shared" si="20"/>
        <v>2.2999999999999998</v>
      </c>
      <c r="T45" s="4">
        <f t="shared" si="20"/>
        <v>10</v>
      </c>
      <c r="U45" s="4">
        <f t="shared" si="20"/>
        <v>-1</v>
      </c>
      <c r="V45" s="4">
        <f t="shared" si="20"/>
        <v>0</v>
      </c>
      <c r="W45" s="4">
        <f t="shared" si="20"/>
        <v>32015</v>
      </c>
      <c r="X45" s="4" t="e">
        <f t="shared" si="20"/>
        <v>#VALUE!</v>
      </c>
      <c r="Y45" s="4" t="e">
        <f t="shared" si="20"/>
        <v>#VALUE!</v>
      </c>
      <c r="Z45" s="4" t="e">
        <f t="shared" si="20"/>
        <v>#N/A</v>
      </c>
      <c r="AA45" s="4" t="e">
        <f t="shared" si="20"/>
        <v>#DIV/0!</v>
      </c>
      <c r="AB45" s="4" t="e">
        <f t="shared" si="20"/>
        <v>#NAME?</v>
      </c>
      <c r="AC45" s="4" t="e">
        <f t="shared" si="20"/>
        <v>#NULL!</v>
      </c>
      <c r="AD45" s="4" t="e">
        <f t="shared" si="20"/>
        <v>#NUM!</v>
      </c>
      <c r="AE45" s="4" t="e">
        <f t="shared" si="20"/>
        <v>#REF!</v>
      </c>
      <c r="AF45" s="4">
        <f t="array" ref="AF45">VALUE(B45:C45)</f>
        <v>0</v>
      </c>
      <c r="AG45" s="4">
        <f t="array" ref="AG45:AV45">VALUE(B45:P45)</f>
        <v>0</v>
      </c>
      <c r="AH45" s="4">
        <v>1.9</v>
      </c>
      <c r="AI45" s="4">
        <v>2.2999999999999998</v>
      </c>
      <c r="AJ45" s="4">
        <v>10</v>
      </c>
      <c r="AK45" s="4">
        <v>-1</v>
      </c>
      <c r="AL45" s="4">
        <v>0</v>
      </c>
      <c r="AM45" s="4">
        <v>32015</v>
      </c>
      <c r="AN45" s="4" t="e">
        <v>#VALUE!</v>
      </c>
      <c r="AO45" s="4" t="e">
        <v>#VALUE!</v>
      </c>
      <c r="AP45" s="4" t="e">
        <v>#N/A</v>
      </c>
      <c r="AQ45" s="4" t="e">
        <v>#DIV/0!</v>
      </c>
      <c r="AR45" s="4" t="e">
        <v>#NAME?</v>
      </c>
      <c r="AS45" s="4" t="e">
        <v>#NULL!</v>
      </c>
      <c r="AT45" s="4" t="e">
        <v>#NUM!</v>
      </c>
      <c r="AU45" s="4" t="e">
        <v>#REF!</v>
      </c>
      <c r="AV45" s="4" t="e">
        <v>#N/A</v>
      </c>
    </row>
    <row r="46" spans="1:48" x14ac:dyDescent="0.15">
      <c r="A46" s="4" t="s">
        <v>525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Q160"/>
  <sheetViews>
    <sheetView topLeftCell="A18" zoomScaleNormal="190" workbookViewId="0">
      <selection activeCell="A38" sqref="A38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16" x14ac:dyDescent="0.2">
      <c r="A1" t="s">
        <v>324</v>
      </c>
      <c r="B1" s="43" t="s">
        <v>93</v>
      </c>
      <c r="C1" s="43"/>
      <c r="D1" s="43"/>
      <c r="E1" s="43"/>
    </row>
    <row r="2" spans="1:1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16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16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16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16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16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16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16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16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16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16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16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</row>
    <row r="14" spans="1:16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  <c r="J14">
        <v>1</v>
      </c>
      <c r="L14">
        <v>5</v>
      </c>
      <c r="M14" t="s">
        <v>512</v>
      </c>
    </row>
    <row r="15" spans="1:16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</row>
    <row r="16" spans="1:16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</row>
    <row r="17" spans="1:17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</row>
    <row r="18" spans="1:17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17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</row>
    <row r="20" spans="1:17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  <c r="F20">
        <v>1</v>
      </c>
      <c r="I20" t="e" cm="1" vm="1">
        <f t="array" ref="I20">_xlfn._xlws.FILTER({"a",2.1,"b",4.1},{FALSE,FALSE,FALSE,FALSE})</f>
        <v>#VALUE!</v>
      </c>
      <c r="J20" t="s">
        <v>510</v>
      </c>
      <c r="K20" t="str">
        <f t="array" ref="K20:K21">_xlfn._xlws.FILTER({"a",2.1,"b",4.1},{FALSE,FALSE,FALSE,FALSE}, J20:J21)</f>
        <v>A</v>
      </c>
      <c r="N20">
        <v>2.1</v>
      </c>
    </row>
    <row r="21" spans="1:17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  <c r="G21">
        <v>1</v>
      </c>
      <c r="J21" t="s">
        <v>511</v>
      </c>
      <c r="K21" t="str">
        <v>B</v>
      </c>
      <c r="N21" t="str">
        <v>b</v>
      </c>
    </row>
    <row r="22" spans="1:17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</row>
    <row r="23" spans="1:17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17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17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17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17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17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17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17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17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17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/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/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/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abSelected="1" topLeftCell="AD7" zoomScale="190" zoomScaleNormal="190" workbookViewId="0">
      <selection activeCell="AK19" sqref="AK19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21" width="5.6640625" style="4" bestFit="1" customWidth="1"/>
    <col min="22" max="22" width="5.1640625" style="4" bestFit="1" customWidth="1"/>
    <col min="23" max="25" width="5.6640625" style="4" bestFit="1" customWidth="1"/>
    <col min="26" max="26" width="5.1640625" style="4" bestFit="1" customWidth="1"/>
    <col min="27" max="29" width="5.6640625" style="4" bestFit="1" customWidth="1"/>
    <col min="30" max="31" width="4.83203125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458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458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1">AVERAGEA(K5:L5)</f>
        <v>#N/A</v>
      </c>
      <c r="AA5" s="6" t="e">
        <f t="shared" si="1"/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 t="shared" ref="Y6:AE6" si="2">AVERAGEIF(H6:I6,H6,J6:K6)</f>
        <v>#VALUE!</v>
      </c>
      <c r="Z6" s="6" t="e">
        <f t="shared" si="2"/>
        <v>#N/A</v>
      </c>
      <c r="AA6" s="6" t="e">
        <f t="shared" si="2"/>
        <v>#DIV/0!</v>
      </c>
      <c r="AB6" s="6" t="e">
        <f t="shared" si="2"/>
        <v>#NAME?</v>
      </c>
      <c r="AC6" s="6" t="e">
        <f t="shared" si="2"/>
        <v>#NULL!</v>
      </c>
      <c r="AD6" s="6" t="e">
        <f t="shared" si="2"/>
        <v>#NUM!</v>
      </c>
      <c r="AE6" s="6" t="e">
        <f t="shared" si="2"/>
        <v>#REF!</v>
      </c>
      <c r="AF6" s="6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3" t="s">
        <v>103</v>
      </c>
      <c r="B7" s="4">
        <v>1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20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AVERAGEIFS(D7:E7, B7:C7,1,D7:E7,2.3)</f>
        <v>2.2999999999999998</v>
      </c>
      <c r="R7" s="6">
        <f>AVERAGEIFS(E7:F7,C7:D7,"1")</f>
        <v>10</v>
      </c>
      <c r="S7" s="6">
        <f>AVERAGEIFS(F7:G7, D7:E7,"&gt;1")</f>
        <v>-1</v>
      </c>
      <c r="T7" s="6">
        <f>AVERAGEIFS(F7:G7,E7:F7,"&lt;&gt;-1")</f>
        <v>-1</v>
      </c>
      <c r="U7" s="6" t="e">
        <f>AVERAGEIFS(H7:I7,F7:G7,1)</f>
        <v>#DIV/0!</v>
      </c>
      <c r="V7" s="6" t="e">
        <f>AVERAGEIFS(C7:D7,G7:H7,G7)</f>
        <v>#DIV/0!</v>
      </c>
      <c r="W7" s="6">
        <f>AVERAGEIFS(D7:E7,H7:I7,H7)</f>
        <v>2.2999999999999998</v>
      </c>
      <c r="X7" s="6">
        <f>AVERAGEIFS(E7:F7,H7:I7,"&lt;=TRUE")</f>
        <v>-1</v>
      </c>
      <c r="Y7" s="6" t="e">
        <f>AVERAGEIFS(J7:K7,H7:I7,H7)</f>
        <v>#VALUE!</v>
      </c>
      <c r="Z7" s="6" t="e">
        <f t="shared" ref="Z7:AE7" si="3">AVERAGEIFS(K7:L7,I7:J7,I7)</f>
        <v>#N/A</v>
      </c>
      <c r="AA7" s="6" t="e">
        <f t="shared" si="3"/>
        <v>#DIV/0!</v>
      </c>
      <c r="AB7" s="6" t="e">
        <f t="shared" si="3"/>
        <v>#NAME?</v>
      </c>
      <c r="AC7" s="6" t="e">
        <f t="shared" si="3"/>
        <v>#NULL!</v>
      </c>
      <c r="AD7" s="6" t="e">
        <f t="shared" si="3"/>
        <v>#NUM!</v>
      </c>
      <c r="AE7" s="6" t="e">
        <f t="shared" si="3"/>
        <v>#REF!</v>
      </c>
      <c r="AF7" s="6" t="e">
        <f t="array" ref="AF7">AVERAGEIFS(D7:H7,C7:G7,{1,"&gt;3"}, B7:E7,{0,1})</f>
        <v>#VALUE!</v>
      </c>
      <c r="AG7" s="6">
        <f t="array" ref="AG7:AV7">AVERAGEIFS(B7:F7,E7:I7,{"*ao","","TRUE",TRUE,"*a?"})</f>
        <v>10</v>
      </c>
      <c r="AH7" s="6">
        <v>2.2999999999999998</v>
      </c>
      <c r="AI7" s="6">
        <v>-1</v>
      </c>
      <c r="AJ7" s="6">
        <v>-1</v>
      </c>
      <c r="AK7" s="6">
        <v>10</v>
      </c>
      <c r="AL7" s="6" t="e">
        <v>#N/A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4" t="e">
        <v>#N/A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458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460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458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3" t="s">
        <v>121</v>
      </c>
      <c r="B25" s="4">
        <v>1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20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>
        <f>COUNTIFS( B25:C25,1,D25:E25,2.3)</f>
        <v>1</v>
      </c>
      <c r="R25" s="6">
        <f>COUNTIFS(C25:D25,"1")</f>
        <v>1</v>
      </c>
      <c r="S25" s="6">
        <f>COUNTIFS( D25:E25,"&gt;1")</f>
        <v>2</v>
      </c>
      <c r="T25" s="6">
        <f>COUNTIFS(E25:F25,"&lt;&gt;-1")</f>
        <v>1</v>
      </c>
      <c r="U25" s="6">
        <f>COUNTIFS(F25:G25,1)</f>
        <v>0</v>
      </c>
      <c r="V25" s="6">
        <f>COUNTIFS(G25:H25,G25)</f>
        <v>0</v>
      </c>
      <c r="W25" s="6">
        <f>COUNTIFS(H25:I25,H25)</f>
        <v>1</v>
      </c>
      <c r="X25" s="6">
        <f>COUNTIFS(H25:I25,"&lt;=TRUE")</f>
        <v>1</v>
      </c>
      <c r="Y25" s="6">
        <f>COUNTIFS(H25:I25,H25)</f>
        <v>1</v>
      </c>
      <c r="Z25" s="6">
        <f>COUNTIFS(I25:J25,I25)</f>
        <v>1</v>
      </c>
      <c r="AA25" s="6">
        <f>COUNTIFS(J25:K25,J25)</f>
        <v>1</v>
      </c>
      <c r="AB25" s="6">
        <f>COUNTIFS(K25:L25,K25)</f>
        <v>1</v>
      </c>
      <c r="AC25" s="6">
        <f>COUNTIFS(L25:M25,L25)</f>
        <v>1</v>
      </c>
      <c r="AD25" s="6">
        <f>COUNTIFS(M25:N25,M25)</f>
        <v>1</v>
      </c>
      <c r="AE25" s="6">
        <f>COUNTIFS(N25:O25,N25)</f>
        <v>1</v>
      </c>
      <c r="AF25" s="6" t="e">
        <f t="array" ref="AF25">COUNTIFS(C25:G25,{1,"&gt;3"}, B25:E25,{0,1})</f>
        <v>#VALUE!</v>
      </c>
      <c r="AG25" s="6">
        <f t="array" ref="AG25:AV25">COUNTIFS(E25:I25,{"*ao","","TRUE",TRUE,"*a?"},C25:G25, "&gt;0")</f>
        <v>0</v>
      </c>
      <c r="AH25" s="6">
        <v>1</v>
      </c>
      <c r="AI25" s="6">
        <v>0</v>
      </c>
      <c r="AJ25" s="6">
        <v>0</v>
      </c>
      <c r="AK25" s="6">
        <v>0</v>
      </c>
      <c r="AL25" s="6" t="e">
        <v>#N/A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4" t="e">
        <v>#N/A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458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 t="shared" ref="R37:X37" si="9">FORECAST(H37,C37:E37,D37:F37)</f>
        <v>-20.523076923076921</v>
      </c>
      <c r="S37" s="4">
        <f t="shared" si="9"/>
        <v>2.500000000000005E-2</v>
      </c>
      <c r="T37" s="4" t="e">
        <f t="shared" si="9"/>
        <v>#VALUE!</v>
      </c>
      <c r="U37" s="4" t="e">
        <f t="shared" si="9"/>
        <v>#N/A</v>
      </c>
      <c r="V37" s="4" t="e">
        <f t="shared" si="9"/>
        <v>#DIV/0!</v>
      </c>
      <c r="W37" s="4" t="e">
        <f t="shared" si="9"/>
        <v>#NAME?</v>
      </c>
      <c r="X37" s="4" t="e">
        <f t="shared" si="9"/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>
        <f t="array" ref="AF37">FORECAST(B37:P37,{1,7,3,0}, {7,2,9,4})</f>
        <v>5.1206896551724137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458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>
        <f t="array" ref="AF42">_xlfn.FORECAST.LINEAR(B42:P42,{1,7,3,0}, {7,2,9,4})</f>
        <v>5.1206896551724137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461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>LARGE($B56:$I56,I56)</f>
        <v>2.2000000000000002</v>
      </c>
      <c r="Y56" s="6" t="e">
        <f>LARGE($B56:$J56,J56)</f>
        <v>#VALUE!</v>
      </c>
      <c r="Z56" s="6" t="e">
        <f t="shared" ref="Z56:AE56" si="11">LARGE($B56:$J56,K56)</f>
        <v>#N/A</v>
      </c>
      <c r="AA56" s="6" t="e">
        <f t="shared" si="11"/>
        <v>#DIV/0!</v>
      </c>
      <c r="AB56" s="6" t="e">
        <f t="shared" si="11"/>
        <v>#NAME?</v>
      </c>
      <c r="AC56" s="6" t="e">
        <f t="shared" si="11"/>
        <v>#NULL!</v>
      </c>
      <c r="AD56" s="6" t="e">
        <f t="shared" si="11"/>
        <v>#NUM!</v>
      </c>
      <c r="AE56" s="6" t="e">
        <f t="shared" si="11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458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2">MAX(K61:L61)</f>
        <v>#N/A</v>
      </c>
      <c r="AA61" s="6" t="e">
        <f t="shared" si="12"/>
        <v>#DIV/0!</v>
      </c>
      <c r="AB61" s="6" t="e">
        <f t="shared" si="12"/>
        <v>#NAME?</v>
      </c>
      <c r="AC61" s="6" t="e">
        <f t="shared" si="12"/>
        <v>#NULL!</v>
      </c>
      <c r="AD61" s="6" t="e">
        <f t="shared" si="12"/>
        <v>#NUM!</v>
      </c>
      <c r="AE61" s="6" t="e">
        <f t="shared" si="1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458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 t="shared" ref="Y62:AE62" si="13">MAXA(J62:K62)</f>
        <v>#VALUE!</v>
      </c>
      <c r="Z62" s="6" t="e">
        <f t="shared" si="13"/>
        <v>#N/A</v>
      </c>
      <c r="AA62" s="6" t="e">
        <f t="shared" si="13"/>
        <v>#DIV/0!</v>
      </c>
      <c r="AB62" s="6" t="e">
        <f t="shared" si="13"/>
        <v>#NAME?</v>
      </c>
      <c r="AC62" s="6" t="e">
        <f t="shared" si="13"/>
        <v>#NULL!</v>
      </c>
      <c r="AD62" s="6" t="e">
        <f t="shared" si="13"/>
        <v>#NUM!</v>
      </c>
      <c r="AE62" s="6" t="e">
        <f t="shared" si="13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3" t="s">
        <v>158</v>
      </c>
      <c r="B63" s="4">
        <v>1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20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_xlfn.MAXIFS(D63:E63, B63:C63,1,D63:E63,2.3)</f>
        <v>2.2999999999999998</v>
      </c>
      <c r="R63" s="6">
        <f>_xlfn.MAXIFS(E63:F63,C63:D63,"1")</f>
        <v>10</v>
      </c>
      <c r="S63" s="6">
        <f>_xlfn.MAXIFS(F63:G63, D63:E63,"&gt;1")</f>
        <v>-1</v>
      </c>
      <c r="T63" s="6">
        <f>_xlfn.MAXIFS(F63:G63,E63:F63,"&lt;&gt;-1")</f>
        <v>-1</v>
      </c>
      <c r="U63" s="6">
        <f>_xlfn.MAXIFS(H63:I63,F63:G63,1)</f>
        <v>0</v>
      </c>
      <c r="V63" s="6">
        <f>_xlfn.MAXIFS(C63:D63,G63:H63,G63)</f>
        <v>0</v>
      </c>
      <c r="W63" s="6">
        <f>_xlfn.MAXIFS(D63:E63,H63:I63,H63)</f>
        <v>2.2999999999999998</v>
      </c>
      <c r="X63" s="6">
        <f>_xlfn.MAXIFS(E63:F63,H63:I63,"&lt;=TRUE")</f>
        <v>-1</v>
      </c>
      <c r="Y63" s="6" t="e">
        <f>_xlfn.MAXIFS(J63:K63,H63:I63,H63)</f>
        <v>#VALUE!</v>
      </c>
      <c r="Z63" s="6" t="e">
        <f>_xlfn.MAXIFS(K63:L63,I63:J63,I63)</f>
        <v>#N/A</v>
      </c>
      <c r="AA63" s="6" t="e">
        <f>_xlfn.MAXIFS(L63:M63,J63:K63,J63)</f>
        <v>#DIV/0!</v>
      </c>
      <c r="AB63" s="6" t="e">
        <f>_xlfn.MAXIFS(M63:N63,K63:L63,K63)</f>
        <v>#NAME?</v>
      </c>
      <c r="AC63" s="6" t="e">
        <f>_xlfn.MAXIFS(N63:O63,L63:M63,L63)</f>
        <v>#NULL!</v>
      </c>
      <c r="AD63" s="6" t="e">
        <f t="shared" ref="AD63:AE63" si="14">_xlfn.MAXIFS(O63:P63,M63:N63,M63)</f>
        <v>#NUM!</v>
      </c>
      <c r="AE63" s="6" t="e">
        <f t="shared" si="14"/>
        <v>#REF!</v>
      </c>
      <c r="AF63" s="6" t="e">
        <f t="array" ref="AF63">_xlfn.MAXIFS(D63:H63,C63:G63,{1,"&gt;3"}, B63:E63,{0,1})</f>
        <v>#VALUE!</v>
      </c>
      <c r="AG63" s="6">
        <f t="array" ref="AG63:AV63">_xlfn.MAXIFS(B63:F63,E63:I63,{"*ao","","TRUE",TRUE,"*a?"},C63:G63, "&gt;0")</f>
        <v>0</v>
      </c>
      <c r="AH63" s="6">
        <v>2.2999999999999998</v>
      </c>
      <c r="AI63" s="6">
        <v>0</v>
      </c>
      <c r="AJ63" s="6">
        <v>0</v>
      </c>
      <c r="AK63" s="6">
        <v>0</v>
      </c>
      <c r="AL63" s="6" t="e">
        <v>#N/A</v>
      </c>
      <c r="AM63" s="6" t="e">
        <v>#N/A</v>
      </c>
      <c r="AN63" s="6" t="e">
        <v>#N/A</v>
      </c>
      <c r="AO63" s="6" t="e">
        <v>#N/A</v>
      </c>
      <c r="AP63" s="6" t="e">
        <v>#N/A</v>
      </c>
      <c r="AQ63" s="6" t="e">
        <v>#N/A</v>
      </c>
      <c r="AR63" s="6" t="e">
        <v>#N/A</v>
      </c>
      <c r="AS63" s="6" t="e">
        <v>#N/A</v>
      </c>
      <c r="AT63" s="6" t="e">
        <v>#N/A</v>
      </c>
      <c r="AU63" s="6" t="e">
        <v>#N/A</v>
      </c>
      <c r="AV63" s="4" t="e">
        <v>#N/A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458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>MEDIAN(L64:M64)</f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458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3" t="s">
        <v>160</v>
      </c>
      <c r="B66" s="4">
        <v>1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20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>_xlfn.MINIFS(D66:E66, B66:C66,1,D66:E66,2.3)</f>
        <v>2.2999999999999998</v>
      </c>
      <c r="R66" s="6">
        <f>_xlfn.MINIFS(E66:F66,C66:D66,"1")</f>
        <v>10</v>
      </c>
      <c r="S66" s="6">
        <f>_xlfn.MINIFS(F66:G66, D66:E66,"&gt;1")</f>
        <v>-1</v>
      </c>
      <c r="T66" s="6">
        <f>_xlfn.MINIFS(F66:G66,E66:F66,"&lt;&gt;-1")</f>
        <v>-1</v>
      </c>
      <c r="U66" s="6">
        <f>_xlfn.MINIFS(H66:I66,F66:G66,1)</f>
        <v>0</v>
      </c>
      <c r="V66" s="6">
        <f>_xlfn.MINIFS(C66:D66,G66:H66,G66)</f>
        <v>0</v>
      </c>
      <c r="W66" s="6">
        <f>_xlfn.MINIFS(D66:E66,H66:I66,H66)</f>
        <v>2.2999999999999998</v>
      </c>
      <c r="X66" s="6">
        <f>_xlfn.MINIFS(E66:F66,H66:I66,"&lt;=TRUE")</f>
        <v>-1</v>
      </c>
      <c r="Y66" s="6" t="e">
        <f>_xlfn.MINIFS(J66:K66,H66:I66,H66)</f>
        <v>#VALUE!</v>
      </c>
      <c r="Z66" s="6" t="e">
        <f t="shared" ref="Z66:AE66" si="17">_xlfn.MINIFS(K66:L66,I66:J66,I66)</f>
        <v>#N/A</v>
      </c>
      <c r="AA66" s="6" t="e">
        <f t="shared" si="17"/>
        <v>#DIV/0!</v>
      </c>
      <c r="AB66" s="6" t="e">
        <f t="shared" si="17"/>
        <v>#NAME?</v>
      </c>
      <c r="AC66" s="6" t="e">
        <f t="shared" si="17"/>
        <v>#NULL!</v>
      </c>
      <c r="AD66" s="6" t="e">
        <f t="shared" si="17"/>
        <v>#NUM!</v>
      </c>
      <c r="AE66" s="6" t="e">
        <f t="shared" si="17"/>
        <v>#REF!</v>
      </c>
      <c r="AF66" s="6" t="e">
        <f t="array" ref="AF66">_xlfn.MINIFS(D66:H66,C66:G66,{1,"&gt;3"}, B66:E66,{0,1})</f>
        <v>#VALUE!</v>
      </c>
      <c r="AG66" s="6">
        <f t="array" ref="AG66:AV66">_xlfn.MINIFS(B66:F66,E66:I66,{"*ao","","TRUE",TRUE,"*a?"},C66:G66, "&gt;0")</f>
        <v>0</v>
      </c>
      <c r="AH66" s="6">
        <v>2.2999999999999998</v>
      </c>
      <c r="AI66" s="6">
        <v>0</v>
      </c>
      <c r="AJ66" s="6">
        <v>0</v>
      </c>
      <c r="AK66" s="6">
        <v>0</v>
      </c>
      <c r="AL66" s="6" t="e">
        <v>#N/A</v>
      </c>
      <c r="AM66" s="6" t="e">
        <v>#N/A</v>
      </c>
      <c r="AN66" s="6" t="e">
        <v>#N/A</v>
      </c>
      <c r="AO66" s="6" t="e">
        <v>#N/A</v>
      </c>
      <c r="AP66" s="6" t="e">
        <v>#N/A</v>
      </c>
      <c r="AQ66" s="6" t="e">
        <v>#N/A</v>
      </c>
      <c r="AR66" s="6" t="e">
        <v>#N/A</v>
      </c>
      <c r="AS66" s="6" t="e">
        <v>#N/A</v>
      </c>
      <c r="AT66" s="6" t="e">
        <v>#N/A</v>
      </c>
      <c r="AU66" s="6" t="e">
        <v>#N/A</v>
      </c>
      <c r="AV66" s="4" t="e">
        <v>#N/A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458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8">MINA(J67:K67)</f>
        <v>#VALUE!</v>
      </c>
      <c r="Z67" s="6" t="e">
        <f t="shared" si="18"/>
        <v>#N/A</v>
      </c>
      <c r="AA67" s="6" t="e">
        <f t="shared" si="18"/>
        <v>#DIV/0!</v>
      </c>
      <c r="AB67" s="6" t="e">
        <f t="shared" si="18"/>
        <v>#NAME?</v>
      </c>
      <c r="AC67" s="6" t="e">
        <f t="shared" si="18"/>
        <v>#NULL!</v>
      </c>
      <c r="AD67" s="6" t="e">
        <f t="shared" si="18"/>
        <v>#NUM!</v>
      </c>
      <c r="AE67" s="6" t="e">
        <f t="shared" si="18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3" t="s">
        <v>165</v>
      </c>
      <c r="B71" s="4">
        <v>0</v>
      </c>
      <c r="C71" s="4">
        <v>-0.1</v>
      </c>
      <c r="D71" s="4">
        <v>0.7</v>
      </c>
      <c r="E71" s="4">
        <v>3</v>
      </c>
      <c r="F71" s="4">
        <v>4</v>
      </c>
      <c r="G71" s="6"/>
      <c r="H71" s="20" t="s">
        <v>458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 t="e">
        <f>_xlfn.NORM.DIST(B71,,,)</f>
        <v>#NUM!</v>
      </c>
      <c r="R71" s="6">
        <f>_xlfn.NORM.DIST(C71,1,2,FALSE)</f>
        <v>0.17147192750969195</v>
      </c>
      <c r="S71" s="6">
        <f>_xlfn.NORM.DIST(D71,"1","3",5)</f>
        <v>0.46017216272297101</v>
      </c>
      <c r="T71" s="6">
        <f>_xlfn.NORM.DIST(E71,-1,2,"TRUE")</f>
        <v>0.97724986805182079</v>
      </c>
      <c r="U71" s="6" t="e">
        <f>_xlfn.NORM.DIST(F71, 0,0,1)</f>
        <v>#NUM!</v>
      </c>
      <c r="V71" s="6">
        <f>_xlfn.NORM.DIST(G71,G71,F71,1)</f>
        <v>0.5</v>
      </c>
      <c r="W71" s="6">
        <f>_xlfn.NORM.DIST(H71,,H71,1)</f>
        <v>0.84134474606854304</v>
      </c>
      <c r="X71" s="6">
        <f>_xlfn.NORM.DIST(I71,H71,D71,1)</f>
        <v>0</v>
      </c>
      <c r="Y71" s="6" t="e">
        <f t="shared" ref="Y71:AE71" si="19">_xlfn.NORM.DIST(J71,H71,F71,1)</f>
        <v>#VALUE!</v>
      </c>
      <c r="Z71" s="6" t="e">
        <f t="shared" si="19"/>
        <v>#N/A</v>
      </c>
      <c r="AA71" s="6" t="e">
        <f t="shared" si="19"/>
        <v>#DIV/0!</v>
      </c>
      <c r="AB71" s="6" t="e">
        <f t="shared" si="19"/>
        <v>#NAME?</v>
      </c>
      <c r="AC71" s="6" t="e">
        <f t="shared" si="19"/>
        <v>#NULL!</v>
      </c>
      <c r="AD71" s="6" t="e">
        <f t="shared" si="19"/>
        <v>#NUM!</v>
      </c>
      <c r="AE71" s="6" t="e">
        <f t="shared" si="19"/>
        <v>#REF!</v>
      </c>
      <c r="AF71" s="6">
        <f t="array" ref="AF71">_xlfn.NORM.DIST(B71:P71,3,3,1)</f>
        <v>0.15865525393145699</v>
      </c>
      <c r="AG71" s="6">
        <f t="array" ref="AG71:AV71">_xlfn.NORM.DIST(B71:P71,3,4,1)</f>
        <v>0.22662735237686821</v>
      </c>
      <c r="AH71" s="6">
        <v>0.21916982979337737</v>
      </c>
      <c r="AI71" s="6">
        <v>0.28264564849720064</v>
      </c>
      <c r="AJ71" s="6">
        <v>0.5</v>
      </c>
      <c r="AK71" s="6">
        <v>0.5987063256829237</v>
      </c>
      <c r="AL71" s="6">
        <v>0.22662735237686821</v>
      </c>
      <c r="AM71" s="6">
        <v>1</v>
      </c>
      <c r="AN71" s="6">
        <v>0.30853753872598688</v>
      </c>
      <c r="AO71" s="6" t="e">
        <v>#VALUE!</v>
      </c>
      <c r="AP71" s="6" t="e">
        <v>#N/A</v>
      </c>
      <c r="AQ71" s="6" t="e">
        <v>#DIV/0!</v>
      </c>
      <c r="AR71" s="6" t="e">
        <v>#NAME?</v>
      </c>
      <c r="AS71" s="6" t="e">
        <v>#NULL!</v>
      </c>
      <c r="AT71" s="6" t="e">
        <v>#NUM!</v>
      </c>
      <c r="AU71" s="6" t="e">
        <v>#REF!</v>
      </c>
      <c r="AV71" s="4" t="e">
        <v>#N/A</v>
      </c>
    </row>
    <row r="72" spans="1:48" x14ac:dyDescent="0.15">
      <c r="A72" s="13" t="s">
        <v>166</v>
      </c>
      <c r="B72" s="4">
        <v>0</v>
      </c>
      <c r="C72" s="4">
        <v>-0.1</v>
      </c>
      <c r="D72" s="4">
        <v>0.7</v>
      </c>
      <c r="E72" s="4">
        <v>2E-3</v>
      </c>
      <c r="F72" s="4">
        <v>4</v>
      </c>
      <c r="G72" s="6"/>
      <c r="H72" s="20" t="s">
        <v>458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 t="e">
        <f>_xlfn.NORM.INV(B72,4,4)</f>
        <v>#NUM!</v>
      </c>
      <c r="R72" s="6" t="e">
        <f>_xlfn.NORM.INV(C72,2,2)</f>
        <v>#NUM!</v>
      </c>
      <c r="S72" s="6">
        <f>_xlfn.NORM.INV(0.4,2,D72)</f>
        <v>1.8226570278049401</v>
      </c>
      <c r="T72" s="6">
        <f>_xlfn.NORM.INV(E72,4,3)</f>
        <v>-4.6344852172864481</v>
      </c>
      <c r="U72" s="6" t="e">
        <f>_xlfn.NORM.INV(F72,C72,D72)</f>
        <v>#NUM!</v>
      </c>
      <c r="V72" s="6" t="e">
        <f>_xlfn.NORM.INV(G72,3,2)</f>
        <v>#NUM!</v>
      </c>
      <c r="W72" s="6">
        <f>_xlfn.NORM.INV(0.3,H72,2)</f>
        <v>58.951198974583917</v>
      </c>
      <c r="X72" s="6">
        <f>_xlfn.NORM.INV(0.3,I72,2)</f>
        <v>-4.8801025416081778E-2</v>
      </c>
      <c r="Y72" s="6" t="e">
        <f>_xlfn.NORM.INV(J72,B72,D72)</f>
        <v>#VALUE!</v>
      </c>
      <c r="Z72" s="6" t="e">
        <f t="shared" ref="Z72:AE72" si="20">_xlfn.NORM.INV(K72,C72,E72)</f>
        <v>#N/A</v>
      </c>
      <c r="AA72" s="6" t="e">
        <f t="shared" si="20"/>
        <v>#DIV/0!</v>
      </c>
      <c r="AB72" s="6" t="e">
        <f t="shared" si="20"/>
        <v>#NAME?</v>
      </c>
      <c r="AC72" s="6" t="e">
        <f t="shared" si="20"/>
        <v>#NULL!</v>
      </c>
      <c r="AD72" s="6" t="e">
        <f t="shared" si="20"/>
        <v>#NUM!</v>
      </c>
      <c r="AE72" s="6" t="e">
        <f t="shared" si="20"/>
        <v>#REF!</v>
      </c>
      <c r="AF72" s="6" t="e">
        <f t="array" ref="AF72">_xlfn.NORM.INV(B72:P72,3,3)</f>
        <v>#NUM!</v>
      </c>
      <c r="AG72" s="6" t="e">
        <f t="array" ref="AG72:AV72">_xlfn.NORM.INV(B72:P72, 3,2)</f>
        <v>#NUM!</v>
      </c>
      <c r="AH72" s="6" t="e">
        <v>#NUM!</v>
      </c>
      <c r="AI72" s="6">
        <v>4.0488010254160818</v>
      </c>
      <c r="AJ72" s="6">
        <v>-2.7563234781909651</v>
      </c>
      <c r="AK72" s="6" t="e">
        <v>#NUM!</v>
      </c>
      <c r="AL72" s="6" t="e">
        <v>#NUM!</v>
      </c>
      <c r="AM72" s="6" t="e">
        <v>#NUM!</v>
      </c>
      <c r="AN72" s="6" t="e">
        <v>#NUM!</v>
      </c>
      <c r="AO72" s="6" t="e">
        <v>#VALUE!</v>
      </c>
      <c r="AP72" s="6" t="e">
        <v>#N/A</v>
      </c>
      <c r="AQ72" s="6" t="e">
        <v>#DIV/0!</v>
      </c>
      <c r="AR72" s="6" t="e">
        <v>#NAME?</v>
      </c>
      <c r="AS72" s="6" t="e">
        <v>#NULL!</v>
      </c>
      <c r="AT72" s="6" t="e">
        <v>#NUM!</v>
      </c>
      <c r="AU72" s="6" t="e">
        <v>#REF!</v>
      </c>
      <c r="AV72" s="4" t="e">
        <v>#N/A</v>
      </c>
    </row>
    <row r="73" spans="1:48" x14ac:dyDescent="0.15">
      <c r="A73" s="13" t="s">
        <v>167</v>
      </c>
      <c r="B73" s="4">
        <v>0</v>
      </c>
      <c r="C73" s="4">
        <v>-0.1</v>
      </c>
      <c r="D73" s="4">
        <v>0.7</v>
      </c>
      <c r="E73" s="4">
        <v>3</v>
      </c>
      <c r="F73" s="4">
        <v>4</v>
      </c>
      <c r="G73" s="6"/>
      <c r="H73" s="20" t="s">
        <v>458</v>
      </c>
      <c r="I73" s="6" t="b">
        <v>1</v>
      </c>
      <c r="J73" s="6" t="e">
        <v>#VALUE!</v>
      </c>
      <c r="K73" s="6" t="e">
        <v>#N/A</v>
      </c>
      <c r="L73" s="8" t="e">
        <v>#DIV/0!</v>
      </c>
      <c r="M73" s="8" t="e">
        <v>#NAME?</v>
      </c>
      <c r="N73" s="8" t="e">
        <v>#NULL!</v>
      </c>
      <c r="O73" s="8" t="e">
        <v>#NUM!</v>
      </c>
      <c r="P73" s="8" t="e">
        <v>#REF!</v>
      </c>
      <c r="Q73" s="6">
        <f>_xlfn.NORM.S.DIST(B73,)</f>
        <v>0.3989422804014327</v>
      </c>
      <c r="R73" s="6">
        <f>_xlfn.NORM.S.DIST(C73,FALSE)</f>
        <v>0.39695254747701181</v>
      </c>
      <c r="S73" s="6" t="e">
        <f>_xlfn.NORM.S.DIST(D73,"1")</f>
        <v>#VALUE!</v>
      </c>
      <c r="T73" s="6">
        <f>_xlfn.NORM.S.DIST(E73,"TRUE")</f>
        <v>0.9986501019683699</v>
      </c>
      <c r="U73" s="6">
        <f>_xlfn.NORM.S.DIST(F73,1)</f>
        <v>0.99996832875816688</v>
      </c>
      <c r="V73" s="6">
        <f t="shared" ref="V73:AE73" si="21">_xlfn.NORM.S.DIST(G73,1)</f>
        <v>0.5</v>
      </c>
      <c r="W73" s="6">
        <f>_xlfn.NORM.S.DIST(H73,1)</f>
        <v>1</v>
      </c>
      <c r="X73" s="6">
        <f>_xlfn.NORM.S.DIST(I73,1)</f>
        <v>0.84134474606854304</v>
      </c>
      <c r="Y73" s="6" t="e">
        <f t="shared" si="21"/>
        <v>#VALUE!</v>
      </c>
      <c r="Z73" s="6" t="e">
        <f t="shared" si="21"/>
        <v>#N/A</v>
      </c>
      <c r="AA73" s="6" t="e">
        <f t="shared" si="21"/>
        <v>#DIV/0!</v>
      </c>
      <c r="AB73" s="6" t="e">
        <f t="shared" si="21"/>
        <v>#NAME?</v>
      </c>
      <c r="AC73" s="6" t="e">
        <f t="shared" si="21"/>
        <v>#NULL!</v>
      </c>
      <c r="AD73" s="6" t="e">
        <f t="shared" si="21"/>
        <v>#NUM!</v>
      </c>
      <c r="AE73" s="6" t="e">
        <f t="shared" si="21"/>
        <v>#REF!</v>
      </c>
      <c r="AF73" s="6">
        <f t="array" ref="AF73">_xlfn.NORM.S.DIST(B73:P73,1)</f>
        <v>0.5</v>
      </c>
      <c r="AG73" s="6">
        <f t="array" ref="AG73:AV73">_xlfn.NORM.S.DIST(B73:P73,1)</f>
        <v>0.5</v>
      </c>
      <c r="AH73" s="6">
        <v>0.46017216272297101</v>
      </c>
      <c r="AI73" s="6">
        <v>0.75803634777692697</v>
      </c>
      <c r="AJ73" s="6">
        <v>0.9986501019683699</v>
      </c>
      <c r="AK73" s="6">
        <v>0.99996832875816688</v>
      </c>
      <c r="AL73" s="6">
        <v>0.5</v>
      </c>
      <c r="AM73" s="6">
        <v>1</v>
      </c>
      <c r="AN73" s="6">
        <v>0.84134474606854304</v>
      </c>
      <c r="AO73" s="6" t="e">
        <v>#VALUE!</v>
      </c>
      <c r="AP73" s="6" t="e">
        <v>#N/A</v>
      </c>
      <c r="AQ73" s="6" t="e">
        <v>#DIV/0!</v>
      </c>
      <c r="AR73" s="6" t="e">
        <v>#NAME?</v>
      </c>
      <c r="AS73" s="6" t="e">
        <v>#NULL!</v>
      </c>
      <c r="AT73" s="6" t="e">
        <v>#NUM!</v>
      </c>
      <c r="AU73" s="6" t="e">
        <v>#REF!</v>
      </c>
      <c r="AV73" s="4" t="e">
        <v>#N/A</v>
      </c>
    </row>
    <row r="74" spans="1:48" x14ac:dyDescent="0.15">
      <c r="A74" s="13" t="s">
        <v>168</v>
      </c>
      <c r="B74" s="4">
        <v>0</v>
      </c>
      <c r="C74" s="4">
        <v>-0.1</v>
      </c>
      <c r="D74" s="4">
        <v>0.7</v>
      </c>
      <c r="E74" s="4">
        <v>2E-3</v>
      </c>
      <c r="F74" s="4">
        <v>4</v>
      </c>
      <c r="G74" s="6"/>
      <c r="H74" s="20" t="s">
        <v>458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 t="e">
        <f>_xlfn.NORM.S.INV(B74)</f>
        <v>#NUM!</v>
      </c>
      <c r="R74" s="6" t="e">
        <f>_xlfn.NORM.S.INV(C74)</f>
        <v>#NUM!</v>
      </c>
      <c r="S74" s="6">
        <f>_xlfn.NORM.S.INV(D74)</f>
        <v>0.52440051270804078</v>
      </c>
      <c r="T74" s="6">
        <f t="shared" ref="T74:AD74" si="22">_xlfn.NORM.S.INV(E74)</f>
        <v>-2.8781617390954826</v>
      </c>
      <c r="U74" s="6" t="e">
        <f t="shared" si="22"/>
        <v>#NUM!</v>
      </c>
      <c r="V74" s="6" t="e">
        <f t="shared" si="22"/>
        <v>#NUM!</v>
      </c>
      <c r="W74" s="6" t="e">
        <f t="shared" si="22"/>
        <v>#NUM!</v>
      </c>
      <c r="X74" s="6" t="e">
        <f>_xlfn.NORM.S.INV(I74)</f>
        <v>#NUM!</v>
      </c>
      <c r="Y74" s="6" t="e">
        <f>_xlfn.NORM.S.INV(J74)</f>
        <v>#VALUE!</v>
      </c>
      <c r="Z74" s="6" t="e">
        <f t="shared" si="22"/>
        <v>#N/A</v>
      </c>
      <c r="AA74" s="6" t="e">
        <f t="shared" si="22"/>
        <v>#DIV/0!</v>
      </c>
      <c r="AB74" s="6" t="e">
        <f t="shared" si="22"/>
        <v>#NAME?</v>
      </c>
      <c r="AC74" s="6" t="e">
        <f t="shared" si="22"/>
        <v>#NULL!</v>
      </c>
      <c r="AD74" s="6" t="e">
        <f t="shared" si="22"/>
        <v>#NUM!</v>
      </c>
      <c r="AE74" s="6" t="e">
        <f>_xlfn.NORM.S.INV(P74)</f>
        <v>#REF!</v>
      </c>
      <c r="AF74" s="6" t="e">
        <f t="array" ref="AF74">_xlfn.NORM.S.INV(B74:P74)</f>
        <v>#NUM!</v>
      </c>
      <c r="AG74" s="6" t="e">
        <f t="array" ref="AG74:AV74">_xlfn.NORM.S.INV(B74:P74)</f>
        <v>#NUM!</v>
      </c>
      <c r="AH74" s="6" t="e">
        <v>#NUM!</v>
      </c>
      <c r="AI74" s="6">
        <v>0.52440051270804078</v>
      </c>
      <c r="AJ74" s="6">
        <v>-2.8781617390954826</v>
      </c>
      <c r="AK74" s="6" t="e">
        <v>#NUM!</v>
      </c>
      <c r="AL74" s="6" t="e">
        <v>#NUM!</v>
      </c>
      <c r="AM74" s="6" t="e">
        <v>#NUM!</v>
      </c>
      <c r="AN74" s="6" t="e">
        <v>#NUM!</v>
      </c>
      <c r="AO74" s="6" t="e">
        <v>#VALUE!</v>
      </c>
      <c r="AP74" s="6" t="e">
        <v>#N/A</v>
      </c>
      <c r="AQ74" s="6" t="e">
        <v>#DIV/0!</v>
      </c>
      <c r="AR74" s="6" t="e">
        <v>#NAME?</v>
      </c>
      <c r="AS74" s="6" t="e">
        <v>#NULL!</v>
      </c>
      <c r="AT74" s="6" t="e">
        <v>#NUM!</v>
      </c>
      <c r="AU74" s="6" t="e">
        <v>#REF!</v>
      </c>
      <c r="AV74" s="4" t="e">
        <v>#N/A</v>
      </c>
    </row>
    <row r="75" spans="1:48" x14ac:dyDescent="0.15">
      <c r="A75" s="12" t="s">
        <v>169</v>
      </c>
    </row>
    <row r="76" spans="1:48" x14ac:dyDescent="0.15">
      <c r="A76" s="13" t="s">
        <v>170</v>
      </c>
      <c r="B76" s="4">
        <v>0</v>
      </c>
      <c r="C76" s="4">
        <v>-10</v>
      </c>
      <c r="D76" s="4">
        <v>0.9</v>
      </c>
      <c r="E76" s="4">
        <v>0.1</v>
      </c>
      <c r="F76" s="4">
        <v>-0.1</v>
      </c>
      <c r="G76" s="6"/>
      <c r="H76" s="20" t="s">
        <v>462</v>
      </c>
      <c r="I76" s="6" t="b">
        <v>1</v>
      </c>
      <c r="J76" s="6" t="e">
        <v>#VALUE!</v>
      </c>
      <c r="K76" s="6" t="e">
        <v>#N/A</v>
      </c>
      <c r="L76" s="8" t="e">
        <v>#DIV/0!</v>
      </c>
      <c r="M76" s="8" t="e">
        <v>#NAME?</v>
      </c>
      <c r="N76" s="8" t="e">
        <v>#NULL!</v>
      </c>
      <c r="O76" s="8" t="e">
        <v>#NUM!</v>
      </c>
      <c r="P76" s="8" t="e">
        <v>#REF!</v>
      </c>
      <c r="Q76" s="6">
        <f>_xlfn.PERCENTILE.EXC(B76:E76,".2")</f>
        <v>-10</v>
      </c>
      <c r="R76" s="6" t="e">
        <f>_xlfn.PERCENTILE.EXC(B76:G76,D76)</f>
        <v>#NUM!</v>
      </c>
      <c r="S76" s="6" t="e">
        <f>_xlfn.PERCENTILE.EXC(C76:E76,E76)</f>
        <v>#NUM!</v>
      </c>
      <c r="T76" s="6" t="e">
        <f>_xlfn.PERCENTILE.EXC(E76:F76,F76)</f>
        <v>#NUM!</v>
      </c>
      <c r="U76" s="6" t="e">
        <f>_xlfn.PERCENTILE.EXC(F76:G76,G76)</f>
        <v>#NUM!</v>
      </c>
      <c r="V76" s="6" t="e">
        <f>_xlfn.PERCENTILE.EXC(C76:D76,H76)</f>
        <v>#NUM!</v>
      </c>
      <c r="W76" s="6" t="e">
        <f>_xlfn.PERCENTILE.EXC(D76:H76,I76)</f>
        <v>#NUM!</v>
      </c>
      <c r="X76" s="6" t="e">
        <f>_xlfn.PERCENTILE.EXC(H76:I76,J76)</f>
        <v>#VALUE!</v>
      </c>
      <c r="Y76" s="6" t="e">
        <f t="shared" ref="Y76:AE76" si="23">_xlfn.PERCENTILE.EXC(J76:K76,K76)</f>
        <v>#N/A</v>
      </c>
      <c r="Z76" s="6" t="e">
        <f t="shared" si="23"/>
        <v>#DIV/0!</v>
      </c>
      <c r="AA76" s="6" t="e">
        <f t="shared" si="23"/>
        <v>#NAME?</v>
      </c>
      <c r="AB76" s="6" t="e">
        <f t="shared" si="23"/>
        <v>#NULL!</v>
      </c>
      <c r="AC76" s="6" t="e">
        <f t="shared" si="23"/>
        <v>#NUM!</v>
      </c>
      <c r="AD76" s="6" t="e">
        <f t="shared" si="23"/>
        <v>#REF!</v>
      </c>
      <c r="AE76" s="6" t="e">
        <f t="shared" si="23"/>
        <v>#REF!</v>
      </c>
      <c r="AF76" s="6" t="e">
        <f t="array" ref="AF76">_xlfn.PERCENTILE.EXC(B76:F76,0.03)</f>
        <v>#NUM!</v>
      </c>
      <c r="AG76" s="6" t="e">
        <f t="array" ref="AG76:AV76">_xlfn.PERCENTILE.EXC(B76:I76,B76:P76)</f>
        <v>#NUM!</v>
      </c>
      <c r="AH76" s="6" t="e"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#VALUE!</v>
      </c>
      <c r="AP76" s="6" t="e">
        <v>#N/A</v>
      </c>
      <c r="AQ76" s="6" t="e">
        <v>#DIV/0!</v>
      </c>
      <c r="AR76" s="6" t="e">
        <v>#NAME?</v>
      </c>
      <c r="AS76" s="6" t="e">
        <v>#NULL!</v>
      </c>
      <c r="AT76" s="6" t="e">
        <v>#NUM!</v>
      </c>
      <c r="AU76" s="6" t="e">
        <v>#REF!</v>
      </c>
      <c r="AV76" s="4" t="e">
        <v>#N/A</v>
      </c>
    </row>
    <row r="77" spans="1:48" x14ac:dyDescent="0.15">
      <c r="A77" s="13" t="s">
        <v>171</v>
      </c>
      <c r="B77" s="4">
        <v>0</v>
      </c>
      <c r="C77" s="4">
        <v>-10</v>
      </c>
      <c r="D77" s="4">
        <v>0.9</v>
      </c>
      <c r="E77" s="4">
        <v>0.1</v>
      </c>
      <c r="F77" s="4">
        <v>-0.1</v>
      </c>
      <c r="G77" s="6"/>
      <c r="H77" s="20" t="s">
        <v>462</v>
      </c>
      <c r="I77" s="6" t="b">
        <v>1</v>
      </c>
      <c r="J77" s="6" t="e">
        <v>#VALUE!</v>
      </c>
      <c r="K77" s="6" t="e">
        <v>#N/A</v>
      </c>
      <c r="L77" s="8" t="e">
        <v>#DIV/0!</v>
      </c>
      <c r="M77" s="8" t="e">
        <v>#NAME?</v>
      </c>
      <c r="N77" s="8" t="e">
        <v>#NULL!</v>
      </c>
      <c r="O77" s="8" t="e">
        <v>#NUM!</v>
      </c>
      <c r="P77" s="8" t="e">
        <v>#REF!</v>
      </c>
      <c r="Q77" s="6">
        <f>_xlfn.PERCENTILE.INC(B77:C77,".2")</f>
        <v>-8</v>
      </c>
      <c r="R77" s="6">
        <f>_xlfn.PERCENTILE.INC(B77:I77,D77)</f>
        <v>0.57999999999999974</v>
      </c>
      <c r="S77" s="6">
        <f>_xlfn.PERCENTILE.INC(D77:E77,E77)</f>
        <v>0.18000000000000008</v>
      </c>
      <c r="T77" s="6" t="e">
        <f>_xlfn.PERCENTILE.INC(E77:F77,F77)</f>
        <v>#NUM!</v>
      </c>
      <c r="U77" s="6">
        <f>_xlfn.PERCENTILE.INC(F77:G77,G77)</f>
        <v>-0.1</v>
      </c>
      <c r="V77" s="6">
        <f>_xlfn.PERCENTILE.INC(C77:D77,H77)</f>
        <v>0.9</v>
      </c>
      <c r="W77" s="6">
        <f>_xlfn.PERCENTILE.INC(D77:H77,I77)</f>
        <v>0.9</v>
      </c>
      <c r="X77" s="6" t="e">
        <f>_xlfn.PERCENTILE.INC(H77:I77,J77)</f>
        <v>#VALUE!</v>
      </c>
      <c r="Y77" s="6" t="e">
        <f t="shared" ref="Y77:AE77" si="24">_xlfn.PERCENTILE.INC(J77:K77,K77)</f>
        <v>#N/A</v>
      </c>
      <c r="Z77" s="6" t="e">
        <f t="shared" si="24"/>
        <v>#DIV/0!</v>
      </c>
      <c r="AA77" s="6" t="e">
        <f t="shared" si="24"/>
        <v>#NAME?</v>
      </c>
      <c r="AB77" s="6" t="e">
        <f t="shared" si="24"/>
        <v>#NULL!</v>
      </c>
      <c r="AC77" s="6" t="e">
        <f t="shared" si="24"/>
        <v>#NUM!</v>
      </c>
      <c r="AD77" s="6" t="e">
        <f t="shared" si="24"/>
        <v>#REF!</v>
      </c>
      <c r="AE77" s="6" t="e">
        <f t="shared" si="24"/>
        <v>#REF!</v>
      </c>
      <c r="AF77" s="6">
        <f t="array" ref="AF77">_xlfn.PERCENTILE.INC(B77:F77,0.03)</f>
        <v>-8.8119999999999994</v>
      </c>
      <c r="AG77" s="6">
        <f t="array" ref="AG77:AV77">_xlfn.PERCENTILE.INC(B77:I77,B77:P77)</f>
        <v>-10</v>
      </c>
      <c r="AH77" s="6" t="e">
        <v>#NUM!</v>
      </c>
      <c r="AI77" s="6">
        <v>0.57999999999999974</v>
      </c>
      <c r="AJ77" s="6">
        <v>-6.0400000000000009</v>
      </c>
      <c r="AK77" s="6" t="e">
        <v>#NUM!</v>
      </c>
      <c r="AL77" s="6">
        <v>-10</v>
      </c>
      <c r="AM77" s="6">
        <v>0.9</v>
      </c>
      <c r="AN77" s="6">
        <v>0.9</v>
      </c>
      <c r="AO77" s="6" t="e">
        <v>#VALUE!</v>
      </c>
      <c r="AP77" s="6" t="e">
        <v>#N/A</v>
      </c>
      <c r="AQ77" s="6" t="e">
        <v>#DIV/0!</v>
      </c>
      <c r="AR77" s="6" t="e">
        <v>#NAME?</v>
      </c>
      <c r="AS77" s="6" t="e">
        <v>#NULL!</v>
      </c>
      <c r="AT77" s="6" t="e">
        <v>#NUM!</v>
      </c>
      <c r="AU77" s="6" t="e">
        <v>#REF!</v>
      </c>
      <c r="AV77" s="4" t="e">
        <v>#N/A</v>
      </c>
    </row>
    <row r="78" spans="1:48" x14ac:dyDescent="0.15">
      <c r="A78" s="12" t="s">
        <v>172</v>
      </c>
      <c r="G78" s="6"/>
      <c r="H78" s="20"/>
      <c r="I78" s="6"/>
      <c r="J78" s="6"/>
      <c r="K78" s="6"/>
      <c r="L78" s="8"/>
      <c r="M78" s="8"/>
      <c r="N78" s="8"/>
      <c r="O78" s="8"/>
      <c r="P78" s="8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12" t="s">
        <v>173</v>
      </c>
      <c r="B79" s="12"/>
      <c r="C79" s="12"/>
      <c r="D79" s="12"/>
      <c r="E79" s="12"/>
      <c r="F79" s="12"/>
      <c r="G79" s="33"/>
      <c r="H79" s="3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12"/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3" t="s">
        <v>179</v>
      </c>
      <c r="B85" s="4">
        <v>0</v>
      </c>
      <c r="C85" s="4">
        <v>-10</v>
      </c>
      <c r="D85" s="4">
        <v>0.9</v>
      </c>
      <c r="E85" s="4">
        <v>2.2000000000000002</v>
      </c>
      <c r="F85" s="4">
        <v>-0.1</v>
      </c>
      <c r="G85" s="6"/>
      <c r="H85" s="20" t="s">
        <v>462</v>
      </c>
      <c r="I85" s="6" t="b">
        <v>1</v>
      </c>
      <c r="J85" s="6" t="e">
        <v>#VALUE!</v>
      </c>
      <c r="K85" s="6" t="e">
        <v>#N/A</v>
      </c>
      <c r="L85" s="8" t="e">
        <v>#DIV/0!</v>
      </c>
      <c r="M85" s="8" t="e">
        <v>#NAME?</v>
      </c>
      <c r="N85" s="8" t="e">
        <v>#NULL!</v>
      </c>
      <c r="O85" s="8" t="e">
        <v>#NUM!</v>
      </c>
      <c r="P85" s="8" t="e">
        <v>#REF!</v>
      </c>
      <c r="Q85" s="6">
        <f>_xlfn.QUARTILE.EXC(B85:C85,"2")</f>
        <v>-5</v>
      </c>
      <c r="R85" s="6">
        <f>_xlfn.QUARTILE.EXC(B85:F85,2)</f>
        <v>0</v>
      </c>
      <c r="S85" s="6">
        <f>_xlfn.QUARTILE.EXC(D85:E85,E85)</f>
        <v>1.5500000000000003</v>
      </c>
      <c r="T85" s="6" t="e">
        <f>_xlfn.QUARTILE.EXC(D85:E85,1)</f>
        <v>#NUM!</v>
      </c>
      <c r="U85" s="6" t="e">
        <f>_xlfn.QUARTILE.EXC(C85:G85,G85)</f>
        <v>#NUM!</v>
      </c>
      <c r="V85" s="6" t="e">
        <f>_xlfn.QUARTILE.EXC(C85:D85,H85)</f>
        <v>#NUM!</v>
      </c>
      <c r="W85" s="6">
        <f>_xlfn.QUARTILE.EXC(D85:H85,I85)</f>
        <v>-0.1</v>
      </c>
      <c r="X85" s="6" t="e">
        <f>_xlfn.QUARTILE.EXC(H85:I85,J85)</f>
        <v>#VALUE!</v>
      </c>
      <c r="Y85" s="6" t="e">
        <f t="shared" ref="Y85:AE85" si="25">_xlfn.QUARTILE.EXC(J85:K85,K85)</f>
        <v>#N/A</v>
      </c>
      <c r="Z85" s="6" t="e">
        <f t="shared" si="25"/>
        <v>#DIV/0!</v>
      </c>
      <c r="AA85" s="6" t="e">
        <f t="shared" si="25"/>
        <v>#NAME?</v>
      </c>
      <c r="AB85" s="6" t="e">
        <f t="shared" si="25"/>
        <v>#NULL!</v>
      </c>
      <c r="AC85" s="6" t="e">
        <f t="shared" si="25"/>
        <v>#NUM!</v>
      </c>
      <c r="AD85" s="6" t="e">
        <f t="shared" si="25"/>
        <v>#REF!</v>
      </c>
      <c r="AE85" s="6" t="e">
        <f t="shared" si="25"/>
        <v>#REF!</v>
      </c>
      <c r="AF85" s="6">
        <f t="array" ref="AF85">_xlfn.QUARTILE.EXC(B85:F85,3)</f>
        <v>1.5500000000000003</v>
      </c>
      <c r="AG85" s="6" t="e">
        <f t="array" ref="AG85:AV85">_xlfn.QUARTILE.EXC(B85:I85,B85:P85)</f>
        <v>#NUM!</v>
      </c>
      <c r="AH85" s="6" t="e">
        <v>#NUM!</v>
      </c>
      <c r="AI85" s="6" t="e">
        <v>#NUM!</v>
      </c>
      <c r="AJ85" s="6">
        <v>0</v>
      </c>
      <c r="AK85" s="6" t="e">
        <v>#NUM!</v>
      </c>
      <c r="AL85" s="6" t="e">
        <v>#NUM!</v>
      </c>
      <c r="AM85" s="6">
        <v>-5.05</v>
      </c>
      <c r="AN85" s="6">
        <v>-5.05</v>
      </c>
      <c r="AO85" s="6" t="e">
        <v>#VALUE!</v>
      </c>
      <c r="AP85" s="6" t="e">
        <v>#N/A</v>
      </c>
      <c r="AQ85" s="6" t="e">
        <v>#DIV/0!</v>
      </c>
      <c r="AR85" s="6" t="e">
        <v>#NAME?</v>
      </c>
      <c r="AS85" s="6" t="e">
        <v>#NULL!</v>
      </c>
      <c r="AT85" s="6" t="e">
        <v>#NUM!</v>
      </c>
      <c r="AU85" s="6" t="e">
        <v>#REF!</v>
      </c>
      <c r="AV85" s="4" t="e">
        <v>#N/A</v>
      </c>
    </row>
    <row r="86" spans="1:48" x14ac:dyDescent="0.15">
      <c r="A86" s="13" t="s">
        <v>180</v>
      </c>
      <c r="B86" s="12">
        <v>0</v>
      </c>
      <c r="C86" s="12">
        <v>-10</v>
      </c>
      <c r="D86" s="12">
        <v>0.9</v>
      </c>
      <c r="E86" s="12">
        <v>2.2000000000000002</v>
      </c>
      <c r="F86" s="12">
        <v>-0.1</v>
      </c>
      <c r="G86" s="33"/>
      <c r="H86" s="34" t="s">
        <v>462</v>
      </c>
      <c r="I86" s="33" t="b">
        <v>1</v>
      </c>
      <c r="J86" s="33" t="e">
        <v>#VALUE!</v>
      </c>
      <c r="K86" s="33" t="e">
        <v>#N/A</v>
      </c>
      <c r="L86" s="33" t="e">
        <v>#DIV/0!</v>
      </c>
      <c r="M86" s="33" t="e">
        <v>#NAME?</v>
      </c>
      <c r="N86" s="33" t="e">
        <v>#NULL!</v>
      </c>
      <c r="O86" s="33" t="e">
        <v>#NUM!</v>
      </c>
      <c r="P86" s="33" t="e">
        <v>#REF!</v>
      </c>
      <c r="Q86" s="33">
        <f>_xlfn.QUARTILE.INC(B86:C86,"2")</f>
        <v>-5</v>
      </c>
      <c r="R86" s="33">
        <f>_xlfn.QUARTILE.INC(B86:F86,2)</f>
        <v>0</v>
      </c>
      <c r="S86" s="33">
        <f>_xlfn.QUARTILE.INC(D86:E86,E86)</f>
        <v>1.5500000000000003</v>
      </c>
      <c r="T86" s="33">
        <f>_xlfn.QUARTILE.INC(D86:E86,1)</f>
        <v>1.2250000000000001</v>
      </c>
      <c r="U86" s="33">
        <f>_xlfn.QUARTILE.INC(C86:G86,G86)</f>
        <v>-10</v>
      </c>
      <c r="V86" s="33">
        <f>_xlfn.QUARTILE.INC(C86:D86,H86)</f>
        <v>-7.2750000000000004</v>
      </c>
      <c r="W86" s="33">
        <f>_xlfn.QUARTILE.INC(D86:H86,I86)</f>
        <v>0.4</v>
      </c>
      <c r="X86" s="33" t="e">
        <f>_xlfn.QUARTILE.INC(H86:I86,J86)</f>
        <v>#VALUE!</v>
      </c>
      <c r="Y86" s="33" t="e">
        <f t="shared" ref="Y86:AE86" si="26">_xlfn.QUARTILE.INC(J86:K86,K86)</f>
        <v>#N/A</v>
      </c>
      <c r="Z86" s="33" t="e">
        <f t="shared" si="26"/>
        <v>#DIV/0!</v>
      </c>
      <c r="AA86" s="33" t="e">
        <f t="shared" si="26"/>
        <v>#NAME?</v>
      </c>
      <c r="AB86" s="33" t="e">
        <f t="shared" si="26"/>
        <v>#NULL!</v>
      </c>
      <c r="AC86" s="33" t="e">
        <f t="shared" si="26"/>
        <v>#NUM!</v>
      </c>
      <c r="AD86" s="33" t="e">
        <f t="shared" si="26"/>
        <v>#REF!</v>
      </c>
      <c r="AE86" s="33" t="e">
        <f t="shared" si="26"/>
        <v>#REF!</v>
      </c>
      <c r="AF86" s="33">
        <f t="array" ref="AF86">_xlfn.QUARTILE.INC(B86:F86,3)</f>
        <v>0.9</v>
      </c>
      <c r="AG86" s="33">
        <f t="array" ref="AG86:AV86">_xlfn.QUARTILE.INC(B86:I86,B86:P86)</f>
        <v>-10</v>
      </c>
      <c r="AH86" s="33" t="e">
        <v>#NUM!</v>
      </c>
      <c r="AI86" s="33">
        <v>-10</v>
      </c>
      <c r="AJ86" s="33">
        <v>0</v>
      </c>
      <c r="AK86" s="33" t="e">
        <v>#NUM!</v>
      </c>
      <c r="AL86" s="33">
        <v>-10</v>
      </c>
      <c r="AM86" s="33">
        <v>-0.1</v>
      </c>
      <c r="AN86" s="33">
        <v>-0.1</v>
      </c>
      <c r="AO86" s="33" t="e">
        <v>#VALUE!</v>
      </c>
      <c r="AP86" s="33" t="e">
        <v>#N/A</v>
      </c>
      <c r="AQ86" s="33" t="e">
        <v>#DIV/0!</v>
      </c>
      <c r="AR86" s="33" t="e">
        <v>#NAME?</v>
      </c>
      <c r="AS86" s="33" t="e">
        <v>#NULL!</v>
      </c>
      <c r="AT86" s="33" t="e">
        <v>#NUM!</v>
      </c>
      <c r="AU86" s="33" t="e">
        <v>#REF!</v>
      </c>
      <c r="AV86" s="12" t="e">
        <v>#N/A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462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27">SMALL($B93:$J93,J93)</f>
        <v>#VALUE!</v>
      </c>
      <c r="Z93" s="6" t="e">
        <f t="shared" si="27"/>
        <v>#N/A</v>
      </c>
      <c r="AA93" s="6" t="e">
        <f t="shared" si="27"/>
        <v>#DIV/0!</v>
      </c>
      <c r="AB93" s="6" t="e">
        <f t="shared" si="27"/>
        <v>#NAME?</v>
      </c>
      <c r="AC93" s="6" t="e">
        <f t="shared" si="27"/>
        <v>#NULL!</v>
      </c>
      <c r="AD93" s="6" t="e">
        <f t="shared" si="27"/>
        <v>#NUM!</v>
      </c>
      <c r="AE93" s="6" t="e">
        <f t="shared" si="27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462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 t="shared" ref="Y95:AE95" si="28">_xlfn.STDEV.P(J95:K95)</f>
        <v>#VALUE!</v>
      </c>
      <c r="Z95" s="6" t="e">
        <f t="shared" si="28"/>
        <v>#N/A</v>
      </c>
      <c r="AA95" s="6" t="e">
        <f t="shared" si="28"/>
        <v>#DIV/0!</v>
      </c>
      <c r="AB95" s="6" t="e">
        <f t="shared" si="28"/>
        <v>#NAME?</v>
      </c>
      <c r="AC95" s="6" t="e">
        <f t="shared" si="28"/>
        <v>#NULL!</v>
      </c>
      <c r="AD95" s="6" t="e">
        <f t="shared" si="28"/>
        <v>#NUM!</v>
      </c>
      <c r="AE95" s="6" t="e">
        <f t="shared" si="28"/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462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 t="shared" ref="Y96:AE96" si="29">_xlfn.STDEV.S(J96:K96)</f>
        <v>#VALUE!</v>
      </c>
      <c r="Z96" s="6" t="e">
        <f t="shared" si="29"/>
        <v>#N/A</v>
      </c>
      <c r="AA96" s="6" t="e">
        <f t="shared" si="29"/>
        <v>#DIV/0!</v>
      </c>
      <c r="AB96" s="6" t="e">
        <f t="shared" si="29"/>
        <v>#NAME?</v>
      </c>
      <c r="AC96" s="6" t="e">
        <f t="shared" si="29"/>
        <v>#NULL!</v>
      </c>
      <c r="AD96" s="6" t="e">
        <f t="shared" si="29"/>
        <v>#NUM!</v>
      </c>
      <c r="AE96" s="6" t="e">
        <f t="shared" si="29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462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 t="shared" ref="Y97:AE97" si="30">STDEVA(J97:K97)</f>
        <v>#VALUE!</v>
      </c>
      <c r="Z97" s="6" t="e">
        <f t="shared" si="30"/>
        <v>#N/A</v>
      </c>
      <c r="AA97" s="6" t="e">
        <f t="shared" si="30"/>
        <v>#DIV/0!</v>
      </c>
      <c r="AB97" s="6" t="e">
        <f t="shared" si="30"/>
        <v>#NAME?</v>
      </c>
      <c r="AC97" s="6" t="e">
        <f t="shared" si="30"/>
        <v>#NULL!</v>
      </c>
      <c r="AD97" s="6" t="e">
        <f t="shared" si="30"/>
        <v>#NUM!</v>
      </c>
      <c r="AE97" s="6" t="e">
        <f t="shared" si="30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462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 t="shared" ref="Y98:AE98" si="31">STDEVPA(J98:K98)</f>
        <v>#VALUE!</v>
      </c>
      <c r="Z98" s="6" t="e">
        <f t="shared" si="31"/>
        <v>#N/A</v>
      </c>
      <c r="AA98" s="6" t="e">
        <f t="shared" si="31"/>
        <v>#DIV/0!</v>
      </c>
      <c r="AB98" s="6" t="e">
        <f t="shared" si="31"/>
        <v>#NAME?</v>
      </c>
      <c r="AC98" s="6" t="e">
        <f t="shared" si="31"/>
        <v>#NULL!</v>
      </c>
      <c r="AD98" s="6" t="e">
        <f t="shared" si="31"/>
        <v>#NUM!</v>
      </c>
      <c r="AE98" s="6" t="e">
        <f t="shared" si="31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462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32">_xlfn.VAR.P(K108:L108)</f>
        <v>#N/A</v>
      </c>
      <c r="AA108" s="6" t="e">
        <f t="shared" si="32"/>
        <v>#DIV/0!</v>
      </c>
      <c r="AB108" s="6" t="e">
        <f t="shared" si="32"/>
        <v>#NAME?</v>
      </c>
      <c r="AC108" s="6" t="e">
        <f t="shared" si="32"/>
        <v>#NULL!</v>
      </c>
      <c r="AD108" s="6" t="e">
        <f t="shared" si="32"/>
        <v>#NUM!</v>
      </c>
      <c r="AE108" s="6" t="e">
        <f t="shared" si="32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462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33">_xlfn.VAR.S(K109:L109)</f>
        <v>#N/A</v>
      </c>
      <c r="AA109" s="6" t="e">
        <f t="shared" si="33"/>
        <v>#DIV/0!</v>
      </c>
      <c r="AB109" s="6" t="e">
        <f t="shared" si="33"/>
        <v>#NAME?</v>
      </c>
      <c r="AC109" s="6" t="e">
        <f t="shared" si="33"/>
        <v>#NULL!</v>
      </c>
      <c r="AD109" s="6" t="e">
        <f t="shared" si="33"/>
        <v>#NUM!</v>
      </c>
      <c r="AE109" s="6" t="e">
        <f t="shared" si="33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462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34">VARA(K110:L110)</f>
        <v>#N/A</v>
      </c>
      <c r="AA110" s="6" t="e">
        <f t="shared" si="34"/>
        <v>#DIV/0!</v>
      </c>
      <c r="AB110" s="6" t="e">
        <f t="shared" si="34"/>
        <v>#NAME?</v>
      </c>
      <c r="AC110" s="6" t="e">
        <f t="shared" si="34"/>
        <v>#NULL!</v>
      </c>
      <c r="AD110" s="6" t="e">
        <f t="shared" si="34"/>
        <v>#NUM!</v>
      </c>
      <c r="AE110" s="6" t="e">
        <f t="shared" si="34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462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35">VARPA(K111:L111)</f>
        <v>#N/A</v>
      </c>
      <c r="AA111" s="6" t="e">
        <f t="shared" si="35"/>
        <v>#DIV/0!</v>
      </c>
      <c r="AB111" s="6" t="e">
        <f t="shared" si="35"/>
        <v>#NAME?</v>
      </c>
      <c r="AC111" s="6" t="e">
        <f t="shared" si="35"/>
        <v>#NULL!</v>
      </c>
      <c r="AD111" s="6" t="e">
        <f t="shared" si="35"/>
        <v>#NUM!</v>
      </c>
      <c r="AE111" s="6" t="e">
        <f t="shared" si="35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topLeftCell="D1" zoomScale="190" zoomScaleNormal="190" workbookViewId="0">
      <selection activeCell="Q8" sqref="Q8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 t="shared" ref="V3:AB3" si="0">DATE(B3,C3,G3)</f>
        <v>31989</v>
      </c>
      <c r="W3" s="6">
        <f t="shared" si="0"/>
        <v>2921</v>
      </c>
      <c r="X3" s="6">
        <f t="shared" si="0"/>
        <v>336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>
        <f t="array" ref="AF3">DATE(B3,C3,D3:G3)</f>
        <v>31990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>
        <f t="array" ref="AF4">DATEDIF(D4:E4,B4:C4, "D")</f>
        <v>1986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552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31778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 t="array" ref="AF5">DATEVALUE(H5:I5)</f>
        <v>31778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31778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 t="array" ref="AF6">DAY(H6:I6)</f>
        <v>22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2"/>
      <c r="C8" s="22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552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967223</v>
      </c>
      <c r="W9" s="4">
        <f>EDATE(H9,G9)</f>
        <v>31778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3" t="s">
        <v>436</v>
      </c>
      <c r="B10" s="4">
        <v>1987</v>
      </c>
      <c r="C10" s="4">
        <v>8</v>
      </c>
      <c r="D10" s="4">
        <v>1</v>
      </c>
      <c r="E10" s="4">
        <v>0.7</v>
      </c>
      <c r="F10" s="4">
        <v>0</v>
      </c>
      <c r="G10" s="6"/>
      <c r="H10" s="20" t="s">
        <v>552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>
        <f>EOMONTH(B10,C10)</f>
        <v>2251</v>
      </c>
      <c r="R10" s="4">
        <f>EOMONTH(C10,"2")</f>
        <v>91</v>
      </c>
      <c r="S10" s="4">
        <f>EOMONTH(D10,".55")</f>
        <v>31</v>
      </c>
      <c r="T10" s="4" t="e">
        <f>EOMONTH(I10,F10)</f>
        <v>#VALUE!</v>
      </c>
      <c r="U10" s="4">
        <f>EOMONTH(F10,G10)</f>
        <v>31</v>
      </c>
      <c r="V10" s="4">
        <f>EOMONTH(E10,H10)</f>
        <v>967254</v>
      </c>
      <c r="W10" s="4">
        <f>EOMONTH(H10,G10)</f>
        <v>31808</v>
      </c>
      <c r="X10" s="4" t="e">
        <f>EOMONTH(H10,I10)</f>
        <v>#VALUE!</v>
      </c>
      <c r="Y10" s="4" t="e">
        <f>EOMONTH(J10,K10)</f>
        <v>#VALUE!</v>
      </c>
      <c r="Z10" s="4" t="e">
        <f>EOMONTH(K10,L10)</f>
        <v>#N/A</v>
      </c>
      <c r="AA10" s="4" t="e">
        <f>EOMONTH(L10,M10)</f>
        <v>#DIV/0!</v>
      </c>
      <c r="AB10" s="4" t="e">
        <f>EOMONTH(M10,N10)</f>
        <v>#NAME?</v>
      </c>
      <c r="AC10" s="4" t="e">
        <f>EOMONTH(N10,O10)</f>
        <v>#NULL!</v>
      </c>
      <c r="AD10" s="4" t="e">
        <f>EOMONTH(O10,P10)</f>
        <v>#NUM!</v>
      </c>
      <c r="AE10" s="4" t="e">
        <f>EOMONTH(P10,Q10)</f>
        <v>#REF!</v>
      </c>
      <c r="AF10" s="4" t="e">
        <f t="array" ref="AF10">EOMONTH(H10,B10:F10)</f>
        <v>#VALUE!</v>
      </c>
      <c r="AG10" s="4" t="e">
        <f t="array" ref="AG10:AV10">EOMONTH(D10:H10,B10:F10)</f>
        <v>#VALUE!</v>
      </c>
      <c r="AH10" s="4" t="e">
        <v>#VALUE!</v>
      </c>
      <c r="AI10" s="4" t="e">
        <v>#VALUE!</v>
      </c>
      <c r="AJ10" s="4" t="e">
        <v>#VALUE!</v>
      </c>
      <c r="AK10" s="4" t="e">
        <v>#VALUE!</v>
      </c>
      <c r="AL10" s="4" t="e">
        <v>#VALUE!</v>
      </c>
      <c r="AM10" s="4" t="e">
        <v>#VALUE!</v>
      </c>
      <c r="AN10" s="4" t="e">
        <v>#VALUE!</v>
      </c>
      <c r="AO10" s="4" t="e">
        <v>#VALUE!</v>
      </c>
      <c r="AP10" s="4" t="e">
        <v>#VALUE!</v>
      </c>
      <c r="AQ10" s="4" t="e">
        <v>#VALUE!</v>
      </c>
      <c r="AR10" s="4" t="e">
        <v>#VALUE!</v>
      </c>
      <c r="AS10" s="4" t="e">
        <v>#VALUE!</v>
      </c>
      <c r="AT10" s="4" t="e">
        <v>#VALUE!</v>
      </c>
      <c r="AU10" s="4" t="e">
        <v>#VALUE!</v>
      </c>
      <c r="AV10" s="4" t="e">
        <v>#VALUE!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>
        <f t="array" ref="AF11">HOUR(H6:I6)</f>
        <v>0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553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1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>
        <f t="array" ref="AF12">_xlfn.ISOWEEKNUM(B12:P12)</f>
        <v>23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1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>
        <f t="array" ref="AF13">MINUTE(H8:I8)</f>
        <v>0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>
        <f t="array" ref="AF14">MONTH(H6:I6)</f>
        <v>8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>
        <f t="array" ref="AF18">SECOND(H13:I13)</f>
        <v>0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5.5555555555555558E-3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>
        <f t="array" ref="AF19">TIME(B19,C19,D19:G19)</f>
        <v>0.29174768518510064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553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>
        <f t="array" ref="AF20">TIMEVALUE(H20:I20)</f>
        <v>0.20833333333212067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553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5</v>
      </c>
      <c r="X22" s="4">
        <f t="shared" si="12"/>
        <v>1</v>
      </c>
      <c r="Y22" s="4" t="e">
        <f t="shared" ref="Y22:AE22" si="13">WEEKDAY(J22)</f>
        <v>#VALUE!</v>
      </c>
      <c r="Z22" s="4" t="e">
        <f t="shared" si="13"/>
        <v>#N/A</v>
      </c>
      <c r="AA22" s="4" t="e">
        <f t="shared" si="13"/>
        <v>#DIV/0!</v>
      </c>
      <c r="AB22" s="4" t="e">
        <f t="shared" si="13"/>
        <v>#NAME?</v>
      </c>
      <c r="AC22" s="4" t="e">
        <f t="shared" si="13"/>
        <v>#NULL!</v>
      </c>
      <c r="AD22" s="4" t="e">
        <f t="shared" si="13"/>
        <v>#NUM!</v>
      </c>
      <c r="AE22" s="4" t="e">
        <f t="shared" si="13"/>
        <v>#REF!</v>
      </c>
      <c r="AF22" s="4">
        <f t="array" ref="AF22">WEEKDAY(B22:P22)</f>
        <v>6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5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553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4">WEEKNUM(D23,1)</f>
        <v>1</v>
      </c>
      <c r="T23" s="4">
        <f t="shared" si="14"/>
        <v>0</v>
      </c>
      <c r="U23" s="4">
        <f t="shared" si="14"/>
        <v>0</v>
      </c>
      <c r="V23" s="4">
        <f>WEEKNUM(G23,1)</f>
        <v>0</v>
      </c>
      <c r="W23" s="4">
        <f>WEEKNUM(H23,1)</f>
        <v>1</v>
      </c>
      <c r="X23" s="4" t="e">
        <f>WEEKNUM(I23,1)</f>
        <v>#VALUE!</v>
      </c>
      <c r="Y23" s="4" t="e">
        <f t="shared" si="14"/>
        <v>#VALUE!</v>
      </c>
      <c r="Z23" s="4" t="e">
        <f t="shared" si="14"/>
        <v>#N/A</v>
      </c>
      <c r="AA23" s="4" t="e">
        <f t="shared" si="14"/>
        <v>#DIV/0!</v>
      </c>
      <c r="AB23" s="4" t="e">
        <f t="shared" si="14"/>
        <v>#NAME?</v>
      </c>
      <c r="AC23" s="4" t="e">
        <f t="shared" si="14"/>
        <v>#NULL!</v>
      </c>
      <c r="AD23" s="4" t="e">
        <f t="shared" si="14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5">YEAR(C26)</f>
        <v>1900</v>
      </c>
      <c r="S26" s="6">
        <f t="shared" si="15"/>
        <v>1900</v>
      </c>
      <c r="T26" s="6">
        <f t="shared" si="15"/>
        <v>1900</v>
      </c>
      <c r="U26" s="6">
        <f t="shared" si="15"/>
        <v>1900</v>
      </c>
      <c r="V26" s="6">
        <f t="shared" si="15"/>
        <v>1900</v>
      </c>
      <c r="W26" s="6">
        <f t="shared" si="15"/>
        <v>1901</v>
      </c>
      <c r="X26" s="6">
        <f t="shared" si="15"/>
        <v>1900</v>
      </c>
      <c r="Y26" s="6" t="e">
        <f t="shared" si="15"/>
        <v>#VALUE!</v>
      </c>
      <c r="Z26" s="6" t="e">
        <f t="shared" si="15"/>
        <v>#N/A</v>
      </c>
      <c r="AA26" s="6" t="e">
        <f t="shared" si="15"/>
        <v>#DIV/0!</v>
      </c>
      <c r="AB26" s="6" t="e">
        <f t="shared" si="15"/>
        <v>#NAME?</v>
      </c>
      <c r="AC26" s="6" t="e">
        <f t="shared" si="15"/>
        <v>#NULL!</v>
      </c>
      <c r="AD26" s="6" t="e">
        <f t="shared" si="15"/>
        <v>#NUM!</v>
      </c>
      <c r="AE26" s="6" t="e">
        <f t="shared" si="15"/>
        <v>#REF!</v>
      </c>
      <c r="AF26" s="6">
        <f t="array" ref="AF26">YEAR(H26:I26)</f>
        <v>1901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553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86.058333333333337</v>
      </c>
      <c r="X27" s="4" t="e">
        <f>YEARFRAC(I27,345,C27)</f>
        <v>#VALUE!</v>
      </c>
      <c r="Y27" s="4" t="e">
        <f t="shared" ref="Y27:AE27" si="16">YEARFRAC(J27,345,K27)</f>
        <v>#N/A</v>
      </c>
      <c r="Z27" s="4" t="e">
        <f t="shared" si="16"/>
        <v>#DIV/0!</v>
      </c>
      <c r="AA27" s="4" t="e">
        <f t="shared" si="16"/>
        <v>#NAME?</v>
      </c>
      <c r="AB27" s="4" t="e">
        <f t="shared" si="16"/>
        <v>#NULL!</v>
      </c>
      <c r="AC27" s="4" t="e">
        <f t="shared" si="16"/>
        <v>#NUM!</v>
      </c>
      <c r="AD27" s="4" t="e">
        <f t="shared" si="16"/>
        <v>#REF!</v>
      </c>
      <c r="AE27" s="4" t="e">
        <f t="shared" si="16"/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3"/>
  <sheetViews>
    <sheetView zoomScale="190" zoomScaleNormal="190" workbookViewId="0">
      <selection activeCell="G5" sqref="G5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15.5" style="4" bestFit="1" customWidth="1"/>
    <col min="9" max="9" width="3.6640625" style="4" bestFit="1" customWidth="1"/>
    <col min="10" max="10" width="7.832031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48" ht="11" customHeight="1" x14ac:dyDescent="0.2">
      <c r="A3" s="12" t="s">
        <v>208</v>
      </c>
      <c r="H3" s="40"/>
      <c r="J3" s="31"/>
      <c r="L3" s="39"/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 t="array" ref="AF6">ISBLANK(B6:P6)</f>
        <v>0</v>
      </c>
      <c r="AG6" s="6" t="b">
        <f t="array" ref="AG6">ISBLANK(G6:P6)</f>
        <v>1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 t="array" ref="AF7">ISERR(B7:D7)</f>
        <v>0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 t="array" ref="AF8">ISERR(B8:D8)</f>
        <v>0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503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503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 t="array" ref="AF11">ISLOGICAL(I11:P11)</f>
        <v>1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 t="array" ref="AF12"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503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 t="array" ref="AF13">ISNONTEXT(H13:P13)</f>
        <v>0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 t="array" ref="AF14">ISNUMBER(B14:P14)</f>
        <v>1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503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536</v>
      </c>
      <c r="G16" s="6"/>
      <c r="H16" s="20"/>
      <c r="I16" s="6"/>
      <c r="J16" s="6"/>
      <c r="K16" s="6"/>
      <c r="L16" s="8"/>
      <c r="M16" s="8"/>
      <c r="N16" s="8"/>
      <c r="O16" s="8"/>
      <c r="P16" s="8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48" x14ac:dyDescent="0.15">
      <c r="A17" s="12" t="s">
        <v>219</v>
      </c>
      <c r="B17" s="12"/>
      <c r="C17" s="12"/>
      <c r="D17" s="12"/>
      <c r="E17" s="12"/>
      <c r="F17" s="12"/>
      <c r="G17" s="33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48" x14ac:dyDescent="0.15">
      <c r="A18" s="13" t="s">
        <v>220</v>
      </c>
      <c r="B18" s="4">
        <v>0</v>
      </c>
      <c r="C18" s="4">
        <v>1</v>
      </c>
      <c r="D18" s="4">
        <v>2.2999999999999998</v>
      </c>
      <c r="E18" s="4">
        <v>10</v>
      </c>
      <c r="F18" s="4">
        <v>-1</v>
      </c>
      <c r="G18" s="6"/>
      <c r="H18" s="20" t="s">
        <v>503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b">
        <f>ISTEXT(B18)</f>
        <v>0</v>
      </c>
      <c r="R18" s="6" t="b">
        <f t="shared" ref="R18:AE18" si="9">ISTEXT(C18)</f>
        <v>0</v>
      </c>
      <c r="S18" s="6" t="b">
        <f t="shared" si="9"/>
        <v>0</v>
      </c>
      <c r="T18" s="6" t="b">
        <f t="shared" si="9"/>
        <v>0</v>
      </c>
      <c r="U18" s="6" t="b">
        <f t="shared" si="9"/>
        <v>0</v>
      </c>
      <c r="V18" s="6" t="b">
        <f t="shared" si="9"/>
        <v>0</v>
      </c>
      <c r="W18" s="6" t="b">
        <f t="shared" si="9"/>
        <v>1</v>
      </c>
      <c r="X18" s="6" t="b">
        <f t="shared" si="9"/>
        <v>0</v>
      </c>
      <c r="Y18" s="6" t="b">
        <f t="shared" si="9"/>
        <v>0</v>
      </c>
      <c r="Z18" s="6" t="b">
        <f t="shared" si="9"/>
        <v>0</v>
      </c>
      <c r="AA18" s="6" t="b">
        <f t="shared" si="9"/>
        <v>0</v>
      </c>
      <c r="AB18" s="6" t="b">
        <f t="shared" si="9"/>
        <v>0</v>
      </c>
      <c r="AC18" s="6" t="b">
        <f t="shared" si="9"/>
        <v>0</v>
      </c>
      <c r="AD18" s="6" t="b">
        <f t="shared" si="9"/>
        <v>0</v>
      </c>
      <c r="AE18" s="6" t="b">
        <f t="shared" si="9"/>
        <v>0</v>
      </c>
      <c r="AF18" s="4" t="b">
        <f t="array" ref="AF18">ISTEXT(H18:P18)</f>
        <v>1</v>
      </c>
      <c r="AG18" s="4" t="b">
        <f t="array" ref="AG18:AI18">ISTEXT(B18:P18)</f>
        <v>0</v>
      </c>
      <c r="AH18" s="4" t="b">
        <v>0</v>
      </c>
      <c r="AI18" s="4" t="b">
        <v>0</v>
      </c>
      <c r="AJ18" s="4" t="b">
        <f t="array" ref="AJ18:AM18">ISTEXT(E18:I18)</f>
        <v>0</v>
      </c>
      <c r="AK18" s="4" t="b">
        <v>0</v>
      </c>
      <c r="AL18" s="4" t="b">
        <v>0</v>
      </c>
      <c r="AM18" s="4" t="b">
        <v>1</v>
      </c>
      <c r="AN18" s="4" t="b">
        <f t="array" ref="AN18:AV18">ISTEXT(L18:P18)</f>
        <v>0</v>
      </c>
      <c r="AO18" s="4" t="b"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</row>
    <row r="19" spans="1:48" x14ac:dyDescent="0.15">
      <c r="A19" s="12" t="s">
        <v>221</v>
      </c>
    </row>
    <row r="20" spans="1:48" x14ac:dyDescent="0.15">
      <c r="A20" s="13" t="s">
        <v>222</v>
      </c>
      <c r="V20" s="4" t="e">
        <f>NA()</f>
        <v>#N/A</v>
      </c>
      <c r="AG20" s="4" t="e">
        <f t="array" ref="AG20:AV20">NA()</f>
        <v>#N/A</v>
      </c>
      <c r="AH20" s="4" t="e"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</row>
    <row r="21" spans="1:48" x14ac:dyDescent="0.15">
      <c r="A21" s="12" t="s">
        <v>223</v>
      </c>
    </row>
    <row r="22" spans="1:48" x14ac:dyDescent="0.15">
      <c r="A22" s="12" t="s">
        <v>224</v>
      </c>
    </row>
    <row r="23" spans="1:48" x14ac:dyDescent="0.15">
      <c r="A23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8"/>
  <sheetViews>
    <sheetView topLeftCell="A68" zoomScale="190" zoomScaleNormal="190" workbookViewId="0">
      <selection activeCell="AF79" sqref="AF79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4" width="1.5" style="4" bestFit="1" customWidth="1"/>
    <col min="5" max="5" width="4.6640625" style="4" bestFit="1" customWidth="1"/>
    <col min="6" max="7" width="5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62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str">
        <f t="array" ref="AF3">ADDRESS(C3:P3,D3,E3,F3,G3)</f>
        <v>!C1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  <c r="S5" s="4">
        <f>3229 -726</f>
        <v>2503</v>
      </c>
    </row>
    <row r="6" spans="1:62" x14ac:dyDescent="0.15">
      <c r="A6" s="44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 t="array" ref="AF6"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44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>COLUMN(B7)</f>
        <v>2</v>
      </c>
      <c r="R7" s="6">
        <f t="shared" ref="R7:U8" si="2">COLUMN(C7)</f>
        <v>3</v>
      </c>
      <c r="S7" s="6">
        <f t="shared" si="2"/>
        <v>4</v>
      </c>
      <c r="T7" s="6">
        <f t="shared" si="2"/>
        <v>5</v>
      </c>
      <c r="U7" s="6">
        <f t="shared" si="2"/>
        <v>6</v>
      </c>
      <c r="V7" s="6">
        <f>COLUMN()</f>
        <v>22</v>
      </c>
      <c r="W7" s="6">
        <f t="shared" ref="W7:AE8" si="3">COLUMN(H7)</f>
        <v>8</v>
      </c>
      <c r="X7" s="6">
        <f t="shared" si="3"/>
        <v>9</v>
      </c>
      <c r="Y7" s="6">
        <f t="shared" si="3"/>
        <v>10</v>
      </c>
      <c r="Z7" s="6">
        <f t="shared" si="3"/>
        <v>11</v>
      </c>
      <c r="AA7" s="6">
        <f t="shared" si="3"/>
        <v>12</v>
      </c>
      <c r="AB7" s="6">
        <f t="shared" si="3"/>
        <v>13</v>
      </c>
      <c r="AC7" s="6">
        <f t="shared" si="3"/>
        <v>14</v>
      </c>
      <c r="AD7" s="6">
        <f t="shared" si="3"/>
        <v>15</v>
      </c>
      <c r="AE7" s="6">
        <f t="shared" si="3"/>
        <v>16</v>
      </c>
      <c r="AF7" s="4" t="e">
        <f t="array" ref="AF7"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44"/>
      <c r="B8" s="15"/>
      <c r="C8" s="15"/>
      <c r="D8" s="15"/>
      <c r="E8" s="15">
        <v>1</v>
      </c>
      <c r="F8" s="15">
        <v>1</v>
      </c>
      <c r="G8" s="16"/>
      <c r="H8" s="16"/>
      <c r="I8" s="16"/>
      <c r="J8" s="16">
        <f t="array" ref="J8:L9">_xlfn._xlws.FILTER($B$10:$D$11,E8:G8)</f>
        <v>-1.1000000000000001</v>
      </c>
      <c r="K8" s="16">
        <v>2.1</v>
      </c>
      <c r="L8" s="17" t="e">
        <v>#N/A</v>
      </c>
      <c r="M8" s="17"/>
      <c r="N8" s="17"/>
      <c r="O8" s="17"/>
      <c r="P8" s="17"/>
      <c r="Q8" s="6">
        <f>COLUMN(B8)</f>
        <v>2</v>
      </c>
      <c r="R8" s="6">
        <f t="shared" si="2"/>
        <v>3</v>
      </c>
      <c r="S8" s="6">
        <f t="shared" si="2"/>
        <v>4</v>
      </c>
      <c r="T8" s="6">
        <f t="shared" si="2"/>
        <v>5</v>
      </c>
      <c r="U8" s="6">
        <f t="shared" si="2"/>
        <v>6</v>
      </c>
      <c r="V8" s="6">
        <f>COLUMN()</f>
        <v>22</v>
      </c>
      <c r="W8" s="6">
        <f t="shared" si="3"/>
        <v>8</v>
      </c>
      <c r="X8" s="6">
        <f t="shared" si="3"/>
        <v>9</v>
      </c>
      <c r="Y8" s="6">
        <f t="shared" si="3"/>
        <v>10</v>
      </c>
      <c r="Z8" s="6">
        <f t="shared" si="3"/>
        <v>11</v>
      </c>
      <c r="AA8" s="6">
        <f t="shared" si="3"/>
        <v>12</v>
      </c>
      <c r="AB8" s="6">
        <f t="shared" si="3"/>
        <v>13</v>
      </c>
      <c r="AC8" s="6">
        <f t="shared" si="3"/>
        <v>14</v>
      </c>
      <c r="AD8" s="6">
        <f t="shared" si="3"/>
        <v>15</v>
      </c>
      <c r="AE8" s="6">
        <f t="shared" si="3"/>
        <v>16</v>
      </c>
      <c r="AF8" s="4">
        <f t="array" ref="AF8"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E9" s="4">
        <v>1</v>
      </c>
      <c r="F9" s="4">
        <v>1</v>
      </c>
      <c r="G9" s="6">
        <v>1</v>
      </c>
      <c r="H9" s="6"/>
      <c r="I9" s="6"/>
      <c r="J9" s="6">
        <v>0</v>
      </c>
      <c r="K9" s="6">
        <v>0</v>
      </c>
      <c r="L9" s="8" t="e">
        <v>#N/A</v>
      </c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3" t="s">
        <v>509</v>
      </c>
      <c r="B10" s="15">
        <v>-1.1000000000000001</v>
      </c>
      <c r="C10" s="15">
        <v>2.1</v>
      </c>
      <c r="D10" s="15">
        <v>3</v>
      </c>
      <c r="E10" s="15">
        <v>4</v>
      </c>
      <c r="F10" s="15">
        <v>4.0999999999999996</v>
      </c>
      <c r="G10" s="16"/>
      <c r="H10" s="16" t="s">
        <v>349</v>
      </c>
      <c r="I10" s="16" t="b">
        <v>1</v>
      </c>
      <c r="J10" s="16" t="e">
        <f>#VALUE!</f>
        <v>#VALUE!</v>
      </c>
      <c r="K10" s="16" t="e">
        <v>#N/A</v>
      </c>
      <c r="L10" s="17" t="e">
        <v>#DIV/0!</v>
      </c>
      <c r="M10" s="17" t="e">
        <v>#NAME?</v>
      </c>
      <c r="N10" s="17" t="e">
        <v>#NULL!</v>
      </c>
      <c r="O10" s="17" t="e">
        <v>#NUM!</v>
      </c>
      <c r="P10" s="17" t="e">
        <v>#REF!</v>
      </c>
      <c r="Q10" s="6" cm="1">
        <f t="array" ref="Q10:R10">_xlfn._xlws.FILTER($B$10:$C$10,B10:C10)</f>
        <v>-1.1000000000000001</v>
      </c>
      <c r="R10" s="6">
        <v>2.1</v>
      </c>
      <c r="S10" s="6" cm="1">
        <f t="array" ref="S10:T10">_xlfn._xlws.FILTER($B$10:$C$10,D10:E10)</f>
        <v>-1.1000000000000001</v>
      </c>
      <c r="T10" s="6">
        <v>2.1</v>
      </c>
      <c r="U10" s="6" cm="1">
        <f t="array" ref="U10">_xlfn._xlws.FILTER($B$10:$C$10,F10:G10)</f>
        <v>-1.1000000000000001</v>
      </c>
      <c r="V10" s="6" t="e" cm="1" vm="1">
        <f t="array" ref="V10">_xlfn._xlws.FILTER($B$10:$C$10,G10)</f>
        <v>#VALUE!</v>
      </c>
      <c r="W10" s="6" t="e" cm="1">
        <f t="array" ref="W10">_xlfn._xlws.FILTER($B$10:$C$10,G10:H10)</f>
        <v>#VALUE!</v>
      </c>
      <c r="X10" s="6" cm="1">
        <f t="array" ref="X10:Y10">_xlfn._xlws.FILTER($B$10:$C$10,I10)</f>
        <v>-1.1000000000000001</v>
      </c>
      <c r="Y10" s="4">
        <v>2.1</v>
      </c>
      <c r="Z10" s="6" t="e" cm="1">
        <f t="array" ref="Z10">_xlfn._xlws.FILTER($B$10:$C$10,K10:L10)</f>
        <v>#N/A</v>
      </c>
      <c r="AA10" s="6" t="e" cm="1">
        <f t="array" ref="AA10">_xlfn._xlws.FILTER($B$10:$C$10,L10:M10)</f>
        <v>#DIV/0!</v>
      </c>
      <c r="AB10" s="6" t="e" cm="1">
        <f t="array" ref="AB10">_xlfn._xlws.FILTER($B$10:$C$10,M10:N10)</f>
        <v>#NAME?</v>
      </c>
      <c r="AC10" s="6" t="e" cm="1">
        <f t="array" ref="AC10">_xlfn._xlws.FILTER($B$10:$C$10,N10:O10)</f>
        <v>#NULL!</v>
      </c>
      <c r="AD10" s="6" t="e" cm="1">
        <f t="array" ref="AD10">_xlfn._xlws.FILTER($B$10:$C$10,O10:P10)</f>
        <v>#NUM!</v>
      </c>
      <c r="AE10" s="6" t="e" cm="1">
        <f t="array" ref="AE10">_xlfn._xlws.FILTER($B$10:$C$10,P10:Q10)</f>
        <v>#REF!</v>
      </c>
      <c r="AF10" s="6">
        <f t="array" ref="AF10">_xlfn._xlws.FILTER($B$10:$C$10,E10:F10)</f>
        <v>-1.1000000000000001</v>
      </c>
      <c r="AG10" s="4">
        <f t="array" ref="AG10:AI10">_xlfn._xlws.FILTER($B$10:$D$10,E10:G10)</f>
        <v>-1.1000000000000001</v>
      </c>
      <c r="AH10" s="4">
        <v>2.1</v>
      </c>
      <c r="AI10" s="4" t="e">
        <v>#N/A</v>
      </c>
      <c r="AJ10" s="4">
        <f t="array" ref="AJ10:AV10">_xlfn._xlws.FILTER($B$10:$C$10,E10:F10)</f>
        <v>-1.1000000000000001</v>
      </c>
      <c r="AK10" s="4">
        <v>2.1</v>
      </c>
      <c r="AL10" s="6" t="e">
        <v>#N/A</v>
      </c>
      <c r="AM10" s="6" t="e">
        <v>#N/A</v>
      </c>
      <c r="AN10" s="6" t="e">
        <v>#N/A</v>
      </c>
      <c r="AO10" s="6" t="e">
        <v>#N/A</v>
      </c>
      <c r="AP10" s="6" t="e">
        <v>#N/A</v>
      </c>
      <c r="AQ10" s="8" t="e">
        <v>#N/A</v>
      </c>
      <c r="AR10" s="8" t="e">
        <v>#N/A</v>
      </c>
      <c r="AS10" s="8" t="e">
        <v>#N/A</v>
      </c>
      <c r="AT10" s="8" t="e">
        <v>#N/A</v>
      </c>
      <c r="AU10" s="8" t="e">
        <v>#N/A</v>
      </c>
      <c r="AV10" s="6" t="e">
        <v>#N/A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x14ac:dyDescent="0.15">
      <c r="A11" s="12" t="s">
        <v>336</v>
      </c>
      <c r="G11" s="6"/>
      <c r="H11" s="6"/>
      <c r="I11" s="6"/>
      <c r="J11" s="6"/>
      <c r="K11" s="6"/>
      <c r="L11" s="8"/>
      <c r="M11" s="8"/>
      <c r="N11" s="8"/>
      <c r="O11" s="8"/>
      <c r="P11" s="8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62" x14ac:dyDescent="0.15">
      <c r="A12" s="12" t="s">
        <v>337</v>
      </c>
    </row>
    <row r="13" spans="1:62" x14ac:dyDescent="0.15">
      <c r="A13" s="44" t="s">
        <v>338</v>
      </c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HLOOKUP(B13,{-1.1,2.1,3.1,4.1;5,6,7,8},2,0)</f>
        <v>5</v>
      </c>
      <c r="R13" s="4">
        <f>HLOOKUP(C13,{-1.1,2.1,3.1,4.1;5,6,7,8},2,0)</f>
        <v>6</v>
      </c>
      <c r="S13" s="4" t="e">
        <f>HLOOKUP(D13,{-1.1,2.1,3.1,4.1;5,6,7,8},2,0)</f>
        <v>#N/A</v>
      </c>
      <c r="T13" s="4" t="e">
        <f>HLOOKUP(E13,{-1.1,2.1,3.1,4.1;5,6,7,8},2,0)</f>
        <v>#N/A</v>
      </c>
      <c r="U13" s="4">
        <f>HLOOKUP(F13,{-1.1,2.1,3.1,4.1;5,6,7,8},2,0)</f>
        <v>8</v>
      </c>
      <c r="V13" s="4" t="e">
        <f>HLOOKUP(G13,{-1.1,2.1,3.1,4.1;5,6,7,8},2,0)</f>
        <v>#N/A</v>
      </c>
      <c r="W13" s="4" t="e">
        <f>HLOOKUP(H13,{-1.1,2.1,3.1,4.1;5,6,7,8},2,0)</f>
        <v>#N/A</v>
      </c>
      <c r="X13" s="4" t="e">
        <f>HLOOKUP(I13,{-1.1,2.1,3.1,4.1;5,6,7,8},2,0)</f>
        <v>#N/A</v>
      </c>
      <c r="Y13" s="4" t="e">
        <f>HLOOKUP(J13,{-1.1,2.1,3.1,4.1;5,6,7,8},2,0)</f>
        <v>#VALUE!</v>
      </c>
      <c r="Z13" s="4" t="e">
        <f>HLOOKUP(K13,{-1.1,2.1,3.1,4.1;5,6,7,8},2,0)</f>
        <v>#N/A</v>
      </c>
      <c r="AA13" s="4" t="e">
        <f>HLOOKUP(L13,{-1.1,2.1,3.1,4.1;5,6,7,8},2,0)</f>
        <v>#DIV/0!</v>
      </c>
      <c r="AB13" s="4" t="e">
        <f>HLOOKUP(M13,{-1.1,2.1,3.1,4.1;5,6,7,8},2,0)</f>
        <v>#NAME?</v>
      </c>
      <c r="AC13" s="4" t="e">
        <f>HLOOKUP(N13,{-1.1,2.1,3.1,4.1;5,6,7,8},2,0)</f>
        <v>#NULL!</v>
      </c>
      <c r="AD13" s="4" t="e">
        <f>HLOOKUP(O13,{-1.1,2.1,3.1,4.1;5,6,7,8},2,0)</f>
        <v>#NUM!</v>
      </c>
      <c r="AE13" s="4" t="e">
        <f>HLOOKUP(P13,{-1.1,2.1,3.1,4.1;5,6,7,8},2,0)</f>
        <v>#REF!</v>
      </c>
      <c r="AG13" s="4">
        <f t="array" ref="AG13:AV13">HLOOKUP(B13:P13,{-1.1,2.1,3.1,4.1;5,6,7,8},{2,1},0)</f>
        <v>5</v>
      </c>
      <c r="AH13" s="4">
        <v>6</v>
      </c>
      <c r="AI13" s="4" t="e">
        <v>#N/A</v>
      </c>
      <c r="AJ13" s="4" t="e">
        <v>#N/A</v>
      </c>
      <c r="AK13" s="4">
        <v>8</v>
      </c>
      <c r="AL13" s="4" t="e">
        <v>#N/A</v>
      </c>
      <c r="AM13" s="4" t="e">
        <v>#N/A</v>
      </c>
      <c r="AN13" s="4" t="e">
        <v>#N/A</v>
      </c>
      <c r="AO13" s="4" t="e">
        <v>#VALUE!</v>
      </c>
      <c r="AP13" s="4" t="e">
        <v>#N/A</v>
      </c>
      <c r="AQ13" s="4" t="e">
        <v>#DIV/0!</v>
      </c>
      <c r="AR13" s="4" t="e">
        <v>#NAME?</v>
      </c>
      <c r="AS13" s="4" t="e">
        <v>#NULL!</v>
      </c>
      <c r="AT13" s="4" t="e">
        <v>#NUM!</v>
      </c>
      <c r="AU13" s="4" t="e">
        <v>#REF!</v>
      </c>
      <c r="AV13" s="4" t="e">
        <v>#N/A</v>
      </c>
    </row>
    <row r="14" spans="1:62" x14ac:dyDescent="0.15">
      <c r="A14" s="44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HLOOKUP(B14,{-1.1,2.1,3.1,4.1;5,6,7,8},2,-2)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44"/>
      <c r="B15" s="15">
        <v>-1.1000000000000001</v>
      </c>
      <c r="C15" s="15">
        <v>2.1</v>
      </c>
      <c r="D15" s="15">
        <v>3</v>
      </c>
      <c r="E15" s="15">
        <v>4</v>
      </c>
      <c r="F15" s="15">
        <v>4.0999999999999996</v>
      </c>
      <c r="G15" s="16"/>
      <c r="H15" s="16" t="s">
        <v>349</v>
      </c>
      <c r="I15" s="16" t="b">
        <v>1</v>
      </c>
      <c r="J15" s="16" t="e">
        <f>#VALUE!</f>
        <v>#VALUE!</v>
      </c>
      <c r="K15" s="16" t="e">
        <v>#N/A</v>
      </c>
      <c r="L15" s="17" t="e">
        <v>#DIV/0!</v>
      </c>
      <c r="M15" s="17" t="e">
        <v>#NAME?</v>
      </c>
      <c r="N15" s="17" t="e">
        <v>#NULL!</v>
      </c>
      <c r="O15" s="17" t="e">
        <v>#NUM!</v>
      </c>
      <c r="P15" s="17" t="e">
        <v>#REF!</v>
      </c>
      <c r="Q15" s="4">
        <f>HLOOKUP(B15,{-1.1,2.1,3.1,4.1;5,6,7,8},{2,3},-2)</f>
        <v>5</v>
      </c>
      <c r="R15" s="4">
        <f>HLOOKUP(C15,{-1.1,2.1,3.1,4.1;5,6,7,8},2,-2)</f>
        <v>6</v>
      </c>
      <c r="S15" s="4">
        <f>HLOOKUP(D15,{-1.1,2.1,3.1,4.1;5,6,7,8},2,-2)</f>
        <v>6</v>
      </c>
      <c r="T15" s="4">
        <f>HLOOKUP(E15,{-1.1,2.1,3.1,4.1;5,6,7,8},2,-2)</f>
        <v>7</v>
      </c>
      <c r="U15" s="4">
        <f>HLOOKUP(F15,{-1.1,2.1,3.1,4.1;5,6,7,8},2,-2)</f>
        <v>8</v>
      </c>
      <c r="V15" s="4">
        <f>HLOOKUP(G15,{-1.1,2.1,3.1,4.1;5,6,7,8},2,-2)</f>
        <v>5</v>
      </c>
      <c r="W15" s="4" t="e">
        <f>HLOOKUP(H15,{-1.1,2.1,3.1,4.1;5,6,7,8},2,-2)</f>
        <v>#N/A</v>
      </c>
      <c r="X15" s="4" t="e">
        <f>HLOOKUP(I15,{-1.1,2.1,3.1,4.1;5,6,7,8},2,-2)</f>
        <v>#N/A</v>
      </c>
      <c r="Y15" s="4" t="e">
        <f>HLOOKUP(J15,{-1.1,2.1,3.1,4.1;5,6,7,8},2,-2)</f>
        <v>#VALUE!</v>
      </c>
      <c r="Z15" s="4" t="e">
        <f>HLOOKUP(K15,{-1.1,2.1,3.1,4.1;5,6,7,8},2,-2)</f>
        <v>#N/A</v>
      </c>
      <c r="AA15" s="4" t="e">
        <f>HLOOKUP(L15,{-1.1,2.1,3.1,4.1;5,6,7,8},2,-2)</f>
        <v>#DIV/0!</v>
      </c>
      <c r="AB15" s="4" t="e">
        <f>HLOOKUP(M15,{-1.1,2.1,3.1,4.1;5,6,7,8},2,-2)</f>
        <v>#NAME?</v>
      </c>
      <c r="AC15" s="4" t="e">
        <f>HLOOKUP(N15,{-1.1,2.1,3.1,4.1;5,6,7,8},2,-2)</f>
        <v>#NULL!</v>
      </c>
      <c r="AD15" s="4" t="e">
        <f>HLOOKUP(O15,{-1.1,2.1,3.1,4.1;5,6,7,8},2,-2)</f>
        <v>#NUM!</v>
      </c>
      <c r="AE15" s="4" t="e">
        <f>HLOOKUP(P15,{-1.1,2.1,3.1,4.1;5,6,7,8},2,-2)</f>
        <v>#REF!</v>
      </c>
    </row>
    <row r="16" spans="1:62" x14ac:dyDescent="0.15">
      <c r="A16" s="36" t="s">
        <v>534</v>
      </c>
      <c r="B16" s="15"/>
      <c r="C16" s="15"/>
      <c r="D16" s="15"/>
      <c r="E16" s="15"/>
      <c r="F16" s="15"/>
      <c r="G16" s="16"/>
      <c r="H16" s="16"/>
      <c r="I16" s="16"/>
      <c r="J16" s="16"/>
      <c r="K16" s="16"/>
      <c r="L16" s="17"/>
      <c r="M16" s="17"/>
      <c r="N16" s="17"/>
      <c r="O16" s="17"/>
      <c r="P16" s="17"/>
    </row>
    <row r="17" spans="1:48" x14ac:dyDescent="0.15">
      <c r="A17" s="12" t="s">
        <v>339</v>
      </c>
    </row>
    <row r="18" spans="1:48" x14ac:dyDescent="0.15">
      <c r="A18" s="12" t="s">
        <v>535</v>
      </c>
    </row>
    <row r="19" spans="1:48" x14ac:dyDescent="0.15">
      <c r="A19" s="44" t="s">
        <v>340</v>
      </c>
      <c r="B19" s="15">
        <v>-1.1000000000000001</v>
      </c>
      <c r="C19" s="15">
        <v>2.1</v>
      </c>
      <c r="D19" s="15">
        <v>3</v>
      </c>
      <c r="E19" s="15">
        <v>4</v>
      </c>
      <c r="F19" s="15">
        <v>4.0999999999999996</v>
      </c>
      <c r="G19" s="16"/>
      <c r="H19" s="16" t="s">
        <v>349</v>
      </c>
      <c r="I19" s="16" t="b">
        <v>1</v>
      </c>
      <c r="J19" s="16" t="e">
        <f>#VALUE!</f>
        <v>#VALUE!</v>
      </c>
      <c r="K19" s="16" t="e">
        <v>#N/A</v>
      </c>
      <c r="L19" s="17" t="e">
        <v>#DIV/0!</v>
      </c>
      <c r="M19" s="17" t="e">
        <v>#NAME?</v>
      </c>
      <c r="N19" s="17" t="e">
        <v>#NULL!</v>
      </c>
      <c r="O19" s="17" t="e">
        <v>#NUM!</v>
      </c>
      <c r="P19" s="17" t="e">
        <v>#REF!</v>
      </c>
      <c r="Q19" s="4">
        <f>INDEX(B19:D20,1,2)</f>
        <v>2.1</v>
      </c>
      <c r="R19" s="4">
        <f>INDEX(C19:E19,1,2)</f>
        <v>3</v>
      </c>
      <c r="S19" s="4" t="e">
        <f>INDEX(D19:D21,1,2)</f>
        <v>#REF!</v>
      </c>
      <c r="T19" s="4" t="e">
        <f>INDEX(E19:G20,1,5)</f>
        <v>#REF!</v>
      </c>
      <c r="U19" s="4">
        <f>INDEX(F19:H20,1,2)</f>
        <v>0</v>
      </c>
      <c r="V19" s="4" t="str">
        <f t="shared" ref="V19:AE19" si="4">INDEX(G19:I20,1,2)</f>
        <v>b</v>
      </c>
      <c r="W19" s="4" t="b">
        <f t="shared" si="4"/>
        <v>1</v>
      </c>
      <c r="X19" s="4" t="e">
        <f t="shared" si="4"/>
        <v>#VALUE!</v>
      </c>
      <c r="Y19" s="4" t="e">
        <f t="shared" si="4"/>
        <v>#N/A</v>
      </c>
      <c r="Z19" s="4" t="e">
        <f t="shared" si="4"/>
        <v>#DIV/0!</v>
      </c>
      <c r="AA19" s="4" t="e">
        <f t="shared" si="4"/>
        <v>#NAME?</v>
      </c>
      <c r="AB19" s="4" t="e">
        <f t="shared" si="4"/>
        <v>#NULL!</v>
      </c>
      <c r="AC19" s="4" t="e">
        <f t="shared" si="4"/>
        <v>#NUM!</v>
      </c>
      <c r="AD19" s="4" t="e">
        <f t="shared" si="4"/>
        <v>#REF!</v>
      </c>
      <c r="AE19" s="4">
        <f t="shared" si="4"/>
        <v>2.1</v>
      </c>
      <c r="AG19" s="4">
        <f t="array" ref="AG19:AG20">INDEX(B19:G21,D20:D21,1)</f>
        <v>-2</v>
      </c>
      <c r="AH19" s="4">
        <f t="array" ref="AH19:AI19">INDEX(B19:D20,2,3)</f>
        <v>2</v>
      </c>
      <c r="AI19" s="4">
        <v>2</v>
      </c>
      <c r="AJ19" s="4" t="e">
        <f t="array" ref="AJ19:AK21">INDEX({2,3;4,5},D19:D21)</f>
        <v>#REF!</v>
      </c>
      <c r="AK19" s="4" t="e">
        <v>#REF!</v>
      </c>
      <c r="AL19" s="4">
        <f t="array" ref="AL19:AM19">INDEX({2,3;4,5},2)</f>
        <v>4</v>
      </c>
      <c r="AM19" s="4">
        <v>5</v>
      </c>
      <c r="AN19" s="4">
        <f t="array" ref="AN19:AO20">INDEX({2,3;4,5},{1,2})</f>
        <v>2</v>
      </c>
      <c r="AO19" s="4">
        <v>4</v>
      </c>
      <c r="AP19" s="4" t="e">
        <f t="array" ref="AP19:AQ21">INDEX((B19:B21,C19:C21),1,1,D19:D21)</f>
        <v>#REF!</v>
      </c>
      <c r="AQ19" s="4" t="e">
        <v>#REF!</v>
      </c>
      <c r="AR19" s="4" t="e">
        <f t="array" ref="AR19:AR21">INDEX((B19:B21,C19:C21),D19:D21,1,D19:D21)</f>
        <v>#REF!</v>
      </c>
      <c r="AS19" s="4" t="e">
        <f t="array" ref="AS19:AT21">INDEX((B19:B20,C19:C20),1,1,D19:D20)</f>
        <v>#REF!</v>
      </c>
      <c r="AT19" s="4" t="e">
        <v>#REF!</v>
      </c>
    </row>
    <row r="20" spans="1:48" x14ac:dyDescent="0.15">
      <c r="A20" s="44"/>
      <c r="B20" s="15">
        <v>-2</v>
      </c>
      <c r="C20" s="15">
        <v>1.1000000000000001</v>
      </c>
      <c r="D20" s="15">
        <v>2</v>
      </c>
      <c r="E20" s="15">
        <v>3</v>
      </c>
      <c r="F20" s="15">
        <v>3.1</v>
      </c>
      <c r="G20" s="16"/>
      <c r="H20" s="16" t="s">
        <v>425</v>
      </c>
      <c r="I20" s="16" t="b">
        <v>0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4" t="e">
        <f>INDEX(B19:D20,2)</f>
        <v>#REF!</v>
      </c>
      <c r="R20" s="4">
        <f>INDEX(C19:E19,2)</f>
        <v>3</v>
      </c>
      <c r="S20" s="4">
        <f>INDEX(D19:D21,2)</f>
        <v>2</v>
      </c>
      <c r="T20" s="4" t="e">
        <f>INDEX({2,3,4},4)</f>
        <v>#REF!</v>
      </c>
      <c r="U20" s="4">
        <f>INDEX({2,3,4},1)</f>
        <v>2</v>
      </c>
      <c r="V20" s="4">
        <f>INDEX({2,3,4},1,1)</f>
        <v>2</v>
      </c>
      <c r="W20" s="4" t="e">
        <f>INDEX({2,3,4},2,1)</f>
        <v>#REF!</v>
      </c>
      <c r="X20" s="4">
        <f>INDEX({2,3,4},2)</f>
        <v>3</v>
      </c>
      <c r="Y20" s="4">
        <f t="array" ref="Y20:Z20">INDEX({2,3;4,5},2)</f>
        <v>4</v>
      </c>
      <c r="Z20" s="4">
        <v>5</v>
      </c>
      <c r="AG20" s="4">
        <v>-1.1000000000000001</v>
      </c>
      <c r="AJ20" s="4">
        <v>4</v>
      </c>
      <c r="AK20" s="4">
        <v>4</v>
      </c>
      <c r="AN20" s="4">
        <v>2</v>
      </c>
      <c r="AO20" s="4">
        <v>4</v>
      </c>
      <c r="AP20" s="4">
        <v>2.1</v>
      </c>
      <c r="AQ20" s="4">
        <v>2.1</v>
      </c>
      <c r="AR20" s="4">
        <v>1.1000000000000001</v>
      </c>
      <c r="AS20" s="4">
        <v>2.1</v>
      </c>
      <c r="AT20" s="4">
        <v>2.1</v>
      </c>
    </row>
    <row r="21" spans="1:48" x14ac:dyDescent="0.15">
      <c r="A21" s="44"/>
      <c r="B21" s="15">
        <v>-2.9</v>
      </c>
      <c r="C21" s="15">
        <v>0.1</v>
      </c>
      <c r="D21" s="15">
        <v>1</v>
      </c>
      <c r="E21" s="15">
        <v>4</v>
      </c>
      <c r="F21" s="15">
        <v>2.1</v>
      </c>
      <c r="G21" s="16"/>
      <c r="H21" s="16" t="s">
        <v>427</v>
      </c>
      <c r="I21" s="16" t="b">
        <v>1</v>
      </c>
      <c r="J21" s="16" t="e">
        <f>#VALUE!</f>
        <v>#VALUE!</v>
      </c>
      <c r="K21" s="16" t="e">
        <v>#N/A</v>
      </c>
      <c r="L21" s="17" t="e">
        <v>#DIV/0!</v>
      </c>
      <c r="M21" s="17" t="e">
        <v>#NAME?</v>
      </c>
      <c r="N21" s="17" t="e">
        <v>#NULL!</v>
      </c>
      <c r="O21" s="17" t="e">
        <v>#NUM!</v>
      </c>
      <c r="P21" s="17" t="e">
        <v>#REF!</v>
      </c>
      <c r="Q21" s="4" t="e">
        <f>INDEX(B19:D20,-1)</f>
        <v>#VALUE!</v>
      </c>
      <c r="Y21" s="4" t="e">
        <f>INDEX({2,3,4,5},K21,J21)</f>
        <v>#N/A</v>
      </c>
      <c r="Z21" s="4" t="e">
        <f>INDEX({2,3,4,5},K21)</f>
        <v>#N/A</v>
      </c>
      <c r="AA21" s="4" t="e">
        <f>INDEX({2,3,4,5},1,1,M21)</f>
        <v>#NAME?</v>
      </c>
      <c r="AB21" s="4" t="e">
        <f>INDEX({2,3,4,5},M21)</f>
        <v>#NAME?</v>
      </c>
      <c r="AC21" s="4" t="e">
        <f>INDEX({2,3,4,5},N21)</f>
        <v>#NULL!</v>
      </c>
      <c r="AD21" s="4" t="e">
        <f>INDEX({2,3,4,5},O21)</f>
        <v>#NUM!</v>
      </c>
      <c r="AE21" s="4" t="e">
        <f>INDEX({2,3,4,5},P21)</f>
        <v>#REF!</v>
      </c>
      <c r="AJ21" s="4">
        <v>2</v>
      </c>
      <c r="AK21" s="4">
        <v>2</v>
      </c>
      <c r="AM21" s="4">
        <f t="array" ref="AM21:AN21">INDEX({2,3;4,5},{1})</f>
        <v>2</v>
      </c>
      <c r="AN21" s="4">
        <v>2</v>
      </c>
      <c r="AP21" s="4">
        <v>-1.1000000000000001</v>
      </c>
      <c r="AQ21" s="4">
        <v>-1.1000000000000001</v>
      </c>
      <c r="AR21" s="4">
        <v>-1.1000000000000001</v>
      </c>
      <c r="AS21" s="4" t="e">
        <v>#N/A</v>
      </c>
      <c r="AT21" s="4" t="e">
        <v>#N/A</v>
      </c>
    </row>
    <row r="22" spans="1:48" x14ac:dyDescent="0.15">
      <c r="A22" s="12" t="s">
        <v>341</v>
      </c>
      <c r="Q22" s="6"/>
    </row>
    <row r="23" spans="1:48" x14ac:dyDescent="0.15">
      <c r="A23" s="44" t="s">
        <v>342</v>
      </c>
      <c r="B23" s="15">
        <v>-1.1000000000000001</v>
      </c>
      <c r="C23" s="15">
        <v>2.1</v>
      </c>
      <c r="D23" s="15">
        <v>3</v>
      </c>
      <c r="E23" s="15">
        <v>4</v>
      </c>
      <c r="F23" s="15">
        <v>4.0999999999999996</v>
      </c>
      <c r="G23" s="16"/>
      <c r="H23" s="16" t="s">
        <v>349</v>
      </c>
      <c r="I23" s="16" t="b">
        <v>1</v>
      </c>
      <c r="J23" s="16" t="e">
        <f>#VALUE!</f>
        <v>#VALUE!</v>
      </c>
      <c r="K23" s="16" t="e">
        <v>#N/A</v>
      </c>
      <c r="L23" s="17" t="e">
        <v>#DIV/0!</v>
      </c>
      <c r="M23" s="17" t="e">
        <v>#NAME?</v>
      </c>
      <c r="N23" s="17" t="e">
        <v>#NULL!</v>
      </c>
      <c r="O23" s="17" t="e">
        <v>#NUM!</v>
      </c>
      <c r="P23" s="17" t="e">
        <v>#REF!</v>
      </c>
      <c r="Q23" s="6" t="e">
        <f>LOOKUP(-2,{-1.1,2.1,3.1,4.1})</f>
        <v>#N/A</v>
      </c>
      <c r="R23" s="6">
        <f>LOOKUP(2,{-1.1,2.1,3.1,4.1})</f>
        <v>-1.1000000000000001</v>
      </c>
      <c r="S23" s="6">
        <f>LOOKUP(D23,{-1.1,2.1,3.1,4.1})</f>
        <v>2.1</v>
      </c>
      <c r="T23" s="6">
        <f>LOOKUP(E23,{-1.1,2.1,3.1,4.1})</f>
        <v>3.1</v>
      </c>
      <c r="U23" s="6">
        <f>LOOKUP(F23,{-1.1,2.1,3.1,4.1})</f>
        <v>4.0999999999999996</v>
      </c>
      <c r="V23" s="6">
        <f>LOOKUP(20,{-1.1,2.1,3.1,4.1})</f>
        <v>4.0999999999999996</v>
      </c>
      <c r="W23" s="6" t="e">
        <f>LOOKUP(H23,{-1.1,2.1,3.1,4.1})</f>
        <v>#N/A</v>
      </c>
      <c r="X23" s="6" t="e">
        <f>LOOKUP(I23,{-1.1,2.1,3.1,4.1})</f>
        <v>#N/A</v>
      </c>
      <c r="Y23" s="6" t="e">
        <f>LOOKUP(J23,{-1.1,2.1,3.1,4.1},{"L","ML","MR","R"})</f>
        <v>#VALUE!</v>
      </c>
      <c r="Z23" s="6" t="e">
        <f>LOOKUP(K23,{-1.1,2.1,3.1,4.1},{"L","ML","MR","R"})</f>
        <v>#N/A</v>
      </c>
      <c r="AA23" s="6" t="e">
        <f>LOOKUP(L23,{-1.1,2.1,3.1,4.1},{"L","ML","MR","R"})</f>
        <v>#DIV/0!</v>
      </c>
      <c r="AB23" s="6" t="e">
        <f>LOOKUP(M23,{-1.1,2.1,3.1,4.1},{"L","ML","MR","R"})</f>
        <v>#NAME?</v>
      </c>
      <c r="AC23" s="6" t="e">
        <f>LOOKUP(N23,{-1.1,2.1,3.1,4.1},{"L","ML","MR","R"})</f>
        <v>#NULL!</v>
      </c>
      <c r="AD23" s="6" t="e">
        <f>LOOKUP(O23,{-1.1,2.1,3.1,4.1},{"L","ML","MR","R"})</f>
        <v>#NUM!</v>
      </c>
      <c r="AE23" s="6" t="e">
        <f>LOOKUP(P23,{-1.1,2.1,3.1,4.1},{"L","ML","MR","R"})</f>
        <v>#REF!</v>
      </c>
      <c r="AF23" s="6" t="str">
        <f>LOOKUP(20,{-1.1,2.1,3.1,4.1},{"L","ML","MR","R"})</f>
        <v>R</v>
      </c>
      <c r="AG23" s="6" t="str">
        <f t="array" ref="AG23:AV23">LOOKUP(B23:P23,{-1.1,2.1,3.1,4.1},{"L","ML","MR","R"})</f>
        <v>L</v>
      </c>
      <c r="AH23" s="6" t="str">
        <v>ML</v>
      </c>
      <c r="AI23" s="6" t="str">
        <v>ML</v>
      </c>
      <c r="AJ23" s="6" t="str">
        <v>MR</v>
      </c>
      <c r="AK23" s="6" t="str">
        <v>R</v>
      </c>
      <c r="AL23" s="6" t="str">
        <v>L</v>
      </c>
      <c r="AM23" s="6" t="e">
        <v>#N/A</v>
      </c>
      <c r="AN23" s="6" t="e">
        <v>#N/A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44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LOOKUP(-2,{"a",2.1,"b",4.1})</f>
        <v>#N/A</v>
      </c>
      <c r="R24" s="6" t="e">
        <f>LOOKUP(2,{"a",2.1,"b",4.1})</f>
        <v>#N/A</v>
      </c>
      <c r="S24" s="6">
        <f>LOOKUP(D23,{"a",2.1,"b",4.1})</f>
        <v>2.1</v>
      </c>
      <c r="T24" s="6">
        <f>LOOKUP(E23,{"a",2.1,"b",4.1})</f>
        <v>2.1</v>
      </c>
      <c r="U24" s="6">
        <f>LOOKUP(F23,{"a",2.1,"b",4.1})</f>
        <v>4.0999999999999996</v>
      </c>
      <c r="V24" s="6" t="e">
        <f>LOOKUP(G23,{"a",2.1,"b",4.1})</f>
        <v>#N/A</v>
      </c>
      <c r="W24" s="6" t="str">
        <f>LOOKUP(H23,{"a",2.1,"b",4.1})</f>
        <v>b</v>
      </c>
      <c r="X24" s="6" t="e">
        <f>LOOKUP(I23,{"a",2.1,"b",4.1})</f>
        <v>#N/A</v>
      </c>
      <c r="Y24" s="6" t="e">
        <f>LOOKUP(J23,{"a",2.1,"b",4.1})</f>
        <v>#VALUE!</v>
      </c>
      <c r="Z24" s="6" t="e">
        <f>LOOKUP(K23,{"a",2.1,"b",4.1})</f>
        <v>#N/A</v>
      </c>
      <c r="AA24" s="6" t="e">
        <f>LOOKUP(L23,{"a",2.1,"b",4.1})</f>
        <v>#DIV/0!</v>
      </c>
      <c r="AB24" s="6" t="e">
        <f>LOOKUP(M23,{"a",2.1,"b",4.1})</f>
        <v>#NAME?</v>
      </c>
      <c r="AC24" s="6" t="e">
        <f>LOOKUP(N23,{"a",2.1,"b",4.1})</f>
        <v>#NULL!</v>
      </c>
      <c r="AD24" s="6" t="e">
        <f>LOOKUP(O23,{"a",2.1,"b",4.1})</f>
        <v>#NUM!</v>
      </c>
      <c r="AE24" s="6" t="e">
        <f>LOOKUP(P23,{"a",2.1,"b",4.1})</f>
        <v>#REF!</v>
      </c>
      <c r="AF24" s="6" t="str">
        <f>LOOKUP(20,{"a",2.1,"b",4.1},{"L","ML","MR","R"})</f>
        <v>R</v>
      </c>
      <c r="AG24" s="6" t="e">
        <f t="array" ref="AG24:AV24">LOOKUP(B23:P23,{"a",2.1,"b",4.1},{"L","ML","MR","R"})</f>
        <v>#N/A</v>
      </c>
      <c r="AH24" s="4" t="str">
        <v>ML</v>
      </c>
      <c r="AI24" s="4" t="str">
        <v>ML</v>
      </c>
      <c r="AJ24" s="4" t="str">
        <v>ML</v>
      </c>
      <c r="AK24" s="4" t="str">
        <v>R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44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LOOKUP(-2,{FALSE,2.1,TRUE,4.1})</f>
        <v>#N/A</v>
      </c>
      <c r="R25" s="6" t="e">
        <f>LOOKUP(2,{FALSE,2.1,TRUE,4.1})</f>
        <v>#N/A</v>
      </c>
      <c r="S25" s="6">
        <f>LOOKUP(D23,{FALSE,2.1,TRUE,4.1})</f>
        <v>2.1</v>
      </c>
      <c r="T25" s="6">
        <f>LOOKUP(E23,{FALSE,2.1,TRUE,4.1})</f>
        <v>2.1</v>
      </c>
      <c r="U25" s="6">
        <f>LOOKUP(F23,{FALSE,2.1,TRUE,4.1})</f>
        <v>4.0999999999999996</v>
      </c>
      <c r="V25" s="6" t="e">
        <f>LOOKUP(G23,{FALSE,2.1,TRUE,4.1})</f>
        <v>#N/A</v>
      </c>
      <c r="W25" s="6" t="e">
        <f>LOOKUP(H23,{FALSE,2.1,TRUE,4.1})</f>
        <v>#N/A</v>
      </c>
      <c r="X25" s="6" t="b">
        <f>LOOKUP(I23,{FALSE,2.1,TRUE,4.1})</f>
        <v>1</v>
      </c>
      <c r="Y25" s="6" t="e">
        <f>LOOKUP(J23,{FALSE,2.1,TRUE,4.1})</f>
        <v>#VALUE!</v>
      </c>
      <c r="Z25" s="6" t="e">
        <f>LOOKUP(K23,{FALSE,2.1,TRUE,4.1})</f>
        <v>#N/A</v>
      </c>
      <c r="AA25" s="6" t="e">
        <f>LOOKUP(L23,{FALSE,2.1,TRUE,4.1})</f>
        <v>#DIV/0!</v>
      </c>
      <c r="AB25" s="6" t="e">
        <f>LOOKUP(M23,{FALSE,2.1,TRUE,4.1})</f>
        <v>#NAME?</v>
      </c>
      <c r="AC25" s="6" t="e">
        <f>LOOKUP(N23,{FALSE,2.1,TRUE,4.1})</f>
        <v>#NULL!</v>
      </c>
      <c r="AD25" s="6" t="e">
        <f>LOOKUP(O23,{FALSE,2.1,TRUE,4.1})</f>
        <v>#NUM!</v>
      </c>
      <c r="AE25" s="6" t="e">
        <f>LOOKUP(P23,{FALSE,2.1,TRUE,4.1})</f>
        <v>#REF!</v>
      </c>
      <c r="AF25" s="6" t="str">
        <f>LOOKUP(20,{FALSE,2.1,TRUE,4.1},{"L","ML","MR","R"})</f>
        <v>R</v>
      </c>
      <c r="AG25" s="6" t="e">
        <f t="array" ref="AG25:AV25">LOOKUP(B23:P23,{FALSE,2.1,TRUE,4.1},{"L","ML","MR","R"})</f>
        <v>#N/A</v>
      </c>
      <c r="AH25" s="4" t="str">
        <v>ML</v>
      </c>
      <c r="AI25" s="4" t="str">
        <v>ML</v>
      </c>
      <c r="AJ25" s="4" t="str">
        <v>ML</v>
      </c>
      <c r="AK25" s="4" t="str">
        <v>R</v>
      </c>
      <c r="AL25" s="4" t="e">
        <v>#N/A</v>
      </c>
      <c r="AM25" s="4" t="e">
        <v>#N/A</v>
      </c>
      <c r="AN25" s="4" t="str">
        <v>MR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44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LOOKUP(-2,{4.1,2.1,3.1,1.1})</f>
        <v>#N/A</v>
      </c>
      <c r="R26" s="6" t="e">
        <f>LOOKUP(2,{4.1,2.1,3.1,1.1})</f>
        <v>#N/A</v>
      </c>
      <c r="S26" s="6">
        <f>LOOKUP(D23,{4.1,2.1,3.1,1.1})</f>
        <v>2.1</v>
      </c>
      <c r="T26" s="6">
        <f>LOOKUP(E23,{4.1,2.1,3.1,1.1})</f>
        <v>1.1000000000000001</v>
      </c>
      <c r="U26" s="6">
        <f>LOOKUP(F23,{4.1,2.1,3.1,1.1})</f>
        <v>1.1000000000000001</v>
      </c>
      <c r="V26" s="6" t="e">
        <f>LOOKUP(G23,{4.1,2.1,3.1,1.1})</f>
        <v>#N/A</v>
      </c>
      <c r="W26" s="6" t="e">
        <f>LOOKUP(H23,{4.1,2.1,3.1,1.1})</f>
        <v>#N/A</v>
      </c>
      <c r="X26" s="6" t="e">
        <f>LOOKUP(I23,{4.1,2.1,3.1,1.1})</f>
        <v>#N/A</v>
      </c>
      <c r="Y26" s="6" t="e">
        <f>LOOKUP(J23,{4.1,2.1,3.1,1.1})</f>
        <v>#VALUE!</v>
      </c>
      <c r="Z26" s="6" t="e">
        <f>LOOKUP(K23,{4.1,2.1,3.1,1.1})</f>
        <v>#N/A</v>
      </c>
      <c r="AA26" s="6" t="e">
        <f>LOOKUP(L23,{4.1,2.1,3.1,1.1})</f>
        <v>#DIV/0!</v>
      </c>
      <c r="AB26" s="6" t="e">
        <f>LOOKUP(M23,{4.1,2.1,3.1,1.1})</f>
        <v>#NAME?</v>
      </c>
      <c r="AC26" s="6" t="e">
        <f>LOOKUP(N23,{4.1,2.1,3.1,1.1})</f>
        <v>#NULL!</v>
      </c>
      <c r="AD26" s="6" t="e">
        <f>LOOKUP(O23,{4.1,2.1,3.1,1.1})</f>
        <v>#NUM!</v>
      </c>
      <c r="AE26" s="6" t="e">
        <f>LOOKUP(P23,{4.1,2.1,3.1,1.1})</f>
        <v>#REF!</v>
      </c>
      <c r="AF26" s="6" t="str">
        <f>LOOKUP(20,{4.1,2.1,3.1,1.1},{"L","ML","MR","R"})</f>
        <v>R</v>
      </c>
      <c r="AG26" s="6" t="e">
        <f t="array" ref="AG26:AV26">LOOKUP(B23:P23,{4.1,2.1,3.1,1.1},{"L","ML","MR","R"})</f>
        <v>#N/A</v>
      </c>
      <c r="AH26" s="4" t="str">
        <v>ML</v>
      </c>
      <c r="AI26" s="4" t="str">
        <v>ML</v>
      </c>
      <c r="AJ26" s="4" t="str">
        <v>R</v>
      </c>
      <c r="AK26" s="4" t="str">
        <v>R</v>
      </c>
      <c r="AL26" s="4" t="e">
        <v>#N/A</v>
      </c>
      <c r="AM26" s="4" t="e">
        <v>#N/A</v>
      </c>
      <c r="AN26" s="4" t="e">
        <v>#N/A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44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LOOKUP(-2,{"b",4.1,"a",1.1})</f>
        <v>#N/A</v>
      </c>
      <c r="R27" s="6" t="e">
        <f>LOOKUP(2,{"b",4.1,"a",1.1})</f>
        <v>#N/A</v>
      </c>
      <c r="S27" s="6" t="e">
        <f>LOOKUP(D23,{"b",4.1,"a",1.1})</f>
        <v>#N/A</v>
      </c>
      <c r="T27" s="6" t="e">
        <f>LOOKUP(E23,{"b",4.1,"a",1.1})</f>
        <v>#N/A</v>
      </c>
      <c r="U27" s="6">
        <f>LOOKUP(F23,{"b",4.1,"a",1.1})</f>
        <v>4.0999999999999996</v>
      </c>
      <c r="V27" s="6" t="e">
        <f>LOOKUP(G23,{"b",4.1,"a",1.1})</f>
        <v>#N/A</v>
      </c>
      <c r="W27" s="6" t="str">
        <f>LOOKUP(H23,{"b",4.1,"a",1.1})</f>
        <v>a</v>
      </c>
      <c r="X27" s="6" t="e">
        <f>LOOKUP(I23,{"b",4.1,"a",1.1})</f>
        <v>#N/A</v>
      </c>
      <c r="Y27" s="6" t="e">
        <f>LOOKUP(J23,{"b",4.1,"a",1.1})</f>
        <v>#VALUE!</v>
      </c>
      <c r="Z27" s="6" t="e">
        <f>LOOKUP(K23,{"b",4.1,"a",1.1})</f>
        <v>#N/A</v>
      </c>
      <c r="AA27" s="6" t="e">
        <f>LOOKUP(L23,{"b",4.1,"a",1.1})</f>
        <v>#DIV/0!</v>
      </c>
      <c r="AB27" s="6" t="e">
        <f>LOOKUP(M23,{"b",4.1,"a",1.1})</f>
        <v>#NAME?</v>
      </c>
      <c r="AC27" s="6" t="e">
        <f>LOOKUP(N23,{"b",4.1,"a",1.1})</f>
        <v>#NULL!</v>
      </c>
      <c r="AD27" s="6" t="e">
        <f>LOOKUP(O23,{"b",4.1,"a",1.1})</f>
        <v>#NUM!</v>
      </c>
      <c r="AE27" s="6" t="e">
        <f>LOOKUP(P23,{"b",4.1,"a",1.1})</f>
        <v>#REF!</v>
      </c>
      <c r="AF27" s="6" t="str">
        <f>LOOKUP(20,{"b",4.1,"a",1.1},{"L","ML","MR","R"})</f>
        <v>R</v>
      </c>
      <c r="AG27" s="6" t="e">
        <f t="array" ref="AG27:AV27">LOOKUP(B23:P23,{"b",4.1,"a",1.1},{"L","ML","MR","R"})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MR</v>
      </c>
      <c r="AN27" s="4" t="e">
        <v>#N/A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44"/>
      <c r="B28" s="15"/>
      <c r="C28" s="15"/>
      <c r="D28" s="15"/>
      <c r="E28" s="15"/>
      <c r="F28" s="15"/>
      <c r="G28" s="1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LOOKUP(-2,{"",4.1,"a",1.1})</f>
        <v>#N/A</v>
      </c>
      <c r="R28" s="6" t="e">
        <f>LOOKUP(2,{"",4.1,"a",1.1})</f>
        <v>#N/A</v>
      </c>
      <c r="S28" s="6" t="e">
        <f>LOOKUP(D23,{"",4.1,"a",1.1})</f>
        <v>#N/A</v>
      </c>
      <c r="T28" s="6" t="e">
        <f>LOOKUP(E23,{"",4.1,"a",1.1})</f>
        <v>#N/A</v>
      </c>
      <c r="U28" s="6">
        <f>LOOKUP(F23,{"",4.1,"a",1.1})</f>
        <v>4.0999999999999996</v>
      </c>
      <c r="V28" s="6" t="e">
        <f>LOOKUP(G23,{"",4.1,"a",1.1})</f>
        <v>#N/A</v>
      </c>
      <c r="W28" s="6" t="str">
        <f>LOOKUP(H23,{"",4.1,"a",1.1})</f>
        <v>a</v>
      </c>
      <c r="X28" s="6" t="e">
        <f>LOOKUP(I23,{"",4.1,"a",1.1})</f>
        <v>#N/A</v>
      </c>
      <c r="Y28" s="6" t="e">
        <f>LOOKUP(J23,{"",4.1,"a",1.1})</f>
        <v>#VALUE!</v>
      </c>
      <c r="Z28" s="6" t="e">
        <f>LOOKUP(K23,{"",4.1,"a",1.1})</f>
        <v>#N/A</v>
      </c>
      <c r="AA28" s="6" t="e">
        <f>LOOKUP(L23,{"",4.1,"a",1.1})</f>
        <v>#DIV/0!</v>
      </c>
      <c r="AB28" s="6" t="e">
        <f>LOOKUP(M23,{"",4.1,"a",1.1})</f>
        <v>#NAME?</v>
      </c>
      <c r="AC28" s="6" t="e">
        <f>LOOKUP(N23,{"",4.1,"a",1.1})</f>
        <v>#NULL!</v>
      </c>
      <c r="AD28" s="6" t="e">
        <f>LOOKUP(O23,{"",4.1,"a",1.1})</f>
        <v>#NUM!</v>
      </c>
      <c r="AE28" s="6" t="e">
        <f>LOOKUP(P23,{"",4.1,"a",1.1})</f>
        <v>#REF!</v>
      </c>
      <c r="AF28" s="6" t="str">
        <f>LOOKUP(20,{"",4.1,"a",1.1},{"L","ML","MR","R"})</f>
        <v>R</v>
      </c>
      <c r="AG28" s="6" t="e">
        <f t="array" ref="AG28:AV28">LOOKUP(B23:P23,{"",4.1,"a",1.1},{"L","ML","MR","R"})</f>
        <v>#N/A</v>
      </c>
      <c r="AH28" s="4" t="e">
        <v>#N/A</v>
      </c>
      <c r="AI28" s="4" t="e">
        <v>#N/A</v>
      </c>
      <c r="AJ28" s="4" t="e">
        <v>#N/A</v>
      </c>
      <c r="AK28" s="4" t="str">
        <v>ML</v>
      </c>
      <c r="AL28" s="4" t="e">
        <v>#N/A</v>
      </c>
      <c r="AM28" s="4" t="str">
        <v>MR</v>
      </c>
      <c r="AN28" s="4" t="e">
        <v>#N/A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44"/>
      <c r="B29" s="15"/>
      <c r="C29" s="15"/>
      <c r="D29" s="15"/>
      <c r="E29" s="15"/>
      <c r="F29" s="15"/>
      <c r="G29" s="16"/>
      <c r="H29" s="16"/>
      <c r="I29" s="16"/>
      <c r="J29" s="16"/>
      <c r="K29" s="16"/>
      <c r="L29" s="17"/>
      <c r="M29" s="17"/>
      <c r="N29" s="17"/>
      <c r="O29" s="17"/>
      <c r="P29" s="17"/>
      <c r="Q29" s="6" t="e">
        <f>LOOKUP(-2,{TRUE,4.1,FALSE,1.1})</f>
        <v>#N/A</v>
      </c>
      <c r="R29" s="6" t="e">
        <f>LOOKUP(2,{TRUE,4.1,FALSE,1.1})</f>
        <v>#N/A</v>
      </c>
      <c r="S29" s="6" t="e">
        <f>LOOKUP(D23,{TRUE,4.1,FALSE,1.1})</f>
        <v>#N/A</v>
      </c>
      <c r="T29" s="6" t="e">
        <f>LOOKUP(E23,{TRUE,4.1,FALSE,1.1})</f>
        <v>#N/A</v>
      </c>
      <c r="U29" s="6">
        <f>LOOKUP(F23,{TRUE,4.1,FALSE,1.1})</f>
        <v>4.0999999999999996</v>
      </c>
      <c r="V29" s="6" t="e">
        <f>LOOKUP(G23,{TRUE,4.1,FALSE,1.1})</f>
        <v>#N/A</v>
      </c>
      <c r="W29" s="6" t="e">
        <f>LOOKUP(H23,{TRUE,4.1,FALSE,1.1})</f>
        <v>#N/A</v>
      </c>
      <c r="X29" s="6" t="b">
        <f>LOOKUP(I23,{TRUE,4.1,FALSE,1.1})</f>
        <v>0</v>
      </c>
      <c r="Y29" s="6" t="e">
        <f>LOOKUP(J23,{TRUE,4.1,FALSE,1.1})</f>
        <v>#VALUE!</v>
      </c>
      <c r="Z29" s="6" t="e">
        <f>LOOKUP(K23,{TRUE,4.1,FALSE,1.1})</f>
        <v>#N/A</v>
      </c>
      <c r="AA29" s="6" t="e">
        <f>LOOKUP(L23,{TRUE,4.1,FALSE,1.1})</f>
        <v>#DIV/0!</v>
      </c>
      <c r="AB29" s="6" t="e">
        <f>LOOKUP(M23,{TRUE,4.1,FALSE,1.1})</f>
        <v>#NAME?</v>
      </c>
      <c r="AC29" s="6" t="e">
        <f>LOOKUP(N23,{TRUE,4.1,FALSE,1.1})</f>
        <v>#NULL!</v>
      </c>
      <c r="AD29" s="6" t="e">
        <f>LOOKUP(O23,{TRUE,4.1,FALSE,1.1})</f>
        <v>#NUM!</v>
      </c>
      <c r="AE29" s="6" t="e">
        <f>LOOKUP(P23,{TRUE,4.1,FALSE,1.1})</f>
        <v>#REF!</v>
      </c>
      <c r="AF29" s="6" t="str">
        <f>LOOKUP(20,{TRUE,4.1,FALSE,1.1},{"L","ML","MR","R"})</f>
        <v>R</v>
      </c>
      <c r="AG29" s="6" t="e">
        <f t="array" ref="AG29:AV29">LOOKUP(B23:P23,{TRUE,4.1,FALSE,1.1},{"L","ML","MR","R"})</f>
        <v>#N/A</v>
      </c>
      <c r="AH29" s="4" t="e">
        <v>#N/A</v>
      </c>
      <c r="AI29" s="4" t="e">
        <v>#N/A</v>
      </c>
      <c r="AJ29" s="4" t="e">
        <v>#N/A</v>
      </c>
      <c r="AK29" s="4" t="str">
        <v>ML</v>
      </c>
      <c r="AL29" s="4" t="e">
        <v>#N/A</v>
      </c>
      <c r="AM29" s="4" t="e">
        <v>#N/A</v>
      </c>
      <c r="AN29" s="4" t="str">
        <v>MR</v>
      </c>
      <c r="AO29" s="4" t="e">
        <v>#VALUE!</v>
      </c>
      <c r="AP29" s="4" t="e">
        <v>#N/A</v>
      </c>
      <c r="AQ29" s="4" t="e">
        <v>#DIV/0!</v>
      </c>
      <c r="AR29" s="4" t="e">
        <v>#NAME?</v>
      </c>
      <c r="AS29" s="4" t="e">
        <v>#NULL!</v>
      </c>
      <c r="AT29" s="4" t="e">
        <v>#NUM!</v>
      </c>
      <c r="AU29" s="4" t="e">
        <v>#REF!</v>
      </c>
      <c r="AV29" s="4" t="e">
        <v>#N/A</v>
      </c>
    </row>
    <row r="30" spans="1:48" x14ac:dyDescent="0.15">
      <c r="A30" s="44"/>
      <c r="B30" s="15"/>
      <c r="C30" s="15"/>
      <c r="D30" s="15"/>
      <c r="E30" s="15"/>
      <c r="F30" s="15"/>
      <c r="G30" s="16"/>
      <c r="H30" s="16"/>
      <c r="I30" s="16"/>
      <c r="J30" s="16"/>
      <c r="K30" s="16"/>
      <c r="L30" s="17"/>
      <c r="M30" s="17"/>
      <c r="N30" s="17"/>
      <c r="O30" s="17"/>
      <c r="P30" s="17"/>
      <c r="Q30" s="6" t="e">
        <f>LOOKUP(-2,{TRUE,4.1,FALSE,"b"})</f>
        <v>#N/A</v>
      </c>
      <c r="R30" s="6" t="e">
        <f>LOOKUP(2,{TRUE,4.1,FALSE,"b"})</f>
        <v>#N/A</v>
      </c>
      <c r="S30" s="6" t="e">
        <f>LOOKUP(D23,{TRUE,4.1,FALSE,"b"})</f>
        <v>#N/A</v>
      </c>
      <c r="T30" s="6" t="e">
        <f>LOOKUP(E23,{TRUE,4.1,FALSE,"b"})</f>
        <v>#N/A</v>
      </c>
      <c r="U30" s="6">
        <f>LOOKUP(F23,{TRUE,4.1,FALSE,"b"})</f>
        <v>4.0999999999999996</v>
      </c>
      <c r="V30" s="6" t="e">
        <f>LOOKUP(G23,{TRUE,4.1,FALSE,"b"})</f>
        <v>#N/A</v>
      </c>
      <c r="W30" s="6" t="str">
        <f>LOOKUP(H23,{TRUE,4.1,FALSE,"b"})</f>
        <v>b</v>
      </c>
      <c r="X30" s="6" t="b">
        <f>LOOKUP(I23,{TRUE,4.1,FALSE,"b"})</f>
        <v>0</v>
      </c>
      <c r="Y30" s="6" t="e">
        <f>LOOKUP(J23,{TRUE,4.1,FALSE,"b"})</f>
        <v>#VALUE!</v>
      </c>
      <c r="Z30" s="6" t="e">
        <f>LOOKUP(K23,{TRUE,4.1,FALSE,"b"})</f>
        <v>#N/A</v>
      </c>
      <c r="AA30" s="6" t="e">
        <f>LOOKUP(L23,{TRUE,4.1,FALSE,"b"})</f>
        <v>#DIV/0!</v>
      </c>
      <c r="AB30" s="6" t="e">
        <f>LOOKUP(M23,{TRUE,4.1,FALSE,"b"})</f>
        <v>#NAME?</v>
      </c>
      <c r="AC30" s="6" t="e">
        <f>LOOKUP(N23,{TRUE,4.1,FALSE,"b"})</f>
        <v>#NULL!</v>
      </c>
      <c r="AD30" s="6" t="e">
        <f>LOOKUP(O23,{TRUE,4.1,FALSE,"b"})</f>
        <v>#NUM!</v>
      </c>
      <c r="AE30" s="6" t="e">
        <f>LOOKUP(P23,{TRUE,4.1,FALSE,"b"})</f>
        <v>#REF!</v>
      </c>
      <c r="AF30" s="6" t="str">
        <f>LOOKUP(20,{TRUE,4.1,FALSE,"b"},{"L","ML","MR","R"})</f>
        <v>ML</v>
      </c>
      <c r="AG30" s="6" t="e">
        <f t="array" ref="AG30:AV30">LOOKUP(B23:P23,{TRUE,4.1,FALSE,"b"},{"L","ML","MR","R"})</f>
        <v>#N/A</v>
      </c>
      <c r="AH30" s="4" t="e">
        <v>#N/A</v>
      </c>
      <c r="AI30" s="4" t="e">
        <v>#N/A</v>
      </c>
      <c r="AJ30" s="4" t="e">
        <v>#N/A</v>
      </c>
      <c r="AK30" s="4" t="str">
        <v>ML</v>
      </c>
      <c r="AL30" s="4" t="e">
        <v>#N/A</v>
      </c>
      <c r="AM30" s="4" t="str">
        <v>R</v>
      </c>
      <c r="AN30" s="4" t="str">
        <v>MR</v>
      </c>
      <c r="AO30" s="4" t="e">
        <v>#VALUE!</v>
      </c>
      <c r="AP30" s="4" t="e">
        <v>#N/A</v>
      </c>
      <c r="AQ30" s="4" t="e">
        <v>#DIV/0!</v>
      </c>
      <c r="AR30" s="4" t="e">
        <v>#NAME?</v>
      </c>
      <c r="AS30" s="4" t="e">
        <v>#NULL!</v>
      </c>
      <c r="AT30" s="4" t="e">
        <v>#NUM!</v>
      </c>
      <c r="AU30" s="4" t="e">
        <v>#REF!</v>
      </c>
      <c r="AV30" s="4" t="e">
        <v>#N/A</v>
      </c>
    </row>
    <row r="31" spans="1:48" x14ac:dyDescent="0.15">
      <c r="A31" s="44"/>
      <c r="B31" s="6"/>
      <c r="C31" s="6"/>
      <c r="D31" s="6"/>
      <c r="E31" s="6"/>
      <c r="F31" s="6"/>
      <c r="H31" s="16"/>
      <c r="I31" s="16"/>
      <c r="J31" s="16"/>
      <c r="K31" s="16"/>
      <c r="L31" s="17"/>
      <c r="M31" s="17"/>
      <c r="N31" s="17"/>
      <c r="O31" s="17"/>
      <c r="P31" s="17"/>
      <c r="Q31" s="6" t="e">
        <f>LOOKUP(-2,{TRUE,FALSE,"a","b"})</f>
        <v>#N/A</v>
      </c>
      <c r="R31" s="6" t="e">
        <f>LOOKUP(2,{TRUE,FALSE,"a","b"})</f>
        <v>#N/A</v>
      </c>
      <c r="S31" s="6" t="e">
        <f>LOOKUP(D23,{TRUE,FALSE,"a","b"})</f>
        <v>#N/A</v>
      </c>
      <c r="T31" s="6" t="e">
        <f>LOOKUP(E23,{TRUE,FALSE,"a","b"})</f>
        <v>#N/A</v>
      </c>
      <c r="U31" s="6" t="e">
        <f>LOOKUP(F23,{TRUE,FALSE,"a","b"})</f>
        <v>#N/A</v>
      </c>
      <c r="V31" s="6" t="e">
        <f>LOOKUP(G23,{TRUE,FALSE,"a","b"})</f>
        <v>#N/A</v>
      </c>
      <c r="W31" s="6" t="str">
        <f>LOOKUP(H23,{TRUE,FALSE,"a","b"})</f>
        <v>b</v>
      </c>
      <c r="X31" s="6" t="b">
        <f>LOOKUP(I23,{TRUE,FALSE,"a","b"})</f>
        <v>0</v>
      </c>
      <c r="Y31" s="6" t="e">
        <f>LOOKUP(J23,{TRUE,FALSE,"a","b"})</f>
        <v>#VALUE!</v>
      </c>
      <c r="Z31" s="6" t="e">
        <f>LOOKUP(K23,{TRUE,FALSE,"a","b"})</f>
        <v>#N/A</v>
      </c>
      <c r="AA31" s="6" t="e">
        <f>LOOKUP(L23,{TRUE,FALSE,"a","b"})</f>
        <v>#DIV/0!</v>
      </c>
      <c r="AB31" s="6" t="e">
        <f>LOOKUP(M23,{TRUE,FALSE,"a","b"})</f>
        <v>#NAME?</v>
      </c>
      <c r="AC31" s="6" t="e">
        <f>LOOKUP(N23,{TRUE,FALSE,"a","b"})</f>
        <v>#NULL!</v>
      </c>
      <c r="AD31" s="6" t="e">
        <f>LOOKUP(O23,{TRUE,FALSE,"a","b"})</f>
        <v>#NUM!</v>
      </c>
      <c r="AE31" s="6" t="e">
        <f>LOOKUP(P23,{TRUE,FALSE,"a","b"})</f>
        <v>#REF!</v>
      </c>
      <c r="AF31" s="6" t="e">
        <f>LOOKUP(20,{TRUE,FALSE,"a","b"},{"L","ML","MR","R"})</f>
        <v>#N/A</v>
      </c>
      <c r="AG31" s="6" t="e">
        <f t="array" ref="AG31:AV31">LOOKUP(B23:P23,{TRUE,FALSE,"a","b"},{"L","ML","MR","R"})</f>
        <v>#N/A</v>
      </c>
      <c r="AH31" s="4" t="e">
        <v>#N/A</v>
      </c>
      <c r="AI31" s="4" t="e">
        <v>#N/A</v>
      </c>
      <c r="AJ31" s="4" t="e">
        <v>#N/A</v>
      </c>
      <c r="AK31" s="4" t="e">
        <v>#N/A</v>
      </c>
      <c r="AL31" s="4" t="e">
        <v>#N/A</v>
      </c>
      <c r="AM31" s="4" t="str">
        <v>R</v>
      </c>
      <c r="AN31" s="4" t="str">
        <v>ML</v>
      </c>
      <c r="AO31" s="4" t="e">
        <v>#VALUE!</v>
      </c>
      <c r="AP31" s="4" t="e">
        <v>#N/A</v>
      </c>
      <c r="AQ31" s="4" t="e">
        <v>#DIV/0!</v>
      </c>
      <c r="AR31" s="4" t="e">
        <v>#NAME?</v>
      </c>
      <c r="AS31" s="4" t="e">
        <v>#NULL!</v>
      </c>
      <c r="AT31" s="4" t="e">
        <v>#NUM!</v>
      </c>
      <c r="AU31" s="4" t="e">
        <v>#REF!</v>
      </c>
      <c r="AV31" s="4" t="e">
        <v>#N/A</v>
      </c>
    </row>
    <row r="32" spans="1:48" x14ac:dyDescent="0.15">
      <c r="A32" s="44" t="s">
        <v>352</v>
      </c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MATCH(B32,{-1.1,2.1,3.1,4.1})</f>
        <v>#N/A</v>
      </c>
      <c r="R32" s="6">
        <f>MATCH(C32,{-1.1,2.1,3.1,4.1})</f>
        <v>1</v>
      </c>
      <c r="S32" s="6">
        <f>MATCH(D32,{-1.1,2.1,3.1,4.1})</f>
        <v>2</v>
      </c>
      <c r="T32" s="6">
        <f>MATCH(E32,{-1.1,2.1,3.1,4.1})</f>
        <v>3</v>
      </c>
      <c r="U32" s="6">
        <f>MATCH(F32,{-1.1,2.1,3.1,4.1})</f>
        <v>4</v>
      </c>
      <c r="V32" s="6">
        <f>MATCH(G32,{-1.1,2.1,3.1,4.1})</f>
        <v>1</v>
      </c>
      <c r="W32" s="6" t="e">
        <f>MATCH(H32,{-1.1,2.1,3.1,4.1})</f>
        <v>#N/A</v>
      </c>
      <c r="X32" s="6" t="e">
        <f>MATCH(I32,{-1.1,2.1,3.1,4.1})</f>
        <v>#N/A</v>
      </c>
      <c r="Y32" s="6" t="e">
        <f>MATCH(J32,{-1.1,2.1,3.1,4.1})</f>
        <v>#VALUE!</v>
      </c>
      <c r="Z32" s="6" t="e">
        <f>MATCH(K32,{-1.1,2.1,3.1,4.1})</f>
        <v>#N/A</v>
      </c>
      <c r="AA32" s="6" t="e">
        <f>MATCH(L32,{-1.1,2.1,3.1,4.1})</f>
        <v>#DIV/0!</v>
      </c>
      <c r="AB32" s="6" t="e">
        <f>MATCH(M32,{-1.1,2.1,3.1,4.1})</f>
        <v>#NAME?</v>
      </c>
      <c r="AC32" s="6" t="e">
        <f>MATCH(N32,{-1.1,2.1,3.1,4.1})</f>
        <v>#NULL!</v>
      </c>
      <c r="AD32" s="6" t="e">
        <f>MATCH(O32,{-1.1,2.1,3.1,4.1})</f>
        <v>#NUM!</v>
      </c>
      <c r="AE32" s="6" t="e">
        <f>MATCH(P32,{-1.1,2.1,3.1,4.1})</f>
        <v>#REF!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x14ac:dyDescent="0.15">
      <c r="A33" s="44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MATCH(B33,{"a",2.1,"c bau c",4.1})</f>
        <v>#N/A</v>
      </c>
      <c r="R33" s="6" t="e">
        <f>MATCH(C33,{"a",2.1,"c bau c",4.1})</f>
        <v>#N/A</v>
      </c>
      <c r="S33" s="6">
        <f>MATCH(D33,{"a",2.1,"c bau c",4.1})</f>
        <v>2</v>
      </c>
      <c r="T33" s="6">
        <f>MATCH(E33,{"a",2.1,"c bau c",4.1})</f>
        <v>2</v>
      </c>
      <c r="U33" s="6">
        <f>MATCH(F33,{"a",2.1,"c bau c",4.1})</f>
        <v>4</v>
      </c>
      <c r="V33" s="6" t="e">
        <f>MATCH(G33,{"a",2.1,"c bau c",4.1})</f>
        <v>#N/A</v>
      </c>
      <c r="W33" s="6" t="e">
        <f>MATCH(H33,{"a",2.1,"c bau c",4.1})</f>
        <v>#N/A</v>
      </c>
      <c r="X33" s="6" t="e">
        <f>MATCH(I33,{"a",2.1,"c bau c",4.1})</f>
        <v>#N/A</v>
      </c>
      <c r="Y33" s="6" t="e">
        <f>MATCH(J33,{"a",2.1,"c bau c",4.1})</f>
        <v>#VALUE!</v>
      </c>
      <c r="Z33" s="6" t="e">
        <f>MATCH(K33,{"a",2.1,"c bau c",4.1})</f>
        <v>#N/A</v>
      </c>
      <c r="AA33" s="6" t="e">
        <f>MATCH(L33,{"a",2.1,"c bau c",4.1})</f>
        <v>#DIV/0!</v>
      </c>
      <c r="AB33" s="6" t="e">
        <f>MATCH(M33,{"a",2.1,"c bau c",4.1})</f>
        <v>#NAME?</v>
      </c>
      <c r="AC33" s="6" t="e">
        <f>MATCH(N33,{"a",2.1,"c bau c",4.1})</f>
        <v>#NULL!</v>
      </c>
      <c r="AD33" s="6" t="e">
        <f>MATCH(O33,{"a",2.1,"c bau c",4.1})</f>
        <v>#NUM!</v>
      </c>
      <c r="AE33" s="6" t="e">
        <f>MATCH(P33,{"a",2.1,"c bau c",4.1})</f>
        <v>#REF!</v>
      </c>
      <c r="AF33" s="6"/>
      <c r="AG33" s="6"/>
    </row>
    <row r="34" spans="1:47" x14ac:dyDescent="0.15">
      <c r="A34" s="44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MATCH(B34,{FALSE,2.1,TRUE,4.1})</f>
        <v>#N/A</v>
      </c>
      <c r="R34" s="6" t="e">
        <f>MATCH(C34,{FALSE,2.1,TRUE,4.1})</f>
        <v>#N/A</v>
      </c>
      <c r="S34" s="6">
        <f>MATCH(D34,{FALSE,2.1,TRUE,4.1})</f>
        <v>2</v>
      </c>
      <c r="T34" s="6">
        <f>MATCH(E34,{FALSE,2.1,TRUE,4.1})</f>
        <v>2</v>
      </c>
      <c r="U34" s="6">
        <f>MATCH(F34,{FALSE,2.1,TRUE,4.1})</f>
        <v>4</v>
      </c>
      <c r="V34" s="6" t="e">
        <f>MATCH(G34,{FALSE,2.1,TRUE,4.1})</f>
        <v>#N/A</v>
      </c>
      <c r="W34" s="6" t="e">
        <f>MATCH(H34,{FALSE,2.1,TRUE,4.1})</f>
        <v>#N/A</v>
      </c>
      <c r="X34" s="6">
        <f>MATCH(I34,{FALSE,2.1,TRUE,4.1})</f>
        <v>3</v>
      </c>
      <c r="Y34" s="6" t="e">
        <f>MATCH(J34,{FALSE,2.1,TRUE,4.1})</f>
        <v>#VALUE!</v>
      </c>
      <c r="Z34" s="6" t="e">
        <f>MATCH(K34,{FALSE,2.1,TRUE,4.1})</f>
        <v>#N/A</v>
      </c>
      <c r="AA34" s="6" t="e">
        <f>MATCH(L34,{FALSE,2.1,TRUE,4.1})</f>
        <v>#DIV/0!</v>
      </c>
      <c r="AB34" s="6" t="e">
        <f>MATCH(M34,{FALSE,2.1,TRUE,4.1})</f>
        <v>#NAME?</v>
      </c>
      <c r="AC34" s="6" t="e">
        <f>MATCH(N34,{FALSE,2.1,TRUE,4.1})</f>
        <v>#NULL!</v>
      </c>
      <c r="AD34" s="6" t="e">
        <f>MATCH(O34,{FALSE,2.1,TRUE,4.1})</f>
        <v>#NUM!</v>
      </c>
      <c r="AE34" s="6" t="e">
        <f>MATCH(P34,{FALSE,2.1,TRUE,4.1})</f>
        <v>#REF!</v>
      </c>
      <c r="AF34" s="6"/>
      <c r="AG34" s="6"/>
    </row>
    <row r="35" spans="1:47" x14ac:dyDescent="0.15">
      <c r="A35" s="44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MATCH(B35,{4.1,3.1,2.1,1.1})</f>
        <v>#N/A</v>
      </c>
      <c r="R35" s="6" t="e">
        <f>MATCH(C35,{4.1,3.1,2.1,1.1})</f>
        <v>#N/A</v>
      </c>
      <c r="S35" s="6" t="e">
        <f>MATCH(D35,{4.1,3.1,2.1,1.1})</f>
        <v>#N/A</v>
      </c>
      <c r="T35" s="6">
        <f>MATCH(E35,{4.1,3.1,2.1,1.1})</f>
        <v>4</v>
      </c>
      <c r="U35" s="6">
        <f>MATCH(F35,{4.1,3.1,2.1,1.1})</f>
        <v>4</v>
      </c>
      <c r="V35" s="6" t="e">
        <f>MATCH(G35,{4.1,3.1,2.1,1.1})</f>
        <v>#N/A</v>
      </c>
      <c r="W35" s="6" t="e">
        <f>MATCH(H35,{4.1,3.1,2.1,1.1})</f>
        <v>#N/A</v>
      </c>
      <c r="X35" s="6" t="e">
        <f>MATCH(I35,{4.1,3.1,2.1,1.1})</f>
        <v>#N/A</v>
      </c>
      <c r="Y35" s="6" t="e">
        <f>MATCH(J35,{4.1,3.1,2.1,1.1})</f>
        <v>#VALUE!</v>
      </c>
      <c r="Z35" s="6" t="e">
        <f>MATCH(K35,{4.1,3.1,2.1,1.1})</f>
        <v>#N/A</v>
      </c>
      <c r="AA35" s="6" t="e">
        <f>MATCH(L35,{4.1,3.1,2.1,1.1})</f>
        <v>#DIV/0!</v>
      </c>
      <c r="AB35" s="6" t="e">
        <f>MATCH(M35,{4.1,3.1,2.1,1.1})</f>
        <v>#NAME?</v>
      </c>
      <c r="AC35" s="6" t="e">
        <f>MATCH(N35,{4.1,3.1,2.1,1.1})</f>
        <v>#NULL!</v>
      </c>
      <c r="AD35" s="6" t="e">
        <f>MATCH(O35,{4.1,3.1,2.1,1.1})</f>
        <v>#NUM!</v>
      </c>
      <c r="AE35" s="6" t="e">
        <f>MATCH(P35,{4.1,3.1,2.1,1.1})</f>
        <v>#REF!</v>
      </c>
      <c r="AF35" s="6"/>
      <c r="AG35" s="6"/>
    </row>
    <row r="36" spans="1:47" x14ac:dyDescent="0.15">
      <c r="A36" s="44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MATCH(B36,{"c bau c",4.1,"a",1.1})</f>
        <v>#N/A</v>
      </c>
      <c r="R36" s="6" t="e">
        <f>MATCH(C36,{"c bau c",4.1,"a",1.1})</f>
        <v>#N/A</v>
      </c>
      <c r="S36" s="6" t="e">
        <f>MATCH(D36,{"c bau c",4.1,"a",1.1})</f>
        <v>#N/A</v>
      </c>
      <c r="T36" s="6" t="e">
        <f>MATCH(E36,{"c bau c",4.1,"a",1.1})</f>
        <v>#N/A</v>
      </c>
      <c r="U36" s="6">
        <f>MATCH(F36,{"c bau c",4.1,"a",1.1})</f>
        <v>2</v>
      </c>
      <c r="V36" s="6" t="e">
        <f>MATCH(G36,{"c bau c",4.1,"a",1.1})</f>
        <v>#N/A</v>
      </c>
      <c r="W36" s="6" t="e">
        <f>MATCH(H36,{"c bau c",4.1,"a",1.1})</f>
        <v>#N/A</v>
      </c>
      <c r="X36" s="6" t="e">
        <f>MATCH(I36,{"c bau c",4.1,"a",1.1})</f>
        <v>#N/A</v>
      </c>
      <c r="Y36" s="6" t="e">
        <f>MATCH(J36,{"c bau c",4.1,"a",1.1})</f>
        <v>#VALUE!</v>
      </c>
      <c r="Z36" s="6" t="e">
        <f>MATCH(K36,{"c bau c",4.1,"a",1.1})</f>
        <v>#N/A</v>
      </c>
      <c r="AA36" s="6" t="e">
        <f>MATCH(L36,{"c bau c",4.1,"a",1.1})</f>
        <v>#DIV/0!</v>
      </c>
      <c r="AB36" s="6" t="e">
        <f>MATCH(M36,{"c bau c",4.1,"a",1.1})</f>
        <v>#NAME?</v>
      </c>
      <c r="AC36" s="6" t="e">
        <f>MATCH(N36,{"c bau c",4.1,"a",1.1})</f>
        <v>#NULL!</v>
      </c>
      <c r="AD36" s="6" t="e">
        <f>MATCH(O36,{"c bau c",4.1,"a",1.1})</f>
        <v>#NUM!</v>
      </c>
      <c r="AE36" s="6" t="e">
        <f>MATCH(P36,{"c bau c",4.1,"a",1.1})</f>
        <v>#REF!</v>
      </c>
      <c r="AF36" s="6"/>
      <c r="AG36" s="6"/>
    </row>
    <row r="37" spans="1:47" x14ac:dyDescent="0.15">
      <c r="A37" s="44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MATCH(B37,{"",4.1,"a",1.1})</f>
        <v>#N/A</v>
      </c>
      <c r="R37" s="6" t="e">
        <f>MATCH(C37,{"",4.1,"a",1.1})</f>
        <v>#N/A</v>
      </c>
      <c r="S37" s="6" t="e">
        <f>MATCH(D37,{"",4.1,"a",1.1})</f>
        <v>#N/A</v>
      </c>
      <c r="T37" s="6" t="e">
        <f>MATCH(E37,{"",4.1,"a",1.1})</f>
        <v>#N/A</v>
      </c>
      <c r="U37" s="6">
        <f>MATCH(F37,{"",4.1,"a",1.1})</f>
        <v>2</v>
      </c>
      <c r="V37" s="6" t="e">
        <f>MATCH(G37,{"",4.1,"a",1.1})</f>
        <v>#N/A</v>
      </c>
      <c r="W37" s="6">
        <f>MATCH(H37,{"",4.1,"a",1.1})</f>
        <v>1</v>
      </c>
      <c r="X37" s="6" t="e">
        <f>MATCH(I37,{"",4.1,"a",1.1})</f>
        <v>#N/A</v>
      </c>
      <c r="Y37" s="6" t="e">
        <f>MATCH(J37,{"",4.1,"a",1.1})</f>
        <v>#VALUE!</v>
      </c>
      <c r="Z37" s="6" t="e">
        <f>MATCH(K37,{"",4.1,"a",1.1})</f>
        <v>#N/A</v>
      </c>
      <c r="AA37" s="6" t="e">
        <f>MATCH(L37,{"",4.1,"a",1.1})</f>
        <v>#DIV/0!</v>
      </c>
      <c r="AB37" s="6" t="e">
        <f>MATCH(M37,{"",4.1,"a",1.1})</f>
        <v>#NAME?</v>
      </c>
      <c r="AC37" s="6" t="e">
        <f>MATCH(N37,{"",4.1,"a",1.1})</f>
        <v>#NULL!</v>
      </c>
      <c r="AD37" s="6" t="e">
        <f>MATCH(O37,{"",4.1,"a",1.1})</f>
        <v>#NUM!</v>
      </c>
      <c r="AE37" s="6" t="e">
        <f>MATCH(P37,{"",4.1,"a",1.1})</f>
        <v>#REF!</v>
      </c>
      <c r="AF37" s="6"/>
      <c r="AG37" s="6"/>
    </row>
    <row r="38" spans="1:47" x14ac:dyDescent="0.15">
      <c r="A38" s="44"/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MATCH(B38,{TRUE,4.1,FALSE,1.1})</f>
        <v>#N/A</v>
      </c>
      <c r="R38" s="6" t="e">
        <f>MATCH(C38,{TRUE,4.1,FALSE,1.1})</f>
        <v>#N/A</v>
      </c>
      <c r="S38" s="6" t="e">
        <f>MATCH(D38,{TRUE,4.1,FALSE,1.1})</f>
        <v>#N/A</v>
      </c>
      <c r="T38" s="6" t="e">
        <f>MATCH(E38,{TRUE,4.1,FALSE,1.1})</f>
        <v>#N/A</v>
      </c>
      <c r="U38" s="6">
        <f>MATCH(F38,{TRUE,4.1,FALSE,1.1})</f>
        <v>2</v>
      </c>
      <c r="V38" s="6" t="e">
        <f>MATCH(G38,{TRUE,4.1,FALSE,1.1})</f>
        <v>#N/A</v>
      </c>
      <c r="W38" s="6" t="e">
        <f>MATCH(H38,{TRUE,4.1,FALSE,1.1})</f>
        <v>#N/A</v>
      </c>
      <c r="X38" s="6">
        <f>MATCH(I38,{TRUE,4.1,FALSE,1.1})</f>
        <v>3</v>
      </c>
      <c r="Y38" s="6" t="e">
        <f>MATCH(J38,{TRUE,4.1,FALSE,1.1})</f>
        <v>#VALUE!</v>
      </c>
      <c r="Z38" s="6" t="e">
        <f>MATCH(K38,{TRUE,4.1,FALSE,1.1})</f>
        <v>#N/A</v>
      </c>
      <c r="AA38" s="6" t="e">
        <f>MATCH(L38,{TRUE,4.1,FALSE,1.1})</f>
        <v>#DIV/0!</v>
      </c>
      <c r="AB38" s="6" t="e">
        <f>MATCH(M38,{TRUE,4.1,FALSE,1.1})</f>
        <v>#NAME?</v>
      </c>
      <c r="AC38" s="6" t="e">
        <f>MATCH(N38,{TRUE,4.1,FALSE,1.1})</f>
        <v>#NULL!</v>
      </c>
      <c r="AD38" s="6" t="e">
        <f>MATCH(O38,{TRUE,4.1,FALSE,1.1})</f>
        <v>#NUM!</v>
      </c>
      <c r="AE38" s="6" t="e">
        <f>MATCH(P38,{TRUE,4.1,FALSE,1.1})</f>
        <v>#REF!</v>
      </c>
      <c r="AF38" s="6"/>
      <c r="AG38" s="6"/>
    </row>
    <row r="39" spans="1:47" x14ac:dyDescent="0.15">
      <c r="A39" s="44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MATCH(B39,{TRUE,4.1,FALSE,"c bau c"})</f>
        <v>#N/A</v>
      </c>
      <c r="R39" s="6" t="e">
        <f>MATCH(C39,{TRUE,4.1,FALSE,"c bau c"})</f>
        <v>#N/A</v>
      </c>
      <c r="S39" s="6" t="e">
        <f>MATCH(D39,{TRUE,4.1,FALSE,"c bau c"})</f>
        <v>#N/A</v>
      </c>
      <c r="T39" s="6" t="e">
        <f>MATCH(E39,{TRUE,4.1,FALSE,"c bau c"})</f>
        <v>#N/A</v>
      </c>
      <c r="U39" s="6">
        <f>MATCH(F39,{TRUE,4.1,FALSE,"c bau c"})</f>
        <v>2</v>
      </c>
      <c r="V39" s="6" t="e">
        <f>MATCH(G39,{TRUE,4.1,FALSE,"c bau c"})</f>
        <v>#N/A</v>
      </c>
      <c r="W39" s="6" t="e">
        <f>MATCH(H39,{TRUE,4.1,FALSE,"c bau c"})</f>
        <v>#N/A</v>
      </c>
      <c r="X39" s="6">
        <f>MATCH(I39,{TRUE,4.1,FALSE,"c bau c"})</f>
        <v>3</v>
      </c>
      <c r="Y39" s="6" t="e">
        <f>MATCH(J39,{TRUE,4.1,FALSE,"c bau c"})</f>
        <v>#VALUE!</v>
      </c>
      <c r="Z39" s="6" t="e">
        <f>MATCH(K39,{TRUE,4.1,FALSE,"c bau c"})</f>
        <v>#N/A</v>
      </c>
      <c r="AA39" s="6" t="e">
        <f>MATCH(L39,{TRUE,4.1,FALSE,"c bau c"})</f>
        <v>#DIV/0!</v>
      </c>
      <c r="AB39" s="6" t="e">
        <f>MATCH(M39,{TRUE,4.1,FALSE,"c bau c"})</f>
        <v>#NAME?</v>
      </c>
      <c r="AC39" s="6" t="e">
        <f>MATCH(N39,{TRUE,4.1,FALSE,"c bau c"})</f>
        <v>#NULL!</v>
      </c>
      <c r="AD39" s="6" t="e">
        <f>MATCH(O39,{TRUE,4.1,FALSE,"c bau c"})</f>
        <v>#NUM!</v>
      </c>
      <c r="AE39" s="6" t="e">
        <f>MATCH(P39,{TRUE,4.1,FALSE,"c bau c"})</f>
        <v>#REF!</v>
      </c>
      <c r="AF39" s="6"/>
      <c r="AG39" s="6"/>
    </row>
    <row r="40" spans="1:47" x14ac:dyDescent="0.15">
      <c r="A40" s="44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MATCH(B40,{TRUE,FALSE,"a","c bau c"})</f>
        <v>#N/A</v>
      </c>
      <c r="R40" s="6" t="e">
        <f>MATCH(C40,{TRUE,FALSE,"a","c bau c"})</f>
        <v>#N/A</v>
      </c>
      <c r="S40" s="6" t="e">
        <f>MATCH(D40,{TRUE,FALSE,"a","c bau c"})</f>
        <v>#N/A</v>
      </c>
      <c r="T40" s="6" t="e">
        <f>MATCH(E40,{TRUE,FALSE,"a","c bau c"})</f>
        <v>#N/A</v>
      </c>
      <c r="U40" s="6" t="e">
        <f>MATCH(F40,{TRUE,FALSE,"a","c bau c"})</f>
        <v>#N/A</v>
      </c>
      <c r="V40" s="6" t="e">
        <f>MATCH(G40,{TRUE,FALSE,"a","c bau c"})</f>
        <v>#N/A</v>
      </c>
      <c r="W40" s="6" t="e">
        <f>MATCH(H40,{TRUE,FALSE,"a","c bau c"})</f>
        <v>#N/A</v>
      </c>
      <c r="X40" s="6">
        <f>MATCH(I40,{TRUE,FALSE,"a","c bau c"})</f>
        <v>2</v>
      </c>
      <c r="Y40" s="6" t="e">
        <f>MATCH(J40,{TRUE,FALSE,"a","c bau c"})</f>
        <v>#VALUE!</v>
      </c>
      <c r="Z40" s="6" t="e">
        <f>MATCH(K40,{TRUE,FALSE,"a","c bau c"})</f>
        <v>#N/A</v>
      </c>
      <c r="AA40" s="6" t="e">
        <f>MATCH(L40,{TRUE,FALSE,"a","c bau c"})</f>
        <v>#DIV/0!</v>
      </c>
      <c r="AB40" s="6" t="e">
        <f>MATCH(M40,{TRUE,FALSE,"a","c bau c"})</f>
        <v>#NAME?</v>
      </c>
      <c r="AC40" s="6" t="e">
        <f>MATCH(N40,{TRUE,FALSE,"a","c bau c"})</f>
        <v>#NULL!</v>
      </c>
      <c r="AD40" s="6" t="e">
        <f>MATCH(O40,{TRUE,FALSE,"a","c bau c"})</f>
        <v>#NUM!</v>
      </c>
      <c r="AE40" s="6" t="e">
        <f>MATCH(P40,{TRUE,FALSE,"a","c bau c"})</f>
        <v>#REF!</v>
      </c>
      <c r="AF40" s="6"/>
      <c r="AG40" s="6"/>
    </row>
    <row r="41" spans="1:47" x14ac:dyDescent="0.15">
      <c r="A41" s="44" t="s">
        <v>351</v>
      </c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MATCH(B41,{-1.1,2.1,3.1,4.1},0)</f>
        <v>#N/A</v>
      </c>
      <c r="R41" s="6" t="e">
        <f>MATCH(C41,{-1.1,2.1,3.1,4.1},0)</f>
        <v>#N/A</v>
      </c>
      <c r="S41" s="6" t="e">
        <f>MATCH(D41,{-1.1,2.1,3.1,4.1},0)</f>
        <v>#N/A</v>
      </c>
      <c r="T41" s="6" t="e">
        <f>MATCH(E41,{-1.1,2.1,3.1,4.1},0)</f>
        <v>#N/A</v>
      </c>
      <c r="U41" s="6">
        <f>MATCH(F41,{-1.1,2.1,3.1,4.1},0)</f>
        <v>4</v>
      </c>
      <c r="V41" s="6" t="e">
        <f>MATCH(G41,{-1.1,2.1,3.1,4.1},0)</f>
        <v>#N/A</v>
      </c>
      <c r="W41" s="6" t="e">
        <f>MATCH(H41,{-1.1,2.1,3.1,4.1},0)</f>
        <v>#N/A</v>
      </c>
      <c r="X41" s="6" t="e">
        <f>MATCH(I41,{-1.1,2.1,3.1,4.1},0)</f>
        <v>#N/A</v>
      </c>
      <c r="Y41" s="6" t="e">
        <f>MATCH(J41,{-1.1,2.1,3.1,4.1},0)</f>
        <v>#VALUE!</v>
      </c>
      <c r="Z41" s="6" t="e">
        <f>MATCH(K41,{-1.1,2.1,3.1,4.1},0)</f>
        <v>#N/A</v>
      </c>
      <c r="AA41" s="6" t="e">
        <f>MATCH(L41,{-1.1,2.1,3.1,4.1},0)</f>
        <v>#DIV/0!</v>
      </c>
      <c r="AB41" s="6" t="e">
        <f>MATCH(M41,{-1.1,2.1,3.1,4.1},0)</f>
        <v>#NAME?</v>
      </c>
      <c r="AC41" s="6" t="e">
        <f>MATCH(N41,{-1.1,2.1,3.1,4.1},0)</f>
        <v>#NULL!</v>
      </c>
      <c r="AD41" s="6" t="e">
        <f>MATCH(O41,{-1.1,2.1,3.1,4.1},0)</f>
        <v>#NUM!</v>
      </c>
      <c r="AE41" s="6" t="e">
        <f>MATCH(P41,{-1.1,2.1,3.1,4.1},0)</f>
        <v>#REF!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x14ac:dyDescent="0.15">
      <c r="A42" s="44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MATCH(B42,{"a",2.1,"c bau c",4.1},0)</f>
        <v>#N/A</v>
      </c>
      <c r="R42" s="6" t="e">
        <f>MATCH(C42,{"a",2.1,"c bau c",4.1},0)</f>
        <v>#N/A</v>
      </c>
      <c r="S42" s="6" t="e">
        <f>MATCH(D42,{"a",2.1,"c bau c",4.1},0)</f>
        <v>#N/A</v>
      </c>
      <c r="T42" s="6" t="e">
        <f>MATCH(E42,{"a",2.1,"c bau c",4.1},0)</f>
        <v>#N/A</v>
      </c>
      <c r="U42" s="6">
        <f>MATCH(F42,{"a",2.1,"c bau c",4.1},0)</f>
        <v>4</v>
      </c>
      <c r="V42" s="6" t="e">
        <f>MATCH(G42,{"a",2.1,"c bau c",4.1},0)</f>
        <v>#N/A</v>
      </c>
      <c r="W42" s="6">
        <f>MATCH(H42,{"a",2.1,"c bau c",4.1},0)</f>
        <v>3</v>
      </c>
      <c r="X42" s="6" t="e">
        <f>MATCH(I42,{"a",2.1,"c bau c",4.1},0)</f>
        <v>#N/A</v>
      </c>
      <c r="Y42" s="6" t="e">
        <f>MATCH(J42,{"a",2.1,"c bau c",4.1},0)</f>
        <v>#VALUE!</v>
      </c>
      <c r="Z42" s="6" t="e">
        <f>MATCH(K42,{"a",2.1,"c bau c",4.1},0)</f>
        <v>#N/A</v>
      </c>
      <c r="AA42" s="6" t="e">
        <f>MATCH(L42,{"a",2.1,"c bau c",4.1},0)</f>
        <v>#DIV/0!</v>
      </c>
      <c r="AB42" s="6" t="e">
        <f>MATCH(M42,{"a",2.1,"c bau c",4.1},0)</f>
        <v>#NAME?</v>
      </c>
      <c r="AC42" s="6" t="e">
        <f>MATCH(N42,{"a",2.1,"c bau c",4.1},0)</f>
        <v>#NULL!</v>
      </c>
      <c r="AD42" s="6" t="e">
        <f>MATCH(O42,{"a",2.1,"c bau c",4.1},0)</f>
        <v>#NUM!</v>
      </c>
      <c r="AE42" s="6" t="e">
        <f>MATCH(P42,{"a",2.1,"c bau c",4.1},0)</f>
        <v>#REF!</v>
      </c>
      <c r="AF42" s="6"/>
      <c r="AG42" s="6"/>
    </row>
    <row r="43" spans="1:47" x14ac:dyDescent="0.15">
      <c r="A43" s="44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MATCH(B43,{FALSE,2.1,TRUE,4.1},0)</f>
        <v>#N/A</v>
      </c>
      <c r="R43" s="6" t="e">
        <f>MATCH(C43,{FALSE,2.1,TRUE,4.1},0)</f>
        <v>#N/A</v>
      </c>
      <c r="S43" s="6" t="e">
        <f>MATCH(D43,{FALSE,2.1,TRUE,4.1},0)</f>
        <v>#N/A</v>
      </c>
      <c r="T43" s="6" t="e">
        <f>MATCH(E43,{FALSE,2.1,TRUE,4.1},0)</f>
        <v>#N/A</v>
      </c>
      <c r="U43" s="6">
        <f>MATCH(F43,{FALSE,2.1,TRUE,4.1},0)</f>
        <v>4</v>
      </c>
      <c r="V43" s="6" t="e">
        <f>MATCH(G43,{FALSE,2.1,TRUE,4.1},0)</f>
        <v>#N/A</v>
      </c>
      <c r="W43" s="6" t="e">
        <f>MATCH(H43,{FALSE,2.1,TRUE,4.1},0)</f>
        <v>#N/A</v>
      </c>
      <c r="X43" s="6">
        <f>MATCH(I43,{FALSE,2.1,TRUE,4.1},0)</f>
        <v>3</v>
      </c>
      <c r="Y43" s="6" t="e">
        <f>MATCH(J43,{FALSE,2.1,TRUE,4.1},0)</f>
        <v>#VALUE!</v>
      </c>
      <c r="Z43" s="6" t="e">
        <f>MATCH(K43,{FALSE,2.1,TRUE,4.1},0)</f>
        <v>#N/A</v>
      </c>
      <c r="AA43" s="6" t="e">
        <f>MATCH(L43,{FALSE,2.1,TRUE,4.1},0)</f>
        <v>#DIV/0!</v>
      </c>
      <c r="AB43" s="6" t="e">
        <f>MATCH(M43,{FALSE,2.1,TRUE,4.1},0)</f>
        <v>#NAME?</v>
      </c>
      <c r="AC43" s="6" t="e">
        <f>MATCH(N43,{FALSE,2.1,TRUE,4.1},0)</f>
        <v>#NULL!</v>
      </c>
      <c r="AD43" s="6" t="e">
        <f>MATCH(O43,{FALSE,2.1,TRUE,4.1},0)</f>
        <v>#NUM!</v>
      </c>
      <c r="AE43" s="6" t="e">
        <f>MATCH(P43,{FALSE,2.1,TRUE,4.1},0)</f>
        <v>#REF!</v>
      </c>
      <c r="AF43" s="6"/>
      <c r="AG43" s="6"/>
    </row>
    <row r="44" spans="1:47" x14ac:dyDescent="0.15">
      <c r="A44" s="44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MATCH(B44,{4.1,3.1,2.1,1.1},0)</f>
        <v>#N/A</v>
      </c>
      <c r="R44" s="6">
        <f>MATCH(C44,{4.1,3.1,2.1,1.1},0)</f>
        <v>4</v>
      </c>
      <c r="S44" s="6" t="e">
        <f>MATCH(D44,{4.1,3.1,2.1,1.1},0)</f>
        <v>#N/A</v>
      </c>
      <c r="T44" s="6" t="e">
        <f>MATCH(E44,{4.1,3.1,2.1,1.1},0)</f>
        <v>#N/A</v>
      </c>
      <c r="U44" s="6">
        <f>MATCH(F44,{4.1,3.1,2.1,1.1},0)</f>
        <v>1</v>
      </c>
      <c r="V44" s="6" t="e">
        <f>MATCH(G44,{4.1,3.1,2.1,1.1},0)</f>
        <v>#N/A</v>
      </c>
      <c r="W44" s="6" t="e">
        <f>MATCH(H44,{4.1,3.1,2.1,1.1},0)</f>
        <v>#N/A</v>
      </c>
      <c r="X44" s="6" t="e">
        <f>MATCH(I44,{4.1,3.1,2.1,1.1},0)</f>
        <v>#N/A</v>
      </c>
      <c r="Y44" s="6" t="e">
        <f>MATCH(J44,{4.1,3.1,2.1,1.1},0)</f>
        <v>#VALUE!</v>
      </c>
      <c r="Z44" s="6" t="e">
        <f>MATCH(K44,{4.1,3.1,2.1,1.1},0)</f>
        <v>#N/A</v>
      </c>
      <c r="AA44" s="6" t="e">
        <f>MATCH(L44,{4.1,3.1,2.1,1.1},0)</f>
        <v>#DIV/0!</v>
      </c>
      <c r="AB44" s="6" t="e">
        <f>MATCH(M44,{4.1,3.1,2.1,1.1},0)</f>
        <v>#NAME?</v>
      </c>
      <c r="AC44" s="6" t="e">
        <f>MATCH(N44,{4.1,3.1,2.1,1.1},0)</f>
        <v>#NULL!</v>
      </c>
      <c r="AD44" s="6" t="e">
        <f>MATCH(O44,{4.1,3.1,2.1,1.1},0)</f>
        <v>#NUM!</v>
      </c>
      <c r="AE44" s="6" t="e">
        <f>MATCH(P44,{4.1,3.1,2.1,1.1},0)</f>
        <v>#REF!</v>
      </c>
      <c r="AF44" s="6"/>
      <c r="AG44" s="6"/>
    </row>
    <row r="45" spans="1:47" x14ac:dyDescent="0.15">
      <c r="A45" s="44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MATCH(B45,{"c bau c",4.1,"a",1.1},0)</f>
        <v>#N/A</v>
      </c>
      <c r="R45" s="6">
        <f>MATCH(C45,{"c bau c",4.1,"a",1.1},0)</f>
        <v>4</v>
      </c>
      <c r="S45" s="6" t="e">
        <f>MATCH(D45,{"c bau c",4.1,"a",1.1},0)</f>
        <v>#N/A</v>
      </c>
      <c r="T45" s="6" t="e">
        <f>MATCH(E45,{"c bau c",4.1,"a",1.1},0)</f>
        <v>#N/A</v>
      </c>
      <c r="U45" s="6">
        <f>MATCH(F45,{"c bau c",4.1,"a",1.1},0)</f>
        <v>2</v>
      </c>
      <c r="V45" s="6" t="e">
        <f>MATCH(G45,{"c bau c",4.1,"a",1.1},0)</f>
        <v>#N/A</v>
      </c>
      <c r="W45" s="6">
        <f>MATCH(H45,{"c bau c",4.1,"a",1.1},0)</f>
        <v>1</v>
      </c>
      <c r="X45" s="6" t="e">
        <f>MATCH(I45,{"c bau c",4.1,"a",1.1},0)</f>
        <v>#N/A</v>
      </c>
      <c r="Y45" s="6" t="e">
        <f>MATCH(J45,{"c bau c",4.1,"a",1.1},0)</f>
        <v>#VALUE!</v>
      </c>
      <c r="Z45" s="6" t="e">
        <f>MATCH(K45,{"c bau c",4.1,"a",1.1},0)</f>
        <v>#N/A</v>
      </c>
      <c r="AA45" s="6" t="e">
        <f>MATCH(L45,{"c bau c",4.1,"a",1.1},0)</f>
        <v>#DIV/0!</v>
      </c>
      <c r="AB45" s="6" t="e">
        <f>MATCH(M45,{"c bau c",4.1,"a",1.1},0)</f>
        <v>#NAME?</v>
      </c>
      <c r="AC45" s="6" t="e">
        <f>MATCH(N45,{"c bau c",4.1,"a",1.1},0)</f>
        <v>#NULL!</v>
      </c>
      <c r="AD45" s="6" t="e">
        <f>MATCH(O45,{"c bau c",4.1,"a",1.1},0)</f>
        <v>#NUM!</v>
      </c>
      <c r="AE45" s="6" t="e">
        <f>MATCH(P45,{"c bau c",4.1,"a",1.1},0)</f>
        <v>#REF!</v>
      </c>
      <c r="AF45" s="6"/>
      <c r="AG45" s="6"/>
    </row>
    <row r="46" spans="1:47" x14ac:dyDescent="0.15">
      <c r="A46" s="44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MATCH(B46,{"",4.1,"a",1.1},0)</f>
        <v>#N/A</v>
      </c>
      <c r="R46" s="6">
        <f>MATCH(C46,{"",4.1,"a",1.1},0)</f>
        <v>4</v>
      </c>
      <c r="S46" s="6" t="e">
        <f>MATCH(D46,{"",4.1,"a",1.1},0)</f>
        <v>#N/A</v>
      </c>
      <c r="T46" s="6" t="e">
        <f>MATCH(E46,{"",4.1,"a",1.1},0)</f>
        <v>#N/A</v>
      </c>
      <c r="U46" s="6">
        <f>MATCH(F46,{"",4.1,"a",1.1},0)</f>
        <v>2</v>
      </c>
      <c r="V46" s="6" t="e">
        <f>MATCH(G46,{"",4.1,"a",1.1},0)</f>
        <v>#N/A</v>
      </c>
      <c r="W46" s="6" t="e">
        <f>MATCH(H46,{"",4.1,"a",1.1},0)</f>
        <v>#N/A</v>
      </c>
      <c r="X46" s="6" t="e">
        <f>MATCH(I46,{"",4.1,"a",1.1},0)</f>
        <v>#N/A</v>
      </c>
      <c r="Y46" s="6" t="e">
        <f>MATCH(J46,{"",4.1,"a",1.1},0)</f>
        <v>#VALUE!</v>
      </c>
      <c r="Z46" s="6" t="e">
        <f>MATCH(K46,{"",4.1,"a",1.1},0)</f>
        <v>#N/A</v>
      </c>
      <c r="AA46" s="6" t="e">
        <f>MATCH(L46,{"",4.1,"a",1.1},0)</f>
        <v>#DIV/0!</v>
      </c>
      <c r="AB46" s="6" t="e">
        <f>MATCH(M46,{"",4.1,"a",1.1},0)</f>
        <v>#NAME?</v>
      </c>
      <c r="AC46" s="6" t="e">
        <f>MATCH(N46,{"",4.1,"a",1.1},0)</f>
        <v>#NULL!</v>
      </c>
      <c r="AD46" s="6" t="e">
        <f>MATCH(O46,{"",4.1,"a",1.1},0)</f>
        <v>#NUM!</v>
      </c>
      <c r="AE46" s="6" t="e">
        <f>MATCH(P46,{"",4.1,"a",1.1},0)</f>
        <v>#REF!</v>
      </c>
      <c r="AF46" s="6"/>
      <c r="AG46" s="6"/>
    </row>
    <row r="47" spans="1:47" x14ac:dyDescent="0.15">
      <c r="A47" s="44"/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 t="e">
        <f>MATCH(B47,{TRUE,4.1,FALSE,1.1},0)</f>
        <v>#N/A</v>
      </c>
      <c r="R47" s="6">
        <f>MATCH(C47,{TRUE,4.1,FALSE,1.1},0)</f>
        <v>4</v>
      </c>
      <c r="S47" s="6" t="e">
        <f>MATCH(D47,{TRUE,4.1,FALSE,1.1},0)</f>
        <v>#N/A</v>
      </c>
      <c r="T47" s="6" t="e">
        <f>MATCH(E47,{TRUE,4.1,FALSE,1.1},0)</f>
        <v>#N/A</v>
      </c>
      <c r="U47" s="6">
        <f>MATCH(F47,{TRUE,4.1,FALSE,1.1},0)</f>
        <v>2</v>
      </c>
      <c r="V47" s="6" t="e">
        <f>MATCH(G47,{TRUE,4.1,FALSE,1.1},0)</f>
        <v>#N/A</v>
      </c>
      <c r="W47" s="6" t="e">
        <f>MATCH(H47,{TRUE,4.1,FALSE,1.1},0)</f>
        <v>#N/A</v>
      </c>
      <c r="X47" s="6">
        <f>MATCH(I47,{TRUE,4.1,FALSE,1.1},0)</f>
        <v>1</v>
      </c>
      <c r="Y47" s="6" t="e">
        <f>MATCH(J47,{TRUE,4.1,FALSE,1.1},0)</f>
        <v>#VALUE!</v>
      </c>
      <c r="Z47" s="6" t="e">
        <f>MATCH(K47,{TRUE,4.1,FALSE,1.1},0)</f>
        <v>#N/A</v>
      </c>
      <c r="AA47" s="6" t="e">
        <f>MATCH(L47,{TRUE,4.1,FALSE,1.1},0)</f>
        <v>#DIV/0!</v>
      </c>
      <c r="AB47" s="6" t="e">
        <f>MATCH(M47,{TRUE,4.1,FALSE,1.1},0)</f>
        <v>#NAME?</v>
      </c>
      <c r="AC47" s="6" t="e">
        <f>MATCH(N47,{TRUE,4.1,FALSE,1.1},0)</f>
        <v>#NULL!</v>
      </c>
      <c r="AD47" s="6" t="e">
        <f>MATCH(O47,{TRUE,4.1,FALSE,1.1},0)</f>
        <v>#NUM!</v>
      </c>
      <c r="AE47" s="6" t="e">
        <f>MATCH(P47,{TRUE,4.1,FALSE,1.1},0)</f>
        <v>#REF!</v>
      </c>
      <c r="AF47" s="6"/>
      <c r="AG47" s="6"/>
    </row>
    <row r="48" spans="1:47" x14ac:dyDescent="0.15">
      <c r="A48" s="44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 t="e">
        <f>MATCH(B48,{TRUE,4.1,FALSE,"c bau c"},0)</f>
        <v>#N/A</v>
      </c>
      <c r="R48" s="6" t="e">
        <f>MATCH(C48,{TRUE,4.1,FALSE,"c bau c"},0)</f>
        <v>#N/A</v>
      </c>
      <c r="S48" s="6" t="e">
        <f>MATCH(D48,{TRUE,4.1,FALSE,"c bau c"},0)</f>
        <v>#N/A</v>
      </c>
      <c r="T48" s="6" t="e">
        <f>MATCH(E48,{TRUE,4.1,FALSE,"c bau c"},0)</f>
        <v>#N/A</v>
      </c>
      <c r="U48" s="6">
        <f>MATCH(F48,{TRUE,4.1,FALSE,"c bau c"},0)</f>
        <v>2</v>
      </c>
      <c r="V48" s="6" t="e">
        <f>MATCH(G48,{TRUE,4.1,FALSE,"c bau c"},0)</f>
        <v>#N/A</v>
      </c>
      <c r="W48" s="6">
        <f>MATCH(H48,{TRUE,4.1,FALSE,"c bau c"},0)</f>
        <v>4</v>
      </c>
      <c r="X48" s="6">
        <f>MATCH(I48,{TRUE,4.1,FALSE,"c bau c"},0)</f>
        <v>1</v>
      </c>
      <c r="Y48" s="6" t="e">
        <f>MATCH(J48,{TRUE,4.1,FALSE,"c bau c"},0)</f>
        <v>#VALUE!</v>
      </c>
      <c r="Z48" s="6" t="e">
        <f>MATCH(K48,{TRUE,4.1,FALSE,"c bau c"},0)</f>
        <v>#N/A</v>
      </c>
      <c r="AA48" s="6" t="e">
        <f>MATCH(L48,{TRUE,4.1,FALSE,"c bau c"},0)</f>
        <v>#DIV/0!</v>
      </c>
      <c r="AB48" s="6" t="e">
        <f>MATCH(M48,{TRUE,4.1,FALSE,"c bau c"},0)</f>
        <v>#NAME?</v>
      </c>
      <c r="AC48" s="6" t="e">
        <f>MATCH(N48,{TRUE,4.1,FALSE,"c bau c"},0)</f>
        <v>#NULL!</v>
      </c>
      <c r="AD48" s="6" t="e">
        <f>MATCH(O48,{TRUE,4.1,FALSE,"c bau c"},0)</f>
        <v>#NUM!</v>
      </c>
      <c r="AE48" s="6" t="e">
        <f>MATCH(P48,{TRUE,4.1,FALSE,"c bau c"},0)</f>
        <v>#REF!</v>
      </c>
      <c r="AF48" s="6"/>
      <c r="AG48" s="6"/>
    </row>
    <row r="49" spans="1:48" x14ac:dyDescent="0.15">
      <c r="A49" s="44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 t="e">
        <f>MATCH(B49,{TRUE,FALSE,"a","c bau c"},0)</f>
        <v>#N/A</v>
      </c>
      <c r="R49" s="6" t="e">
        <f>MATCH(C49,{TRUE,FALSE,"a","c bau c"},0)</f>
        <v>#N/A</v>
      </c>
      <c r="S49" s="6" t="e">
        <f>MATCH(D49,{TRUE,FALSE,"a","c bau c"},0)</f>
        <v>#N/A</v>
      </c>
      <c r="T49" s="6" t="e">
        <f>MATCH(E49,{TRUE,FALSE,"a","c bau c"},0)</f>
        <v>#N/A</v>
      </c>
      <c r="U49" s="6" t="e">
        <f>MATCH(F49,{TRUE,FALSE,"a","c bau c"},0)</f>
        <v>#N/A</v>
      </c>
      <c r="V49" s="6" t="e">
        <f>MATCH(G49,{TRUE,FALSE,"a","c bau c"},0)</f>
        <v>#N/A</v>
      </c>
      <c r="W49" s="6">
        <f>MATCH(H49,{TRUE,FALSE,"a","c bau c"},0)</f>
        <v>4</v>
      </c>
      <c r="X49" s="6">
        <f>MATCH(I49,{TRUE,FALSE,"a","c bau c"},0)</f>
        <v>1</v>
      </c>
      <c r="Y49" s="6" t="e">
        <f>MATCH(J49,{TRUE,FALSE,"a","c bau c"},0)</f>
        <v>#VALUE!</v>
      </c>
      <c r="Z49" s="6" t="e">
        <f>MATCH(K49,{TRUE,FALSE,"a","c bau c"},0)</f>
        <v>#N/A</v>
      </c>
      <c r="AA49" s="6" t="e">
        <f>MATCH(L49,{TRUE,FALSE,"a","c bau c"},0)</f>
        <v>#DIV/0!</v>
      </c>
      <c r="AB49" s="6" t="e">
        <f>MATCH(M49,{TRUE,FALSE,"a","c bau c"},0)</f>
        <v>#NAME?</v>
      </c>
      <c r="AC49" s="6" t="e">
        <f>MATCH(N49,{TRUE,FALSE,"a","c bau c"},0)</f>
        <v>#NULL!</v>
      </c>
      <c r="AD49" s="6" t="e">
        <f>MATCH(O49,{TRUE,FALSE,"a","c bau c"},0)</f>
        <v>#NUM!</v>
      </c>
      <c r="AE49" s="6" t="e">
        <f>MATCH(P49,{TRUE,FALSE,"a","c bau c"},0)</f>
        <v>#REF!</v>
      </c>
      <c r="AF49" s="6"/>
      <c r="AG49" s="6"/>
    </row>
    <row r="50" spans="1:48" x14ac:dyDescent="0.15">
      <c r="A50" s="44" t="s">
        <v>353</v>
      </c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MATCH(B50,{-1.1,2.1,3.1,4.1},-1)</f>
        <v>4</v>
      </c>
      <c r="R50" s="6" t="e">
        <f>MATCH(C50,{-1.1,2.1,3.1,4.1},-1)</f>
        <v>#N/A</v>
      </c>
      <c r="S50" s="6" t="e">
        <f>MATCH(D50,{-1.1,2.1,3.1,4.1},-1)</f>
        <v>#N/A</v>
      </c>
      <c r="T50" s="6" t="e">
        <f>MATCH(E50,{-1.1,2.1,3.1,4.1},-1)</f>
        <v>#N/A</v>
      </c>
      <c r="U50" s="6" t="e">
        <f>MATCH(F50,{-1.1,2.1,3.1,4.1},-1)</f>
        <v>#N/A</v>
      </c>
      <c r="V50" s="6" t="e">
        <f>MATCH(G50,{-1.1,2.1,3.1,4.1},-1)</f>
        <v>#N/A</v>
      </c>
      <c r="W50" s="6" t="e">
        <f>MATCH(H50,{-1.1,2.1,3.1,4.1},-1)</f>
        <v>#N/A</v>
      </c>
      <c r="X50" s="6" t="e">
        <f>MATCH(I50,{-1.1,2.1,3.1,4.1},-1)</f>
        <v>#N/A</v>
      </c>
      <c r="Y50" s="6" t="e">
        <f>MATCH(J50,{-1.1,2.1,3.1,4.1},-1)</f>
        <v>#VALUE!</v>
      </c>
      <c r="Z50" s="6" t="e">
        <f>MATCH(K50,{-1.1,2.1,3.1,4.1},-1)</f>
        <v>#N/A</v>
      </c>
      <c r="AA50" s="6" t="e">
        <f>MATCH(L50,{-1.1,2.1,3.1,4.1},-1)</f>
        <v>#DIV/0!</v>
      </c>
      <c r="AB50" s="6" t="e">
        <f>MATCH(M50,{-1.1,2.1,3.1,4.1},-1)</f>
        <v>#NAME?</v>
      </c>
      <c r="AC50" s="6" t="e">
        <f>MATCH(N50,{-1.1,2.1,3.1,4.1},-1)</f>
        <v>#NULL!</v>
      </c>
      <c r="AD50" s="6" t="e">
        <f>MATCH(O50,{-1.1,2.1,3.1,4.1},-1)</f>
        <v>#NUM!</v>
      </c>
      <c r="AE50" s="6" t="e">
        <f>MATCH(P50,{-1.1,2.1,3.1,4.1},-1)</f>
        <v>#REF!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8" x14ac:dyDescent="0.15">
      <c r="A51" s="44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MATCH(B51,{"a",2.1,"c bau c",4.1},-1)</f>
        <v>4</v>
      </c>
      <c r="R51" s="6">
        <f>MATCH(C51,{"a",2.1,"c bau c",4.1},-1)</f>
        <v>4</v>
      </c>
      <c r="S51" s="6" t="e">
        <f>MATCH(D51,{"a",2.1,"c bau c",4.1},-1)</f>
        <v>#N/A</v>
      </c>
      <c r="T51" s="6" t="e">
        <f>MATCH(E51,{"a",2.1,"c bau c",4.1},-1)</f>
        <v>#N/A</v>
      </c>
      <c r="U51" s="6" t="e">
        <f>MATCH(F51,{"a",2.1,"c bau c",4.1},-1)</f>
        <v>#N/A</v>
      </c>
      <c r="V51" s="6">
        <f>MATCH(G51,{"a",2.1,"c bau c",4.1},-1)</f>
        <v>4</v>
      </c>
      <c r="W51" s="6">
        <f>MATCH(H51,{"a",2.1,"c bau c",4.1},-1)</f>
        <v>3</v>
      </c>
      <c r="X51" s="6" t="e">
        <f>MATCH(I51,{"a",2.1,"c bau c",4.1},-1)</f>
        <v>#N/A</v>
      </c>
      <c r="Y51" s="6" t="e">
        <f>MATCH(J51,{"a",2.1,"c bau c",4.1},-1)</f>
        <v>#VALUE!</v>
      </c>
      <c r="Z51" s="6" t="e">
        <f>MATCH(K51,{"a",2.1,"c bau c",4.1},-1)</f>
        <v>#N/A</v>
      </c>
      <c r="AA51" s="6" t="e">
        <f>MATCH(L51,{"a",2.1,"c bau c",4.1},-1)</f>
        <v>#DIV/0!</v>
      </c>
      <c r="AB51" s="6" t="e">
        <f>MATCH(M51,{"a",2.1,"c bau c",4.1},-1)</f>
        <v>#NAME?</v>
      </c>
      <c r="AC51" s="6" t="e">
        <f>MATCH(N51,{"a",2.1,"c bau c",4.1},-1)</f>
        <v>#NULL!</v>
      </c>
      <c r="AD51" s="6" t="e">
        <f>MATCH(O51,{"a",2.1,"c bau c",4.1},-1)</f>
        <v>#NUM!</v>
      </c>
      <c r="AE51" s="6" t="e">
        <f>MATCH(P51,{"a",2.1,"c bau c",4.1},-1)</f>
        <v>#REF!</v>
      </c>
      <c r="AF51" s="6"/>
      <c r="AG51" s="6"/>
    </row>
    <row r="52" spans="1:48" x14ac:dyDescent="0.15">
      <c r="A52" s="44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MATCH(B52,{FALSE,2.1,TRUE,4.1},-1)</f>
        <v>4</v>
      </c>
      <c r="R52" s="6">
        <f>MATCH(C52,{FALSE,2.1,TRUE,4.1},-1)</f>
        <v>4</v>
      </c>
      <c r="S52" s="6" t="e">
        <f>MATCH(D52,{FALSE,2.1,TRUE,4.1},-1)</f>
        <v>#N/A</v>
      </c>
      <c r="T52" s="6" t="e">
        <f>MATCH(E52,{FALSE,2.1,TRUE,4.1},-1)</f>
        <v>#N/A</v>
      </c>
      <c r="U52" s="6" t="e">
        <f>MATCH(F52,{FALSE,2.1,TRUE,4.1},-1)</f>
        <v>#N/A</v>
      </c>
      <c r="V52" s="6">
        <f>MATCH(G52,{FALSE,2.1,TRUE,4.1},-1)</f>
        <v>4</v>
      </c>
      <c r="W52" s="6" t="e">
        <f>MATCH(H52,{FALSE,2.1,TRUE,4.1},-1)</f>
        <v>#N/A</v>
      </c>
      <c r="X52" s="6" t="e">
        <f>MATCH(I52,{FALSE,2.1,TRUE,4.1},-1)</f>
        <v>#N/A</v>
      </c>
      <c r="Y52" s="6" t="e">
        <f>MATCH(J52,{FALSE,2.1,TRUE,4.1},-1)</f>
        <v>#VALUE!</v>
      </c>
      <c r="Z52" s="6" t="e">
        <f>MATCH(K52,{FALSE,2.1,TRUE,4.1},-1)</f>
        <v>#N/A</v>
      </c>
      <c r="AA52" s="6" t="e">
        <f>MATCH(L52,{FALSE,2.1,TRUE,4.1},-1)</f>
        <v>#DIV/0!</v>
      </c>
      <c r="AB52" s="6" t="e">
        <f>MATCH(M52,{FALSE,2.1,TRUE,4.1},-1)</f>
        <v>#NAME?</v>
      </c>
      <c r="AC52" s="6" t="e">
        <f>MATCH(N52,{FALSE,2.1,TRUE,4.1},-1)</f>
        <v>#NULL!</v>
      </c>
      <c r="AD52" s="6" t="e">
        <f>MATCH(O52,{FALSE,2.1,TRUE,4.1},-1)</f>
        <v>#NUM!</v>
      </c>
      <c r="AE52" s="6" t="e">
        <f>MATCH(P52,{FALSE,2.1,TRUE,4.1},-1)</f>
        <v>#REF!</v>
      </c>
      <c r="AF52" s="6"/>
      <c r="AG52" s="6"/>
    </row>
    <row r="53" spans="1:48" x14ac:dyDescent="0.15">
      <c r="A53" s="44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MATCH(B53,{4.1,3.1,2.1,1.1},-1)</f>
        <v>4</v>
      </c>
      <c r="R53" s="6">
        <f>MATCH(C53,{4.1,3.1,2.1,1.1},-1)</f>
        <v>4</v>
      </c>
      <c r="S53" s="6">
        <f>MATCH(D53,{4.1,3.1,2.1,1.1},-1)</f>
        <v>2</v>
      </c>
      <c r="T53" s="6">
        <f>MATCH(E53,{4.1,3.1,2.1,1.1},-1)</f>
        <v>1</v>
      </c>
      <c r="U53" s="6">
        <f>MATCH(F53,{4.1,3.1,2.1,1.1},-1)</f>
        <v>1</v>
      </c>
      <c r="V53" s="6">
        <f>MATCH(G53,{4.1,3.1,2.1,1.1},-1)</f>
        <v>4</v>
      </c>
      <c r="W53" s="6" t="e">
        <f>MATCH(H53,{4.1,3.1,2.1,1.1},-1)</f>
        <v>#N/A</v>
      </c>
      <c r="X53" s="6" t="e">
        <f>MATCH(I53,{4.1,3.1,2.1,1.1},-1)</f>
        <v>#N/A</v>
      </c>
      <c r="Y53" s="6" t="e">
        <f>MATCH(J53,{4.1,3.1,2.1,1.1},-1)</f>
        <v>#VALUE!</v>
      </c>
      <c r="Z53" s="6" t="e">
        <f>MATCH(K53,{4.1,3.1,2.1,1.1},-1)</f>
        <v>#N/A</v>
      </c>
      <c r="AA53" s="6" t="e">
        <f>MATCH(L53,{4.1,3.1,2.1,1.1},-1)</f>
        <v>#DIV/0!</v>
      </c>
      <c r="AB53" s="6" t="e">
        <f>MATCH(M53,{4.1,3.1,2.1,1.1},-1)</f>
        <v>#NAME?</v>
      </c>
      <c r="AC53" s="6" t="e">
        <f>MATCH(N53,{4.1,3.1,2.1,1.1},-1)</f>
        <v>#NULL!</v>
      </c>
      <c r="AD53" s="6" t="e">
        <f>MATCH(O53,{4.1,3.1,2.1,1.1},-1)</f>
        <v>#NUM!</v>
      </c>
      <c r="AE53" s="6" t="e">
        <f>MATCH(P53,{4.1,3.1,2.1,1.1},-1)</f>
        <v>#REF!</v>
      </c>
      <c r="AF53" s="6"/>
      <c r="AG53" s="6"/>
    </row>
    <row r="54" spans="1:48" x14ac:dyDescent="0.15">
      <c r="A54" s="44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MATCH(B54,{"c bau c",4.1,"a",1.1},-1)</f>
        <v>4</v>
      </c>
      <c r="R54" s="6">
        <f>MATCH(C54,{"c bau c",4.1,"a",1.1},-1)</f>
        <v>4</v>
      </c>
      <c r="S54" s="6">
        <f>MATCH(D54,{"c bau c",4.1,"a",1.1},-1)</f>
        <v>2</v>
      </c>
      <c r="T54" s="6">
        <f>MATCH(E54,{"c bau c",4.1,"a",1.1},-1)</f>
        <v>2</v>
      </c>
      <c r="U54" s="6">
        <f>MATCH(F54,{"c bau c",4.1,"a",1.1},-1)</f>
        <v>2</v>
      </c>
      <c r="V54" s="6">
        <f>MATCH(G54,{"c bau c",4.1,"a",1.1},-1)</f>
        <v>4</v>
      </c>
      <c r="W54" s="6">
        <f>MATCH(H54,{"c bau c",4.1,"a",1.1},-1)</f>
        <v>3</v>
      </c>
      <c r="X54" s="6" t="e">
        <f>MATCH(I54,{"c bau c",4.1,"a",1.1},-1)</f>
        <v>#N/A</v>
      </c>
      <c r="Y54" s="6" t="e">
        <f>MATCH(J54,{"c bau c",4.1,"a",1.1},-1)</f>
        <v>#VALUE!</v>
      </c>
      <c r="Z54" s="6" t="e">
        <f>MATCH(K54,{"c bau c",4.1,"a",1.1},-1)</f>
        <v>#N/A</v>
      </c>
      <c r="AA54" s="6" t="e">
        <f>MATCH(L54,{"c bau c",4.1,"a",1.1},-1)</f>
        <v>#DIV/0!</v>
      </c>
      <c r="AB54" s="6" t="e">
        <f>MATCH(M54,{"c bau c",4.1,"a",1.1},-1)</f>
        <v>#NAME?</v>
      </c>
      <c r="AC54" s="6" t="e">
        <f>MATCH(N54,{"c bau c",4.1,"a",1.1},-1)</f>
        <v>#NULL!</v>
      </c>
      <c r="AD54" s="6" t="e">
        <f>MATCH(O54,{"c bau c",4.1,"a",1.1},-1)</f>
        <v>#NUM!</v>
      </c>
      <c r="AE54" s="6" t="e">
        <f>MATCH(P54,{"c bau c",4.1,"a",1.1},-1)</f>
        <v>#REF!</v>
      </c>
      <c r="AF54" s="6"/>
      <c r="AG54" s="6"/>
    </row>
    <row r="55" spans="1:48" x14ac:dyDescent="0.15">
      <c r="A55" s="44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>
        <f>MATCH(B55,{"",4.1,"a",1.1},-1)</f>
        <v>4</v>
      </c>
      <c r="R55" s="6">
        <f>MATCH(C55,{"",4.1,"a",1.1},-1)</f>
        <v>4</v>
      </c>
      <c r="S55" s="6">
        <f>MATCH(D55,{"",4.1,"a",1.1},-1)</f>
        <v>2</v>
      </c>
      <c r="T55" s="6">
        <f>MATCH(E55,{"",4.1,"a",1.1},-1)</f>
        <v>2</v>
      </c>
      <c r="U55" s="6">
        <f>MATCH(F55,{"",4.1,"a",1.1},-1)</f>
        <v>2</v>
      </c>
      <c r="V55" s="6">
        <f>MATCH(G55,{"",4.1,"a",1.1},-1)</f>
        <v>4</v>
      </c>
      <c r="W55" s="6" t="e">
        <f>MATCH(H55,{"",4.1,"a",1.1},-1)</f>
        <v>#N/A</v>
      </c>
      <c r="X55" s="6" t="e">
        <f>MATCH(I55,{"",4.1,"a",1.1},-1)</f>
        <v>#N/A</v>
      </c>
      <c r="Y55" s="6" t="e">
        <f>MATCH(J55,{"",4.1,"a",1.1},-1)</f>
        <v>#VALUE!</v>
      </c>
      <c r="Z55" s="6" t="e">
        <f>MATCH(K55,{"",4.1,"a",1.1},-1)</f>
        <v>#N/A</v>
      </c>
      <c r="AA55" s="6" t="e">
        <f>MATCH(L55,{"",4.1,"a",1.1},-1)</f>
        <v>#DIV/0!</v>
      </c>
      <c r="AB55" s="6" t="e">
        <f>MATCH(M55,{"",4.1,"a",1.1},-1)</f>
        <v>#NAME?</v>
      </c>
      <c r="AC55" s="6" t="e">
        <f>MATCH(N55,{"",4.1,"a",1.1},-1)</f>
        <v>#NULL!</v>
      </c>
      <c r="AD55" s="6" t="e">
        <f>MATCH(O55,{"",4.1,"a",1.1},-1)</f>
        <v>#NUM!</v>
      </c>
      <c r="AE55" s="6" t="e">
        <f>MATCH(P55,{"",4.1,"a",1.1},-1)</f>
        <v>#REF!</v>
      </c>
      <c r="AF55" s="6"/>
      <c r="AG55" s="6"/>
    </row>
    <row r="56" spans="1:48" x14ac:dyDescent="0.15">
      <c r="A56" s="44"/>
      <c r="B56" s="15">
        <v>-2</v>
      </c>
      <c r="C56" s="15">
        <v>1.1000000000000001</v>
      </c>
      <c r="D56" s="15">
        <v>3</v>
      </c>
      <c r="E56" s="15">
        <v>4</v>
      </c>
      <c r="F56" s="15">
        <v>4.0999999999999996</v>
      </c>
      <c r="G56" s="16"/>
      <c r="H56" s="16" t="s">
        <v>350</v>
      </c>
      <c r="I56" s="16" t="b">
        <v>1</v>
      </c>
      <c r="J56" s="16" t="e">
        <f>#VALUE!</f>
        <v>#VALUE!</v>
      </c>
      <c r="K56" s="16" t="e">
        <v>#N/A</v>
      </c>
      <c r="L56" s="17" t="e">
        <v>#DIV/0!</v>
      </c>
      <c r="M56" s="17" t="e">
        <v>#NAME?</v>
      </c>
      <c r="N56" s="17" t="e">
        <v>#NULL!</v>
      </c>
      <c r="O56" s="17" t="e">
        <v>#NUM!</v>
      </c>
      <c r="P56" s="17" t="e">
        <v>#REF!</v>
      </c>
      <c r="Q56" s="6">
        <f>MATCH(B56,{TRUE,4.1,FALSE,1.1},-1)</f>
        <v>4</v>
      </c>
      <c r="R56" s="6">
        <f>MATCH(C56,{TRUE,4.1,FALSE,1.1},-1)</f>
        <v>4</v>
      </c>
      <c r="S56" s="6">
        <f>MATCH(D56,{TRUE,4.1,FALSE,1.1},-1)</f>
        <v>2</v>
      </c>
      <c r="T56" s="6">
        <f>MATCH(E56,{TRUE,4.1,FALSE,1.1},-1)</f>
        <v>2</v>
      </c>
      <c r="U56" s="6">
        <f>MATCH(F56,{TRUE,4.1,FALSE,1.1},-1)</f>
        <v>2</v>
      </c>
      <c r="V56" s="6">
        <f>MATCH(G56,{TRUE,4.1,FALSE,1.1},-1)</f>
        <v>4</v>
      </c>
      <c r="W56" s="6" t="e">
        <f>MATCH(H56,{TRUE,4.1,FALSE,1.1},-1)</f>
        <v>#N/A</v>
      </c>
      <c r="X56" s="6">
        <f>MATCH(I56,{TRUE,4.1,FALSE,1.1},-1)</f>
        <v>1</v>
      </c>
      <c r="Y56" s="6" t="e">
        <f>MATCH(J56,{TRUE,4.1,FALSE,1.1},-1)</f>
        <v>#VALUE!</v>
      </c>
      <c r="Z56" s="6" t="e">
        <f>MATCH(K56,{TRUE,4.1,FALSE,1.1},-1)</f>
        <v>#N/A</v>
      </c>
      <c r="AA56" s="6" t="e">
        <f>MATCH(L56,{TRUE,4.1,FALSE,1.1},-1)</f>
        <v>#DIV/0!</v>
      </c>
      <c r="AB56" s="6" t="e">
        <f>MATCH(M56,{TRUE,4.1,FALSE,1.1},-1)</f>
        <v>#NAME?</v>
      </c>
      <c r="AC56" s="6" t="e">
        <f>MATCH(N56,{TRUE,4.1,FALSE,1.1},-1)</f>
        <v>#NULL!</v>
      </c>
      <c r="AD56" s="6" t="e">
        <f>MATCH(O56,{TRUE,4.1,FALSE,1.1},-1)</f>
        <v>#NUM!</v>
      </c>
      <c r="AE56" s="6" t="e">
        <f>MATCH(P56,{TRUE,4.1,FALSE,1.1},-1)</f>
        <v>#REF!</v>
      </c>
      <c r="AF56" s="6"/>
      <c r="AG56" s="6"/>
    </row>
    <row r="57" spans="1:48" x14ac:dyDescent="0.15">
      <c r="A57" s="44"/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MATCH(B57,{TRUE,4.1,FALSE,"c bau c"},-1)</f>
        <v>2</v>
      </c>
      <c r="R57" s="6">
        <f>MATCH(C57,{TRUE,4.1,FALSE,"c bau c"},-1)</f>
        <v>2</v>
      </c>
      <c r="S57" s="6">
        <f>MATCH(D57,{TRUE,4.1,FALSE,"c bau c"},-1)</f>
        <v>2</v>
      </c>
      <c r="T57" s="6">
        <f>MATCH(E57,{TRUE,4.1,FALSE,"c bau c"},-1)</f>
        <v>2</v>
      </c>
      <c r="U57" s="6">
        <f>MATCH(F57,{TRUE,4.1,FALSE,"c bau c"},-1)</f>
        <v>2</v>
      </c>
      <c r="V57" s="6">
        <f>MATCH(G57,{TRUE,4.1,FALSE,"c bau c"},-1)</f>
        <v>2</v>
      </c>
      <c r="W57" s="6">
        <f>MATCH(H57,{TRUE,4.1,FALSE,"c bau c"},-1)</f>
        <v>4</v>
      </c>
      <c r="X57" s="6">
        <f>MATCH(I57,{TRUE,4.1,FALSE,"c bau c"},-1)</f>
        <v>1</v>
      </c>
      <c r="Y57" s="6" t="e">
        <f>MATCH(J57,{TRUE,4.1,FALSE,"c bau c"},-1)</f>
        <v>#VALUE!</v>
      </c>
      <c r="Z57" s="6" t="e">
        <f>MATCH(K57,{TRUE,4.1,FALSE,"c bau c"},-1)</f>
        <v>#N/A</v>
      </c>
      <c r="AA57" s="6" t="e">
        <f>MATCH(L57,{TRUE,4.1,FALSE,"c bau c"},-1)</f>
        <v>#DIV/0!</v>
      </c>
      <c r="AB57" s="6" t="e">
        <f>MATCH(M57,{TRUE,4.1,FALSE,"c bau c"},-1)</f>
        <v>#NAME?</v>
      </c>
      <c r="AC57" s="6" t="e">
        <f>MATCH(N57,{TRUE,4.1,FALSE,"c bau c"},-1)</f>
        <v>#NULL!</v>
      </c>
      <c r="AD57" s="6" t="e">
        <f>MATCH(O57,{TRUE,4.1,FALSE,"c bau c"},-1)</f>
        <v>#NUM!</v>
      </c>
      <c r="AE57" s="6" t="e">
        <f>MATCH(P57,{TRUE,4.1,FALSE,"c bau c"},-1)</f>
        <v>#REF!</v>
      </c>
      <c r="AF57" s="6"/>
      <c r="AG57" s="6"/>
    </row>
    <row r="58" spans="1:48" x14ac:dyDescent="0.15">
      <c r="A58" s="44"/>
      <c r="B58" s="15">
        <v>-2</v>
      </c>
      <c r="C58" s="15">
        <v>1.1000000000000001</v>
      </c>
      <c r="D58" s="15">
        <v>3</v>
      </c>
      <c r="E58" s="15">
        <v>4</v>
      </c>
      <c r="F58" s="15">
        <v>4.0999999999999996</v>
      </c>
      <c r="G58" s="16"/>
      <c r="H58" s="16" t="s">
        <v>350</v>
      </c>
      <c r="I58" s="16" t="b">
        <v>1</v>
      </c>
      <c r="J58" s="16" t="e">
        <f>#VALUE!</f>
        <v>#VALUE!</v>
      </c>
      <c r="K58" s="16" t="e">
        <v>#N/A</v>
      </c>
      <c r="L58" s="17" t="e">
        <v>#DIV/0!</v>
      </c>
      <c r="M58" s="17" t="e">
        <v>#NAME?</v>
      </c>
      <c r="N58" s="17" t="e">
        <v>#NULL!</v>
      </c>
      <c r="O58" s="17" t="e">
        <v>#NUM!</v>
      </c>
      <c r="P58" s="17" t="e">
        <v>#REF!</v>
      </c>
      <c r="Q58" s="6" t="e">
        <f>MATCH(B58,{TRUE,FALSE,"a","c bau c"},-1)</f>
        <v>#N/A</v>
      </c>
      <c r="R58" s="6" t="e">
        <f>MATCH(C58,{TRUE,FALSE,"a","c bau c"},-1)</f>
        <v>#N/A</v>
      </c>
      <c r="S58" s="6" t="e">
        <f>MATCH(D58,{TRUE,FALSE,"a","c bau c"},-1)</f>
        <v>#N/A</v>
      </c>
      <c r="T58" s="6" t="e">
        <f>MATCH(E58,{TRUE,FALSE,"a","c bau c"},-1)</f>
        <v>#N/A</v>
      </c>
      <c r="U58" s="6" t="e">
        <f>MATCH(F58,{TRUE,FALSE,"a","c bau c"},-1)</f>
        <v>#N/A</v>
      </c>
      <c r="V58" s="6" t="e">
        <f>MATCH(G58,{TRUE,FALSE,"a","c bau c"},-1)</f>
        <v>#N/A</v>
      </c>
      <c r="W58" s="6">
        <f>MATCH(H58,{TRUE,FALSE,"a","c bau c"},-1)</f>
        <v>4</v>
      </c>
      <c r="X58" s="6">
        <f>MATCH(I58,{TRUE,FALSE,"a","c bau c"},-1)</f>
        <v>1</v>
      </c>
      <c r="Y58" s="6" t="e">
        <f>MATCH(J58,{TRUE,FALSE,"a","c bau c"},-1)</f>
        <v>#VALUE!</v>
      </c>
      <c r="Z58" s="6" t="e">
        <f>MATCH(K58,{TRUE,FALSE,"a","c bau c"},-1)</f>
        <v>#N/A</v>
      </c>
      <c r="AA58" s="6" t="e">
        <f>MATCH(L58,{TRUE,FALSE,"a","c bau c"},-1)</f>
        <v>#DIV/0!</v>
      </c>
      <c r="AB58" s="6" t="e">
        <f>MATCH(M58,{TRUE,FALSE,"a","c bau c"},-1)</f>
        <v>#NAME?</v>
      </c>
      <c r="AC58" s="6" t="e">
        <f>MATCH(N58,{TRUE,FALSE,"a","c bau c"},-1)</f>
        <v>#NULL!</v>
      </c>
      <c r="AD58" s="6" t="e">
        <f>MATCH(O58,{TRUE,FALSE,"a","c bau c"},-1)</f>
        <v>#NUM!</v>
      </c>
      <c r="AE58" s="6" t="e">
        <f>MATCH(P58,{TRUE,FALSE,"a","c bau c"},-1)</f>
        <v>#REF!</v>
      </c>
      <c r="AF58" s="6"/>
      <c r="AG58" s="6"/>
    </row>
    <row r="59" spans="1:48" x14ac:dyDescent="0.15">
      <c r="A59" s="12" t="s">
        <v>343</v>
      </c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48" x14ac:dyDescent="0.15">
      <c r="A60" s="44" t="s">
        <v>344</v>
      </c>
      <c r="B60" s="15">
        <v>-2</v>
      </c>
      <c r="C60" s="15">
        <v>1.1000000000000001</v>
      </c>
      <c r="D60" s="15">
        <v>3</v>
      </c>
      <c r="E60" s="15">
        <v>4</v>
      </c>
      <c r="F60" s="15">
        <v>4.0999999999999996</v>
      </c>
      <c r="G60" s="16"/>
      <c r="H60" s="16" t="s">
        <v>350</v>
      </c>
      <c r="I60" s="16" t="b">
        <v>1</v>
      </c>
      <c r="J60" s="16" t="e">
        <f>#VALUE!</f>
        <v>#VALUE!</v>
      </c>
      <c r="K60" s="16" t="e">
        <v>#N/A</v>
      </c>
      <c r="L60" s="17" t="e">
        <v>#DIV/0!</v>
      </c>
      <c r="M60" s="17" t="e">
        <v>#NAME?</v>
      </c>
      <c r="N60" s="17" t="e">
        <v>#NULL!</v>
      </c>
      <c r="O60" s="17" t="e">
        <v>#NUM!</v>
      </c>
      <c r="P60" s="17" t="e">
        <v>#REF!</v>
      </c>
      <c r="Q60" s="6">
        <f>ROW(B60)</f>
        <v>60</v>
      </c>
      <c r="R60" s="6">
        <f t="shared" ref="R60:AE60" si="5">ROW(C60)</f>
        <v>60</v>
      </c>
      <c r="S60" s="6">
        <f t="shared" si="5"/>
        <v>60</v>
      </c>
      <c r="T60" s="6">
        <f t="shared" si="5"/>
        <v>60</v>
      </c>
      <c r="U60" s="6">
        <f t="shared" si="5"/>
        <v>60</v>
      </c>
      <c r="V60" s="6">
        <f>ROW()</f>
        <v>60</v>
      </c>
      <c r="W60" s="6">
        <f t="shared" si="5"/>
        <v>60</v>
      </c>
      <c r="X60" s="6">
        <f t="shared" si="5"/>
        <v>60</v>
      </c>
      <c r="Y60" s="6">
        <f t="shared" si="5"/>
        <v>60</v>
      </c>
      <c r="Z60" s="6">
        <f t="shared" si="5"/>
        <v>60</v>
      </c>
      <c r="AA60" s="6">
        <f t="shared" si="5"/>
        <v>60</v>
      </c>
      <c r="AB60" s="6">
        <f t="shared" si="5"/>
        <v>60</v>
      </c>
      <c r="AC60" s="6">
        <f t="shared" si="5"/>
        <v>60</v>
      </c>
      <c r="AD60" s="6">
        <f t="shared" si="5"/>
        <v>60</v>
      </c>
      <c r="AE60" s="6">
        <f t="shared" si="5"/>
        <v>60</v>
      </c>
      <c r="AF60" s="4">
        <f t="array" ref="AF60">ROW(B62:D62:F61:H62 D61:E61)</f>
        <v>61</v>
      </c>
      <c r="AG60" s="4">
        <f t="array" ref="AG60:AI62">ROW(AB60:AC60)</f>
        <v>60</v>
      </c>
      <c r="AH60" s="4">
        <v>60</v>
      </c>
      <c r="AI60" s="4">
        <v>60</v>
      </c>
      <c r="AJ60" s="4">
        <f t="array" ref="AJ60:AL62">ROW(AB60:AB61)</f>
        <v>60</v>
      </c>
      <c r="AK60" s="4">
        <v>60</v>
      </c>
      <c r="AL60" s="4">
        <v>60</v>
      </c>
      <c r="AM60" s="4">
        <f t="array" ref="AM60:AO62">ROW(AB60:AC61)</f>
        <v>60</v>
      </c>
      <c r="AN60" s="4">
        <v>60</v>
      </c>
      <c r="AO60" s="4">
        <v>60</v>
      </c>
      <c r="AP60" s="4">
        <f t="array" ref="AP60:AR62">ROW(AB60:AD62 AC61:AE62)</f>
        <v>61</v>
      </c>
      <c r="AQ60" s="4">
        <v>61</v>
      </c>
      <c r="AR60" s="4">
        <v>61</v>
      </c>
      <c r="AS60" s="4">
        <f t="array" ref="AS60:AV62">ROW(Y60:Z61:AE60:AE61 AA61:AC62)</f>
        <v>61</v>
      </c>
      <c r="AT60" s="4">
        <v>61</v>
      </c>
      <c r="AU60" s="4">
        <v>61</v>
      </c>
      <c r="AV60" s="4">
        <v>61</v>
      </c>
    </row>
    <row r="61" spans="1:48" x14ac:dyDescent="0.15">
      <c r="A61" s="44"/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>
        <f>ROW(B61)</f>
        <v>61</v>
      </c>
      <c r="R61" s="6">
        <f t="shared" ref="R61:U62" si="6">ROW(C61)</f>
        <v>61</v>
      </c>
      <c r="S61" s="6">
        <f t="shared" si="6"/>
        <v>61</v>
      </c>
      <c r="T61" s="6">
        <f t="shared" si="6"/>
        <v>61</v>
      </c>
      <c r="U61" s="6">
        <f t="shared" si="6"/>
        <v>61</v>
      </c>
      <c r="V61" s="6">
        <f>ROW()</f>
        <v>61</v>
      </c>
      <c r="W61" s="6">
        <f t="shared" ref="W61:AE62" si="7">ROW(H61)</f>
        <v>61</v>
      </c>
      <c r="X61" s="6">
        <f t="shared" si="7"/>
        <v>61</v>
      </c>
      <c r="Y61" s="6">
        <f t="shared" si="7"/>
        <v>61</v>
      </c>
      <c r="Z61" s="6">
        <f t="shared" si="7"/>
        <v>61</v>
      </c>
      <c r="AA61" s="6">
        <f t="shared" si="7"/>
        <v>61</v>
      </c>
      <c r="AB61" s="6">
        <f t="shared" si="7"/>
        <v>61</v>
      </c>
      <c r="AC61" s="6">
        <f t="shared" si="7"/>
        <v>61</v>
      </c>
      <c r="AD61" s="6">
        <f t="shared" si="7"/>
        <v>61</v>
      </c>
      <c r="AE61" s="6">
        <f t="shared" si="7"/>
        <v>61</v>
      </c>
      <c r="AF61" s="4" t="e">
        <f t="array" ref="AF61">ROW(B60:D61 E60:G61)</f>
        <v>#NULL!</v>
      </c>
      <c r="AG61" s="4">
        <v>60</v>
      </c>
      <c r="AH61" s="4">
        <v>60</v>
      </c>
      <c r="AI61" s="4">
        <v>60</v>
      </c>
      <c r="AJ61" s="4">
        <v>61</v>
      </c>
      <c r="AK61" s="4">
        <v>61</v>
      </c>
      <c r="AL61" s="4">
        <v>61</v>
      </c>
      <c r="AM61" s="4">
        <v>61</v>
      </c>
      <c r="AN61" s="4">
        <v>61</v>
      </c>
      <c r="AO61" s="4">
        <v>61</v>
      </c>
      <c r="AP61" s="4">
        <v>62</v>
      </c>
      <c r="AQ61" s="4">
        <v>62</v>
      </c>
      <c r="AR61" s="4">
        <v>62</v>
      </c>
      <c r="AS61" s="4">
        <v>61</v>
      </c>
      <c r="AT61" s="4">
        <v>61</v>
      </c>
      <c r="AU61" s="4">
        <v>61</v>
      </c>
      <c r="AV61" s="4">
        <v>61</v>
      </c>
    </row>
    <row r="62" spans="1:48" x14ac:dyDescent="0.15">
      <c r="A62" s="44"/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>
        <f>ROW(B62)</f>
        <v>62</v>
      </c>
      <c r="R62" s="6">
        <f t="shared" si="6"/>
        <v>62</v>
      </c>
      <c r="S62" s="6">
        <f t="shared" si="6"/>
        <v>62</v>
      </c>
      <c r="T62" s="6">
        <f t="shared" si="6"/>
        <v>62</v>
      </c>
      <c r="U62" s="6">
        <f t="shared" si="6"/>
        <v>62</v>
      </c>
      <c r="V62" s="6">
        <f>ROW()</f>
        <v>62</v>
      </c>
      <c r="W62" s="6">
        <f t="shared" si="7"/>
        <v>62</v>
      </c>
      <c r="X62" s="6">
        <f t="shared" si="7"/>
        <v>62</v>
      </c>
      <c r="Y62" s="6">
        <f t="shared" si="7"/>
        <v>62</v>
      </c>
      <c r="Z62" s="6">
        <f t="shared" si="7"/>
        <v>62</v>
      </c>
      <c r="AA62" s="6">
        <f t="shared" si="7"/>
        <v>62</v>
      </c>
      <c r="AB62" s="6">
        <f t="shared" si="7"/>
        <v>62</v>
      </c>
      <c r="AC62" s="6">
        <f t="shared" si="7"/>
        <v>62</v>
      </c>
      <c r="AD62" s="6">
        <f t="shared" si="7"/>
        <v>62</v>
      </c>
      <c r="AE62" s="6">
        <f t="shared" si="7"/>
        <v>62</v>
      </c>
      <c r="AF62" s="4">
        <f t="array" ref="AF62">ROW(B6:D7 C7:E7)</f>
        <v>7</v>
      </c>
      <c r="AG62" s="4">
        <v>60</v>
      </c>
      <c r="AH62" s="4">
        <v>60</v>
      </c>
      <c r="AI62" s="4">
        <v>60</v>
      </c>
      <c r="AJ62" s="4" t="e">
        <v>#N/A</v>
      </c>
      <c r="AK62" s="4" t="e">
        <v>#N/A</v>
      </c>
      <c r="AL62" s="4" t="e">
        <v>#N/A</v>
      </c>
      <c r="AM62" s="4" t="e">
        <v>#N/A</v>
      </c>
      <c r="AN62" s="4" t="e">
        <v>#N/A</v>
      </c>
      <c r="AO62" s="4" t="e">
        <v>#N/A</v>
      </c>
      <c r="AP62" s="4" t="e">
        <v>#N/A</v>
      </c>
      <c r="AQ62" s="4" t="e">
        <v>#N/A</v>
      </c>
      <c r="AR62" s="4" t="e">
        <v>#N/A</v>
      </c>
      <c r="AS62" s="4">
        <v>61</v>
      </c>
      <c r="AT62" s="4">
        <v>61</v>
      </c>
      <c r="AU62" s="4">
        <v>61</v>
      </c>
      <c r="AV62" s="4">
        <v>61</v>
      </c>
    </row>
    <row r="63" spans="1:48" x14ac:dyDescent="0.15">
      <c r="A63" s="12" t="s">
        <v>345</v>
      </c>
      <c r="B63" s="15"/>
      <c r="C63" s="15"/>
      <c r="D63" s="15"/>
      <c r="E63" s="15"/>
      <c r="F63" s="15"/>
      <c r="G63" s="16"/>
      <c r="H63" s="16"/>
      <c r="I63" s="16"/>
      <c r="J63" s="16"/>
      <c r="K63" s="16"/>
      <c r="L63" s="17"/>
      <c r="M63" s="17"/>
      <c r="N63" s="17"/>
      <c r="O63" s="17"/>
      <c r="P63" s="1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48" x14ac:dyDescent="0.15">
      <c r="A64" s="12" t="s">
        <v>346</v>
      </c>
      <c r="B64" s="15"/>
      <c r="C64" s="15"/>
      <c r="D64" s="15"/>
      <c r="E64" s="15"/>
      <c r="F64" s="15"/>
      <c r="G64" s="16"/>
      <c r="H64" s="16"/>
      <c r="I64" s="16"/>
      <c r="J64" s="16"/>
      <c r="K64" s="16"/>
      <c r="L64" s="17"/>
      <c r="M64" s="17"/>
      <c r="N64" s="17"/>
      <c r="O64" s="17"/>
      <c r="P64" s="17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48" x14ac:dyDescent="0.15">
      <c r="A65" s="12" t="s">
        <v>522</v>
      </c>
      <c r="B65" s="15"/>
      <c r="C65" s="15"/>
      <c r="D65" s="15"/>
      <c r="E65" s="15"/>
      <c r="F65" s="15"/>
      <c r="G65" s="16"/>
      <c r="H65" s="16"/>
      <c r="I65" s="16"/>
      <c r="J65" s="16"/>
      <c r="K65" s="16"/>
      <c r="L65" s="17"/>
      <c r="M65" s="17"/>
      <c r="N65" s="17"/>
      <c r="O65" s="17"/>
      <c r="P65" s="17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48" x14ac:dyDescent="0.15">
      <c r="A66" s="12" t="s">
        <v>523</v>
      </c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48" x14ac:dyDescent="0.15">
      <c r="A67" s="12" t="s">
        <v>546</v>
      </c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48" x14ac:dyDescent="0.15">
      <c r="A68" s="12" t="s">
        <v>547</v>
      </c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48" x14ac:dyDescent="0.15">
      <c r="A69" s="13" t="s">
        <v>347</v>
      </c>
      <c r="B69" s="15">
        <v>-1.1000000000000001</v>
      </c>
      <c r="C69" s="15">
        <v>2.1</v>
      </c>
      <c r="D69" s="15">
        <v>3</v>
      </c>
      <c r="E69" s="15">
        <v>4</v>
      </c>
      <c r="F69" s="15">
        <v>4.0999999999999996</v>
      </c>
      <c r="G69" s="16"/>
      <c r="H69" s="16" t="s">
        <v>349</v>
      </c>
      <c r="I69" s="16" t="b">
        <v>1</v>
      </c>
      <c r="J69" s="16" t="e">
        <f>#VALUE!</f>
        <v>#VALUE!</v>
      </c>
      <c r="K69" s="16" t="e">
        <v>#N/A</v>
      </c>
      <c r="L69" s="17" t="e">
        <v>#DIV/0!</v>
      </c>
      <c r="M69" s="17" t="e">
        <v>#NAME?</v>
      </c>
      <c r="N69" s="17" t="e">
        <v>#NULL!</v>
      </c>
      <c r="O69" s="17" t="e">
        <v>#NUM!</v>
      </c>
      <c r="P69" s="17" t="e">
        <v>#REF!</v>
      </c>
      <c r="Q69" s="6" cm="1">
        <f t="array" ref="Q69">TRANSPOSE(2)</f>
        <v>2</v>
      </c>
      <c r="R69" s="6" cm="1">
        <f t="array" ref="R69">TRANSPOSE(C69)</f>
        <v>2.1</v>
      </c>
      <c r="S69" s="6">
        <f t="array" ref="S69">TRANSPOSE(D69:D71 C69:E71)</f>
        <v>3</v>
      </c>
      <c r="T69" s="6"/>
      <c r="U69" s="6">
        <f t="array" ref="U69">TRANSPOSE(D69:F69)</f>
        <v>3</v>
      </c>
      <c r="V69" s="6">
        <f t="array" ref="V69">TRANSPOSE(E69:G69)</f>
        <v>4</v>
      </c>
      <c r="W69" s="6">
        <f t="array" ref="W69">TRANSPOSE(F69:H69)</f>
        <v>4.0999999999999996</v>
      </c>
      <c r="X69" s="6">
        <f t="array" ref="X69">TRANSPOSE(G69:I69)</f>
        <v>0</v>
      </c>
      <c r="Y69" s="6" t="str">
        <f t="array" ref="Y69">TRANSPOSE(H69:J69)</f>
        <v>b</v>
      </c>
      <c r="Z69" s="6" t="b">
        <f t="array" ref="Z69">TRANSPOSE(I69:K69)</f>
        <v>1</v>
      </c>
      <c r="AA69" s="6" t="e">
        <f t="array" ref="AA69">TRANSPOSE(J69:L69)</f>
        <v>#VALUE!</v>
      </c>
      <c r="AB69" s="6" t="e">
        <f t="array" ref="AB69">TRANSPOSE(K69:M69)</f>
        <v>#N/A</v>
      </c>
      <c r="AC69" s="6" t="e">
        <f t="array" ref="AC69">TRANSPOSE(L69:N69)</f>
        <v>#DIV/0!</v>
      </c>
      <c r="AD69" s="6" t="e">
        <f t="array" ref="AD69">TRANSPOSE(M69:O69)</f>
        <v>#NAME?</v>
      </c>
      <c r="AE69" s="6" t="e">
        <f t="array" ref="AE69">TRANSPOSE(N69:P69)</f>
        <v>#NULL!</v>
      </c>
      <c r="AF69" s="4">
        <f t="array" ref="AF69">TRANSPOSE(B69:J73)</f>
        <v>-1.1000000000000001</v>
      </c>
      <c r="AG69" s="4">
        <f t="array" ref="AG69:AV69">TRANSPOSE(D69:D73)</f>
        <v>3</v>
      </c>
      <c r="AH69" s="4">
        <v>0</v>
      </c>
      <c r="AI69" s="4">
        <v>3</v>
      </c>
      <c r="AJ69" s="4">
        <v>3</v>
      </c>
      <c r="AK69" s="4">
        <v>3</v>
      </c>
      <c r="AL69" s="4" t="e">
        <v>#N/A</v>
      </c>
      <c r="AM69" s="4" t="e">
        <v>#N/A</v>
      </c>
      <c r="AN69" s="4" t="e">
        <v>#N/A</v>
      </c>
      <c r="AO69" s="4" t="e">
        <v>#N/A</v>
      </c>
      <c r="AP69" s="4" t="e">
        <v>#N/A</v>
      </c>
      <c r="AQ69" s="4" t="e">
        <v>#N/A</v>
      </c>
      <c r="AR69" s="4" t="e">
        <v>#N/A</v>
      </c>
      <c r="AS69" s="4" t="e">
        <v>#N/A</v>
      </c>
      <c r="AT69" s="4" t="e">
        <v>#N/A</v>
      </c>
      <c r="AU69" s="4" t="e">
        <v>#N/A</v>
      </c>
      <c r="AV69" s="4" t="e">
        <v>#N/A</v>
      </c>
    </row>
    <row r="70" spans="1:48" x14ac:dyDescent="0.15">
      <c r="A70" s="12" t="s">
        <v>524</v>
      </c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48" x14ac:dyDescent="0.15">
      <c r="A71" s="44" t="s">
        <v>348</v>
      </c>
      <c r="B71" s="15">
        <v>-1.1000000000000001</v>
      </c>
      <c r="C71" s="15">
        <v>2.1</v>
      </c>
      <c r="D71" s="15">
        <v>3</v>
      </c>
      <c r="E71" s="15">
        <v>4</v>
      </c>
      <c r="F71" s="15">
        <v>4.0999999999999996</v>
      </c>
      <c r="G71" s="16"/>
      <c r="H71" s="16" t="s">
        <v>349</v>
      </c>
      <c r="I71" s="16" t="b">
        <v>1</v>
      </c>
      <c r="J71" s="16" t="e">
        <f>#VALUE!</f>
        <v>#VALUE!</v>
      </c>
      <c r="K71" s="16" t="e">
        <v>#N/A</v>
      </c>
      <c r="L71" s="17" t="e">
        <v>#DIV/0!</v>
      </c>
      <c r="M71" s="17" t="e">
        <v>#NAME?</v>
      </c>
      <c r="N71" s="17" t="e">
        <v>#NULL!</v>
      </c>
      <c r="O71" s="17" t="e">
        <v>#NUM!</v>
      </c>
      <c r="P71" s="17" t="e">
        <v>#REF!</v>
      </c>
      <c r="Q71" s="4">
        <f>VLOOKUP(B71,{-1.1,5;2.1,6;3.1,7;4.1,8},2,0)</f>
        <v>5</v>
      </c>
      <c r="R71" s="4">
        <f>VLOOKUP(C71,{-1.1,5;2.1,6;3.1,7;4.1,8},2,0)</f>
        <v>6</v>
      </c>
      <c r="S71" s="4" t="e">
        <f>VLOOKUP(D71,{-1.1,5;2.1,6;3.1,7;4.1,8},2,0)</f>
        <v>#N/A</v>
      </c>
      <c r="T71" s="4" t="e">
        <f>VLOOKUP(E71,{-1.1,5;2.1,6;3.1,7;4.1,8},2,0)</f>
        <v>#N/A</v>
      </c>
      <c r="U71" s="4">
        <f>VLOOKUP(F71,{-1.1,5;2.1,6;3.1,7;4.1,8},2,0)</f>
        <v>8</v>
      </c>
      <c r="V71" s="4" t="e">
        <f>VLOOKUP(G71,{-1.1,5;2.1,6;3.1,7;4.1,8},2,0)</f>
        <v>#N/A</v>
      </c>
      <c r="W71" s="4" t="e">
        <f>VLOOKUP(H71,{-1.1,5;2.1,6;3.1,7;4.1,8},2,0)</f>
        <v>#N/A</v>
      </c>
      <c r="X71" s="4" t="e">
        <f>VLOOKUP(I71,{-1.1,5;2.1,6;3.1,7;4.1,8},2,0)</f>
        <v>#N/A</v>
      </c>
      <c r="Y71" s="4" t="e">
        <f>VLOOKUP(J71,{-1.1,5;2.1,6;3.1,7;4.1,8},2,0)</f>
        <v>#VALUE!</v>
      </c>
      <c r="Z71" s="4" t="e">
        <f>VLOOKUP(K71,{-1.1,5;2.1,6;3.1,7;4.1,8},2,0)</f>
        <v>#N/A</v>
      </c>
      <c r="AA71" s="4" t="e">
        <f>VLOOKUP(L71,{-1.1,5;2.1,6;3.1,7;4.1,8},2,0)</f>
        <v>#DIV/0!</v>
      </c>
      <c r="AB71" s="4" t="e">
        <f>VLOOKUP(M71,{-1.1,5;2.1,6;3.1,7;4.1,8},2,0)</f>
        <v>#NAME?</v>
      </c>
      <c r="AC71" s="4" t="e">
        <f>VLOOKUP(N71,{-1.1,5;2.1,6;3.1,7;4.1,8},2,0)</f>
        <v>#NULL!</v>
      </c>
      <c r="AD71" s="4" t="e">
        <f>VLOOKUP(O71,{-1.1,5;2.1,6;3.1,7;4.1,8},2,0)</f>
        <v>#NUM!</v>
      </c>
      <c r="AE71" s="4" t="e">
        <f>VLOOKUP(P71,{-1.1,5;2.1,6;3.1,7;4.1,8},2,0)</f>
        <v>#REF!</v>
      </c>
    </row>
    <row r="72" spans="1:48" x14ac:dyDescent="0.15">
      <c r="A72" s="44"/>
      <c r="B72" s="15">
        <v>-1.1000000000000001</v>
      </c>
      <c r="C72" s="15">
        <v>2.1</v>
      </c>
      <c r="D72" s="15">
        <v>3</v>
      </c>
      <c r="E72" s="15">
        <v>4</v>
      </c>
      <c r="F72" s="15">
        <v>4.0999999999999996</v>
      </c>
      <c r="G72" s="16"/>
      <c r="H72" s="16" t="s">
        <v>349</v>
      </c>
      <c r="I72" s="16" t="b">
        <v>1</v>
      </c>
      <c r="J72" s="16" t="e">
        <f>#VALUE!</f>
        <v>#VALUE!</v>
      </c>
      <c r="K72" s="16" t="e">
        <v>#N/A</v>
      </c>
      <c r="L72" s="17" t="e">
        <v>#DIV/0!</v>
      </c>
      <c r="M72" s="17" t="e">
        <v>#NAME?</v>
      </c>
      <c r="N72" s="17" t="e">
        <v>#NULL!</v>
      </c>
      <c r="O72" s="17" t="e">
        <v>#NUM!</v>
      </c>
      <c r="P72" s="17" t="e">
        <v>#REF!</v>
      </c>
      <c r="Q72" s="4">
        <f>VLOOKUP(B72,{-1.1,5;2.1,6;3.1,7;4.1,8},2,-2)</f>
        <v>5</v>
      </c>
      <c r="R72" s="4">
        <f>VLOOKUP(C72,{-1.1,5;2.1,6;3.1,7;4.1,8},2,-2)</f>
        <v>6</v>
      </c>
      <c r="S72" s="4">
        <f>VLOOKUP(D72,{-1.1,5;2.1,6;3.1,7;4.1,8},2,-2)</f>
        <v>6</v>
      </c>
      <c r="T72" s="4">
        <f>VLOOKUP(E72,{-1.1,5;2.1,6;3.1,7;4.1,8},2,-2)</f>
        <v>7</v>
      </c>
      <c r="U72" s="4">
        <f>VLOOKUP(F72,{-1.1,5;2.1,6;3.1,7;4.1,8},2,-2)</f>
        <v>8</v>
      </c>
      <c r="V72" s="4">
        <f>VLOOKUP(G72,{-1.1,5;2.1,6;3.1,7;4.1,8},2,-2)</f>
        <v>5</v>
      </c>
      <c r="W72" s="4" t="e">
        <f>VLOOKUP(H72,{-1.1,5;2.1,6;3.1,7;4.1,8},2,-2)</f>
        <v>#N/A</v>
      </c>
      <c r="X72" s="4" t="e">
        <f>VLOOKUP(I72,{-1.1,5;2.1,6;3.1,7;4.1,8},2,-2)</f>
        <v>#N/A</v>
      </c>
      <c r="Y72" s="4" t="e">
        <f>VLOOKUP(J72,{-1.1,5;2.1,6;3.1,7;4.1,8},2,-2)</f>
        <v>#VALUE!</v>
      </c>
      <c r="Z72" s="4" t="e">
        <f>VLOOKUP(K72,{-1.1,5;2.1,6;3.1,7;4.1,8},2,-2)</f>
        <v>#N/A</v>
      </c>
      <c r="AA72" s="4" t="e">
        <f>VLOOKUP(L72,{-1.1,5;2.1,6;3.1,7;4.1,8},2,-2)</f>
        <v>#DIV/0!</v>
      </c>
      <c r="AB72" s="4" t="e">
        <f>VLOOKUP(M72,{-1.1,5;2.1,6;3.1,7;4.1,8},2,-2)</f>
        <v>#NAME?</v>
      </c>
      <c r="AC72" s="4" t="e">
        <f>VLOOKUP(N72,{-1.1,5;2.1,6;3.1,7;4.1,8},2,-2)</f>
        <v>#NULL!</v>
      </c>
      <c r="AD72" s="4" t="e">
        <f>VLOOKUP(O72,{-1.1,5;2.1,6;3.1,7;4.1,8},2,-2)</f>
        <v>#NUM!</v>
      </c>
      <c r="AE72" s="4" t="e">
        <f>VLOOKUP(P72,{-1.1,5;2.1,6;3.1,7;4.1,8},2,-2)</f>
        <v>#REF!</v>
      </c>
    </row>
    <row r="73" spans="1:48" x14ac:dyDescent="0.15">
      <c r="A73" s="44"/>
      <c r="B73" s="15">
        <v>-1.1000000000000001</v>
      </c>
      <c r="C73" s="15">
        <v>2.1</v>
      </c>
      <c r="D73" s="15">
        <v>3</v>
      </c>
      <c r="E73" s="15">
        <v>4</v>
      </c>
      <c r="F73" s="15">
        <v>4.0999999999999996</v>
      </c>
      <c r="G73" s="16"/>
      <c r="H73" s="16" t="s">
        <v>349</v>
      </c>
      <c r="I73" s="16" t="b">
        <v>1</v>
      </c>
      <c r="J73" s="16" t="e">
        <f>#VALUE!</f>
        <v>#VALUE!</v>
      </c>
      <c r="K73" s="16" t="e">
        <v>#N/A</v>
      </c>
      <c r="L73" s="17" t="e">
        <v>#DIV/0!</v>
      </c>
      <c r="M73" s="17" t="e">
        <v>#NAME?</v>
      </c>
      <c r="N73" s="17" t="e">
        <v>#NULL!</v>
      </c>
      <c r="O73" s="17" t="e">
        <v>#NUM!</v>
      </c>
      <c r="P73" s="17" t="e">
        <v>#REF!</v>
      </c>
      <c r="Q73" s="4">
        <f>VLOOKUP(B73,{-1.1,5;2.1,6;3.1,7;4.1,8},{2,3},-2)</f>
        <v>5</v>
      </c>
      <c r="R73" s="4">
        <f>VLOOKUP(C73,{-1.1,5;2.1,6;3.1,7;4.1,8},{2,3},-2)</f>
        <v>6</v>
      </c>
      <c r="S73" s="4">
        <f>VLOOKUP(D73,{-1.1,5;2.1,6;3.1,7;4.1,8},{2,3},-2)</f>
        <v>6</v>
      </c>
      <c r="T73" s="4">
        <f>VLOOKUP(E73,{-1.1,5;2.1,6;3.1,7;4.1,8},{2,3},-2)</f>
        <v>7</v>
      </c>
      <c r="U73" s="4">
        <f>VLOOKUP(F73,{-1.1,5;2.1,6;3.1,7;4.1,8},{2,3},-2)</f>
        <v>8</v>
      </c>
      <c r="V73" s="4">
        <f>VLOOKUP(G73,{-1.1,5;2.1,6;3.1,7;4.1,8},{2,3},-2)</f>
        <v>5</v>
      </c>
      <c r="W73" s="4" t="e">
        <f>VLOOKUP(H73,{-1.1,5;2.1,6;3.1,7;4.1,8},{2,3},-2)</f>
        <v>#N/A</v>
      </c>
      <c r="X73" s="4" t="e">
        <f>VLOOKUP(I73,{-1.1,5;2.1,6;3.1,7;4.1,8},{2,3},-2)</f>
        <v>#N/A</v>
      </c>
      <c r="Y73" s="4" t="e">
        <f>VLOOKUP(J73,{-1.1,5;2.1,6;3.1,7;4.1,8},{2,3},-2)</f>
        <v>#VALUE!</v>
      </c>
      <c r="Z73" s="4" t="e">
        <f>VLOOKUP(K73,{-1.1,5;2.1,6;3.1,7;4.1,8},{2,3},-2)</f>
        <v>#N/A</v>
      </c>
      <c r="AA73" s="4" t="e">
        <f>VLOOKUP(L73,{-1.1,5;2.1,6;3.1,7;4.1,8},{2,3},-2)</f>
        <v>#DIV/0!</v>
      </c>
      <c r="AB73" s="4" t="e">
        <f>VLOOKUP(M73,{-1.1,5;2.1,6;3.1,7;4.1,8},{2,3},-2)</f>
        <v>#NAME?</v>
      </c>
      <c r="AC73" s="4" t="e">
        <f>VLOOKUP(N73,{-1.1,5;2.1,6;3.1,7;4.1,8},{2,3},-2)</f>
        <v>#NULL!</v>
      </c>
      <c r="AD73" s="4" t="e">
        <f>VLOOKUP(O73,{-1.1,5;2.1,6;3.1,7;4.1,8},{2,3},-2)</f>
        <v>#NUM!</v>
      </c>
      <c r="AE73" s="4" t="e">
        <f>VLOOKUP(P73,{-1.1,5;2.1,6;3.1,7;4.1,8},{2,3},-2)</f>
        <v>#REF!</v>
      </c>
    </row>
    <row r="74" spans="1:48" x14ac:dyDescent="0.15">
      <c r="A74" s="36" t="s">
        <v>548</v>
      </c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</row>
    <row r="75" spans="1:48" x14ac:dyDescent="0.15">
      <c r="A75" s="4" t="s">
        <v>549</v>
      </c>
      <c r="B75" s="15"/>
      <c r="C75" s="15"/>
      <c r="D75" s="15"/>
      <c r="E75" s="15"/>
      <c r="F75" s="15"/>
      <c r="G75" s="16"/>
      <c r="H75" s="16"/>
      <c r="I75" s="16"/>
      <c r="J75" s="16"/>
      <c r="K75" s="16"/>
      <c r="L75" s="17"/>
      <c r="M75" s="17"/>
      <c r="N75" s="17"/>
      <c r="O75" s="17"/>
      <c r="P75" s="17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48" x14ac:dyDescent="0.15">
      <c r="A76" s="4" t="s">
        <v>550</v>
      </c>
      <c r="B76" s="15"/>
      <c r="C76" s="15"/>
      <c r="D76" s="15"/>
      <c r="E76" s="15"/>
      <c r="F76" s="15"/>
      <c r="G76" s="16"/>
      <c r="H76" s="16"/>
      <c r="I76" s="16"/>
      <c r="J76" s="16"/>
      <c r="K76" s="16"/>
      <c r="L76" s="17"/>
      <c r="M76" s="17"/>
      <c r="N76" s="17"/>
      <c r="O76" s="17"/>
      <c r="P76" s="17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48" x14ac:dyDescent="0.15">
      <c r="A77" s="37" t="s">
        <v>526</v>
      </c>
      <c r="B77" s="15"/>
      <c r="C77" s="15"/>
      <c r="D77" s="15"/>
      <c r="E77" s="15"/>
      <c r="F77" s="15"/>
      <c r="G77" s="16"/>
      <c r="H77" s="16"/>
      <c r="I77" s="16"/>
      <c r="J77" s="16"/>
      <c r="K77" s="16"/>
      <c r="L77" s="17"/>
      <c r="M77" s="17"/>
      <c r="N77" s="17"/>
      <c r="O77" s="17"/>
      <c r="P77" s="17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527</v>
      </c>
    </row>
  </sheetData>
  <mergeCells count="17">
    <mergeCell ref="A71:A73"/>
    <mergeCell ref="A23:A31"/>
    <mergeCell ref="A60:A62"/>
    <mergeCell ref="A1:A2"/>
    <mergeCell ref="B1:P1"/>
    <mergeCell ref="A6:A8"/>
    <mergeCell ref="A32:A40"/>
    <mergeCell ref="A41:A49"/>
    <mergeCell ref="A50:A58"/>
    <mergeCell ref="A13:A15"/>
    <mergeCell ref="A19:A2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35"/>
  <sheetViews>
    <sheetView topLeftCell="A5" zoomScale="190" zoomScaleNormal="190" workbookViewId="0">
      <selection activeCell="A14" sqref="A14"/>
    </sheetView>
  </sheetViews>
  <sheetFormatPr baseColWidth="10" defaultColWidth="10.83203125" defaultRowHeight="11" x14ac:dyDescent="0.15"/>
  <cols>
    <col min="1" max="1" width="8.66406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62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2" t="s">
        <v>528</v>
      </c>
      <c r="G4" s="20"/>
      <c r="H4" s="20"/>
      <c r="I4" s="6"/>
      <c r="J4" s="6"/>
      <c r="K4" s="6"/>
      <c r="L4" s="8"/>
      <c r="M4" s="8"/>
      <c r="N4" s="8"/>
      <c r="O4" s="8"/>
      <c r="P4" s="8"/>
    </row>
    <row r="5" spans="1:62" x14ac:dyDescent="0.15">
      <c r="A5" s="12" t="s">
        <v>529</v>
      </c>
      <c r="G5" s="20"/>
      <c r="H5" s="20"/>
      <c r="I5" s="6"/>
      <c r="J5" s="6"/>
      <c r="K5" s="6"/>
      <c r="L5" s="8"/>
      <c r="M5" s="8"/>
      <c r="N5" s="8"/>
      <c r="O5" s="8"/>
      <c r="P5" s="8"/>
    </row>
    <row r="6" spans="1:62" x14ac:dyDescent="0.15">
      <c r="A6" s="12" t="s">
        <v>530</v>
      </c>
      <c r="G6" s="20"/>
      <c r="H6" s="20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531</v>
      </c>
      <c r="G7" s="20"/>
      <c r="H7" s="20"/>
      <c r="I7" s="6"/>
      <c r="J7" s="6"/>
      <c r="K7" s="6"/>
      <c r="L7" s="8"/>
      <c r="M7" s="8"/>
      <c r="N7" s="8"/>
      <c r="O7" s="8"/>
      <c r="P7" s="8"/>
    </row>
    <row r="8" spans="1:62" x14ac:dyDescent="0.15">
      <c r="A8" s="12" t="s">
        <v>532</v>
      </c>
      <c r="G8" s="20"/>
      <c r="H8" s="20"/>
      <c r="I8" s="6"/>
      <c r="J8" s="6"/>
      <c r="K8" s="6"/>
      <c r="L8" s="8"/>
      <c r="M8" s="8"/>
      <c r="N8" s="8"/>
      <c r="O8" s="8"/>
      <c r="P8" s="8"/>
    </row>
    <row r="9" spans="1:62" x14ac:dyDescent="0.15">
      <c r="A9" s="12" t="s">
        <v>533</v>
      </c>
      <c r="G9" s="20"/>
      <c r="H9" s="20"/>
      <c r="I9" s="6"/>
      <c r="J9" s="6"/>
      <c r="K9" s="6"/>
      <c r="L9" s="8"/>
      <c r="M9" s="8"/>
      <c r="N9" s="8"/>
      <c r="O9" s="8"/>
      <c r="P9" s="8"/>
    </row>
    <row r="10" spans="1:62" x14ac:dyDescent="0.15">
      <c r="A10" s="13" t="s">
        <v>227</v>
      </c>
      <c r="I10" s="6" t="b">
        <f>FALSE</f>
        <v>0</v>
      </c>
      <c r="V10" s="4" t="b">
        <f>FALSE()</f>
        <v>0</v>
      </c>
      <c r="AG10" s="4" t="b">
        <f t="array" ref="AG10:AN10">FALSE()</f>
        <v>0</v>
      </c>
      <c r="AH10" s="4" t="b">
        <v>0</v>
      </c>
      <c r="AI10" s="4" t="b">
        <v>0</v>
      </c>
      <c r="AJ10" s="4" t="b">
        <v>0</v>
      </c>
      <c r="AK10" s="4" t="b">
        <v>0</v>
      </c>
      <c r="AL10" s="4" t="b">
        <v>0</v>
      </c>
      <c r="AM10" s="4" t="b">
        <v>0</v>
      </c>
      <c r="AN10" s="4" t="b">
        <v>0</v>
      </c>
      <c r="AO10" s="4" t="b">
        <f t="array" ref="AO10:AV10">FALSE</f>
        <v>0</v>
      </c>
      <c r="AP10" s="4" t="b">
        <v>0</v>
      </c>
      <c r="AQ10" s="4" t="b">
        <v>0</v>
      </c>
      <c r="AR10" s="4" t="b">
        <v>0</v>
      </c>
      <c r="AS10" s="4" t="b">
        <v>0</v>
      </c>
      <c r="AT10" s="4" t="b">
        <v>0</v>
      </c>
      <c r="AU10" s="4" t="b">
        <v>0</v>
      </c>
      <c r="AV10" s="4" t="b">
        <v>0</v>
      </c>
    </row>
    <row r="11" spans="1:62" x14ac:dyDescent="0.15">
      <c r="A11" s="13" t="s">
        <v>228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IF(B11,1)</f>
        <v>0</v>
      </c>
      <c r="R11" s="6">
        <f t="shared" ref="R11:AE11" si="1">IF(C11,1)</f>
        <v>1</v>
      </c>
      <c r="S11" s="6" t="b">
        <f>IF(D11=1,1)</f>
        <v>0</v>
      </c>
      <c r="T11" s="6">
        <f t="shared" si="1"/>
        <v>1</v>
      </c>
      <c r="U11" s="6">
        <f t="shared" si="1"/>
        <v>1</v>
      </c>
      <c r="V11" s="6">
        <f>IF(G11,1,2)</f>
        <v>2</v>
      </c>
      <c r="W11" s="6" t="e">
        <f>IF(H11,1)</f>
        <v>#VALUE!</v>
      </c>
      <c r="X11" s="6">
        <f t="shared" si="1"/>
        <v>1</v>
      </c>
      <c r="Y11" s="6" t="e">
        <f t="shared" si="1"/>
        <v>#VALUE!</v>
      </c>
      <c r="Z11" s="6" t="e">
        <f t="shared" si="1"/>
        <v>#N/A</v>
      </c>
      <c r="AA11" s="6" t="e">
        <f>IF(L11,1)</f>
        <v>#DIV/0!</v>
      </c>
      <c r="AB11" s="6" t="e">
        <f t="shared" si="1"/>
        <v>#NAME?</v>
      </c>
      <c r="AC11" s="6" t="e">
        <f t="shared" si="1"/>
        <v>#NULL!</v>
      </c>
      <c r="AD11" s="6" t="e">
        <f t="shared" si="1"/>
        <v>#NUM!</v>
      </c>
      <c r="AE11" s="6" t="e">
        <f t="shared" si="1"/>
        <v>#REF!</v>
      </c>
      <c r="AF11" s="6">
        <f t="array" ref="AF11">IF(B11:F11,1)</f>
        <v>0</v>
      </c>
      <c r="AG11" s="6" t="b">
        <f t="array" ref="AG11:AH11">IF(B11:C11,C11:D11)</f>
        <v>0</v>
      </c>
      <c r="AH11" s="6">
        <v>2.2999999999999998</v>
      </c>
      <c r="AI11" s="6">
        <f t="array" ref="AI11:AJ11">IF(B11:C11,2,C11:D11)</f>
        <v>1</v>
      </c>
      <c r="AJ11" s="6">
        <v>2</v>
      </c>
      <c r="AK11" s="6">
        <f t="array" ref="AK11:AL11">IF(B11:C11,C11:D11,E11:F11)</f>
        <v>10</v>
      </c>
      <c r="AL11" s="6">
        <v>2.2999999999999998</v>
      </c>
      <c r="AM11" s="6" t="e">
        <f t="array" ref="AM11:AO11">IF(H11:J11,C11:E11,E11:G11)</f>
        <v>#VALUE!</v>
      </c>
      <c r="AN11" s="6">
        <v>2.2999999999999998</v>
      </c>
      <c r="AO11" s="6" t="e">
        <v>#VALUE!</v>
      </c>
      <c r="AP11" s="6">
        <f t="array" ref="AP11:AR11">IF(B11:D11,C11:E11,D11:F11)</f>
        <v>2.2999999999999998</v>
      </c>
      <c r="AQ11" s="6">
        <v>2.2999999999999998</v>
      </c>
      <c r="AR11" s="6">
        <v>10</v>
      </c>
      <c r="AS11" s="6" t="b">
        <f t="array" ref="AS11:AV11">IF(B11:C11,C11:D11)</f>
        <v>0</v>
      </c>
      <c r="AT11" s="6">
        <v>2.2999999999999998</v>
      </c>
      <c r="AU11" s="6" t="e">
        <v>#N/A</v>
      </c>
      <c r="AV11" s="4" t="e">
        <v>#N/A</v>
      </c>
    </row>
    <row r="12" spans="1:62" x14ac:dyDescent="0.15">
      <c r="A12" s="13" t="s">
        <v>229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f>#VALUE!</f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 t="shared" ref="Q12:AE12" si="2">IFERROR(B12,C12)</f>
        <v>0</v>
      </c>
      <c r="R12" s="4">
        <f t="shared" si="2"/>
        <v>1</v>
      </c>
      <c r="S12" s="4">
        <f t="shared" si="2"/>
        <v>2.2999999999999998</v>
      </c>
      <c r="T12" s="4">
        <f t="shared" si="2"/>
        <v>10</v>
      </c>
      <c r="U12" s="4">
        <f t="shared" si="2"/>
        <v>-1</v>
      </c>
      <c r="V12" s="4">
        <f t="shared" si="2"/>
        <v>0</v>
      </c>
      <c r="W12" s="4" t="str">
        <f t="shared" si="2"/>
        <v>ciao</v>
      </c>
      <c r="X12" s="4" t="b">
        <f t="shared" si="2"/>
        <v>1</v>
      </c>
      <c r="Y12" s="4" t="e">
        <f t="shared" si="2"/>
        <v>#N/A</v>
      </c>
      <c r="Z12" s="4" t="e">
        <f t="shared" si="2"/>
        <v>#DIV/0!</v>
      </c>
      <c r="AA12" s="4" t="e">
        <f t="shared" si="2"/>
        <v>#NAME?</v>
      </c>
      <c r="AB12" s="4" t="e">
        <f t="shared" si="2"/>
        <v>#NULL!</v>
      </c>
      <c r="AC12" s="4" t="e">
        <f t="shared" si="2"/>
        <v>#NUM!</v>
      </c>
      <c r="AD12" s="4" t="e">
        <f t="shared" si="2"/>
        <v>#REF!</v>
      </c>
      <c r="AE12" s="4">
        <f t="shared" si="2"/>
        <v>0</v>
      </c>
      <c r="AF12" s="4">
        <f t="array" ref="AF12">IFERROR(C12:D12,T12)</f>
        <v>1</v>
      </c>
      <c r="AG12" s="4" t="str">
        <f t="array" ref="AG12:AH12">IFERROR(J12:K12,H12:I12)</f>
        <v>ciao</v>
      </c>
      <c r="AH12" s="4" t="b">
        <v>1</v>
      </c>
      <c r="AI12" s="4">
        <f t="array" ref="AI12:AJ12">IFERROR(C12:D12,Q12)</f>
        <v>1</v>
      </c>
      <c r="AJ12" s="4">
        <v>2.2999999999999998</v>
      </c>
      <c r="AK12" s="4">
        <f t="array" ref="AK12:AV12">IFERROR(F12:P12,Q12)</f>
        <v>-1</v>
      </c>
      <c r="AL12" s="4">
        <v>0</v>
      </c>
      <c r="AM12" s="4" t="str">
        <v>ciao</v>
      </c>
      <c r="AN12" s="4" t="b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e">
        <v>#N/A</v>
      </c>
    </row>
    <row r="13" spans="1:62" x14ac:dyDescent="0.15">
      <c r="A13" s="13" t="s">
        <v>230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 t="shared" ref="Q13:AE13" si="3">_xlfn.IFNA(B13,C13)</f>
        <v>0</v>
      </c>
      <c r="R13" s="4">
        <f t="shared" si="3"/>
        <v>1</v>
      </c>
      <c r="S13" s="4">
        <f t="shared" si="3"/>
        <v>2.2999999999999998</v>
      </c>
      <c r="T13" s="4">
        <f t="shared" si="3"/>
        <v>10</v>
      </c>
      <c r="U13" s="4">
        <f t="shared" si="3"/>
        <v>-1</v>
      </c>
      <c r="V13" s="4">
        <f t="shared" si="3"/>
        <v>0</v>
      </c>
      <c r="W13" s="4" t="str">
        <f t="shared" si="3"/>
        <v>ciao</v>
      </c>
      <c r="X13" s="4" t="b">
        <f t="shared" si="3"/>
        <v>1</v>
      </c>
      <c r="Y13" s="4" t="e">
        <f t="shared" si="3"/>
        <v>#VALUE!</v>
      </c>
      <c r="Z13" s="4" t="e">
        <f t="shared" si="3"/>
        <v>#DIV/0!</v>
      </c>
      <c r="AA13" s="4" t="e">
        <f t="shared" si="3"/>
        <v>#DIV/0!</v>
      </c>
      <c r="AB13" s="4" t="e">
        <f t="shared" si="3"/>
        <v>#NAME?</v>
      </c>
      <c r="AC13" s="4" t="e">
        <f t="shared" si="3"/>
        <v>#NULL!</v>
      </c>
      <c r="AD13" s="4" t="e">
        <f t="shared" si="3"/>
        <v>#NUM!</v>
      </c>
      <c r="AE13" s="4" t="e">
        <f t="shared" si="3"/>
        <v>#REF!</v>
      </c>
      <c r="AF13" s="4">
        <f t="array" ref="AF13">_xlfn.IFNA(D13:E13,Q13)</f>
        <v>2.2999999999999998</v>
      </c>
      <c r="AG13" s="4" t="e">
        <f t="array" ref="AG13:AH13">_xlfn.IFNA(J13:K13,H13:I13)</f>
        <v>#VALUE!</v>
      </c>
      <c r="AH13" s="4" t="b">
        <v>1</v>
      </c>
      <c r="AI13" s="4">
        <f t="array" ref="AI13:AJ13">_xlfn.IFNA(C13:D13,Q13)</f>
        <v>1</v>
      </c>
      <c r="AJ13" s="4">
        <v>2.2999999999999998</v>
      </c>
      <c r="AK13" s="4">
        <f t="array" ref="AK13:AV13">_xlfn.IFNA(F13:P13,Q13)</f>
        <v>-1</v>
      </c>
      <c r="AL13" s="4">
        <v>0</v>
      </c>
      <c r="AM13" s="4" t="str">
        <v>ciao</v>
      </c>
      <c r="AN13" s="4" t="b">
        <v>1</v>
      </c>
      <c r="AO13" s="4" t="e">
        <v>#VALUE!</v>
      </c>
      <c r="AP13" s="4">
        <v>0</v>
      </c>
      <c r="AQ13" s="4" t="e">
        <v>#DIV/0!</v>
      </c>
      <c r="AR13" s="4" t="e">
        <v>#NAME?</v>
      </c>
      <c r="AS13" s="4" t="e">
        <v>#NULL!</v>
      </c>
      <c r="AT13" s="4" t="e">
        <v>#NUM!</v>
      </c>
      <c r="AU13" s="4" t="e">
        <v>#REF!</v>
      </c>
      <c r="AV13" s="4" t="e">
        <v>#N/A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x14ac:dyDescent="0.15">
      <c r="A14" s="13" t="s">
        <v>231</v>
      </c>
      <c r="B14" s="4">
        <v>0</v>
      </c>
      <c r="C14" s="4">
        <v>1</v>
      </c>
      <c r="D14" s="4">
        <v>2.2999999999999998</v>
      </c>
      <c r="E14" s="4">
        <v>0</v>
      </c>
      <c r="F14" s="4">
        <v>-1</v>
      </c>
      <c r="G14" s="6"/>
      <c r="H14" s="20" t="s">
        <v>428</v>
      </c>
      <c r="I14" s="6" t="b">
        <v>1</v>
      </c>
      <c r="J14" s="6" t="e">
        <f>#VALUE!</f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cm="1">
        <f t="array" ref="Q14">_xlfn.IFS(B14,C14,D14,E14)</f>
        <v>0</v>
      </c>
      <c r="R14" s="4" cm="1">
        <f t="array" ref="R14">_xlfn.IFS(C14,D14,E14,F14)</f>
        <v>2.2999999999999998</v>
      </c>
      <c r="S14" s="4" cm="1">
        <f t="array" ref="S14">_xlfn.IFS(D14,E14,F14,G14)</f>
        <v>0</v>
      </c>
      <c r="T14" s="4" t="e" cm="1">
        <f t="array" ref="T14">_xlfn.IFS(E14,F14,G14,H14)</f>
        <v>#N/A</v>
      </c>
      <c r="U14" s="4" cm="1">
        <f t="array" ref="U14">_xlfn.IFS(F14,G14,H14,I14)</f>
        <v>0</v>
      </c>
      <c r="V14" s="4" t="e" cm="1">
        <f t="array" ref="V14">_xlfn.IFS(G14,H14,I14,J14)</f>
        <v>#VALUE!</v>
      </c>
      <c r="W14" s="4" t="e" cm="1">
        <f t="array" ref="W14">_xlfn.IFS(H14,I14,J14,K14)</f>
        <v>#VALUE!</v>
      </c>
      <c r="X14" s="4" t="e" cm="1">
        <f t="array" ref="X14">_xlfn.IFS(I14,J14,K14,L14)</f>
        <v>#VALUE!</v>
      </c>
      <c r="Y14" s="4" t="e" cm="1">
        <f t="array" ref="Y14">_xlfn.IFS(J14,K14,L14,M14)</f>
        <v>#VALUE!</v>
      </c>
      <c r="Z14" s="4" t="e" cm="1">
        <f t="array" ref="Z14">_xlfn.IFS(K14,L14,M14,N14)</f>
        <v>#N/A</v>
      </c>
      <c r="AA14" s="4" t="e" cm="1">
        <f t="array" ref="AA14">_xlfn.IFS(L14,M14,N14,O14)</f>
        <v>#DIV/0!</v>
      </c>
      <c r="AB14" s="4" t="e" cm="1">
        <f t="array" ref="AB14">_xlfn.IFS(M14,N14,O14,P14)</f>
        <v>#NAME?</v>
      </c>
      <c r="AC14" s="4" t="e" cm="1">
        <f t="array" ref="AC14">_xlfn.IFS(N14,O14,P14,Q14)</f>
        <v>#NULL!</v>
      </c>
      <c r="AD14" s="4" t="e" cm="1">
        <f t="array" ref="AD14">_xlfn.IFS(O14,P14,Q14,R14)</f>
        <v>#NUM!</v>
      </c>
      <c r="AE14" s="4" t="e" cm="1">
        <f t="array" ref="AE14">_xlfn.IFS(P14,Q14,R14,S14)</f>
        <v>#REF!</v>
      </c>
      <c r="AF14" s="4">
        <f t="array" ref="AF14">_xlfn.IFS(B14:C14,I14,D14:E14,F14)</f>
        <v>-1</v>
      </c>
      <c r="AG14" s="4">
        <f t="array" ref="AG14:AH14">_xlfn.IFS(B14:C14,I14,D14:E14,F14)</f>
        <v>-1</v>
      </c>
      <c r="AH14" s="4" t="b">
        <v>1</v>
      </c>
      <c r="AI14" s="4">
        <f t="array" ref="AI14:AK14">_xlfn.IFS(B14:C14,H14:I14,D14:E14,C14:D14)</f>
        <v>1</v>
      </c>
      <c r="AJ14" s="4" t="b">
        <v>1</v>
      </c>
      <c r="AK14" s="4" t="e">
        <v>#N/A</v>
      </c>
      <c r="AL14" s="4">
        <f t="array" ref="AL14">_xlfn.IFS(B14,H14:I14,D14,C14:D14)</f>
        <v>1</v>
      </c>
      <c r="AM14" s="4">
        <f t="array" ref="AM14:AN14">_xlfn.IFS(B14,H14:I14,D14,C14:D14)</f>
        <v>1</v>
      </c>
      <c r="AN14" s="4">
        <v>2.2999999999999998</v>
      </c>
      <c r="AO14" s="4">
        <f t="array" ref="AO14:AR14">_xlfn.IFS(B14,H14:I14,D14,F14:G14)</f>
        <v>-1</v>
      </c>
      <c r="AP14" s="4">
        <v>0</v>
      </c>
      <c r="AQ14" s="4" t="e">
        <v>#N/A</v>
      </c>
      <c r="AR14" s="4" t="e">
        <v>#N/A</v>
      </c>
      <c r="AS14" s="4" t="e">
        <f t="array" ref="AS14:AV14">_xlfn.IFS(H14:K14,F14:I14,D14,L14:O14)</f>
        <v>#VALUE!</v>
      </c>
      <c r="AT14" s="4">
        <v>0</v>
      </c>
      <c r="AU14" s="4" t="e">
        <v>#VALUE!</v>
      </c>
      <c r="AV14" s="4" t="e">
        <v>#N/A</v>
      </c>
    </row>
    <row r="15" spans="1:62" x14ac:dyDescent="0.15">
      <c r="A15" s="12" t="s">
        <v>537</v>
      </c>
      <c r="G15" s="6"/>
      <c r="H15" s="20"/>
      <c r="I15" s="6"/>
      <c r="J15" s="6"/>
      <c r="K15" s="6"/>
      <c r="L15" s="8"/>
      <c r="M15" s="8"/>
      <c r="N15" s="8"/>
      <c r="O15" s="8"/>
      <c r="P15" s="8"/>
    </row>
    <row r="16" spans="1:62" x14ac:dyDescent="0.15">
      <c r="A16" s="12" t="s">
        <v>519</v>
      </c>
      <c r="G16" s="6"/>
      <c r="H16" s="20"/>
      <c r="I16" s="6"/>
      <c r="J16" s="6"/>
      <c r="K16" s="6"/>
      <c r="L16" s="8"/>
      <c r="M16" s="8"/>
      <c r="N16" s="8"/>
      <c r="O16" s="8"/>
      <c r="P16" s="8"/>
    </row>
    <row r="17" spans="1:48" x14ac:dyDescent="0.15">
      <c r="A17" s="12" t="s">
        <v>538</v>
      </c>
      <c r="G17" s="6"/>
      <c r="H17" s="20"/>
      <c r="I17" s="6"/>
      <c r="J17" s="6"/>
      <c r="K17" s="6"/>
      <c r="L17" s="8"/>
      <c r="M17" s="8"/>
      <c r="N17" s="8"/>
      <c r="O17" s="8"/>
      <c r="P17" s="8"/>
    </row>
    <row r="18" spans="1:48" x14ac:dyDescent="0.15">
      <c r="A18" s="12" t="s">
        <v>539</v>
      </c>
      <c r="G18" s="6"/>
      <c r="H18" s="20"/>
      <c r="I18" s="6"/>
      <c r="J18" s="6"/>
      <c r="K18" s="6"/>
      <c r="L18" s="8"/>
      <c r="M18" s="8"/>
      <c r="N18" s="8"/>
      <c r="O18" s="8"/>
      <c r="P18" s="8"/>
    </row>
    <row r="19" spans="1:48" x14ac:dyDescent="0.15">
      <c r="A19" s="13" t="s">
        <v>232</v>
      </c>
      <c r="B19" s="4">
        <v>0</v>
      </c>
      <c r="C19" s="4">
        <v>1</v>
      </c>
      <c r="D19" s="4">
        <v>2.2999999999999998</v>
      </c>
      <c r="E19" s="4">
        <v>0</v>
      </c>
      <c r="F19" s="4">
        <v>-1</v>
      </c>
      <c r="G19" s="6"/>
      <c r="H19" s="20" t="s">
        <v>428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4" t="b">
        <f>NOT(B19)</f>
        <v>1</v>
      </c>
      <c r="R19" s="4" t="b">
        <f t="shared" ref="R19:AE19" si="4">NOT(C19)</f>
        <v>0</v>
      </c>
      <c r="S19" s="4" t="b">
        <f t="shared" si="4"/>
        <v>0</v>
      </c>
      <c r="T19" s="4" t="b">
        <f t="shared" si="4"/>
        <v>1</v>
      </c>
      <c r="U19" s="4" t="b">
        <f t="shared" si="4"/>
        <v>0</v>
      </c>
      <c r="V19" s="4" t="b">
        <f t="shared" si="4"/>
        <v>1</v>
      </c>
      <c r="W19" s="4" t="e">
        <f t="shared" si="4"/>
        <v>#VALUE!</v>
      </c>
      <c r="X19" s="4" t="b">
        <f t="shared" si="4"/>
        <v>0</v>
      </c>
      <c r="Y19" s="4" t="e">
        <f t="shared" si="4"/>
        <v>#VALUE!</v>
      </c>
      <c r="Z19" s="4" t="e">
        <f t="shared" si="4"/>
        <v>#N/A</v>
      </c>
      <c r="AA19" s="4" t="e">
        <f t="shared" si="4"/>
        <v>#DIV/0!</v>
      </c>
      <c r="AB19" s="4" t="e">
        <f t="shared" si="4"/>
        <v>#NAME?</v>
      </c>
      <c r="AC19" s="4" t="e">
        <f t="shared" si="4"/>
        <v>#NULL!</v>
      </c>
      <c r="AD19" s="4" t="e">
        <f t="shared" si="4"/>
        <v>#NUM!</v>
      </c>
      <c r="AE19" s="4" t="e">
        <f t="shared" si="4"/>
        <v>#REF!</v>
      </c>
      <c r="AF19" s="4" t="b">
        <f t="array" ref="AF19">NOT(B19:F19)</f>
        <v>1</v>
      </c>
      <c r="AG19" s="4" t="b">
        <f t="array" ref="AG19:AV19">NOT(B19:P19)</f>
        <v>1</v>
      </c>
      <c r="AH19" s="4" t="b">
        <v>0</v>
      </c>
      <c r="AI19" s="4" t="b">
        <v>0</v>
      </c>
      <c r="AJ19" s="4" t="b">
        <v>1</v>
      </c>
      <c r="AK19" s="4" t="b">
        <v>0</v>
      </c>
      <c r="AL19" s="4" t="b">
        <v>1</v>
      </c>
      <c r="AM19" s="4" t="e">
        <v>#VALUE!</v>
      </c>
      <c r="AN19" s="4" t="b">
        <v>0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13" t="s">
        <v>233</v>
      </c>
      <c r="B20" s="4">
        <v>0</v>
      </c>
      <c r="C20" s="4">
        <v>1</v>
      </c>
      <c r="D20" s="4">
        <v>2.2999999999999998</v>
      </c>
      <c r="E20" s="4">
        <v>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b">
        <f>OR(B20,FALSE)</f>
        <v>0</v>
      </c>
      <c r="R20" s="4" t="b">
        <f t="shared" ref="R20:AE20" si="5">OR(C20,FALSE)</f>
        <v>1</v>
      </c>
      <c r="S20" s="4" t="b">
        <f t="shared" si="5"/>
        <v>1</v>
      </c>
      <c r="T20" s="4" t="b">
        <f t="shared" si="5"/>
        <v>0</v>
      </c>
      <c r="U20" s="4" t="b">
        <f t="shared" si="5"/>
        <v>1</v>
      </c>
      <c r="V20" s="4" t="b">
        <f>OR(G20,FALSE)</f>
        <v>0</v>
      </c>
      <c r="W20" s="4" t="b">
        <f>OR(H20,FALSE)</f>
        <v>0</v>
      </c>
      <c r="X20" s="4" t="b">
        <f t="shared" si="5"/>
        <v>1</v>
      </c>
      <c r="Y20" s="4" t="e">
        <f>OR(J20,FALSE)</f>
        <v>#VALUE!</v>
      </c>
      <c r="Z20" s="4" t="e">
        <f>OR(K20,FALSE)</f>
        <v>#N/A</v>
      </c>
      <c r="AA20" s="4" t="e">
        <f>OR(L20,FALSE)</f>
        <v>#DIV/0!</v>
      </c>
      <c r="AB20" s="4" t="e">
        <f t="shared" si="5"/>
        <v>#NAME?</v>
      </c>
      <c r="AC20" s="4" t="e">
        <f t="shared" si="5"/>
        <v>#NULL!</v>
      </c>
      <c r="AD20" s="4" t="e">
        <f t="shared" si="5"/>
        <v>#NUM!</v>
      </c>
      <c r="AE20" s="4" t="e">
        <f t="shared" si="5"/>
        <v>#REF!</v>
      </c>
      <c r="AF20" s="4" t="b">
        <f>OR(B20:C20,B20)</f>
        <v>1</v>
      </c>
      <c r="AG20" s="4" t="e">
        <f t="array" ref="AG20:AH20">OR(FALSE,B20:P20)</f>
        <v>#VALUE!</v>
      </c>
      <c r="AH20" s="4" t="e">
        <v>#VALUE!</v>
      </c>
      <c r="AI20" s="4" t="e">
        <f t="array" ref="AI20:AJ20">OR(B20:O20,C20:P20)</f>
        <v>#VALUE!</v>
      </c>
      <c r="AJ20" s="4" t="e">
        <v>#VALUE!</v>
      </c>
      <c r="AK20" s="4" t="b">
        <f t="array" ref="AK20:AM20">OR(B20:C20,B20)</f>
        <v>1</v>
      </c>
      <c r="AL20" s="4" t="b">
        <v>1</v>
      </c>
      <c r="AM20" s="4" t="b">
        <v>1</v>
      </c>
      <c r="AN20" s="4" t="b">
        <f>OR(E20,B20)</f>
        <v>0</v>
      </c>
      <c r="AO20" s="4" t="e">
        <f>OR(TRUE,"0",#REF!)</f>
        <v>#REF!</v>
      </c>
      <c r="AP20" s="4" t="e">
        <f>OR(TRUE,#REF!,"0")</f>
        <v>#REF!</v>
      </c>
      <c r="AQ20" s="4" t="e">
        <f>OR(G20:H20)</f>
        <v>#VALUE!</v>
      </c>
    </row>
    <row r="21" spans="1:48" x14ac:dyDescent="0.15">
      <c r="A21" s="12" t="s">
        <v>540</v>
      </c>
      <c r="G21" s="6"/>
      <c r="H21" s="6"/>
      <c r="I21" s="6"/>
      <c r="J21" s="6"/>
      <c r="K21" s="6"/>
      <c r="L21" s="8"/>
      <c r="M21" s="8"/>
      <c r="N21" s="8"/>
      <c r="O21" s="8"/>
      <c r="P21" s="8"/>
    </row>
    <row r="22" spans="1:48" x14ac:dyDescent="0.15">
      <c r="A22" s="12" t="s">
        <v>541</v>
      </c>
      <c r="G22" s="6"/>
      <c r="H22" s="6"/>
      <c r="I22" s="6"/>
      <c r="J22" s="6"/>
      <c r="K22" s="6"/>
      <c r="L22" s="8"/>
      <c r="M22" s="8"/>
      <c r="N22" s="8"/>
      <c r="O22" s="8"/>
      <c r="P22" s="8"/>
    </row>
    <row r="23" spans="1:48" x14ac:dyDescent="0.15">
      <c r="A23" s="13" t="s">
        <v>234</v>
      </c>
      <c r="B23" s="4">
        <v>0</v>
      </c>
      <c r="C23" s="4">
        <v>2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f>#VALUE!</f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 cm="1">
        <f t="array" ref="Q23">_xlfn.SWITCH(B23,2,0,1,3,TRUE,2,1,1,-1,6,2.3,5,,3,"ciao",99,7)</f>
        <v>3</v>
      </c>
      <c r="R23" s="4" cm="1">
        <f t="array" ref="R23">_xlfn.SWITCH(C23,2,0,1,3,TRUE,2,1,1,-1,6,2.3,5,,3,"ciao",99,7)</f>
        <v>0</v>
      </c>
      <c r="S23" s="4" cm="1">
        <f t="array" ref="S23">_xlfn.SWITCH(D23,2,0,1,3,TRUE,2,1,1,-1,6,2.3,5,,3,"ciao",99,7)</f>
        <v>5</v>
      </c>
      <c r="T23" s="4" cm="1">
        <f t="array" ref="T23">_xlfn.SWITCH(E23,2,0,1,3,TRUE,2,1,1,-1,6,2.3,5,,3,"ciao",99,7)</f>
        <v>7</v>
      </c>
      <c r="U23" s="4" cm="1">
        <f t="array" ref="U23">_xlfn.SWITCH(F23,2,0,1,3,TRUE,2,1,1,-1,6,2.3,5,,3,"ciao",99,7)</f>
        <v>6</v>
      </c>
      <c r="V23" s="4" cm="1">
        <f t="array" ref="V23">_xlfn.SWITCH(G23,2,0,1,3,TRUE,2,1,1,-1,6,2.3,5,,3,"ciao",99,7)</f>
        <v>3</v>
      </c>
      <c r="W23" s="4" cm="1">
        <f t="array" ref="W23">_xlfn.SWITCH(H23,2,0,1,3,TRUE,2,1,1,-1,6,2.3,5,,3,"ciao",99,7)</f>
        <v>99</v>
      </c>
      <c r="X23" s="4" cm="1">
        <f t="array" ref="X23">_xlfn.SWITCH(I23,2,0,1,3,TRUE,2,1,1,-1,6,2.3,5,,3,"ciao",99,7)</f>
        <v>2</v>
      </c>
      <c r="Y23" s="4" t="e" cm="1">
        <f t="array" ref="Y23">_xlfn.SWITCH(J23,2,0,1,3,TRUE,2,1,1,-1,6,2.3,5,,3,"ciao",99,7)</f>
        <v>#VALUE!</v>
      </c>
      <c r="Z23" s="4" t="e" cm="1">
        <f t="array" ref="Z23">_xlfn.SWITCH(K23,2,0,1,3,TRUE,2,1,1,-1,6,2.3,5,,3,"ciao",99,7)</f>
        <v>#N/A</v>
      </c>
      <c r="AA23" s="4" t="e" cm="1">
        <f t="array" ref="AA23">_xlfn.SWITCH(L23,2,0,1,3,TRUE,2,1,1,-1,6,2.3,5,,3,"ciao",99,7)</f>
        <v>#DIV/0!</v>
      </c>
      <c r="AB23" s="4" t="e" cm="1">
        <f t="array" ref="AB23">_xlfn.SWITCH(M23,2,0,1,3,TRUE,2,1,1,-1,6,2.3,5,,3,"ciao",99,7)</f>
        <v>#NAME?</v>
      </c>
      <c r="AC23" s="4" t="e" cm="1">
        <f t="array" ref="AC23">_xlfn.SWITCH(N23,2,0,1,3,TRUE,2,1,1,-1,6,2.3,5,,3,"ciao",99,7)</f>
        <v>#NULL!</v>
      </c>
      <c r="AD23" s="4" t="e" cm="1">
        <f t="array" ref="AD23">_xlfn.SWITCH(O23,2,0,1,3,TRUE,2,1,1,-1,6,2.3,5,,3,"ciao",99,7)</f>
        <v>#NUM!</v>
      </c>
      <c r="AE23" s="4" t="e" cm="1">
        <f t="array" ref="AE23">_xlfn.SWITCH(P23,2,0,1,3,TRUE,2,1,1,-1,6,2.3,5,,3,"ciao",99,7)</f>
        <v>#REF!</v>
      </c>
      <c r="AF23" s="4">
        <f t="array" ref="AF23">_xlfn.SWITCH(B23:F23,2,0,1,3,TRUE,2,1,1,-1,6,2.3,5,,3,"ciao",99,7)</f>
        <v>3</v>
      </c>
      <c r="AG23" s="4">
        <f t="array" ref="AG23:AV23">_xlfn.SWITCH(B23:P23,2,0,1,3,TRUE,2,1,1,-1,6,2.3,5,,3,"ciao",99,7)</f>
        <v>3</v>
      </c>
      <c r="AH23" s="4">
        <v>0</v>
      </c>
      <c r="AI23" s="4">
        <v>5</v>
      </c>
      <c r="AJ23" s="4">
        <v>7</v>
      </c>
      <c r="AK23" s="4">
        <v>6</v>
      </c>
      <c r="AL23" s="4">
        <v>3</v>
      </c>
      <c r="AM23" s="4">
        <v>99</v>
      </c>
      <c r="AN23" s="4">
        <v>2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12" t="s">
        <v>542</v>
      </c>
      <c r="G24" s="6"/>
      <c r="H24" s="6"/>
      <c r="I24" s="6"/>
      <c r="J24" s="6"/>
      <c r="K24" s="6"/>
      <c r="L24" s="8"/>
      <c r="M24" s="8"/>
      <c r="N24" s="8"/>
      <c r="O24" s="8"/>
      <c r="P24" s="8"/>
    </row>
    <row r="25" spans="1:48" x14ac:dyDescent="0.15">
      <c r="A25" s="13" t="s">
        <v>235</v>
      </c>
      <c r="I25" s="6" t="b">
        <v>1</v>
      </c>
      <c r="V25" s="4" t="b">
        <f>TRUE()</f>
        <v>1</v>
      </c>
      <c r="AG25" s="4" t="b">
        <f t="array" ref="AG25:AN25">TRUE()</f>
        <v>1</v>
      </c>
      <c r="AH25" s="4" t="b">
        <v>1</v>
      </c>
      <c r="AI25" s="4" t="b">
        <v>1</v>
      </c>
      <c r="AJ25" s="4" t="b">
        <v>1</v>
      </c>
      <c r="AK25" s="4" t="b">
        <v>1</v>
      </c>
      <c r="AL25" s="4" t="b">
        <v>1</v>
      </c>
      <c r="AM25" s="4" t="b">
        <v>1</v>
      </c>
      <c r="AN25" s="4" t="b">
        <v>1</v>
      </c>
      <c r="AO25" s="4" t="b">
        <f t="array" ref="AO25:AV25">TRUE</f>
        <v>1</v>
      </c>
      <c r="AP25" s="4" t="b">
        <v>1</v>
      </c>
      <c r="AQ25" s="4" t="b">
        <v>1</v>
      </c>
      <c r="AR25" s="4" t="b">
        <v>1</v>
      </c>
      <c r="AS25" s="4" t="b">
        <v>1</v>
      </c>
      <c r="AT25" s="4" t="b">
        <v>1</v>
      </c>
      <c r="AU25" s="4" t="b">
        <v>1</v>
      </c>
      <c r="AV25" s="4" t="b">
        <v>1</v>
      </c>
    </row>
    <row r="26" spans="1:48" x14ac:dyDescent="0.15">
      <c r="A26" s="13" t="s">
        <v>236</v>
      </c>
      <c r="B26" s="4">
        <v>0</v>
      </c>
      <c r="C26" s="4">
        <v>1</v>
      </c>
      <c r="D26" s="4">
        <v>2.2999999999999998</v>
      </c>
      <c r="E26" s="4">
        <v>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b">
        <f>_xlfn.XOR(B26,FALSE)</f>
        <v>0</v>
      </c>
      <c r="R26" s="4" t="b">
        <f t="shared" ref="R26:AE26" si="6">_xlfn.XOR(C26,FALSE)</f>
        <v>1</v>
      </c>
      <c r="S26" s="4" t="b">
        <f t="shared" si="6"/>
        <v>1</v>
      </c>
      <c r="T26" s="4" t="b">
        <f t="shared" si="6"/>
        <v>0</v>
      </c>
      <c r="U26" s="4" t="b">
        <f t="shared" si="6"/>
        <v>1</v>
      </c>
      <c r="V26" s="4" t="b">
        <f t="shared" si="6"/>
        <v>0</v>
      </c>
      <c r="W26" s="4" t="b">
        <f t="shared" si="6"/>
        <v>0</v>
      </c>
      <c r="X26" s="4" t="b">
        <f t="shared" si="6"/>
        <v>1</v>
      </c>
      <c r="Y26" s="4" t="e">
        <f t="shared" si="6"/>
        <v>#VALUE!</v>
      </c>
      <c r="Z26" s="4" t="e">
        <f t="shared" si="6"/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b">
        <f>_xlfn.XOR(B26:D26,B26)</f>
        <v>0</v>
      </c>
      <c r="AG26" s="4" t="e">
        <f t="array" ref="AG26:AH26">_xlfn.XOR(FALSE,B26:P26)</f>
        <v>#VALUE!</v>
      </c>
      <c r="AH26" s="4" t="e">
        <v>#VALUE!</v>
      </c>
      <c r="AI26" s="4" t="e">
        <f t="array" ref="AI26:AJ26">_xlfn.XOR(B26:O26,C26:P26)</f>
        <v>#VALUE!</v>
      </c>
      <c r="AJ26" s="4" t="e">
        <v>#VALUE!</v>
      </c>
      <c r="AK26" s="4" t="b">
        <f t="array" ref="AK26:AM26">_xlfn.XOR(B26:C26,B26)</f>
        <v>1</v>
      </c>
      <c r="AL26" s="4" t="b">
        <v>1</v>
      </c>
      <c r="AM26" s="4" t="b">
        <v>1</v>
      </c>
      <c r="AN26" s="4" t="b">
        <f>_xlfn.XOR(E26,B26)</f>
        <v>0</v>
      </c>
      <c r="AO26" s="4" t="e">
        <f>_xlfn.XOR(TRUE,"0",#REF!)</f>
        <v>#REF!</v>
      </c>
      <c r="AP26" s="4" t="e">
        <f>_xlfn.XOR(TRUE,#REF!,"0")</f>
        <v>#REF!</v>
      </c>
      <c r="AQ26" s="4" t="e">
        <f>_xlfn.XOR(G26:H26)</f>
        <v>#VALUE!</v>
      </c>
      <c r="AR26" s="4" t="b">
        <f>_xlfn.XOR(B26:D26)</f>
        <v>0</v>
      </c>
      <c r="AS26" s="4" t="b">
        <f>_xlfn.XOR(B26:C26,E26)</f>
        <v>1</v>
      </c>
    </row>
    <row r="27" spans="1:48" x14ac:dyDescent="0.15">
      <c r="A27" s="12"/>
    </row>
    <row r="28" spans="1:48" x14ac:dyDescent="0.15">
      <c r="A28" s="12"/>
    </row>
    <row r="29" spans="1:48" x14ac:dyDescent="0.15">
      <c r="A29" s="12"/>
    </row>
    <row r="30" spans="1:48" x14ac:dyDescent="0.15">
      <c r="A30" s="12"/>
    </row>
    <row r="31" spans="1:48" x14ac:dyDescent="0.15">
      <c r="A31" s="12"/>
    </row>
    <row r="32" spans="1:48" x14ac:dyDescent="0.15">
      <c r="A32" s="12"/>
    </row>
    <row r="33" spans="1:1" x14ac:dyDescent="0.15">
      <c r="A33" s="12"/>
    </row>
    <row r="34" spans="1:1" x14ac:dyDescent="0.15">
      <c r="A34" s="12"/>
    </row>
    <row r="35" spans="1:1" x14ac:dyDescent="0.15">
      <c r="A35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86"/>
  <sheetViews>
    <sheetView topLeftCell="P8" zoomScale="125" zoomScaleNormal="150" workbookViewId="0">
      <selection activeCell="V24" sqref="V24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29" x14ac:dyDescent="0.2">
      <c r="F1">
        <v>1</v>
      </c>
    </row>
    <row r="2" spans="2:29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29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29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29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29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29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29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29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29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29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517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29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29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516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29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513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29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  <c r="T15" t="s">
        <v>514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29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  <c r="T16" t="s">
        <v>515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513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513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513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43"/>
      <c r="N20" s="43"/>
      <c r="O20" s="43"/>
    </row>
    <row r="21" spans="1:29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  <c r="AA21">
        <f>LOOKUP!Q69</f>
        <v>2</v>
      </c>
    </row>
    <row r="22" spans="1:29" x14ac:dyDescent="0.2">
      <c r="C22" s="24">
        <v>60</v>
      </c>
      <c r="D22">
        <f>C22+1</f>
        <v>61</v>
      </c>
      <c r="H22">
        <v>0</v>
      </c>
      <c r="J22" s="1" t="s">
        <v>502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501</v>
      </c>
      <c r="E25" t="e">
        <f>REF!#REF!</f>
        <v>#REF!</v>
      </c>
      <c r="F25">
        <f>_1234\5678\90+_1234\5678\91</f>
        <v>1</v>
      </c>
      <c r="M25" s="45" t="str">
        <f>"Exchange(1 "&amp;NAMEDCELL123&amp;"=)"</f>
        <v>Exchange(1 'ciao=)</v>
      </c>
      <c r="N25" s="45"/>
      <c r="O25" s="45"/>
      <c r="V25" cm="1">
        <f t="array" ref="V25:X27">'123'!A1:C3</f>
        <v>1</v>
      </c>
      <c r="W25">
        <v>2</v>
      </c>
      <c r="X25">
        <v>3</v>
      </c>
      <c r="Z25" s="38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508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505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506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507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5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O32" s="1" t="s">
        <v>459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F52" s="2"/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F53" s="2"/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F54" s="2"/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 s="2"/>
      <c r="F55" s="2"/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F56" s="2"/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F57" s="2"/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F58" s="2"/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</row>
    <row r="65" spans="1:3" x14ac:dyDescent="0.2">
      <c r="A65">
        <v>34</v>
      </c>
      <c r="B65" t="str">
        <f t="shared" si="0"/>
        <v>"</v>
      </c>
      <c r="C65">
        <f t="shared" si="1"/>
        <v>34</v>
      </c>
    </row>
    <row r="66" spans="1:3" x14ac:dyDescent="0.2">
      <c r="A66">
        <v>35</v>
      </c>
      <c r="B66" t="str">
        <f t="shared" si="0"/>
        <v>#</v>
      </c>
      <c r="C66">
        <f t="shared" si="1"/>
        <v>35</v>
      </c>
    </row>
    <row r="67" spans="1:3" x14ac:dyDescent="0.2">
      <c r="A67">
        <v>36</v>
      </c>
      <c r="B67" t="str">
        <f t="shared" si="0"/>
        <v>$</v>
      </c>
      <c r="C67">
        <f t="shared" si="1"/>
        <v>36</v>
      </c>
    </row>
    <row r="68" spans="1:3" x14ac:dyDescent="0.2">
      <c r="A68">
        <v>37</v>
      </c>
      <c r="B68" t="str">
        <f t="shared" si="0"/>
        <v>%</v>
      </c>
      <c r="C68">
        <f t="shared" si="1"/>
        <v>37</v>
      </c>
    </row>
    <row r="69" spans="1:3" x14ac:dyDescent="0.2">
      <c r="A69">
        <v>38</v>
      </c>
      <c r="B69" t="str">
        <f t="shared" si="0"/>
        <v>&amp;</v>
      </c>
      <c r="C69">
        <f t="shared" si="1"/>
        <v>38</v>
      </c>
    </row>
    <row r="70" spans="1:3" x14ac:dyDescent="0.2">
      <c r="A70">
        <v>39</v>
      </c>
      <c r="B70" t="str">
        <f t="shared" si="0"/>
        <v>'</v>
      </c>
      <c r="C70">
        <f t="shared" si="1"/>
        <v>39</v>
      </c>
    </row>
    <row r="71" spans="1:3" x14ac:dyDescent="0.2">
      <c r="A71">
        <v>40</v>
      </c>
      <c r="B71" t="str">
        <f t="shared" si="0"/>
        <v>(</v>
      </c>
      <c r="C71">
        <f t="shared" si="1"/>
        <v>40</v>
      </c>
    </row>
    <row r="72" spans="1:3" x14ac:dyDescent="0.2">
      <c r="A72">
        <v>41</v>
      </c>
      <c r="B72" t="str">
        <f t="shared" si="0"/>
        <v>)</v>
      </c>
      <c r="C72">
        <f t="shared" si="1"/>
        <v>41</v>
      </c>
    </row>
    <row r="73" spans="1:3" x14ac:dyDescent="0.2">
      <c r="A73">
        <v>42</v>
      </c>
      <c r="B73" t="str">
        <f t="shared" si="0"/>
        <v>*</v>
      </c>
      <c r="C73">
        <f t="shared" si="1"/>
        <v>42</v>
      </c>
    </row>
    <row r="74" spans="1:3" x14ac:dyDescent="0.2">
      <c r="A74">
        <v>43</v>
      </c>
      <c r="B74" t="str">
        <f t="shared" si="0"/>
        <v>+</v>
      </c>
      <c r="C74">
        <f t="shared" si="1"/>
        <v>43</v>
      </c>
    </row>
    <row r="75" spans="1:3" x14ac:dyDescent="0.2">
      <c r="A75">
        <v>44</v>
      </c>
      <c r="B75" t="str">
        <f t="shared" si="0"/>
        <v>,</v>
      </c>
      <c r="C75">
        <f t="shared" si="1"/>
        <v>44</v>
      </c>
    </row>
    <row r="76" spans="1:3" x14ac:dyDescent="0.2">
      <c r="A76">
        <v>45</v>
      </c>
      <c r="B76" t="str">
        <f t="shared" si="0"/>
        <v>-</v>
      </c>
      <c r="C76">
        <f t="shared" si="1"/>
        <v>45</v>
      </c>
    </row>
    <row r="77" spans="1:3" x14ac:dyDescent="0.2">
      <c r="A77">
        <v>46</v>
      </c>
      <c r="B77" t="str">
        <f t="shared" si="0"/>
        <v>.</v>
      </c>
      <c r="C77">
        <f t="shared" si="1"/>
        <v>46</v>
      </c>
    </row>
    <row r="78" spans="1:3" x14ac:dyDescent="0.2">
      <c r="A78">
        <v>47</v>
      </c>
      <c r="B78" t="str">
        <f t="shared" si="0"/>
        <v>/</v>
      </c>
      <c r="C78">
        <f t="shared" si="1"/>
        <v>47</v>
      </c>
    </row>
    <row r="79" spans="1:3" x14ac:dyDescent="0.2">
      <c r="A79">
        <v>48</v>
      </c>
      <c r="B79" t="str">
        <f t="shared" si="0"/>
        <v>0</v>
      </c>
      <c r="C79">
        <f t="shared" si="1"/>
        <v>48</v>
      </c>
    </row>
    <row r="80" spans="1:3" x14ac:dyDescent="0.2">
      <c r="A80">
        <v>49</v>
      </c>
      <c r="B80" t="str">
        <f t="shared" si="0"/>
        <v>1</v>
      </c>
      <c r="C80">
        <f t="shared" si="1"/>
        <v>49</v>
      </c>
    </row>
    <row r="81" spans="1:3" x14ac:dyDescent="0.2">
      <c r="A81">
        <v>50</v>
      </c>
      <c r="B81" t="str">
        <f t="shared" si="0"/>
        <v>2</v>
      </c>
      <c r="C81">
        <f t="shared" si="1"/>
        <v>50</v>
      </c>
    </row>
    <row r="82" spans="1:3" x14ac:dyDescent="0.2">
      <c r="A82">
        <v>51</v>
      </c>
      <c r="B82" t="str">
        <f t="shared" si="0"/>
        <v>3</v>
      </c>
      <c r="C82">
        <f t="shared" si="1"/>
        <v>51</v>
      </c>
    </row>
    <row r="83" spans="1:3" x14ac:dyDescent="0.2">
      <c r="A83">
        <v>52</v>
      </c>
      <c r="B83" t="str">
        <f t="shared" si="0"/>
        <v>4</v>
      </c>
      <c r="C83">
        <f t="shared" si="1"/>
        <v>52</v>
      </c>
    </row>
    <row r="84" spans="1:3" x14ac:dyDescent="0.2">
      <c r="A84">
        <v>53</v>
      </c>
      <c r="B84" t="str">
        <f t="shared" si="0"/>
        <v>5</v>
      </c>
      <c r="C84">
        <f t="shared" si="1"/>
        <v>53</v>
      </c>
    </row>
    <row r="85" spans="1:3" x14ac:dyDescent="0.2">
      <c r="A85">
        <v>54</v>
      </c>
      <c r="B85" t="str">
        <f t="shared" si="0"/>
        <v>6</v>
      </c>
      <c r="C85">
        <f t="shared" si="1"/>
        <v>54</v>
      </c>
    </row>
    <row r="86" spans="1:3" x14ac:dyDescent="0.2">
      <c r="A86">
        <v>55</v>
      </c>
      <c r="B86" t="str">
        <f t="shared" si="0"/>
        <v>7</v>
      </c>
      <c r="C86">
        <f t="shared" si="1"/>
        <v>55</v>
      </c>
    </row>
    <row r="87" spans="1:3" x14ac:dyDescent="0.2">
      <c r="A87">
        <v>56</v>
      </c>
      <c r="B87" t="str">
        <f t="shared" si="0"/>
        <v>8</v>
      </c>
      <c r="C87">
        <f t="shared" si="1"/>
        <v>56</v>
      </c>
    </row>
    <row r="88" spans="1:3" x14ac:dyDescent="0.2">
      <c r="A88">
        <v>57</v>
      </c>
      <c r="B88" t="str">
        <f t="shared" si="0"/>
        <v>9</v>
      </c>
      <c r="C88">
        <f t="shared" si="1"/>
        <v>57</v>
      </c>
    </row>
    <row r="89" spans="1:3" x14ac:dyDescent="0.2">
      <c r="A89">
        <v>58</v>
      </c>
      <c r="B89" t="str">
        <f t="shared" si="0"/>
        <v>:</v>
      </c>
      <c r="C89">
        <f t="shared" si="1"/>
        <v>58</v>
      </c>
    </row>
    <row r="90" spans="1:3" x14ac:dyDescent="0.2">
      <c r="A90">
        <v>59</v>
      </c>
      <c r="B90" t="str">
        <f t="shared" si="0"/>
        <v>;</v>
      </c>
      <c r="C90">
        <f t="shared" si="1"/>
        <v>59</v>
      </c>
    </row>
    <row r="91" spans="1:3" x14ac:dyDescent="0.2">
      <c r="A91">
        <v>60</v>
      </c>
      <c r="B91" t="str">
        <f t="shared" si="0"/>
        <v>&lt;</v>
      </c>
      <c r="C91">
        <f t="shared" si="1"/>
        <v>60</v>
      </c>
    </row>
    <row r="92" spans="1:3" x14ac:dyDescent="0.2">
      <c r="A92">
        <v>61</v>
      </c>
      <c r="B92" t="str">
        <f t="shared" si="0"/>
        <v>=</v>
      </c>
      <c r="C92">
        <f t="shared" si="1"/>
        <v>61</v>
      </c>
    </row>
    <row r="93" spans="1:3" x14ac:dyDescent="0.2">
      <c r="A93">
        <v>62</v>
      </c>
      <c r="B93" t="str">
        <f t="shared" si="0"/>
        <v>&gt;</v>
      </c>
      <c r="C93">
        <f t="shared" si="1"/>
        <v>62</v>
      </c>
    </row>
    <row r="94" spans="1:3" x14ac:dyDescent="0.2">
      <c r="A94">
        <v>63</v>
      </c>
      <c r="B94" t="str">
        <f t="shared" si="0"/>
        <v>?</v>
      </c>
      <c r="C94">
        <f t="shared" si="1"/>
        <v>63</v>
      </c>
    </row>
    <row r="95" spans="1:3" x14ac:dyDescent="0.2">
      <c r="A95">
        <v>64</v>
      </c>
      <c r="B95" t="str">
        <f t="shared" si="0"/>
        <v>@</v>
      </c>
      <c r="C95">
        <f t="shared" si="1"/>
        <v>64</v>
      </c>
    </row>
    <row r="96" spans="1:3" x14ac:dyDescent="0.2">
      <c r="A96">
        <v>65</v>
      </c>
      <c r="B96" t="str">
        <f t="shared" si="0"/>
        <v>A</v>
      </c>
      <c r="C96">
        <f t="shared" si="1"/>
        <v>65</v>
      </c>
    </row>
    <row r="97" spans="1:3" x14ac:dyDescent="0.2">
      <c r="A97">
        <v>66</v>
      </c>
      <c r="B97" t="str">
        <f t="shared" ref="B97:B160" si="2">CHAR(A97)</f>
        <v>B</v>
      </c>
      <c r="C97">
        <f t="shared" ref="C97:C160" si="3">CODE(B97)</f>
        <v>66</v>
      </c>
    </row>
    <row r="98" spans="1:3" x14ac:dyDescent="0.2">
      <c r="A98">
        <v>67</v>
      </c>
      <c r="B98" t="str">
        <f t="shared" si="2"/>
        <v>C</v>
      </c>
      <c r="C98">
        <f t="shared" si="3"/>
        <v>67</v>
      </c>
    </row>
    <row r="99" spans="1:3" x14ac:dyDescent="0.2">
      <c r="A99">
        <v>68</v>
      </c>
      <c r="B99" t="str">
        <f t="shared" si="2"/>
        <v>D</v>
      </c>
      <c r="C99">
        <f t="shared" si="3"/>
        <v>68</v>
      </c>
    </row>
    <row r="100" spans="1:3" x14ac:dyDescent="0.2">
      <c r="A100">
        <v>69</v>
      </c>
      <c r="B100" t="str">
        <f t="shared" si="2"/>
        <v>E</v>
      </c>
      <c r="C100">
        <f t="shared" si="3"/>
        <v>69</v>
      </c>
    </row>
    <row r="101" spans="1:3" x14ac:dyDescent="0.2">
      <c r="A101">
        <v>70</v>
      </c>
      <c r="B101" t="str">
        <f t="shared" si="2"/>
        <v>F</v>
      </c>
      <c r="C101">
        <f t="shared" si="3"/>
        <v>70</v>
      </c>
    </row>
    <row r="102" spans="1:3" x14ac:dyDescent="0.2">
      <c r="A102">
        <v>71</v>
      </c>
      <c r="B102" t="str">
        <f t="shared" si="2"/>
        <v>G</v>
      </c>
      <c r="C102">
        <f t="shared" si="3"/>
        <v>71</v>
      </c>
    </row>
    <row r="103" spans="1:3" x14ac:dyDescent="0.2">
      <c r="A103">
        <v>72</v>
      </c>
      <c r="B103" t="str">
        <f t="shared" si="2"/>
        <v>H</v>
      </c>
      <c r="C103">
        <f t="shared" si="3"/>
        <v>72</v>
      </c>
    </row>
    <row r="104" spans="1:3" x14ac:dyDescent="0.2">
      <c r="A104">
        <v>73</v>
      </c>
      <c r="B104" t="str">
        <f t="shared" si="2"/>
        <v>I</v>
      </c>
      <c r="C104">
        <f t="shared" si="3"/>
        <v>73</v>
      </c>
    </row>
    <row r="105" spans="1:3" x14ac:dyDescent="0.2">
      <c r="A105">
        <v>74</v>
      </c>
      <c r="B105" t="str">
        <f t="shared" si="2"/>
        <v>J</v>
      </c>
      <c r="C105">
        <f t="shared" si="3"/>
        <v>74</v>
      </c>
    </row>
    <row r="106" spans="1:3" x14ac:dyDescent="0.2">
      <c r="A106">
        <v>75</v>
      </c>
      <c r="B106" t="str">
        <f t="shared" si="2"/>
        <v>K</v>
      </c>
      <c r="C106">
        <f t="shared" si="3"/>
        <v>75</v>
      </c>
    </row>
    <row r="107" spans="1:3" x14ac:dyDescent="0.2">
      <c r="A107">
        <v>76</v>
      </c>
      <c r="B107" t="str">
        <f t="shared" si="2"/>
        <v>L</v>
      </c>
      <c r="C107">
        <f t="shared" si="3"/>
        <v>76</v>
      </c>
    </row>
    <row r="108" spans="1:3" x14ac:dyDescent="0.2">
      <c r="A108">
        <v>77</v>
      </c>
      <c r="B108" t="str">
        <f t="shared" si="2"/>
        <v>M</v>
      </c>
      <c r="C108">
        <f t="shared" si="3"/>
        <v>77</v>
      </c>
    </row>
    <row r="109" spans="1:3" x14ac:dyDescent="0.2">
      <c r="A109">
        <v>78</v>
      </c>
      <c r="B109" t="str">
        <f t="shared" si="2"/>
        <v>N</v>
      </c>
      <c r="C109">
        <f t="shared" si="3"/>
        <v>78</v>
      </c>
    </row>
    <row r="110" spans="1:3" x14ac:dyDescent="0.2">
      <c r="A110">
        <v>79</v>
      </c>
      <c r="B110" t="str">
        <f t="shared" si="2"/>
        <v>O</v>
      </c>
      <c r="C110">
        <f t="shared" si="3"/>
        <v>79</v>
      </c>
    </row>
    <row r="111" spans="1:3" x14ac:dyDescent="0.2">
      <c r="A111">
        <v>80</v>
      </c>
      <c r="B111" t="str">
        <f t="shared" si="2"/>
        <v>P</v>
      </c>
      <c r="C111">
        <f t="shared" si="3"/>
        <v>80</v>
      </c>
    </row>
    <row r="112" spans="1:3" x14ac:dyDescent="0.2">
      <c r="A112">
        <v>81</v>
      </c>
      <c r="B112" t="str">
        <f t="shared" si="2"/>
        <v>Q</v>
      </c>
      <c r="C112">
        <f t="shared" si="3"/>
        <v>81</v>
      </c>
    </row>
    <row r="113" spans="1:3" x14ac:dyDescent="0.2">
      <c r="A113">
        <v>82</v>
      </c>
      <c r="B113" t="str">
        <f t="shared" si="2"/>
        <v>R</v>
      </c>
      <c r="C113">
        <f t="shared" si="3"/>
        <v>82</v>
      </c>
    </row>
    <row r="114" spans="1:3" x14ac:dyDescent="0.2">
      <c r="A114">
        <v>83</v>
      </c>
      <c r="B114" t="str">
        <f t="shared" si="2"/>
        <v>S</v>
      </c>
      <c r="C114">
        <f t="shared" si="3"/>
        <v>83</v>
      </c>
    </row>
    <row r="115" spans="1:3" x14ac:dyDescent="0.2">
      <c r="A115">
        <v>84</v>
      </c>
      <c r="B115" t="str">
        <f t="shared" si="2"/>
        <v>T</v>
      </c>
      <c r="C115">
        <f t="shared" si="3"/>
        <v>84</v>
      </c>
    </row>
    <row r="116" spans="1:3" x14ac:dyDescent="0.2">
      <c r="A116">
        <v>85</v>
      </c>
      <c r="B116" t="str">
        <f t="shared" si="2"/>
        <v>U</v>
      </c>
      <c r="C116">
        <f t="shared" si="3"/>
        <v>85</v>
      </c>
    </row>
    <row r="117" spans="1:3" x14ac:dyDescent="0.2">
      <c r="A117">
        <v>86</v>
      </c>
      <c r="B117" t="str">
        <f t="shared" si="2"/>
        <v>V</v>
      </c>
      <c r="C117">
        <f t="shared" si="3"/>
        <v>86</v>
      </c>
    </row>
    <row r="118" spans="1:3" x14ac:dyDescent="0.2">
      <c r="A118">
        <v>87</v>
      </c>
      <c r="B118" t="str">
        <f t="shared" si="2"/>
        <v>W</v>
      </c>
      <c r="C118">
        <f t="shared" si="3"/>
        <v>87</v>
      </c>
    </row>
    <row r="119" spans="1:3" x14ac:dyDescent="0.2">
      <c r="A119">
        <v>88</v>
      </c>
      <c r="B119" t="str">
        <f t="shared" si="2"/>
        <v>X</v>
      </c>
      <c r="C119">
        <f t="shared" si="3"/>
        <v>88</v>
      </c>
    </row>
    <row r="120" spans="1:3" x14ac:dyDescent="0.2">
      <c r="A120">
        <v>89</v>
      </c>
      <c r="B120" t="str">
        <f t="shared" si="2"/>
        <v>Y</v>
      </c>
      <c r="C120">
        <f t="shared" si="3"/>
        <v>89</v>
      </c>
    </row>
    <row r="121" spans="1:3" x14ac:dyDescent="0.2">
      <c r="A121">
        <v>90</v>
      </c>
      <c r="B121" t="str">
        <f t="shared" si="2"/>
        <v>Z</v>
      </c>
      <c r="C121">
        <f t="shared" si="3"/>
        <v>90</v>
      </c>
    </row>
    <row r="122" spans="1:3" x14ac:dyDescent="0.2">
      <c r="A122">
        <v>91</v>
      </c>
      <c r="B122" t="str">
        <f t="shared" si="2"/>
        <v>[</v>
      </c>
      <c r="C122">
        <f t="shared" si="3"/>
        <v>91</v>
      </c>
    </row>
    <row r="123" spans="1:3" x14ac:dyDescent="0.2">
      <c r="A123">
        <v>92</v>
      </c>
      <c r="B123" t="str">
        <f t="shared" si="2"/>
        <v>\</v>
      </c>
      <c r="C123">
        <f t="shared" si="3"/>
        <v>92</v>
      </c>
    </row>
    <row r="124" spans="1:3" x14ac:dyDescent="0.2">
      <c r="A124">
        <v>93</v>
      </c>
      <c r="B124" t="str">
        <f t="shared" si="2"/>
        <v>]</v>
      </c>
      <c r="C124">
        <f t="shared" si="3"/>
        <v>93</v>
      </c>
    </row>
    <row r="125" spans="1:3" x14ac:dyDescent="0.2">
      <c r="A125">
        <v>94</v>
      </c>
      <c r="B125" t="str">
        <f t="shared" si="2"/>
        <v>^</v>
      </c>
      <c r="C125">
        <f t="shared" si="3"/>
        <v>94</v>
      </c>
    </row>
    <row r="126" spans="1:3" x14ac:dyDescent="0.2">
      <c r="A126">
        <v>95</v>
      </c>
      <c r="B126" t="str">
        <f t="shared" si="2"/>
        <v>_</v>
      </c>
      <c r="C126">
        <f t="shared" si="3"/>
        <v>95</v>
      </c>
    </row>
    <row r="127" spans="1:3" x14ac:dyDescent="0.2">
      <c r="A127">
        <v>96</v>
      </c>
      <c r="B127" t="str">
        <f t="shared" si="2"/>
        <v>`</v>
      </c>
      <c r="C127">
        <f t="shared" si="3"/>
        <v>96</v>
      </c>
    </row>
    <row r="128" spans="1:3" x14ac:dyDescent="0.2">
      <c r="A128">
        <v>97</v>
      </c>
      <c r="B128" t="str">
        <f t="shared" si="2"/>
        <v>a</v>
      </c>
      <c r="C128">
        <f t="shared" si="3"/>
        <v>97</v>
      </c>
    </row>
    <row r="129" spans="1:3" x14ac:dyDescent="0.2">
      <c r="A129">
        <v>98</v>
      </c>
      <c r="B129" t="str">
        <f t="shared" si="2"/>
        <v>b</v>
      </c>
      <c r="C129">
        <f t="shared" si="3"/>
        <v>98</v>
      </c>
    </row>
    <row r="130" spans="1:3" x14ac:dyDescent="0.2">
      <c r="A130">
        <v>99</v>
      </c>
      <c r="B130" t="str">
        <f t="shared" si="2"/>
        <v>c</v>
      </c>
      <c r="C130">
        <f t="shared" si="3"/>
        <v>99</v>
      </c>
    </row>
    <row r="131" spans="1:3" x14ac:dyDescent="0.2">
      <c r="A131">
        <v>100</v>
      </c>
      <c r="B131" t="str">
        <f t="shared" si="2"/>
        <v>d</v>
      </c>
      <c r="C131">
        <f t="shared" si="3"/>
        <v>100</v>
      </c>
    </row>
    <row r="132" spans="1:3" x14ac:dyDescent="0.2">
      <c r="A132">
        <v>101</v>
      </c>
      <c r="B132" t="str">
        <f t="shared" si="2"/>
        <v>e</v>
      </c>
      <c r="C132">
        <f t="shared" si="3"/>
        <v>101</v>
      </c>
    </row>
    <row r="133" spans="1:3" x14ac:dyDescent="0.2">
      <c r="A133">
        <v>102</v>
      </c>
      <c r="B133" t="str">
        <f t="shared" si="2"/>
        <v>f</v>
      </c>
      <c r="C133">
        <f t="shared" si="3"/>
        <v>102</v>
      </c>
    </row>
    <row r="134" spans="1:3" x14ac:dyDescent="0.2">
      <c r="A134">
        <v>103</v>
      </c>
      <c r="B134" t="str">
        <f t="shared" si="2"/>
        <v>g</v>
      </c>
      <c r="C134">
        <f t="shared" si="3"/>
        <v>103</v>
      </c>
    </row>
    <row r="135" spans="1:3" x14ac:dyDescent="0.2">
      <c r="A135">
        <v>104</v>
      </c>
      <c r="B135" t="str">
        <f t="shared" si="2"/>
        <v>h</v>
      </c>
      <c r="C135">
        <f t="shared" si="3"/>
        <v>104</v>
      </c>
    </row>
    <row r="136" spans="1:3" x14ac:dyDescent="0.2">
      <c r="A136">
        <v>105</v>
      </c>
      <c r="B136" t="str">
        <f t="shared" si="2"/>
        <v>i</v>
      </c>
      <c r="C136">
        <f t="shared" si="3"/>
        <v>105</v>
      </c>
    </row>
    <row r="137" spans="1:3" x14ac:dyDescent="0.2">
      <c r="A137">
        <v>106</v>
      </c>
      <c r="B137" t="str">
        <f t="shared" si="2"/>
        <v>j</v>
      </c>
      <c r="C137">
        <f t="shared" si="3"/>
        <v>106</v>
      </c>
    </row>
    <row r="138" spans="1:3" x14ac:dyDescent="0.2">
      <c r="A138">
        <v>107</v>
      </c>
      <c r="B138" t="str">
        <f t="shared" si="2"/>
        <v>k</v>
      </c>
      <c r="C138">
        <f t="shared" si="3"/>
        <v>107</v>
      </c>
    </row>
    <row r="139" spans="1:3" x14ac:dyDescent="0.2">
      <c r="A139">
        <v>108</v>
      </c>
      <c r="B139" t="str">
        <f t="shared" si="2"/>
        <v>l</v>
      </c>
      <c r="C139">
        <f t="shared" si="3"/>
        <v>108</v>
      </c>
    </row>
    <row r="140" spans="1:3" x14ac:dyDescent="0.2">
      <c r="A140">
        <v>109</v>
      </c>
      <c r="B140" t="str">
        <f t="shared" si="2"/>
        <v>m</v>
      </c>
      <c r="C140">
        <f t="shared" si="3"/>
        <v>109</v>
      </c>
    </row>
    <row r="141" spans="1:3" x14ac:dyDescent="0.2">
      <c r="A141">
        <v>110</v>
      </c>
      <c r="B141" t="str">
        <f t="shared" si="2"/>
        <v>n</v>
      </c>
      <c r="C141">
        <f t="shared" si="3"/>
        <v>110</v>
      </c>
    </row>
    <row r="142" spans="1:3" x14ac:dyDescent="0.2">
      <c r="A142">
        <v>111</v>
      </c>
      <c r="B142" t="str">
        <f t="shared" si="2"/>
        <v>o</v>
      </c>
      <c r="C142">
        <f t="shared" si="3"/>
        <v>111</v>
      </c>
    </row>
    <row r="143" spans="1:3" x14ac:dyDescent="0.2">
      <c r="A143">
        <v>112</v>
      </c>
      <c r="B143" t="str">
        <f t="shared" si="2"/>
        <v>p</v>
      </c>
      <c r="C143">
        <f t="shared" si="3"/>
        <v>112</v>
      </c>
    </row>
    <row r="144" spans="1:3" x14ac:dyDescent="0.2">
      <c r="A144">
        <v>113</v>
      </c>
      <c r="B144" t="str">
        <f t="shared" si="2"/>
        <v>q</v>
      </c>
      <c r="C144">
        <f t="shared" si="3"/>
        <v>113</v>
      </c>
    </row>
    <row r="145" spans="1:3" x14ac:dyDescent="0.2">
      <c r="A145">
        <v>114</v>
      </c>
      <c r="B145" t="str">
        <f t="shared" si="2"/>
        <v>r</v>
      </c>
      <c r="C145">
        <f t="shared" si="3"/>
        <v>114</v>
      </c>
    </row>
    <row r="146" spans="1:3" x14ac:dyDescent="0.2">
      <c r="A146">
        <v>115</v>
      </c>
      <c r="B146" t="str">
        <f t="shared" si="2"/>
        <v>s</v>
      </c>
      <c r="C146">
        <f t="shared" si="3"/>
        <v>115</v>
      </c>
    </row>
    <row r="147" spans="1:3" x14ac:dyDescent="0.2">
      <c r="A147">
        <v>116</v>
      </c>
      <c r="B147" t="str">
        <f t="shared" si="2"/>
        <v>t</v>
      </c>
      <c r="C147">
        <f t="shared" si="3"/>
        <v>116</v>
      </c>
    </row>
    <row r="148" spans="1:3" x14ac:dyDescent="0.2">
      <c r="A148">
        <v>117</v>
      </c>
      <c r="B148" t="str">
        <f t="shared" si="2"/>
        <v>u</v>
      </c>
      <c r="C148">
        <f t="shared" si="3"/>
        <v>117</v>
      </c>
    </row>
    <row r="149" spans="1:3" x14ac:dyDescent="0.2">
      <c r="A149">
        <v>118</v>
      </c>
      <c r="B149" t="str">
        <f t="shared" si="2"/>
        <v>v</v>
      </c>
      <c r="C149">
        <f t="shared" si="3"/>
        <v>118</v>
      </c>
    </row>
    <row r="150" spans="1:3" x14ac:dyDescent="0.2">
      <c r="A150">
        <v>119</v>
      </c>
      <c r="B150" t="str">
        <f t="shared" si="2"/>
        <v>w</v>
      </c>
      <c r="C150">
        <f t="shared" si="3"/>
        <v>119</v>
      </c>
    </row>
    <row r="151" spans="1:3" x14ac:dyDescent="0.2">
      <c r="A151">
        <v>120</v>
      </c>
      <c r="B151" t="str">
        <f t="shared" si="2"/>
        <v>x</v>
      </c>
      <c r="C151">
        <f t="shared" si="3"/>
        <v>120</v>
      </c>
    </row>
    <row r="152" spans="1:3" x14ac:dyDescent="0.2">
      <c r="A152">
        <v>121</v>
      </c>
      <c r="B152" t="str">
        <f t="shared" si="2"/>
        <v>y</v>
      </c>
      <c r="C152">
        <f t="shared" si="3"/>
        <v>121</v>
      </c>
    </row>
    <row r="153" spans="1:3" x14ac:dyDescent="0.2">
      <c r="A153">
        <v>122</v>
      </c>
      <c r="B153" t="str">
        <f t="shared" si="2"/>
        <v>z</v>
      </c>
      <c r="C153">
        <f t="shared" si="3"/>
        <v>122</v>
      </c>
    </row>
    <row r="154" spans="1:3" x14ac:dyDescent="0.2">
      <c r="A154">
        <v>123</v>
      </c>
      <c r="B154" t="str">
        <f t="shared" si="2"/>
        <v>{</v>
      </c>
      <c r="C154">
        <f t="shared" si="3"/>
        <v>123</v>
      </c>
    </row>
    <row r="155" spans="1:3" x14ac:dyDescent="0.2">
      <c r="A155">
        <v>124</v>
      </c>
      <c r="B155" t="str">
        <f t="shared" si="2"/>
        <v>|</v>
      </c>
      <c r="C155">
        <f t="shared" si="3"/>
        <v>124</v>
      </c>
    </row>
    <row r="156" spans="1:3" x14ac:dyDescent="0.2">
      <c r="A156">
        <v>125</v>
      </c>
      <c r="B156" t="str">
        <f t="shared" si="2"/>
        <v>}</v>
      </c>
      <c r="C156">
        <f t="shared" si="3"/>
        <v>125</v>
      </c>
    </row>
    <row r="157" spans="1:3" x14ac:dyDescent="0.2">
      <c r="A157">
        <v>126</v>
      </c>
      <c r="B157" t="str">
        <f t="shared" si="2"/>
        <v>~</v>
      </c>
      <c r="C157">
        <f t="shared" si="3"/>
        <v>126</v>
      </c>
    </row>
    <row r="158" spans="1:3" x14ac:dyDescent="0.2">
      <c r="A158">
        <v>127</v>
      </c>
      <c r="B158" t="str">
        <f t="shared" si="2"/>
        <v></v>
      </c>
      <c r="C158">
        <f t="shared" si="3"/>
        <v>127</v>
      </c>
    </row>
    <row r="159" spans="1:3" x14ac:dyDescent="0.2">
      <c r="A159">
        <v>128</v>
      </c>
      <c r="B159" t="str">
        <f t="shared" si="2"/>
        <v>Ä</v>
      </c>
      <c r="C159">
        <f t="shared" si="3"/>
        <v>128</v>
      </c>
    </row>
    <row r="160" spans="1:3" x14ac:dyDescent="0.2">
      <c r="A160">
        <v>129</v>
      </c>
      <c r="B160" t="str">
        <f t="shared" si="2"/>
        <v>Å</v>
      </c>
      <c r="C160">
        <f t="shared" si="3"/>
        <v>129</v>
      </c>
    </row>
    <row r="161" spans="1:3" x14ac:dyDescent="0.2">
      <c r="A161">
        <v>130</v>
      </c>
      <c r="B161" t="str">
        <f t="shared" ref="B161:B224" si="4">CHAR(A161)</f>
        <v>Ç</v>
      </c>
      <c r="C161">
        <f t="shared" ref="C161:C224" si="5">CODE(B161)</f>
        <v>130</v>
      </c>
    </row>
    <row r="162" spans="1:3" x14ac:dyDescent="0.2">
      <c r="A162">
        <v>131</v>
      </c>
      <c r="B162" t="str">
        <f t="shared" si="4"/>
        <v>É</v>
      </c>
      <c r="C162">
        <f t="shared" si="5"/>
        <v>131</v>
      </c>
    </row>
    <row r="163" spans="1:3" x14ac:dyDescent="0.2">
      <c r="A163">
        <v>132</v>
      </c>
      <c r="B163" t="str">
        <f t="shared" si="4"/>
        <v>Ñ</v>
      </c>
      <c r="C163">
        <f t="shared" si="5"/>
        <v>132</v>
      </c>
    </row>
    <row r="164" spans="1:3" x14ac:dyDescent="0.2">
      <c r="A164">
        <v>133</v>
      </c>
      <c r="B164" t="str">
        <f t="shared" si="4"/>
        <v>Ö</v>
      </c>
      <c r="C164">
        <f t="shared" si="5"/>
        <v>133</v>
      </c>
    </row>
    <row r="165" spans="1:3" x14ac:dyDescent="0.2">
      <c r="A165">
        <v>134</v>
      </c>
      <c r="B165" t="str">
        <f t="shared" si="4"/>
        <v>Ü</v>
      </c>
      <c r="C165">
        <f t="shared" si="5"/>
        <v>134</v>
      </c>
    </row>
    <row r="166" spans="1:3" x14ac:dyDescent="0.2">
      <c r="A166">
        <v>135</v>
      </c>
      <c r="B166" t="str">
        <f t="shared" si="4"/>
        <v>á</v>
      </c>
      <c r="C166">
        <f t="shared" si="5"/>
        <v>135</v>
      </c>
    </row>
    <row r="167" spans="1:3" x14ac:dyDescent="0.2">
      <c r="A167">
        <v>136</v>
      </c>
      <c r="B167" t="str">
        <f t="shared" si="4"/>
        <v>à</v>
      </c>
      <c r="C167">
        <f t="shared" si="5"/>
        <v>136</v>
      </c>
    </row>
    <row r="168" spans="1:3" x14ac:dyDescent="0.2">
      <c r="A168">
        <v>137</v>
      </c>
      <c r="B168" t="str">
        <f t="shared" si="4"/>
        <v>â</v>
      </c>
      <c r="C168">
        <f t="shared" si="5"/>
        <v>137</v>
      </c>
    </row>
    <row r="169" spans="1:3" x14ac:dyDescent="0.2">
      <c r="A169">
        <v>138</v>
      </c>
      <c r="B169" t="str">
        <f t="shared" si="4"/>
        <v>ä</v>
      </c>
      <c r="C169">
        <f t="shared" si="5"/>
        <v>138</v>
      </c>
    </row>
    <row r="170" spans="1:3" x14ac:dyDescent="0.2">
      <c r="A170">
        <v>139</v>
      </c>
      <c r="B170" t="str">
        <f t="shared" si="4"/>
        <v>ã</v>
      </c>
      <c r="C170">
        <f t="shared" si="5"/>
        <v>139</v>
      </c>
    </row>
    <row r="171" spans="1:3" x14ac:dyDescent="0.2">
      <c r="A171">
        <v>140</v>
      </c>
      <c r="B171" t="str">
        <f t="shared" si="4"/>
        <v>å</v>
      </c>
      <c r="C171">
        <f t="shared" si="5"/>
        <v>140</v>
      </c>
    </row>
    <row r="172" spans="1:3" x14ac:dyDescent="0.2">
      <c r="A172">
        <v>141</v>
      </c>
      <c r="B172" t="str">
        <f t="shared" si="4"/>
        <v>ç</v>
      </c>
      <c r="C172">
        <f t="shared" si="5"/>
        <v>141</v>
      </c>
    </row>
    <row r="173" spans="1:3" x14ac:dyDescent="0.2">
      <c r="A173">
        <v>142</v>
      </c>
      <c r="B173" t="str">
        <f t="shared" si="4"/>
        <v>é</v>
      </c>
      <c r="C173">
        <f t="shared" si="5"/>
        <v>142</v>
      </c>
    </row>
    <row r="174" spans="1:3" x14ac:dyDescent="0.2">
      <c r="A174">
        <v>143</v>
      </c>
      <c r="B174" t="str">
        <f t="shared" si="4"/>
        <v>è</v>
      </c>
      <c r="C174">
        <f t="shared" si="5"/>
        <v>143</v>
      </c>
    </row>
    <row r="175" spans="1:3" x14ac:dyDescent="0.2">
      <c r="A175">
        <v>144</v>
      </c>
      <c r="B175" t="str">
        <f t="shared" si="4"/>
        <v>ê</v>
      </c>
      <c r="C175">
        <f t="shared" si="5"/>
        <v>144</v>
      </c>
    </row>
    <row r="176" spans="1:3" x14ac:dyDescent="0.2">
      <c r="A176">
        <v>145</v>
      </c>
      <c r="B176" t="str">
        <f t="shared" si="4"/>
        <v>ë</v>
      </c>
      <c r="C176">
        <f t="shared" si="5"/>
        <v>145</v>
      </c>
    </row>
    <row r="177" spans="1:3" x14ac:dyDescent="0.2">
      <c r="A177">
        <v>146</v>
      </c>
      <c r="B177" t="str">
        <f t="shared" si="4"/>
        <v>í</v>
      </c>
      <c r="C177">
        <f t="shared" si="5"/>
        <v>146</v>
      </c>
    </row>
    <row r="178" spans="1:3" x14ac:dyDescent="0.2">
      <c r="A178">
        <v>147</v>
      </c>
      <c r="B178" t="str">
        <f t="shared" si="4"/>
        <v>ì</v>
      </c>
      <c r="C178">
        <f t="shared" si="5"/>
        <v>147</v>
      </c>
    </row>
    <row r="179" spans="1:3" x14ac:dyDescent="0.2">
      <c r="A179">
        <v>148</v>
      </c>
      <c r="B179" t="str">
        <f t="shared" si="4"/>
        <v>î</v>
      </c>
      <c r="C179">
        <f t="shared" si="5"/>
        <v>148</v>
      </c>
    </row>
    <row r="180" spans="1:3" x14ac:dyDescent="0.2">
      <c r="A180">
        <v>149</v>
      </c>
      <c r="B180" t="str">
        <f t="shared" si="4"/>
        <v>ï</v>
      </c>
      <c r="C180">
        <f t="shared" si="5"/>
        <v>149</v>
      </c>
    </row>
    <row r="181" spans="1:3" x14ac:dyDescent="0.2">
      <c r="A181">
        <v>150</v>
      </c>
      <c r="B181" t="str">
        <f t="shared" si="4"/>
        <v>ñ</v>
      </c>
      <c r="C181">
        <f t="shared" si="5"/>
        <v>150</v>
      </c>
    </row>
    <row r="182" spans="1:3" x14ac:dyDescent="0.2">
      <c r="A182">
        <v>151</v>
      </c>
      <c r="B182" t="str">
        <f t="shared" si="4"/>
        <v>ó</v>
      </c>
      <c r="C182">
        <f t="shared" si="5"/>
        <v>151</v>
      </c>
    </row>
    <row r="183" spans="1:3" x14ac:dyDescent="0.2">
      <c r="A183">
        <v>152</v>
      </c>
      <c r="B183" t="str">
        <f t="shared" si="4"/>
        <v>ò</v>
      </c>
      <c r="C183">
        <f t="shared" si="5"/>
        <v>152</v>
      </c>
    </row>
    <row r="184" spans="1:3" x14ac:dyDescent="0.2">
      <c r="A184">
        <v>153</v>
      </c>
      <c r="B184" t="str">
        <f t="shared" si="4"/>
        <v>ô</v>
      </c>
      <c r="C184">
        <f t="shared" si="5"/>
        <v>153</v>
      </c>
    </row>
    <row r="185" spans="1:3" x14ac:dyDescent="0.2">
      <c r="A185">
        <v>154</v>
      </c>
      <c r="B185" t="str">
        <f t="shared" si="4"/>
        <v>ö</v>
      </c>
      <c r="C185">
        <f t="shared" si="5"/>
        <v>154</v>
      </c>
    </row>
    <row r="186" spans="1:3" x14ac:dyDescent="0.2">
      <c r="A186">
        <v>155</v>
      </c>
      <c r="B186" t="str">
        <f t="shared" si="4"/>
        <v>õ</v>
      </c>
      <c r="C186">
        <f t="shared" si="5"/>
        <v>155</v>
      </c>
    </row>
    <row r="187" spans="1:3" x14ac:dyDescent="0.2">
      <c r="A187">
        <v>156</v>
      </c>
      <c r="B187" t="str">
        <f t="shared" si="4"/>
        <v>ú</v>
      </c>
      <c r="C187">
        <f t="shared" si="5"/>
        <v>156</v>
      </c>
    </row>
    <row r="188" spans="1:3" x14ac:dyDescent="0.2">
      <c r="A188">
        <v>157</v>
      </c>
      <c r="B188" t="str">
        <f t="shared" si="4"/>
        <v>ù</v>
      </c>
      <c r="C188">
        <f t="shared" si="5"/>
        <v>157</v>
      </c>
    </row>
    <row r="189" spans="1:3" x14ac:dyDescent="0.2">
      <c r="A189">
        <v>158</v>
      </c>
      <c r="B189" t="str">
        <f t="shared" si="4"/>
        <v>û</v>
      </c>
      <c r="C189">
        <f t="shared" si="5"/>
        <v>158</v>
      </c>
    </row>
    <row r="190" spans="1:3" x14ac:dyDescent="0.2">
      <c r="A190">
        <v>159</v>
      </c>
      <c r="B190" t="str">
        <f t="shared" si="4"/>
        <v>ü</v>
      </c>
      <c r="C190">
        <f t="shared" si="5"/>
        <v>159</v>
      </c>
    </row>
    <row r="191" spans="1:3" x14ac:dyDescent="0.2">
      <c r="A191">
        <v>160</v>
      </c>
      <c r="B191" t="str">
        <f t="shared" si="4"/>
        <v>†</v>
      </c>
      <c r="C191">
        <f t="shared" si="5"/>
        <v>160</v>
      </c>
    </row>
    <row r="192" spans="1:3" x14ac:dyDescent="0.2">
      <c r="A192">
        <v>161</v>
      </c>
      <c r="B192" t="str">
        <f t="shared" si="4"/>
        <v>°</v>
      </c>
      <c r="C192">
        <f t="shared" si="5"/>
        <v>161</v>
      </c>
    </row>
    <row r="193" spans="1:3" x14ac:dyDescent="0.2">
      <c r="A193">
        <v>162</v>
      </c>
      <c r="B193" t="str">
        <f t="shared" si="4"/>
        <v>¢</v>
      </c>
      <c r="C193">
        <f t="shared" si="5"/>
        <v>162</v>
      </c>
    </row>
    <row r="194" spans="1:3" x14ac:dyDescent="0.2">
      <c r="A194">
        <v>163</v>
      </c>
      <c r="B194" t="str">
        <f t="shared" si="4"/>
        <v>£</v>
      </c>
      <c r="C194">
        <f t="shared" si="5"/>
        <v>163</v>
      </c>
    </row>
    <row r="195" spans="1:3" x14ac:dyDescent="0.2">
      <c r="A195">
        <v>164</v>
      </c>
      <c r="B195" t="str">
        <f t="shared" si="4"/>
        <v>§</v>
      </c>
      <c r="C195">
        <f t="shared" si="5"/>
        <v>164</v>
      </c>
    </row>
    <row r="196" spans="1:3" x14ac:dyDescent="0.2">
      <c r="A196">
        <v>165</v>
      </c>
      <c r="B196" t="str">
        <f t="shared" si="4"/>
        <v>•</v>
      </c>
      <c r="C196">
        <f t="shared" si="5"/>
        <v>165</v>
      </c>
    </row>
    <row r="197" spans="1:3" x14ac:dyDescent="0.2">
      <c r="A197">
        <v>166</v>
      </c>
      <c r="B197" t="str">
        <f t="shared" si="4"/>
        <v>¶</v>
      </c>
      <c r="C197">
        <f t="shared" si="5"/>
        <v>166</v>
      </c>
    </row>
    <row r="198" spans="1:3" x14ac:dyDescent="0.2">
      <c r="A198">
        <v>167</v>
      </c>
      <c r="B198" t="str">
        <f t="shared" si="4"/>
        <v>ß</v>
      </c>
      <c r="C198">
        <f t="shared" si="5"/>
        <v>167</v>
      </c>
    </row>
    <row r="199" spans="1:3" x14ac:dyDescent="0.2">
      <c r="A199">
        <v>168</v>
      </c>
      <c r="B199" t="str">
        <f t="shared" si="4"/>
        <v>®</v>
      </c>
      <c r="C199">
        <f t="shared" si="5"/>
        <v>168</v>
      </c>
    </row>
    <row r="200" spans="1:3" x14ac:dyDescent="0.2">
      <c r="A200">
        <v>169</v>
      </c>
      <c r="B200" t="str">
        <f t="shared" si="4"/>
        <v>©</v>
      </c>
      <c r="C200">
        <f t="shared" si="5"/>
        <v>169</v>
      </c>
    </row>
    <row r="201" spans="1:3" x14ac:dyDescent="0.2">
      <c r="A201">
        <v>170</v>
      </c>
      <c r="B201" t="str">
        <f t="shared" si="4"/>
        <v>™</v>
      </c>
      <c r="C201">
        <f t="shared" si="5"/>
        <v>170</v>
      </c>
    </row>
    <row r="202" spans="1:3" x14ac:dyDescent="0.2">
      <c r="A202">
        <v>171</v>
      </c>
      <c r="B202" t="str">
        <f t="shared" si="4"/>
        <v>´</v>
      </c>
      <c r="C202">
        <f t="shared" si="5"/>
        <v>171</v>
      </c>
    </row>
    <row r="203" spans="1:3" x14ac:dyDescent="0.2">
      <c r="A203">
        <v>172</v>
      </c>
      <c r="B203" t="str">
        <f t="shared" si="4"/>
        <v>¨</v>
      </c>
      <c r="C203">
        <f t="shared" si="5"/>
        <v>172</v>
      </c>
    </row>
    <row r="204" spans="1:3" x14ac:dyDescent="0.2">
      <c r="A204">
        <v>173</v>
      </c>
      <c r="B204" t="str">
        <f t="shared" si="4"/>
        <v>≠</v>
      </c>
      <c r="C204">
        <f t="shared" si="5"/>
        <v>173</v>
      </c>
    </row>
    <row r="205" spans="1:3" x14ac:dyDescent="0.2">
      <c r="A205">
        <v>174</v>
      </c>
      <c r="B205" t="str">
        <f t="shared" si="4"/>
        <v>Æ</v>
      </c>
      <c r="C205">
        <f t="shared" si="5"/>
        <v>174</v>
      </c>
    </row>
    <row r="206" spans="1:3" x14ac:dyDescent="0.2">
      <c r="A206">
        <v>175</v>
      </c>
      <c r="B206" t="str">
        <f t="shared" si="4"/>
        <v>Ø</v>
      </c>
      <c r="C206">
        <f t="shared" si="5"/>
        <v>175</v>
      </c>
    </row>
    <row r="207" spans="1:3" x14ac:dyDescent="0.2">
      <c r="A207">
        <v>176</v>
      </c>
      <c r="B207" t="str">
        <f t="shared" si="4"/>
        <v>∞</v>
      </c>
      <c r="C207">
        <f t="shared" si="5"/>
        <v>176</v>
      </c>
    </row>
    <row r="208" spans="1:3" x14ac:dyDescent="0.2">
      <c r="A208">
        <v>177</v>
      </c>
      <c r="B208" t="str">
        <f t="shared" si="4"/>
        <v>±</v>
      </c>
      <c r="C208">
        <f t="shared" si="5"/>
        <v>177</v>
      </c>
    </row>
    <row r="209" spans="1:3" x14ac:dyDescent="0.2">
      <c r="A209">
        <v>178</v>
      </c>
      <c r="B209" t="str">
        <f t="shared" si="4"/>
        <v>≤</v>
      </c>
      <c r="C209">
        <f t="shared" si="5"/>
        <v>178</v>
      </c>
    </row>
    <row r="210" spans="1:3" x14ac:dyDescent="0.2">
      <c r="A210">
        <v>179</v>
      </c>
      <c r="B210" t="str">
        <f t="shared" si="4"/>
        <v>≥</v>
      </c>
      <c r="C210">
        <f t="shared" si="5"/>
        <v>179</v>
      </c>
    </row>
    <row r="211" spans="1:3" x14ac:dyDescent="0.2">
      <c r="A211">
        <v>180</v>
      </c>
      <c r="B211" t="str">
        <f t="shared" si="4"/>
        <v>¥</v>
      </c>
      <c r="C211">
        <f t="shared" si="5"/>
        <v>180</v>
      </c>
    </row>
    <row r="212" spans="1:3" x14ac:dyDescent="0.2">
      <c r="A212">
        <v>181</v>
      </c>
      <c r="B212" t="str">
        <f t="shared" si="4"/>
        <v>µ</v>
      </c>
      <c r="C212">
        <f t="shared" si="5"/>
        <v>181</v>
      </c>
    </row>
    <row r="213" spans="1:3" x14ac:dyDescent="0.2">
      <c r="A213">
        <v>182</v>
      </c>
      <c r="B213" t="str">
        <f t="shared" si="4"/>
        <v>∂</v>
      </c>
      <c r="C213">
        <f t="shared" si="5"/>
        <v>182</v>
      </c>
    </row>
    <row r="214" spans="1:3" x14ac:dyDescent="0.2">
      <c r="A214">
        <v>183</v>
      </c>
      <c r="B214" t="str">
        <f t="shared" si="4"/>
        <v>∑</v>
      </c>
      <c r="C214">
        <f t="shared" si="5"/>
        <v>183</v>
      </c>
    </row>
    <row r="215" spans="1:3" x14ac:dyDescent="0.2">
      <c r="A215">
        <v>184</v>
      </c>
      <c r="B215" t="str">
        <f t="shared" si="4"/>
        <v>∏</v>
      </c>
      <c r="C215">
        <f t="shared" si="5"/>
        <v>184</v>
      </c>
    </row>
    <row r="216" spans="1:3" x14ac:dyDescent="0.2">
      <c r="A216">
        <v>185</v>
      </c>
      <c r="B216" t="str">
        <f t="shared" si="4"/>
        <v>π</v>
      </c>
      <c r="C216">
        <f t="shared" si="5"/>
        <v>185</v>
      </c>
    </row>
    <row r="217" spans="1:3" x14ac:dyDescent="0.2">
      <c r="A217">
        <v>186</v>
      </c>
      <c r="B217" t="str">
        <f t="shared" si="4"/>
        <v>∫</v>
      </c>
      <c r="C217">
        <f t="shared" si="5"/>
        <v>186</v>
      </c>
    </row>
    <row r="218" spans="1:3" x14ac:dyDescent="0.2">
      <c r="A218">
        <v>187</v>
      </c>
      <c r="B218" t="str">
        <f t="shared" si="4"/>
        <v>ª</v>
      </c>
      <c r="C218">
        <f t="shared" si="5"/>
        <v>187</v>
      </c>
    </row>
    <row r="219" spans="1:3" x14ac:dyDescent="0.2">
      <c r="A219">
        <v>188</v>
      </c>
      <c r="B219" t="str">
        <f t="shared" si="4"/>
        <v>º</v>
      </c>
      <c r="C219">
        <f t="shared" si="5"/>
        <v>188</v>
      </c>
    </row>
    <row r="220" spans="1:3" x14ac:dyDescent="0.2">
      <c r="A220">
        <v>189</v>
      </c>
      <c r="B220" t="str">
        <f t="shared" si="4"/>
        <v>Ω</v>
      </c>
      <c r="C220">
        <f t="shared" si="5"/>
        <v>189</v>
      </c>
    </row>
    <row r="221" spans="1:3" x14ac:dyDescent="0.2">
      <c r="A221">
        <v>190</v>
      </c>
      <c r="B221" t="str">
        <f t="shared" si="4"/>
        <v>æ</v>
      </c>
      <c r="C221">
        <f t="shared" si="5"/>
        <v>190</v>
      </c>
    </row>
    <row r="222" spans="1:3" x14ac:dyDescent="0.2">
      <c r="A222">
        <v>191</v>
      </c>
      <c r="B222" t="str">
        <f t="shared" si="4"/>
        <v>ø</v>
      </c>
      <c r="C222">
        <f t="shared" si="5"/>
        <v>191</v>
      </c>
    </row>
    <row r="223" spans="1:3" x14ac:dyDescent="0.2">
      <c r="A223">
        <v>192</v>
      </c>
      <c r="B223" t="str">
        <f t="shared" si="4"/>
        <v>¿</v>
      </c>
      <c r="C223">
        <f t="shared" si="5"/>
        <v>192</v>
      </c>
    </row>
    <row r="224" spans="1:3" x14ac:dyDescent="0.2">
      <c r="A224">
        <v>193</v>
      </c>
      <c r="B224" t="str">
        <f t="shared" si="4"/>
        <v>¡</v>
      </c>
      <c r="C224">
        <f t="shared" si="5"/>
        <v>193</v>
      </c>
    </row>
    <row r="225" spans="1:3" x14ac:dyDescent="0.2">
      <c r="A225">
        <v>194</v>
      </c>
      <c r="B225" t="str">
        <f t="shared" ref="B225:B286" si="6">CHAR(A225)</f>
        <v>¬</v>
      </c>
      <c r="C225">
        <f t="shared" ref="C225:C286" si="7">CODE(B225)</f>
        <v>194</v>
      </c>
    </row>
    <row r="226" spans="1:3" x14ac:dyDescent="0.2">
      <c r="A226">
        <v>195</v>
      </c>
      <c r="B226" t="str">
        <f t="shared" si="6"/>
        <v>√</v>
      </c>
      <c r="C226">
        <f t="shared" si="7"/>
        <v>195</v>
      </c>
    </row>
    <row r="227" spans="1:3" x14ac:dyDescent="0.2">
      <c r="A227">
        <v>196</v>
      </c>
      <c r="B227" t="str">
        <f t="shared" si="6"/>
        <v>ƒ</v>
      </c>
      <c r="C227">
        <f t="shared" si="7"/>
        <v>196</v>
      </c>
    </row>
    <row r="228" spans="1:3" x14ac:dyDescent="0.2">
      <c r="A228">
        <v>197</v>
      </c>
      <c r="B228" t="str">
        <f t="shared" si="6"/>
        <v>≈</v>
      </c>
      <c r="C228">
        <f t="shared" si="7"/>
        <v>197</v>
      </c>
    </row>
    <row r="229" spans="1:3" x14ac:dyDescent="0.2">
      <c r="A229">
        <v>198</v>
      </c>
      <c r="B229" t="str">
        <f t="shared" si="6"/>
        <v>∆</v>
      </c>
      <c r="C229">
        <f t="shared" si="7"/>
        <v>198</v>
      </c>
    </row>
    <row r="230" spans="1:3" x14ac:dyDescent="0.2">
      <c r="A230">
        <v>199</v>
      </c>
      <c r="B230" t="str">
        <f t="shared" si="6"/>
        <v>«</v>
      </c>
      <c r="C230">
        <f t="shared" si="7"/>
        <v>199</v>
      </c>
    </row>
    <row r="231" spans="1:3" x14ac:dyDescent="0.2">
      <c r="A231">
        <v>200</v>
      </c>
      <c r="B231" t="str">
        <f t="shared" si="6"/>
        <v>»</v>
      </c>
      <c r="C231">
        <f t="shared" si="7"/>
        <v>200</v>
      </c>
    </row>
    <row r="232" spans="1:3" x14ac:dyDescent="0.2">
      <c r="A232">
        <v>201</v>
      </c>
      <c r="B232" t="str">
        <f t="shared" si="6"/>
        <v>…</v>
      </c>
      <c r="C232">
        <f t="shared" si="7"/>
        <v>201</v>
      </c>
    </row>
    <row r="233" spans="1:3" x14ac:dyDescent="0.2">
      <c r="A233">
        <v>202</v>
      </c>
      <c r="B233" t="str">
        <f t="shared" si="6"/>
        <v> </v>
      </c>
      <c r="C233">
        <f t="shared" si="7"/>
        <v>202</v>
      </c>
    </row>
    <row r="234" spans="1:3" x14ac:dyDescent="0.2">
      <c r="A234">
        <v>203</v>
      </c>
      <c r="B234" t="str">
        <f t="shared" si="6"/>
        <v>À</v>
      </c>
      <c r="C234">
        <f t="shared" si="7"/>
        <v>203</v>
      </c>
    </row>
    <row r="235" spans="1:3" x14ac:dyDescent="0.2">
      <c r="A235">
        <v>204</v>
      </c>
      <c r="B235" t="str">
        <f t="shared" si="6"/>
        <v>Ã</v>
      </c>
      <c r="C235">
        <f t="shared" si="7"/>
        <v>204</v>
      </c>
    </row>
    <row r="236" spans="1:3" x14ac:dyDescent="0.2">
      <c r="A236">
        <v>205</v>
      </c>
      <c r="B236" t="str">
        <f t="shared" si="6"/>
        <v>Õ</v>
      </c>
      <c r="C236">
        <f t="shared" si="7"/>
        <v>205</v>
      </c>
    </row>
    <row r="237" spans="1:3" x14ac:dyDescent="0.2">
      <c r="A237">
        <v>206</v>
      </c>
      <c r="B237" t="str">
        <f t="shared" si="6"/>
        <v>Œ</v>
      </c>
      <c r="C237">
        <f t="shared" si="7"/>
        <v>206</v>
      </c>
    </row>
    <row r="238" spans="1:3" x14ac:dyDescent="0.2">
      <c r="A238">
        <v>207</v>
      </c>
      <c r="B238" t="str">
        <f t="shared" si="6"/>
        <v>œ</v>
      </c>
      <c r="C238">
        <f t="shared" si="7"/>
        <v>207</v>
      </c>
    </row>
    <row r="239" spans="1:3" x14ac:dyDescent="0.2">
      <c r="A239">
        <v>208</v>
      </c>
      <c r="B239" t="str">
        <f t="shared" si="6"/>
        <v>–</v>
      </c>
      <c r="C239">
        <f t="shared" si="7"/>
        <v>208</v>
      </c>
    </row>
    <row r="240" spans="1:3" x14ac:dyDescent="0.2">
      <c r="A240">
        <v>209</v>
      </c>
      <c r="B240" t="str">
        <f t="shared" si="6"/>
        <v>—</v>
      </c>
      <c r="C240">
        <f t="shared" si="7"/>
        <v>209</v>
      </c>
    </row>
    <row r="241" spans="1:3" x14ac:dyDescent="0.2">
      <c r="A241">
        <v>210</v>
      </c>
      <c r="B241" t="str">
        <f t="shared" si="6"/>
        <v>“</v>
      </c>
      <c r="C241">
        <f t="shared" si="7"/>
        <v>210</v>
      </c>
    </row>
    <row r="242" spans="1:3" x14ac:dyDescent="0.2">
      <c r="A242">
        <v>211</v>
      </c>
      <c r="B242" t="str">
        <f t="shared" si="6"/>
        <v>”</v>
      </c>
      <c r="C242">
        <f t="shared" si="7"/>
        <v>211</v>
      </c>
    </row>
    <row r="243" spans="1:3" x14ac:dyDescent="0.2">
      <c r="A243">
        <v>212</v>
      </c>
      <c r="B243" t="str">
        <f t="shared" si="6"/>
        <v>‘</v>
      </c>
      <c r="C243">
        <f t="shared" si="7"/>
        <v>212</v>
      </c>
    </row>
    <row r="244" spans="1:3" x14ac:dyDescent="0.2">
      <c r="A244">
        <v>213</v>
      </c>
      <c r="B244" t="str">
        <f t="shared" si="6"/>
        <v>’</v>
      </c>
      <c r="C244">
        <f t="shared" si="7"/>
        <v>213</v>
      </c>
    </row>
    <row r="245" spans="1:3" x14ac:dyDescent="0.2">
      <c r="A245">
        <v>214</v>
      </c>
      <c r="B245" t="str">
        <f t="shared" si="6"/>
        <v>÷</v>
      </c>
      <c r="C245">
        <f t="shared" si="7"/>
        <v>214</v>
      </c>
    </row>
    <row r="246" spans="1:3" x14ac:dyDescent="0.2">
      <c r="A246">
        <v>215</v>
      </c>
      <c r="B246" t="str">
        <f t="shared" si="6"/>
        <v>◊</v>
      </c>
      <c r="C246">
        <f t="shared" si="7"/>
        <v>215</v>
      </c>
    </row>
    <row r="247" spans="1:3" x14ac:dyDescent="0.2">
      <c r="A247">
        <v>216</v>
      </c>
      <c r="B247" t="str">
        <f t="shared" si="6"/>
        <v>ÿ</v>
      </c>
      <c r="C247">
        <f t="shared" si="7"/>
        <v>216</v>
      </c>
    </row>
    <row r="248" spans="1:3" x14ac:dyDescent="0.2">
      <c r="A248">
        <v>217</v>
      </c>
      <c r="B248" t="str">
        <f t="shared" si="6"/>
        <v>Ÿ</v>
      </c>
      <c r="C248">
        <f t="shared" si="7"/>
        <v>217</v>
      </c>
    </row>
    <row r="249" spans="1:3" x14ac:dyDescent="0.2">
      <c r="A249">
        <v>218</v>
      </c>
      <c r="B249" t="str">
        <f t="shared" si="6"/>
        <v>⁄</v>
      </c>
      <c r="C249">
        <f t="shared" si="7"/>
        <v>218</v>
      </c>
    </row>
    <row r="250" spans="1:3" x14ac:dyDescent="0.2">
      <c r="A250">
        <v>219</v>
      </c>
      <c r="B250" t="str">
        <f t="shared" si="6"/>
        <v>€</v>
      </c>
      <c r="C250">
        <f t="shared" si="7"/>
        <v>219</v>
      </c>
    </row>
    <row r="251" spans="1:3" x14ac:dyDescent="0.2">
      <c r="A251">
        <v>220</v>
      </c>
      <c r="B251" t="str">
        <f t="shared" si="6"/>
        <v>‹</v>
      </c>
      <c r="C251">
        <f t="shared" si="7"/>
        <v>220</v>
      </c>
    </row>
    <row r="252" spans="1:3" x14ac:dyDescent="0.2">
      <c r="A252">
        <v>221</v>
      </c>
      <c r="B252" t="str">
        <f t="shared" si="6"/>
        <v>›</v>
      </c>
      <c r="C252">
        <f t="shared" si="7"/>
        <v>221</v>
      </c>
    </row>
    <row r="253" spans="1:3" x14ac:dyDescent="0.2">
      <c r="A253">
        <v>222</v>
      </c>
      <c r="B253" t="str">
        <f t="shared" si="6"/>
        <v>ﬁ</v>
      </c>
      <c r="C253">
        <f t="shared" si="7"/>
        <v>222</v>
      </c>
    </row>
    <row r="254" spans="1:3" x14ac:dyDescent="0.2">
      <c r="A254">
        <v>223</v>
      </c>
      <c r="B254" t="str">
        <f t="shared" si="6"/>
        <v>ﬂ</v>
      </c>
      <c r="C254">
        <f t="shared" si="7"/>
        <v>223</v>
      </c>
    </row>
    <row r="255" spans="1:3" x14ac:dyDescent="0.2">
      <c r="A255">
        <v>224</v>
      </c>
      <c r="B255" t="str">
        <f t="shared" si="6"/>
        <v>‡</v>
      </c>
      <c r="C255">
        <f t="shared" si="7"/>
        <v>224</v>
      </c>
    </row>
    <row r="256" spans="1:3" x14ac:dyDescent="0.2">
      <c r="A256">
        <v>225</v>
      </c>
      <c r="B256" t="str">
        <f t="shared" si="6"/>
        <v>·</v>
      </c>
      <c r="C256">
        <f t="shared" si="7"/>
        <v>225</v>
      </c>
    </row>
    <row r="257" spans="1:3" x14ac:dyDescent="0.2">
      <c r="A257">
        <v>226</v>
      </c>
      <c r="B257" t="str">
        <f t="shared" si="6"/>
        <v>‚</v>
      </c>
      <c r="C257">
        <f t="shared" si="7"/>
        <v>226</v>
      </c>
    </row>
    <row r="258" spans="1:3" x14ac:dyDescent="0.2">
      <c r="A258">
        <v>227</v>
      </c>
      <c r="B258" t="str">
        <f t="shared" si="6"/>
        <v>„</v>
      </c>
      <c r="C258">
        <f t="shared" si="7"/>
        <v>227</v>
      </c>
    </row>
    <row r="259" spans="1:3" x14ac:dyDescent="0.2">
      <c r="A259">
        <v>228</v>
      </c>
      <c r="B259" t="str">
        <f t="shared" si="6"/>
        <v>‰</v>
      </c>
      <c r="C259">
        <f t="shared" si="7"/>
        <v>228</v>
      </c>
    </row>
    <row r="260" spans="1:3" x14ac:dyDescent="0.2">
      <c r="A260">
        <v>229</v>
      </c>
      <c r="B260" t="str">
        <f t="shared" si="6"/>
        <v>Â</v>
      </c>
      <c r="C260">
        <f t="shared" si="7"/>
        <v>229</v>
      </c>
    </row>
    <row r="261" spans="1:3" x14ac:dyDescent="0.2">
      <c r="A261">
        <v>230</v>
      </c>
      <c r="B261" t="str">
        <f t="shared" si="6"/>
        <v>Ê</v>
      </c>
      <c r="C261">
        <f t="shared" si="7"/>
        <v>230</v>
      </c>
    </row>
    <row r="262" spans="1:3" x14ac:dyDescent="0.2">
      <c r="A262">
        <v>231</v>
      </c>
      <c r="B262" t="str">
        <f t="shared" si="6"/>
        <v>Á</v>
      </c>
      <c r="C262">
        <f t="shared" si="7"/>
        <v>231</v>
      </c>
    </row>
    <row r="263" spans="1:3" x14ac:dyDescent="0.2">
      <c r="A263">
        <v>232</v>
      </c>
      <c r="B263" t="str">
        <f t="shared" si="6"/>
        <v>Ë</v>
      </c>
      <c r="C263">
        <f t="shared" si="7"/>
        <v>232</v>
      </c>
    </row>
    <row r="264" spans="1:3" x14ac:dyDescent="0.2">
      <c r="A264">
        <v>233</v>
      </c>
      <c r="B264" t="str">
        <f t="shared" si="6"/>
        <v>È</v>
      </c>
      <c r="C264">
        <f t="shared" si="7"/>
        <v>233</v>
      </c>
    </row>
    <row r="265" spans="1:3" x14ac:dyDescent="0.2">
      <c r="A265">
        <v>234</v>
      </c>
      <c r="B265" t="str">
        <f t="shared" si="6"/>
        <v>Í</v>
      </c>
      <c r="C265">
        <f t="shared" si="7"/>
        <v>234</v>
      </c>
    </row>
    <row r="266" spans="1:3" x14ac:dyDescent="0.2">
      <c r="A266">
        <v>235</v>
      </c>
      <c r="B266" t="str">
        <f t="shared" si="6"/>
        <v>Î</v>
      </c>
      <c r="C266">
        <f t="shared" si="7"/>
        <v>235</v>
      </c>
    </row>
    <row r="267" spans="1:3" x14ac:dyDescent="0.2">
      <c r="A267">
        <v>236</v>
      </c>
      <c r="B267" t="str">
        <f t="shared" si="6"/>
        <v>Ï</v>
      </c>
      <c r="C267">
        <f t="shared" si="7"/>
        <v>236</v>
      </c>
    </row>
    <row r="268" spans="1:3" x14ac:dyDescent="0.2">
      <c r="A268">
        <v>237</v>
      </c>
      <c r="B268" t="str">
        <f t="shared" si="6"/>
        <v>Ì</v>
      </c>
      <c r="C268">
        <f t="shared" si="7"/>
        <v>237</v>
      </c>
    </row>
    <row r="269" spans="1:3" x14ac:dyDescent="0.2">
      <c r="A269">
        <v>238</v>
      </c>
      <c r="B269" t="str">
        <f t="shared" si="6"/>
        <v>Ó</v>
      </c>
      <c r="C269">
        <f t="shared" si="7"/>
        <v>238</v>
      </c>
    </row>
    <row r="270" spans="1:3" x14ac:dyDescent="0.2">
      <c r="A270">
        <v>239</v>
      </c>
      <c r="B270" t="str">
        <f t="shared" si="6"/>
        <v>Ô</v>
      </c>
      <c r="C270">
        <f t="shared" si="7"/>
        <v>239</v>
      </c>
    </row>
    <row r="271" spans="1:3" x14ac:dyDescent="0.2">
      <c r="A271">
        <v>240</v>
      </c>
      <c r="B271" t="str">
        <f t="shared" si="6"/>
        <v></v>
      </c>
      <c r="C271">
        <f t="shared" si="7"/>
        <v>240</v>
      </c>
    </row>
    <row r="272" spans="1:3" x14ac:dyDescent="0.2">
      <c r="A272">
        <v>241</v>
      </c>
      <c r="B272" t="str">
        <f t="shared" si="6"/>
        <v>Ò</v>
      </c>
      <c r="C272">
        <f t="shared" si="7"/>
        <v>241</v>
      </c>
    </row>
    <row r="273" spans="1:3" x14ac:dyDescent="0.2">
      <c r="A273">
        <v>242</v>
      </c>
      <c r="B273" t="str">
        <f t="shared" si="6"/>
        <v>Ú</v>
      </c>
      <c r="C273">
        <f t="shared" si="7"/>
        <v>242</v>
      </c>
    </row>
    <row r="274" spans="1:3" x14ac:dyDescent="0.2">
      <c r="A274">
        <v>243</v>
      </c>
      <c r="B274" t="str">
        <f t="shared" si="6"/>
        <v>Û</v>
      </c>
      <c r="C274">
        <f t="shared" si="7"/>
        <v>243</v>
      </c>
    </row>
    <row r="275" spans="1:3" x14ac:dyDescent="0.2">
      <c r="A275">
        <v>244</v>
      </c>
      <c r="B275" t="str">
        <f t="shared" si="6"/>
        <v>Ù</v>
      </c>
      <c r="C275">
        <f t="shared" si="7"/>
        <v>244</v>
      </c>
    </row>
    <row r="276" spans="1:3" x14ac:dyDescent="0.2">
      <c r="A276">
        <v>245</v>
      </c>
      <c r="B276" t="str">
        <f t="shared" si="6"/>
        <v>ı</v>
      </c>
      <c r="C276">
        <f t="shared" si="7"/>
        <v>245</v>
      </c>
    </row>
    <row r="277" spans="1:3" x14ac:dyDescent="0.2">
      <c r="A277">
        <v>246</v>
      </c>
      <c r="B277" t="str">
        <f t="shared" si="6"/>
        <v>ˆ</v>
      </c>
      <c r="C277">
        <f t="shared" si="7"/>
        <v>246</v>
      </c>
    </row>
    <row r="278" spans="1:3" x14ac:dyDescent="0.2">
      <c r="A278">
        <v>247</v>
      </c>
      <c r="B278" t="str">
        <f t="shared" si="6"/>
        <v>˜</v>
      </c>
      <c r="C278">
        <f t="shared" si="7"/>
        <v>247</v>
      </c>
    </row>
    <row r="279" spans="1:3" x14ac:dyDescent="0.2">
      <c r="A279">
        <v>248</v>
      </c>
      <c r="B279" t="str">
        <f t="shared" si="6"/>
        <v>¯</v>
      </c>
      <c r="C279">
        <f t="shared" si="7"/>
        <v>248</v>
      </c>
    </row>
    <row r="280" spans="1:3" x14ac:dyDescent="0.2">
      <c r="A280">
        <v>249</v>
      </c>
      <c r="B280" t="str">
        <f t="shared" si="6"/>
        <v>˘</v>
      </c>
      <c r="C280">
        <f t="shared" si="7"/>
        <v>249</v>
      </c>
    </row>
    <row r="281" spans="1:3" x14ac:dyDescent="0.2">
      <c r="A281">
        <v>250</v>
      </c>
      <c r="B281" t="str">
        <f t="shared" si="6"/>
        <v>˙</v>
      </c>
      <c r="C281">
        <f t="shared" si="7"/>
        <v>250</v>
      </c>
    </row>
    <row r="282" spans="1:3" x14ac:dyDescent="0.2">
      <c r="A282">
        <v>251</v>
      </c>
      <c r="B282" t="str">
        <f t="shared" si="6"/>
        <v>˚</v>
      </c>
      <c r="C282">
        <f t="shared" si="7"/>
        <v>251</v>
      </c>
    </row>
    <row r="283" spans="1:3" x14ac:dyDescent="0.2">
      <c r="A283">
        <v>252</v>
      </c>
      <c r="B283" t="str">
        <f t="shared" si="6"/>
        <v>¸</v>
      </c>
      <c r="C283">
        <f t="shared" si="7"/>
        <v>252</v>
      </c>
    </row>
    <row r="284" spans="1:3" x14ac:dyDescent="0.2">
      <c r="A284">
        <v>253</v>
      </c>
      <c r="B284" t="str">
        <f t="shared" si="6"/>
        <v>˝</v>
      </c>
      <c r="C284">
        <f t="shared" si="7"/>
        <v>253</v>
      </c>
    </row>
    <row r="285" spans="1:3" x14ac:dyDescent="0.2">
      <c r="A285">
        <v>254</v>
      </c>
      <c r="B285" t="str">
        <f t="shared" si="6"/>
        <v>˛</v>
      </c>
      <c r="C285">
        <f t="shared" si="7"/>
        <v>254</v>
      </c>
    </row>
    <row r="286" spans="1:3" x14ac:dyDescent="0.2">
      <c r="A286">
        <v>255</v>
      </c>
      <c r="B286" t="str">
        <f t="shared" si="6"/>
        <v>ˇ</v>
      </c>
      <c r="C286">
        <f t="shared" si="7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dimension ref="A1:C3"/>
  <sheetViews>
    <sheetView workbookViewId="0">
      <selection activeCell="C4" sqref="A4:C4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topLeftCell="V18" zoomScale="190" zoomScaleNormal="190" workbookViewId="0">
      <selection activeCell="AF32" sqref="AF32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5.6640625" style="4" bestFit="1" customWidth="1"/>
    <col min="19" max="19" width="4.83203125" style="4" bestFit="1" customWidth="1"/>
    <col min="20" max="20" width="5.1640625" style="4" bestFit="1" customWidth="1"/>
    <col min="21" max="21" width="4.83203125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4.83203125" style="4" bestFit="1" customWidth="1"/>
    <col min="34" max="34" width="5" style="4" bestFit="1" customWidth="1"/>
    <col min="35" max="35" width="3.83203125" style="4" bestFit="1" customWidth="1"/>
    <col min="36" max="36" width="3.5" style="4" bestFit="1" customWidth="1"/>
    <col min="37" max="37" width="5" style="4" bestFit="1" customWidth="1"/>
    <col min="38" max="38" width="4.83203125" style="4" bestFit="1" customWidth="1"/>
    <col min="39" max="39" width="6.1640625" style="4" bestFit="1" customWidth="1"/>
    <col min="40" max="48" width="6" style="4" bestFit="1" customWidth="1"/>
    <col min="49" max="16384" width="10.83203125" style="4"/>
  </cols>
  <sheetData>
    <row r="1" spans="1:62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62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62" x14ac:dyDescent="0.15">
      <c r="A3" s="12" t="s">
        <v>463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464</v>
      </c>
      <c r="I4" s="6"/>
    </row>
    <row r="5" spans="1:62" x14ac:dyDescent="0.15">
      <c r="A5" s="12" t="s">
        <v>465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466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467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468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str">
        <f t="array" ref="AF9">CONCATENATE(B9:I9)</f>
        <v>0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469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470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471</v>
      </c>
      <c r="I12" s="6"/>
    </row>
    <row r="13" spans="1:62" x14ac:dyDescent="0.15">
      <c r="A13" s="12" t="s">
        <v>472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473</v>
      </c>
    </row>
    <row r="15" spans="1:62" x14ac:dyDescent="0.15">
      <c r="A15" s="12" t="s">
        <v>474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 t="shared" ref="Y16:AE16" si="1">FLOOR(2.3,J16)</f>
        <v>#VALUE!</v>
      </c>
      <c r="Z16" s="6" t="e">
        <f t="shared" si="1"/>
        <v>#N/A</v>
      </c>
      <c r="AA16" s="6" t="e">
        <f t="shared" si="1"/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12" t="s">
        <v>133</v>
      </c>
    </row>
    <row r="18" spans="1:48" x14ac:dyDescent="0.15">
      <c r="A18" s="12" t="s">
        <v>475</v>
      </c>
    </row>
    <row r="19" spans="1:48" x14ac:dyDescent="0.15">
      <c r="A19" s="12" t="s">
        <v>476</v>
      </c>
    </row>
    <row r="20" spans="1:48" x14ac:dyDescent="0.15">
      <c r="A20" s="12" t="s">
        <v>477</v>
      </c>
    </row>
    <row r="21" spans="1:48" x14ac:dyDescent="0.15">
      <c r="A21" s="12" t="s">
        <v>478</v>
      </c>
    </row>
    <row r="22" spans="1:48" x14ac:dyDescent="0.15">
      <c r="A22" s="12" t="s">
        <v>479</v>
      </c>
    </row>
    <row r="23" spans="1:48" x14ac:dyDescent="0.15">
      <c r="A23" s="4" t="s">
        <v>480</v>
      </c>
    </row>
    <row r="24" spans="1:48" x14ac:dyDescent="0.15">
      <c r="A24" s="4" t="s">
        <v>481</v>
      </c>
    </row>
    <row r="25" spans="1:48" x14ac:dyDescent="0.15">
      <c r="A25" s="4" t="s">
        <v>482</v>
      </c>
    </row>
    <row r="26" spans="1:48" x14ac:dyDescent="0.15">
      <c r="A26" s="7" t="s">
        <v>483</v>
      </c>
      <c r="B26" s="4">
        <v>0</v>
      </c>
      <c r="C26" s="4">
        <v>-0.1</v>
      </c>
      <c r="D26" s="4">
        <v>0.7</v>
      </c>
      <c r="E26" s="4">
        <v>3</v>
      </c>
      <c r="F26" s="4">
        <v>4</v>
      </c>
      <c r="G26" s="6"/>
      <c r="H26" s="20" t="s">
        <v>458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>NORMDIST(B26,,,)</f>
        <v>#NUM!</v>
      </c>
      <c r="R26" s="6">
        <f>NORMDIST(C26,1,2,FALSE)</f>
        <v>0.17147192750969195</v>
      </c>
      <c r="S26" s="6">
        <f>NORMDIST(D26,"1","3",5)</f>
        <v>0.46017216272297101</v>
      </c>
      <c r="T26" s="6">
        <f>NORMDIST(E26,-1,2,"TRUE")</f>
        <v>0.97724986805182079</v>
      </c>
      <c r="U26" s="6" t="e">
        <f>NORMDIST(F26, 0,0,1)</f>
        <v>#NUM!</v>
      </c>
      <c r="V26" s="6">
        <f>NORMDIST(G26,G26,F26,1)</f>
        <v>0.5</v>
      </c>
      <c r="W26" s="6">
        <f>NORMDIST(H26,,H26,1)</f>
        <v>0.84134474606854304</v>
      </c>
      <c r="X26" s="6">
        <f>NORMDIST(I26,H26,D26,1)</f>
        <v>0</v>
      </c>
      <c r="Y26" s="6" t="e">
        <f>NORMDIST(J26,H26,F26,1)</f>
        <v>#VALUE!</v>
      </c>
      <c r="Z26" s="6" t="e">
        <f t="shared" ref="Z26:AE26" si="2">NORMDIST(K26,I26,G26,1)</f>
        <v>#N/A</v>
      </c>
      <c r="AA26" s="6" t="e">
        <f t="shared" si="2"/>
        <v>#DIV/0!</v>
      </c>
      <c r="AB26" s="6" t="e">
        <f t="shared" si="2"/>
        <v>#NAME?</v>
      </c>
      <c r="AC26" s="6" t="e">
        <f t="shared" si="2"/>
        <v>#NULL!</v>
      </c>
      <c r="AD26" s="6" t="e">
        <f t="shared" si="2"/>
        <v>#NUM!</v>
      </c>
      <c r="AE26" s="6" t="e">
        <f t="shared" si="2"/>
        <v>#REF!</v>
      </c>
      <c r="AF26" s="6">
        <f t="array" ref="AF26">NORMDIST(B26:P26,3,3,1)</f>
        <v>0.15865525393145699</v>
      </c>
      <c r="AG26" s="6">
        <f t="array" ref="AG26:AV26">NORMDIST(B26:P26,B26:P26,4,1)</f>
        <v>0.5</v>
      </c>
      <c r="AH26" s="6"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484</v>
      </c>
      <c r="B27" s="4">
        <v>0</v>
      </c>
      <c r="C27" s="4">
        <v>-0.1</v>
      </c>
      <c r="D27" s="4">
        <v>0.7</v>
      </c>
      <c r="E27" s="4">
        <v>2E-3</v>
      </c>
      <c r="F27" s="4">
        <v>4</v>
      </c>
      <c r="G27" s="6"/>
      <c r="H27" s="20" t="s">
        <v>458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 t="e">
        <f>NORMINV(B27,4,4)</f>
        <v>#NUM!</v>
      </c>
      <c r="R27" s="6" t="e">
        <f>NORMINV(C27,2,2)</f>
        <v>#NUM!</v>
      </c>
      <c r="S27" s="6">
        <f>NORMINV(0.4,2,D27)</f>
        <v>1.8226570278049401</v>
      </c>
      <c r="T27" s="6">
        <f>NORMINV(E27,4,3)</f>
        <v>-4.6344852172864481</v>
      </c>
      <c r="U27" s="6" t="e">
        <f>NORMINV(F27,C27,D27)</f>
        <v>#NUM!</v>
      </c>
      <c r="V27" s="6" t="e">
        <f>NORMINV(G27,3,2)</f>
        <v>#NUM!</v>
      </c>
      <c r="W27" s="6">
        <f>NORMINV(0.3,H27,2)</f>
        <v>58.951198974583917</v>
      </c>
      <c r="X27" s="6">
        <f>NORMINV(0.3,I27,2)</f>
        <v>-4.8801025416081778E-2</v>
      </c>
      <c r="Y27" s="6" t="e">
        <f>NORMINV(J27,B27,D27)</f>
        <v>#VALUE!</v>
      </c>
      <c r="Z27" s="6" t="e">
        <f t="shared" ref="Z27:AE27" si="3">NORMINV(K27,C27,E27)</f>
        <v>#N/A</v>
      </c>
      <c r="AA27" s="6" t="e">
        <f t="shared" si="3"/>
        <v>#DIV/0!</v>
      </c>
      <c r="AB27" s="6" t="e">
        <f t="shared" si="3"/>
        <v>#NAME?</v>
      </c>
      <c r="AC27" s="6" t="e">
        <f t="shared" si="3"/>
        <v>#NULL!</v>
      </c>
      <c r="AD27" s="6" t="e">
        <f t="shared" si="3"/>
        <v>#NUM!</v>
      </c>
      <c r="AE27" s="6" t="e">
        <f t="shared" si="3"/>
        <v>#REF!</v>
      </c>
      <c r="AF27" s="6" t="e">
        <f t="array" ref="AF27">NORMINV(B27:P27,3,3)</f>
        <v>#NUM!</v>
      </c>
      <c r="AG27" s="6" t="e">
        <f t="array" ref="AG27:AV27">NORMINV(B27:P27, 3,2)</f>
        <v>#NUM!</v>
      </c>
      <c r="AH27" s="6" t="e">
        <v>#NUM!</v>
      </c>
      <c r="AI27" s="6">
        <v>4.0488010254160818</v>
      </c>
      <c r="AJ27" s="6">
        <v>-2.7563234781909651</v>
      </c>
      <c r="AK27" s="6" t="e">
        <v>#NUM!</v>
      </c>
      <c r="AL27" s="6" t="e">
        <v>#NUM!</v>
      </c>
      <c r="AM27" s="6" t="e">
        <v>#NUM!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485</v>
      </c>
      <c r="B28" s="4">
        <v>0</v>
      </c>
      <c r="C28" s="4">
        <v>-0.1</v>
      </c>
      <c r="D28" s="4">
        <v>0.7</v>
      </c>
      <c r="E28" s="4">
        <v>3</v>
      </c>
      <c r="F28" s="4">
        <v>4</v>
      </c>
      <c r="G28" s="6"/>
      <c r="H28" s="20" t="s">
        <v>458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Y28" si="4">NORMSDIST(B28)</f>
        <v>0.5</v>
      </c>
      <c r="R28" s="6">
        <f t="shared" si="4"/>
        <v>0.46017216272297101</v>
      </c>
      <c r="S28" s="6">
        <f t="shared" si="4"/>
        <v>0.75803634777692697</v>
      </c>
      <c r="T28" s="6">
        <f t="shared" si="4"/>
        <v>0.9986501019683699</v>
      </c>
      <c r="U28" s="6">
        <f t="shared" si="4"/>
        <v>0.99996832875816688</v>
      </c>
      <c r="V28" s="6">
        <f t="shared" si="4"/>
        <v>0.5</v>
      </c>
      <c r="W28" s="6">
        <f t="shared" si="4"/>
        <v>1</v>
      </c>
      <c r="X28" s="6">
        <f t="shared" si="4"/>
        <v>0.84134474606854304</v>
      </c>
      <c r="Y28" s="6" t="e">
        <f t="shared" si="4"/>
        <v>#VALUE!</v>
      </c>
      <c r="Z28" s="6" t="e">
        <f t="shared" ref="Z28:AE28" si="5">NORMSDIST(K28)</f>
        <v>#N/A</v>
      </c>
      <c r="AA28" s="6" t="e">
        <f t="shared" si="5"/>
        <v>#DIV/0!</v>
      </c>
      <c r="AB28" s="6" t="e">
        <f t="shared" si="5"/>
        <v>#NAME?</v>
      </c>
      <c r="AC28" s="6" t="e">
        <f t="shared" si="5"/>
        <v>#NULL!</v>
      </c>
      <c r="AD28" s="6" t="e">
        <f t="shared" si="5"/>
        <v>#NUM!</v>
      </c>
      <c r="AE28" s="6" t="e">
        <f t="shared" si="5"/>
        <v>#REF!</v>
      </c>
      <c r="AF28" s="6">
        <f t="array" ref="AF28">NORMSDIST(B28:P28)</f>
        <v>0.5</v>
      </c>
      <c r="AG28" s="6">
        <f t="array" ref="AG28:AV28">NORMSDIST(B28:P28)</f>
        <v>0.5</v>
      </c>
      <c r="AH28" s="6">
        <v>0.46017216272297101</v>
      </c>
      <c r="AI28" s="6">
        <v>0.75803634777692697</v>
      </c>
      <c r="AJ28" s="6">
        <v>0.9986501019683699</v>
      </c>
      <c r="AK28" s="6">
        <v>0.99996832875816688</v>
      </c>
      <c r="AL28" s="6">
        <v>0.5</v>
      </c>
      <c r="AM28" s="6">
        <v>1</v>
      </c>
      <c r="AN28" s="6">
        <v>0.84134474606854304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486</v>
      </c>
      <c r="B29" s="4">
        <v>0</v>
      </c>
      <c r="C29" s="4">
        <v>-0.1</v>
      </c>
      <c r="D29" s="4">
        <v>0.7</v>
      </c>
      <c r="E29" s="4">
        <v>2E-3</v>
      </c>
      <c r="F29" s="4">
        <v>4</v>
      </c>
      <c r="G29" s="6"/>
      <c r="H29" s="20" t="s">
        <v>458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 t="e">
        <f t="shared" ref="Q29:Y29" si="6">NORMSINV(B29)</f>
        <v>#NUM!</v>
      </c>
      <c r="R29" s="6" t="e">
        <f t="shared" si="6"/>
        <v>#NUM!</v>
      </c>
      <c r="S29" s="6">
        <f t="shared" si="6"/>
        <v>0.52440051270804078</v>
      </c>
      <c r="T29" s="6">
        <f t="shared" si="6"/>
        <v>-2.8781617390954826</v>
      </c>
      <c r="U29" s="6" t="e">
        <f t="shared" si="6"/>
        <v>#NUM!</v>
      </c>
      <c r="V29" s="6" t="e">
        <f t="shared" si="6"/>
        <v>#NUM!</v>
      </c>
      <c r="W29" s="6" t="e">
        <f t="shared" si="6"/>
        <v>#NUM!</v>
      </c>
      <c r="X29" s="6" t="e">
        <f t="shared" si="6"/>
        <v>#NUM!</v>
      </c>
      <c r="Y29" s="6" t="e">
        <f t="shared" si="6"/>
        <v>#VALUE!</v>
      </c>
      <c r="Z29" s="6" t="e">
        <f t="shared" ref="Z29:AE29" si="7">NORMSINV(K29)</f>
        <v>#N/A</v>
      </c>
      <c r="AA29" s="6" t="e">
        <f t="shared" si="7"/>
        <v>#DIV/0!</v>
      </c>
      <c r="AB29" s="6" t="e">
        <f t="shared" si="7"/>
        <v>#NAME?</v>
      </c>
      <c r="AC29" s="6" t="e">
        <f t="shared" si="7"/>
        <v>#NULL!</v>
      </c>
      <c r="AD29" s="6" t="e">
        <f t="shared" si="7"/>
        <v>#NUM!</v>
      </c>
      <c r="AE29" s="6" t="e">
        <f t="shared" si="7"/>
        <v>#REF!</v>
      </c>
      <c r="AF29" s="6" t="e">
        <f t="array" ref="AF29">NORMSINV(B29:P29)</f>
        <v>#NUM!</v>
      </c>
      <c r="AG29" s="6" t="e">
        <f t="array" ref="AG29:AV29">NORMSINV(B29:P29)</f>
        <v>#NUM!</v>
      </c>
      <c r="AH29" s="6" t="e">
        <v>#NUM!</v>
      </c>
      <c r="AI29" s="6">
        <v>0.52440051270804078</v>
      </c>
      <c r="AJ29" s="6">
        <v>-2.8781617390954826</v>
      </c>
      <c r="AK29" s="6" t="e">
        <v>#NUM!</v>
      </c>
      <c r="AL29" s="6" t="e">
        <v>#NUM!</v>
      </c>
      <c r="AM29" s="6" t="e">
        <v>#NUM!</v>
      </c>
      <c r="AN29" s="6" t="e">
        <v>#NUM!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487</v>
      </c>
      <c r="B30" s="4">
        <v>0</v>
      </c>
      <c r="C30" s="4">
        <v>-10</v>
      </c>
      <c r="D30" s="4">
        <v>0.9</v>
      </c>
      <c r="E30" s="4">
        <v>0.1</v>
      </c>
      <c r="F30" s="4">
        <v>-0.1</v>
      </c>
      <c r="G30" s="6"/>
      <c r="H30" s="20" t="s">
        <v>462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>PERCENTILE(B30:C30,".2")</f>
        <v>-8</v>
      </c>
      <c r="R30" s="6">
        <f>PERCENTILE(B30:G30,D30)</f>
        <v>0.57999999999999974</v>
      </c>
      <c r="S30" s="6">
        <f>PERCENTILE(D30:E30,E30)</f>
        <v>0.18000000000000008</v>
      </c>
      <c r="T30" s="6" t="e">
        <f>PERCENTILE(E30:F30,F30)</f>
        <v>#NUM!</v>
      </c>
      <c r="U30" s="6">
        <f>PERCENTILE(F30:G30,G30)</f>
        <v>-0.1</v>
      </c>
      <c r="V30" s="6">
        <f>PERCENTILE(C30:D30,H30)</f>
        <v>0.9</v>
      </c>
      <c r="W30" s="6">
        <f>PERCENTILE(D30:H30,I30)</f>
        <v>0.9</v>
      </c>
      <c r="X30" s="6" t="e">
        <f>PERCENTILE(H30:I30,J30)</f>
        <v>#VALUE!</v>
      </c>
      <c r="Y30" s="6" t="e">
        <f>PERCENTILE(J30:K30,K30)</f>
        <v>#N/A</v>
      </c>
      <c r="Z30" s="6" t="e">
        <f t="shared" ref="Z30:AE30" si="8">PERCENTILE(K30:L30,L30)</f>
        <v>#DIV/0!</v>
      </c>
      <c r="AA30" s="6" t="e">
        <f t="shared" si="8"/>
        <v>#NAME?</v>
      </c>
      <c r="AB30" s="6" t="e">
        <f t="shared" si="8"/>
        <v>#NULL!</v>
      </c>
      <c r="AC30" s="6" t="e">
        <f t="shared" si="8"/>
        <v>#NUM!</v>
      </c>
      <c r="AD30" s="6" t="e">
        <f t="shared" si="8"/>
        <v>#REF!</v>
      </c>
      <c r="AE30" s="6" t="e">
        <f t="shared" si="8"/>
        <v>#REF!</v>
      </c>
      <c r="AF30" s="6">
        <f t="array" ref="AF30">PERCENTILE(B30:F30,0.03)</f>
        <v>-8.8119999999999994</v>
      </c>
      <c r="AG30" s="6">
        <f t="array" ref="AG30:AV30">PERCENTILE(B30:I30,B30:P30)</f>
        <v>-10</v>
      </c>
      <c r="AH30" s="6" t="e">
        <v>#NUM!</v>
      </c>
      <c r="AI30" s="6">
        <v>0.57999999999999974</v>
      </c>
      <c r="AJ30" s="6">
        <v>-6.0400000000000009</v>
      </c>
      <c r="AK30" s="6" t="e">
        <v>#NUM!</v>
      </c>
      <c r="AL30" s="6">
        <v>-10</v>
      </c>
      <c r="AM30" s="6">
        <v>0.9</v>
      </c>
      <c r="AN30" s="6">
        <v>0.9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4" t="s">
        <v>488</v>
      </c>
    </row>
    <row r="32" spans="1:48" x14ac:dyDescent="0.15">
      <c r="A32" s="4" t="s">
        <v>489</v>
      </c>
    </row>
    <row r="33" spans="1:48" x14ac:dyDescent="0.15">
      <c r="A33" s="7" t="s">
        <v>490</v>
      </c>
      <c r="B33" s="4">
        <v>0</v>
      </c>
      <c r="C33" s="4">
        <v>-10</v>
      </c>
      <c r="D33" s="4">
        <v>0.9</v>
      </c>
      <c r="E33" s="4">
        <v>2.2000000000000002</v>
      </c>
      <c r="F33" s="4">
        <v>-0.1</v>
      </c>
      <c r="G33" s="6"/>
      <c r="H33" s="20" t="s">
        <v>462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QUARTILE(B33:C33,"2")</f>
        <v>-5</v>
      </c>
      <c r="R33" s="6">
        <f>QUARTILE(B33:G33,D33)</f>
        <v>-10</v>
      </c>
      <c r="S33" s="6">
        <f>QUARTILE(D33:E33,E33)</f>
        <v>1.5500000000000003</v>
      </c>
      <c r="T33" s="6" t="e">
        <f>QUARTILE(E33:F33,F33)</f>
        <v>#NUM!</v>
      </c>
      <c r="U33" s="6">
        <f>QUARTILE(F33:G33,G33)</f>
        <v>-0.1</v>
      </c>
      <c r="V33" s="6">
        <f>QUARTILE(C33:D33,H33)</f>
        <v>-7.2750000000000004</v>
      </c>
      <c r="W33" s="6">
        <f>QUARTILE(D33:H33,I33)</f>
        <v>0.4</v>
      </c>
      <c r="X33" s="6" t="e">
        <f>QUARTILE(H33:I33,J33)</f>
        <v>#VALUE!</v>
      </c>
      <c r="Y33" s="6" t="e">
        <f>QUARTILE(J33:K33,K33)</f>
        <v>#N/A</v>
      </c>
      <c r="Z33" s="6" t="e">
        <f>QUARTILE(K33:L33,H33)</f>
        <v>#N/A</v>
      </c>
      <c r="AA33" s="6" t="e">
        <f>QUARTILE(L33:M33,M33)</f>
        <v>#NAME?</v>
      </c>
      <c r="AB33" s="6" t="e">
        <f>QUARTILE(M33:N33,N33)</f>
        <v>#NULL!</v>
      </c>
      <c r="AC33" s="6" t="e">
        <f>QUARTILE(N33:O33,O33)</f>
        <v>#NUM!</v>
      </c>
      <c r="AD33" s="6" t="e">
        <f>QUARTILE(O33:P33,P33)</f>
        <v>#REF!</v>
      </c>
      <c r="AE33" s="6" t="e">
        <f>QUARTILE(P33:Q33,Q33)</f>
        <v>#REF!</v>
      </c>
      <c r="AF33" s="6">
        <f>QUARTILE(B33:F33,H33)</f>
        <v>-0.1</v>
      </c>
      <c r="AG33" s="6">
        <f t="array" ref="AG33:AV33">QUARTILE(B33:I33,B33:P33)</f>
        <v>-10</v>
      </c>
      <c r="AH33" s="6" t="e">
        <v>#NUM!</v>
      </c>
      <c r="AI33" s="6">
        <v>-10</v>
      </c>
      <c r="AJ33" s="6">
        <v>0</v>
      </c>
      <c r="AK33" s="6" t="e">
        <v>#NUM!</v>
      </c>
      <c r="AL33" s="6">
        <v>-10</v>
      </c>
      <c r="AM33" s="6">
        <v>-0.1</v>
      </c>
      <c r="AN33" s="6">
        <v>-0.1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4" t="e">
        <v>#N/A</v>
      </c>
    </row>
    <row r="34" spans="1:48" x14ac:dyDescent="0.15">
      <c r="A34" s="4" t="s">
        <v>491</v>
      </c>
    </row>
    <row r="35" spans="1:48" x14ac:dyDescent="0.15">
      <c r="A35" s="7" t="s">
        <v>492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 t="shared" ref="Y35:AE35" si="9">STDEV(J35:K35)</f>
        <v>#VALUE!</v>
      </c>
      <c r="Z35" s="6" t="e">
        <f t="shared" si="9"/>
        <v>#N/A</v>
      </c>
      <c r="AA35" s="6" t="e">
        <f t="shared" si="9"/>
        <v>#DIV/0!</v>
      </c>
      <c r="AB35" s="6" t="e">
        <f t="shared" si="9"/>
        <v>#NAME?</v>
      </c>
      <c r="AC35" s="6" t="e">
        <f t="shared" si="9"/>
        <v>#NULL!</v>
      </c>
      <c r="AD35" s="6" t="e">
        <f t="shared" si="9"/>
        <v>#NUM!</v>
      </c>
      <c r="AE35" s="6" t="e">
        <f t="shared" si="9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493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494</v>
      </c>
    </row>
    <row r="38" spans="1:48" x14ac:dyDescent="0.15">
      <c r="A38" s="4" t="s">
        <v>495</v>
      </c>
    </row>
    <row r="39" spans="1:48" x14ac:dyDescent="0.15">
      <c r="A39" s="4" t="s">
        <v>496</v>
      </c>
    </row>
    <row r="40" spans="1:48" x14ac:dyDescent="0.15">
      <c r="A40" s="7" t="s">
        <v>497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10">VAR(K40:L40)</f>
        <v>#N/A</v>
      </c>
      <c r="AA40" s="6" t="e">
        <f t="shared" si="10"/>
        <v>#DIV/0!</v>
      </c>
      <c r="AB40" s="6" t="e">
        <f t="shared" si="10"/>
        <v>#NAME?</v>
      </c>
      <c r="AC40" s="6" t="e">
        <f t="shared" si="10"/>
        <v>#NULL!</v>
      </c>
      <c r="AD40" s="6" t="e">
        <f t="shared" si="10"/>
        <v>#NUM!</v>
      </c>
      <c r="AE40" s="6" t="e">
        <f t="shared" si="10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498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11">VARP(K41:L41)</f>
        <v>#N/A</v>
      </c>
      <c r="AA41" s="6" t="e">
        <f t="shared" si="11"/>
        <v>#DIV/0!</v>
      </c>
      <c r="AB41" s="6" t="e">
        <f t="shared" si="11"/>
        <v>#NAME?</v>
      </c>
      <c r="AC41" s="6" t="e">
        <f t="shared" si="11"/>
        <v>#NULL!</v>
      </c>
      <c r="AD41" s="6" t="e">
        <f t="shared" si="11"/>
        <v>#NUM!</v>
      </c>
      <c r="AE41" s="6" t="e">
        <f t="shared" si="11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499</v>
      </c>
    </row>
    <row r="43" spans="1:48" x14ac:dyDescent="0.15">
      <c r="A43" s="4" t="s">
        <v>500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topLeftCell="P1" zoomScale="190" zoomScaleNormal="190" workbookViewId="0">
      <selection activeCell="AD19" sqref="AD19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41" t="s">
        <v>354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>
        <f t="array" ref="AF3">B3:F3+C3</f>
        <v>1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>
        <f t="array" ref="AF4">B4:F4-C4</f>
        <v>-1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>
        <f t="array" ref="AF5">-B5:F5</f>
        <v>0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>
        <f t="array" ref="AF6">+B6:F6</f>
        <v>0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>
        <f t="array" ref="AF7">B7:F7*C7</f>
        <v>0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>
        <f t="array" ref="AF8">B8:F8/C8</f>
        <v>0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>
        <f t="array" ref="AF9">B9:F9^C9</f>
        <v>0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b">
        <f t="array" ref="AF10">B10:F10&lt;C10</f>
        <v>1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b">
        <f t="array" ref="AF11">B11:F11&lt;=C11</f>
        <v>1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b">
        <f t="array" ref="AF12">B12:F12&gt;C12</f>
        <v>0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b">
        <f t="array" ref="AF13">B13:F13&gt;=C13</f>
        <v>0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b">
        <f t="array" ref="AF14">B14:F14=C14</f>
        <v>0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b">
        <f t="array" ref="AF15">B15:F15&lt;&gt;C15</f>
        <v>1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str">
        <f t="array" ref="AF16">B16:F16&amp;C16</f>
        <v>01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>
        <f t="array" ref="AF17">B17:F17%</f>
        <v>0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topLeftCell="L22" zoomScale="190" zoomScaleNormal="190" workbookViewId="0">
      <selection activeCell="AF27" sqref="AF27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1" t="s">
        <v>26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34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62" x14ac:dyDescent="0.15">
      <c r="A2" s="41"/>
      <c r="B2" s="41" t="s">
        <v>27</v>
      </c>
      <c r="C2" s="41"/>
      <c r="D2" s="41"/>
      <c r="E2" s="41"/>
      <c r="F2" s="41"/>
      <c r="G2" s="14" t="s">
        <v>38</v>
      </c>
      <c r="H2" s="14" t="s">
        <v>28</v>
      </c>
      <c r="I2" s="14" t="s">
        <v>94</v>
      </c>
      <c r="J2" s="41" t="s">
        <v>29</v>
      </c>
      <c r="K2" s="41"/>
      <c r="L2" s="41"/>
      <c r="M2" s="41"/>
      <c r="N2" s="41"/>
      <c r="O2" s="41"/>
      <c r="P2" s="41"/>
      <c r="Q2" s="41" t="s">
        <v>27</v>
      </c>
      <c r="R2" s="41"/>
      <c r="S2" s="41"/>
      <c r="T2" s="41"/>
      <c r="U2" s="41"/>
      <c r="V2" s="14" t="s">
        <v>38</v>
      </c>
      <c r="W2" s="14" t="s">
        <v>28</v>
      </c>
      <c r="X2" s="14" t="s">
        <v>94</v>
      </c>
      <c r="Y2" s="41" t="s">
        <v>29</v>
      </c>
      <c r="Z2" s="41"/>
      <c r="AA2" s="41"/>
      <c r="AB2" s="41"/>
      <c r="AC2" s="41"/>
      <c r="AD2" s="41"/>
      <c r="AE2" s="41"/>
      <c r="AF2" s="14" t="s">
        <v>30</v>
      </c>
      <c r="AG2" s="41" t="s">
        <v>31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>C18+1</f>
        <v>549755813888.69995</v>
      </c>
      <c r="C18" s="4">
        <v>549755813887.70001</v>
      </c>
      <c r="D18" s="4">
        <v>100</v>
      </c>
      <c r="E18" s="4">
        <f>-C18-1</f>
        <v>-549755813888.69995</v>
      </c>
      <c r="F18" s="4">
        <f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4">DEC2HEX(C18)</f>
        <v>7FFFFFFFFF</v>
      </c>
      <c r="S18" s="6" t="e">
        <f>DEC2HEX(D18,1)</f>
        <v>#NUM!</v>
      </c>
      <c r="T18" s="6" t="str">
        <f t="shared" si="4"/>
        <v>8000000000</v>
      </c>
      <c r="U18" s="6" t="e">
        <f>DEC2HEX(F18)</f>
        <v>#NUM!</v>
      </c>
      <c r="V18" s="6" t="str">
        <f>DEC2HEX(G18,1)</f>
        <v>0</v>
      </c>
      <c r="W18" s="6" t="e">
        <f t="shared" si="4"/>
        <v>#VALUE!</v>
      </c>
      <c r="X18" s="6" t="e">
        <f t="shared" si="4"/>
        <v>#VALUE!</v>
      </c>
      <c r="Y18" s="6" t="e">
        <f t="shared" si="4"/>
        <v>#VALUE!</v>
      </c>
      <c r="Z18" s="6" t="e">
        <f t="shared" si="4"/>
        <v>#N/A</v>
      </c>
      <c r="AA18" s="6" t="e">
        <f t="shared" si="4"/>
        <v>#DIV/0!</v>
      </c>
      <c r="AB18" s="6" t="e">
        <f t="shared" si="4"/>
        <v>#NAME?</v>
      </c>
      <c r="AC18" s="6" t="e">
        <f t="shared" si="4"/>
        <v>#NULL!</v>
      </c>
      <c r="AD18" s="6" t="e">
        <f t="shared" si="4"/>
        <v>#NUM!</v>
      </c>
      <c r="AE18" s="6" t="e">
        <f t="shared" si="4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>C19+1</f>
        <v>536870912.70000005</v>
      </c>
      <c r="C19" s="4">
        <v>536870911.69999999</v>
      </c>
      <c r="D19" s="4">
        <v>100</v>
      </c>
      <c r="E19" s="4">
        <f>-C19-1</f>
        <v>-536870912.70000005</v>
      </c>
      <c r="F19" s="4">
        <f>E19-1</f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5">DEC2OCT(C19)</f>
        <v>3777777777</v>
      </c>
      <c r="S19" s="6" t="e">
        <f>DEC2OCT(D19,1)</f>
        <v>#NUM!</v>
      </c>
      <c r="T19" s="6" t="str">
        <f t="shared" si="5"/>
        <v>4000000000</v>
      </c>
      <c r="U19" s="6" t="e">
        <f t="shared" si="5"/>
        <v>#NUM!</v>
      </c>
      <c r="V19" s="6" t="e">
        <f>DEC2OCT(G19,0)</f>
        <v>#NUM!</v>
      </c>
      <c r="W19" s="6" t="e">
        <f t="shared" si="5"/>
        <v>#VALUE!</v>
      </c>
      <c r="X19" s="6" t="e">
        <f t="shared" si="5"/>
        <v>#VALUE!</v>
      </c>
      <c r="Y19" s="6" t="e">
        <f t="shared" si="5"/>
        <v>#VALUE!</v>
      </c>
      <c r="Z19" s="6" t="e">
        <f t="shared" si="5"/>
        <v>#N/A</v>
      </c>
      <c r="AA19" s="6" t="e">
        <f t="shared" si="5"/>
        <v>#DIV/0!</v>
      </c>
      <c r="AB19" s="6" t="e">
        <f t="shared" si="5"/>
        <v>#NAME?</v>
      </c>
      <c r="AC19" s="6" t="e">
        <f t="shared" si="5"/>
        <v>#NULL!</v>
      </c>
      <c r="AD19" s="6" t="e">
        <f t="shared" si="5"/>
        <v>#NUM!</v>
      </c>
      <c r="AE19" s="6" t="e">
        <f t="shared" si="5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6">HEX2BIN(E26)</f>
        <v>#NUM!</v>
      </c>
      <c r="U26" s="6" t="e">
        <f t="shared" si="6"/>
        <v>#NUM!</v>
      </c>
      <c r="V26" s="6" t="str">
        <f t="shared" si="6"/>
        <v>0</v>
      </c>
      <c r="W26" s="6" t="str">
        <f>HEX2BIN(H26)</f>
        <v>1111111110</v>
      </c>
      <c r="X26" s="6" t="e">
        <f t="shared" si="6"/>
        <v>#VALUE!</v>
      </c>
      <c r="Y26" s="6" t="e">
        <f t="shared" si="6"/>
        <v>#VALUE!</v>
      </c>
      <c r="Z26" s="6" t="e">
        <f t="shared" si="6"/>
        <v>#N/A</v>
      </c>
      <c r="AA26" s="6" t="e">
        <f t="shared" si="6"/>
        <v>#DIV/0!</v>
      </c>
      <c r="AB26" s="6" t="e">
        <f t="shared" si="6"/>
        <v>#NAME?</v>
      </c>
      <c r="AC26" s="6" t="e">
        <f t="shared" si="6"/>
        <v>#NULL!</v>
      </c>
      <c r="AD26" s="6" t="e">
        <f t="shared" si="6"/>
        <v>#NUM!</v>
      </c>
      <c r="AE26" s="6" t="e">
        <f t="shared" si="6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7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7"/>
        <v>#VALUE!</v>
      </c>
      <c r="Z27" s="6" t="e">
        <f t="shared" si="7"/>
        <v>#N/A</v>
      </c>
      <c r="AA27" s="6" t="e">
        <f t="shared" si="7"/>
        <v>#DIV/0!</v>
      </c>
      <c r="AB27" s="6" t="e">
        <f t="shared" si="7"/>
        <v>#NAME?</v>
      </c>
      <c r="AC27" s="6" t="e">
        <f t="shared" si="7"/>
        <v>#NULL!</v>
      </c>
      <c r="AD27" s="6" t="e">
        <f t="shared" si="7"/>
        <v>#NUM!</v>
      </c>
      <c r="AE27" s="6" t="e">
        <f t="shared" si="7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8">HEX2OCT(C28)</f>
        <v>#NUM!</v>
      </c>
      <c r="S28" s="6" t="e">
        <f t="shared" si="8"/>
        <v>#NUM!</v>
      </c>
      <c r="T28" s="6" t="e">
        <f t="shared" si="8"/>
        <v>#NUM!</v>
      </c>
      <c r="U28" s="6" t="e">
        <f t="shared" si="8"/>
        <v>#NUM!</v>
      </c>
      <c r="V28" s="6" t="str">
        <f t="shared" si="8"/>
        <v>0</v>
      </c>
      <c r="W28" s="6" t="str">
        <f>HEX2OCT(H28)</f>
        <v>7777777776</v>
      </c>
      <c r="X28" s="6" t="e">
        <f t="shared" si="8"/>
        <v>#VALUE!</v>
      </c>
      <c r="Y28" s="6" t="e">
        <f t="shared" si="8"/>
        <v>#VALUE!</v>
      </c>
      <c r="Z28" s="6" t="e">
        <f t="shared" si="8"/>
        <v>#N/A</v>
      </c>
      <c r="AA28" s="6" t="e">
        <f t="shared" si="8"/>
        <v>#DIV/0!</v>
      </c>
      <c r="AB28" s="6" t="e">
        <f t="shared" si="8"/>
        <v>#NAME?</v>
      </c>
      <c r="AC28" s="6" t="e">
        <f t="shared" si="8"/>
        <v>#NULL!</v>
      </c>
      <c r="AD28" s="6" t="e">
        <f t="shared" si="8"/>
        <v>#NUM!</v>
      </c>
      <c r="AE28" s="6" t="e">
        <f t="shared" si="8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9">OCT2BIN(C54)</f>
        <v>1111111111</v>
      </c>
      <c r="S54" s="6" t="e">
        <f t="shared" si="9"/>
        <v>#NUM!</v>
      </c>
      <c r="T54" s="6" t="e">
        <f t="shared" si="9"/>
        <v>#NUM!</v>
      </c>
      <c r="U54" s="6" t="e">
        <f t="shared" si="9"/>
        <v>#NUM!</v>
      </c>
      <c r="V54" s="6" t="str">
        <f t="shared" si="9"/>
        <v>0</v>
      </c>
      <c r="W54" s="6" t="e">
        <f t="shared" si="9"/>
        <v>#NUM!</v>
      </c>
      <c r="X54" s="6" t="e">
        <f t="shared" si="9"/>
        <v>#VALUE!</v>
      </c>
      <c r="Y54" s="6" t="e">
        <f t="shared" si="9"/>
        <v>#VALUE!</v>
      </c>
      <c r="Z54" s="6" t="e">
        <f t="shared" si="9"/>
        <v>#N/A</v>
      </c>
      <c r="AA54" s="6" t="e">
        <f t="shared" si="9"/>
        <v>#DIV/0!</v>
      </c>
      <c r="AB54" s="6" t="e">
        <f t="shared" si="9"/>
        <v>#NAME?</v>
      </c>
      <c r="AC54" s="6" t="e">
        <f t="shared" si="9"/>
        <v>#NULL!</v>
      </c>
      <c r="AD54" s="6" t="e">
        <f t="shared" si="9"/>
        <v>#NUM!</v>
      </c>
      <c r="AE54" s="6" t="e">
        <f t="shared" si="9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0">OCT2DEC(C55)</f>
        <v>-1</v>
      </c>
      <c r="S55" s="6" t="e">
        <f t="shared" si="10"/>
        <v>#NUM!</v>
      </c>
      <c r="T55" s="6" t="e">
        <f t="shared" si="10"/>
        <v>#NUM!</v>
      </c>
      <c r="U55" s="6" t="e">
        <f t="shared" si="10"/>
        <v>#NUM!</v>
      </c>
      <c r="V55" s="6">
        <f t="shared" si="10"/>
        <v>0</v>
      </c>
      <c r="W55" s="6" t="e">
        <f t="shared" si="10"/>
        <v>#NUM!</v>
      </c>
      <c r="X55" s="6" t="e">
        <f t="shared" si="10"/>
        <v>#VALUE!</v>
      </c>
      <c r="Y55" s="6" t="e">
        <f t="shared" si="10"/>
        <v>#VALUE!</v>
      </c>
      <c r="Z55" s="6" t="e">
        <f t="shared" si="10"/>
        <v>#N/A</v>
      </c>
      <c r="AA55" s="6" t="e">
        <f t="shared" si="10"/>
        <v>#DIV/0!</v>
      </c>
      <c r="AB55" s="6" t="e">
        <f t="shared" si="10"/>
        <v>#NAME?</v>
      </c>
      <c r="AC55" s="6" t="e">
        <f t="shared" si="10"/>
        <v>#NULL!</v>
      </c>
      <c r="AD55" s="6" t="e">
        <f t="shared" si="10"/>
        <v>#NUM!</v>
      </c>
      <c r="AE55" s="6" t="e">
        <f t="shared" si="10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1">OCT2HEX(C56)</f>
        <v>FFFFFFFFFF</v>
      </c>
      <c r="S56" s="6" t="e">
        <f t="shared" si="11"/>
        <v>#NUM!</v>
      </c>
      <c r="T56" s="6" t="e">
        <f t="shared" si="11"/>
        <v>#NUM!</v>
      </c>
      <c r="U56" s="6" t="e">
        <f t="shared" si="11"/>
        <v>#NUM!</v>
      </c>
      <c r="V56" s="6" t="str">
        <f t="shared" si="11"/>
        <v>0</v>
      </c>
      <c r="W56" s="6" t="e">
        <f t="shared" si="11"/>
        <v>#NUM!</v>
      </c>
      <c r="X56" s="6" t="e">
        <f t="shared" si="11"/>
        <v>#VALUE!</v>
      </c>
      <c r="Y56" s="6" t="e">
        <f t="shared" si="11"/>
        <v>#VALUE!</v>
      </c>
      <c r="Z56" s="6" t="e">
        <f t="shared" si="11"/>
        <v>#N/A</v>
      </c>
      <c r="AA56" s="6" t="e">
        <f t="shared" si="11"/>
        <v>#DIV/0!</v>
      </c>
      <c r="AB56" s="6" t="e">
        <f t="shared" si="11"/>
        <v>#NAME?</v>
      </c>
      <c r="AC56" s="6" t="e">
        <f t="shared" si="11"/>
        <v>#NULL!</v>
      </c>
      <c r="AD56" s="6" t="e">
        <f t="shared" si="11"/>
        <v>#NUM!</v>
      </c>
      <c r="AE56" s="6" t="e">
        <f t="shared" si="11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123</vt:lpstr>
      <vt:lpstr>COMPATIBILITY</vt:lpstr>
      <vt:lpstr>REF</vt:lpstr>
      <vt:lpstr>OPERATORS</vt:lpstr>
      <vt:lpstr>ENGINEERING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2025-04-30T22:10:38Z</dcterms:modified>
</cp:coreProperties>
</file>