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7EE3886-EA47-8848-9494-E177D52E11CF}" xr6:coauthVersionLast="47" xr6:coauthVersionMax="47" xr10:uidLastSave="{00000000-0000-0000-0000-000000000000}"/>
  <bookViews>
    <workbookView xWindow="0" yWindow="700" windowWidth="27040" windowHeight="15820" firstSheet="5" activeTab="10" xr2:uid="{F65FE233-714E-834F-8B22-AE36FC3B45C8}"/>
  </bookViews>
  <sheets>
    <sheet name="COVERAGE" sheetId="21" r:id="rId1"/>
    <sheet name="AUTOMATION" sheetId="24" r:id="rId2"/>
    <sheet name="COMPATIBILITY" sheetId="18" r:id="rId3"/>
    <sheet name="CUBE" sheetId="23" r:id="rId4"/>
    <sheet name="DATABASE" sheetId="25" r:id="rId5"/>
    <sheet name="DATE &amp; TIME" sheetId="17" r:id="rId6"/>
    <sheet name="ENGINEERING" sheetId="15" r:id="rId7"/>
    <sheet name="FINANCIAL" sheetId="9" r:id="rId8"/>
    <sheet name="INFORMATION" sheetId="6" r:id="rId9"/>
    <sheet name="LOGICAL" sheetId="8" r:id="rId10"/>
    <sheet name="LOOKUP" sheetId="12" r:id="rId11"/>
    <sheet name="MATH &amp; TRIG" sheetId="3" r:id="rId12"/>
    <sheet name="STATISTICAL" sheetId="5" r:id="rId13"/>
    <sheet name="TEXT" sheetId="11" r:id="rId14"/>
    <sheet name="WEB" sheetId="26" r:id="rId15"/>
    <sheet name="OPERATORS" sheetId="13" r:id="rId16"/>
    <sheet name="CORE" sheetId="1" r:id="rId17"/>
    <sheet name="EXTRA" sheetId="19" r:id="rId18"/>
    <sheet name="REF" sheetId="2" r:id="rId19"/>
    <sheet name="123" sheetId="20" r:id="rId20"/>
  </sheets>
  <externalReferences>
    <externalReference r:id="rId21"/>
    <externalReference r:id="rId22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1" l="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4" i="21"/>
  <c r="B4" i="21"/>
  <c r="B7" i="21"/>
  <c r="B8" i="21"/>
  <c r="E8" i="21" s="1"/>
  <c r="B9" i="21"/>
  <c r="B10" i="21"/>
  <c r="B12" i="21"/>
  <c r="B14" i="21"/>
  <c r="B15" i="21"/>
  <c r="E10" i="21"/>
  <c r="E11" i="21"/>
  <c r="E12" i="21"/>
  <c r="E13" i="21"/>
  <c r="E14" i="21"/>
  <c r="E15" i="21"/>
  <c r="E16" i="21"/>
  <c r="E17" i="21"/>
  <c r="E3" i="21"/>
  <c r="E4" i="21"/>
  <c r="E5" i="21"/>
  <c r="E6" i="21"/>
  <c r="A53" i="19"/>
  <c r="A38" i="19"/>
  <c r="A39" i="19"/>
  <c r="A40" i="19"/>
  <c r="AC57" i="3"/>
  <c r="AB57" i="3"/>
  <c r="AA57" i="3"/>
  <c r="Z57" i="3"/>
  <c r="AA47" i="3" a="1"/>
  <c r="AA47" i="3"/>
  <c r="B5" i="21"/>
  <c r="B6" i="21"/>
  <c r="B3" i="21"/>
  <c r="B16" i="21"/>
  <c r="C4" i="21"/>
  <c r="C7" i="21"/>
  <c r="C16" i="21"/>
  <c r="C6" i="21"/>
  <c r="C5" i="21"/>
  <c r="B1" i="26"/>
  <c r="B1" i="25"/>
  <c r="C3" i="21"/>
  <c r="B1" i="24"/>
  <c r="B1" i="23"/>
  <c r="AH25" i="18" a="1"/>
  <c r="AG25" i="18" a="1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AH16" i="18" a="1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H6" i="18" a="1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B1" i="17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 a="1"/>
  <c r="AG74" i="5"/>
  <c r="AH74" i="5" a="1"/>
  <c r="C8" i="21"/>
  <c r="C17" i="21"/>
  <c r="B17" i="21"/>
  <c r="C11" i="21"/>
  <c r="C12" i="21"/>
  <c r="C10" i="21"/>
  <c r="C14" i="21"/>
  <c r="C15" i="21"/>
  <c r="B1" i="15"/>
  <c r="B1" i="13"/>
  <c r="B1" i="12"/>
  <c r="B1" i="9"/>
  <c r="C9" i="21"/>
  <c r="C13" i="21"/>
  <c r="AH25" i="5" a="1"/>
  <c r="AG25" i="5" a="1"/>
  <c r="AG25" i="5" s="1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AH67" i="5" a="1"/>
  <c r="AG67" i="5" a="1"/>
  <c r="AG67" i="5" s="1"/>
  <c r="AA67" i="5"/>
  <c r="AB67" i="5"/>
  <c r="AC67" i="5"/>
  <c r="AD67" i="5"/>
  <c r="AE67" i="5"/>
  <c r="AF67" i="5"/>
  <c r="Z67" i="5"/>
  <c r="Y67" i="5"/>
  <c r="X67" i="5"/>
  <c r="W67" i="5"/>
  <c r="V67" i="5"/>
  <c r="U67" i="5"/>
  <c r="T67" i="5"/>
  <c r="S67" i="5"/>
  <c r="R67" i="5"/>
  <c r="AH63" i="5" a="1"/>
  <c r="AG63" i="5" a="1"/>
  <c r="AG63" i="5" s="1"/>
  <c r="AE63" i="5"/>
  <c r="AF63" i="5"/>
  <c r="AD63" i="5"/>
  <c r="AC63" i="5"/>
  <c r="AB64" i="5"/>
  <c r="AB63" i="5"/>
  <c r="AA63" i="5"/>
  <c r="Z63" i="5"/>
  <c r="Y63" i="5"/>
  <c r="X63" i="5"/>
  <c r="W63" i="5"/>
  <c r="V63" i="5"/>
  <c r="U63" i="5"/>
  <c r="T63" i="5"/>
  <c r="S63" i="5"/>
  <c r="R63" i="5"/>
  <c r="AG7" i="5" a="1"/>
  <c r="AG7" i="5" s="1"/>
  <c r="R7" i="5"/>
  <c r="R74" i="3"/>
  <c r="AH7" i="5" a="1"/>
  <c r="AA7" i="5"/>
  <c r="AB7" i="5"/>
  <c r="AC7" i="5"/>
  <c r="AD7" i="5"/>
  <c r="AE7" i="5"/>
  <c r="AF7" i="5"/>
  <c r="Z7" i="5"/>
  <c r="Y7" i="5"/>
  <c r="X7" i="5"/>
  <c r="W7" i="5"/>
  <c r="V7" i="5"/>
  <c r="U7" i="5"/>
  <c r="T7" i="5"/>
  <c r="S7" i="5"/>
  <c r="R10" i="17"/>
  <c r="AH74" i="3" a="1"/>
  <c r="AG74" i="3" a="1"/>
  <c r="AG74" i="3" s="1"/>
  <c r="AA74" i="3"/>
  <c r="AB74" i="3"/>
  <c r="AC74" i="3"/>
  <c r="AD74" i="3"/>
  <c r="AE74" i="3"/>
  <c r="AF74" i="3"/>
  <c r="Z74" i="3"/>
  <c r="Y74" i="3"/>
  <c r="X74" i="3"/>
  <c r="W74" i="3"/>
  <c r="V74" i="3"/>
  <c r="U74" i="3"/>
  <c r="T74" i="3"/>
  <c r="S74" i="3"/>
  <c r="R3" i="17"/>
  <c r="T10" i="17"/>
  <c r="S10" i="17"/>
  <c r="W10" i="17"/>
  <c r="V10" i="17"/>
  <c r="AH10" i="17" a="1"/>
  <c r="AG10" i="17" a="1"/>
  <c r="AG10" i="17" s="1"/>
  <c r="AF10" i="17"/>
  <c r="AE10" i="17"/>
  <c r="AD10" i="17"/>
  <c r="AC10" i="17"/>
  <c r="AB10" i="17"/>
  <c r="AA10" i="17"/>
  <c r="Z10" i="17"/>
  <c r="Y10" i="17"/>
  <c r="X10" i="17"/>
  <c r="U10" i="17"/>
  <c r="R9" i="17"/>
  <c r="AH6" i="6" a="1"/>
  <c r="AH6" i="6" s="1"/>
  <c r="AG17" i="13" a="1"/>
  <c r="AG17" i="13" s="1"/>
  <c r="AG16" i="13" a="1"/>
  <c r="AG16" i="13" s="1"/>
  <c r="AG15" i="13" a="1"/>
  <c r="AG15" i="13"/>
  <c r="AG14" i="13" a="1"/>
  <c r="AG14" i="13"/>
  <c r="AG13" i="13" a="1"/>
  <c r="AG13" i="13"/>
  <c r="AG12" i="13" a="1"/>
  <c r="AG12" i="13" s="1"/>
  <c r="AG11" i="13" a="1"/>
  <c r="AG11" i="13" s="1"/>
  <c r="AG10" i="13" a="1"/>
  <c r="AG10" i="13" s="1"/>
  <c r="AG9" i="13" a="1"/>
  <c r="AG9" i="13" s="1"/>
  <c r="AG8" i="13" a="1"/>
  <c r="AG8" i="13"/>
  <c r="AG7" i="13" a="1"/>
  <c r="AG7" i="13" s="1"/>
  <c r="AG6" i="13" a="1"/>
  <c r="AG6" i="13"/>
  <c r="AG5" i="13" a="1"/>
  <c r="AG5" i="13" s="1"/>
  <c r="AG4" i="13" a="1"/>
  <c r="AG4" i="13" s="1"/>
  <c r="AG3" i="13" a="1"/>
  <c r="AG3" i="13" s="1"/>
  <c r="AG68" i="12" a="1"/>
  <c r="AG68" i="12" s="1"/>
  <c r="AG67" i="12" a="1"/>
  <c r="AG67" i="12"/>
  <c r="AG66" i="12" a="1"/>
  <c r="AG66" i="12" s="1"/>
  <c r="AG10" i="12" a="1"/>
  <c r="AG10" i="12" s="1"/>
  <c r="AG9" i="12" a="1"/>
  <c r="AG9" i="12" s="1"/>
  <c r="AG8" i="12" a="1"/>
  <c r="AG8" i="12" s="1"/>
  <c r="AG18" i="6" a="1"/>
  <c r="AG18" i="6" s="1"/>
  <c r="AG14" i="6" a="1"/>
  <c r="AG14" i="6" s="1"/>
  <c r="AG13" i="6" a="1"/>
  <c r="AG13" i="6" s="1"/>
  <c r="AG12" i="6" a="1"/>
  <c r="AG12" i="6" s="1"/>
  <c r="AG11" i="6" a="1"/>
  <c r="AG11" i="6" s="1"/>
  <c r="AG8" i="6" a="1"/>
  <c r="AG8" i="6" s="1"/>
  <c r="AG7" i="6" a="1"/>
  <c r="AG7" i="6" s="1"/>
  <c r="AG6" i="6" a="1"/>
  <c r="AG6" i="6" s="1"/>
  <c r="X5" i="17"/>
  <c r="AG5" i="17" a="1"/>
  <c r="AG5" i="17" s="1"/>
  <c r="AG20" i="17" a="1"/>
  <c r="AG20" i="17" s="1"/>
  <c r="AG26" i="17" a="1"/>
  <c r="AG26" i="17"/>
  <c r="AG22" i="17" a="1"/>
  <c r="AG22" i="17"/>
  <c r="AG19" i="17" a="1"/>
  <c r="AG19" i="17"/>
  <c r="AG18" i="17" a="1"/>
  <c r="AG18" i="17"/>
  <c r="AG14" i="17" a="1"/>
  <c r="AG14" i="17"/>
  <c r="AG13" i="17" a="1"/>
  <c r="AG13" i="17"/>
  <c r="AG12" i="17" a="1"/>
  <c r="AG12" i="17"/>
  <c r="AG11" i="17" a="1"/>
  <c r="AG11" i="17"/>
  <c r="AG6" i="17" a="1"/>
  <c r="AG6" i="17"/>
  <c r="AG4" i="17" a="1"/>
  <c r="AG4" i="17"/>
  <c r="AG3" i="17" a="1"/>
  <c r="AG3" i="17"/>
  <c r="AG93" i="5" a="1"/>
  <c r="AG93" i="5"/>
  <c r="AG86" i="5" a="1"/>
  <c r="AG86" i="5"/>
  <c r="AG85" i="5" a="1"/>
  <c r="AG85" i="5"/>
  <c r="AG77" i="5" a="1"/>
  <c r="AG77" i="5"/>
  <c r="AG76" i="5" a="1"/>
  <c r="AG76" i="5"/>
  <c r="AG73" i="5" a="1"/>
  <c r="AG73" i="5"/>
  <c r="AG72" i="5" a="1"/>
  <c r="AG72" i="5" s="1"/>
  <c r="AG71" i="5" a="1"/>
  <c r="AG71" i="5" s="1"/>
  <c r="AG56" i="5" a="1"/>
  <c r="AG56" i="5"/>
  <c r="AG42" i="5" a="1"/>
  <c r="AG42" i="5" s="1"/>
  <c r="AG37" i="5" a="1"/>
  <c r="AG37" i="5" s="1"/>
  <c r="AG24" i="5" a="1"/>
  <c r="AG24" i="5" s="1"/>
  <c r="AG6" i="5" a="1"/>
  <c r="AG6" i="5" s="1"/>
  <c r="AG29" i="18" a="1"/>
  <c r="AG29" i="18" s="1"/>
  <c r="AG27" i="18" a="1"/>
  <c r="AG27" i="18" s="1"/>
  <c r="AG26" i="18" a="1"/>
  <c r="AG26" i="18" s="1"/>
  <c r="AG28" i="18" a="1"/>
  <c r="AG28" i="18" s="1"/>
  <c r="AG51" i="11" a="1"/>
  <c r="AG51" i="11" s="1"/>
  <c r="AG50" i="11" a="1"/>
  <c r="AG50" i="11" s="1"/>
  <c r="AG47" i="11" a="1"/>
  <c r="AG47" i="11" s="1"/>
  <c r="AG41" i="11" a="1"/>
  <c r="AG41" i="11" s="1"/>
  <c r="AG37" i="11" a="1"/>
  <c r="AG37" i="11"/>
  <c r="AG35" i="11" a="1"/>
  <c r="AG35" i="11"/>
  <c r="AG32" i="11" a="1"/>
  <c r="AG32" i="11"/>
  <c r="AG24" i="11" a="1"/>
  <c r="AG24" i="11"/>
  <c r="AG23" i="11" a="1"/>
  <c r="AG23" i="11"/>
  <c r="AG21" i="11" a="1"/>
  <c r="AG21" i="11"/>
  <c r="AG19" i="11" a="1"/>
  <c r="AG19" i="11"/>
  <c r="AG15" i="11" a="1"/>
  <c r="AG15" i="11"/>
  <c r="AG10" i="11" a="1"/>
  <c r="AG10" i="11"/>
  <c r="AG9" i="11" a="1"/>
  <c r="AG9" i="11"/>
  <c r="AG8" i="11" a="1"/>
  <c r="AG8" i="11" s="1"/>
  <c r="AG6" i="11" a="1"/>
  <c r="AG6" i="11" s="1"/>
  <c r="AG45" i="9" a="1"/>
  <c r="AG45" i="9" s="1"/>
  <c r="AG44" i="9" a="1"/>
  <c r="AG44" i="9"/>
  <c r="AG40" i="9" a="1"/>
  <c r="AG40" i="9"/>
  <c r="AG39" i="9" a="1"/>
  <c r="AG39" i="9"/>
  <c r="AG33" i="9" a="1"/>
  <c r="AG33" i="9"/>
  <c r="AG32" i="9" a="1"/>
  <c r="AG32" i="9"/>
  <c r="AG27" i="9" a="1"/>
  <c r="AG27" i="9" s="1"/>
  <c r="AG26" i="9" a="1"/>
  <c r="AG26" i="9" s="1"/>
  <c r="AG25" i="9" a="1"/>
  <c r="AG25" i="9"/>
  <c r="AG22" i="9" a="1"/>
  <c r="AG22" i="9"/>
  <c r="AG13" i="9" a="1"/>
  <c r="AG13" i="9"/>
  <c r="AF19" i="8" a="1"/>
  <c r="AF19" i="8" s="1"/>
  <c r="AE19" i="8" a="1"/>
  <c r="AE19" i="8" s="1"/>
  <c r="AD19" i="8" a="1"/>
  <c r="AD19" i="8" s="1"/>
  <c r="AC19" i="8" a="1"/>
  <c r="AC19" i="8"/>
  <c r="AB19" i="8" a="1"/>
  <c r="AB19" i="8" s="1"/>
  <c r="AA19" i="8" a="1"/>
  <c r="AA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AD10" i="8" a="1"/>
  <c r="AD10" i="8"/>
  <c r="AC10" i="8" a="1"/>
  <c r="AC10" i="8" s="1"/>
  <c r="AB10" i="8" a="1"/>
  <c r="AB10" i="8" s="1"/>
  <c r="AA10" i="8" a="1"/>
  <c r="AA10" i="8" s="1"/>
  <c r="V10" i="8" a="1"/>
  <c r="V10" i="8" s="1"/>
  <c r="U10" i="8" a="1"/>
  <c r="U10" i="8" s="1"/>
  <c r="T10" i="8" a="1"/>
  <c r="T10" i="8" s="1"/>
  <c r="S10" i="8" a="1"/>
  <c r="S10" i="8" s="1"/>
  <c r="AF10" i="8" s="1" a="1"/>
  <c r="AF10" i="8" s="1"/>
  <c r="R10" i="8" a="1"/>
  <c r="R10" i="8" s="1"/>
  <c r="AE10" i="8" s="1" a="1"/>
  <c r="AE10" i="8" s="1"/>
  <c r="AM10" i="8" a="1"/>
  <c r="AM10" i="8" s="1"/>
  <c r="AG8" i="8" a="1"/>
  <c r="AG8" i="8" s="1"/>
  <c r="AG19" i="8" a="1"/>
  <c r="AG19" i="8" s="1"/>
  <c r="AG15" i="8" a="1"/>
  <c r="AG15" i="8" s="1"/>
  <c r="AG10" i="8" a="1"/>
  <c r="AG10" i="8" s="1"/>
  <c r="AG9" i="8" a="1"/>
  <c r="AG9" i="8" s="1"/>
  <c r="AG7" i="8" a="1"/>
  <c r="AG7" i="8" s="1"/>
  <c r="AG16" i="8"/>
  <c r="V24" i="1" a="1"/>
  <c r="V24" i="1" s="1"/>
  <c r="V23" i="1" a="1"/>
  <c r="V23" i="1" s="1"/>
  <c r="Z25" i="1"/>
  <c r="T76" i="12" a="1"/>
  <c r="T76" i="12" s="1"/>
  <c r="V25" i="1" a="1"/>
  <c r="V25" i="1" s="1"/>
  <c r="T23" i="1"/>
  <c r="T22" i="1"/>
  <c r="W19" i="11"/>
  <c r="T19" i="11"/>
  <c r="U19" i="11"/>
  <c r="R28" i="12"/>
  <c r="AG3" i="12" a="1"/>
  <c r="AG3" i="12" s="1"/>
  <c r="C18" i="21"/>
  <c r="D16" i="21"/>
  <c r="D6" i="21"/>
  <c r="D5" i="21"/>
  <c r="D3" i="21"/>
  <c r="B1" i="11"/>
  <c r="D15" i="21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B1" i="5"/>
  <c r="D14" i="21"/>
  <c r="AH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B1" i="3"/>
  <c r="B13" i="21"/>
  <c r="D13" i="21" s="1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B11" i="21"/>
  <c r="D11" i="21" s="1"/>
  <c r="B1" i="8"/>
  <c r="B1" i="6"/>
  <c r="AN74" i="5"/>
  <c r="AI74" i="5"/>
  <c r="AO74" i="5"/>
  <c r="AP74" i="5"/>
  <c r="AQ74" i="5"/>
  <c r="AR74" i="5"/>
  <c r="AS74" i="5"/>
  <c r="AT74" i="5"/>
  <c r="AU74" i="5"/>
  <c r="AV74" i="5"/>
  <c r="AW74" i="5"/>
  <c r="AH74" i="5"/>
  <c r="AJ74" i="5"/>
  <c r="AK74" i="5"/>
  <c r="AL74" i="5"/>
  <c r="AM74" i="5"/>
  <c r="B1" i="18"/>
  <c r="D8" i="21"/>
  <c r="D17" i="21"/>
  <c r="D12" i="21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H25" i="5"/>
  <c r="AU25" i="5"/>
  <c r="AT25" i="5"/>
  <c r="AS25" i="5"/>
  <c r="AO25" i="5"/>
  <c r="AN25" i="5"/>
  <c r="AM25" i="5"/>
  <c r="AL25" i="5"/>
  <c r="AK25" i="5"/>
  <c r="AI25" i="5"/>
  <c r="AQ25" i="5"/>
  <c r="AV25" i="5"/>
  <c r="AW25" i="5"/>
  <c r="AJ25" i="5"/>
  <c r="AP25" i="5"/>
  <c r="AH67" i="5"/>
  <c r="AN67" i="5"/>
  <c r="AM67" i="5"/>
  <c r="AL67" i="5"/>
  <c r="AK67" i="5"/>
  <c r="AP67" i="5"/>
  <c r="AJ67" i="5"/>
  <c r="AO67" i="5"/>
  <c r="AQ67" i="5"/>
  <c r="AS67" i="5"/>
  <c r="AT67" i="5"/>
  <c r="AU67" i="5"/>
  <c r="AV67" i="5"/>
  <c r="AW67" i="5"/>
  <c r="AI67" i="5"/>
  <c r="AH63" i="5"/>
  <c r="AU63" i="5"/>
  <c r="AW63" i="5"/>
  <c r="AQ63" i="5"/>
  <c r="AP63" i="5"/>
  <c r="AO63" i="5"/>
  <c r="AN63" i="5"/>
  <c r="AM63" i="5"/>
  <c r="AL63" i="5"/>
  <c r="AK63" i="5"/>
  <c r="AV63" i="5"/>
  <c r="AH7" i="5"/>
  <c r="AW7" i="5"/>
  <c r="AK7" i="5"/>
  <c r="AJ7" i="5"/>
  <c r="AL7" i="5"/>
  <c r="AM7" i="5"/>
  <c r="AN7" i="5"/>
  <c r="AO7" i="5"/>
  <c r="AP7" i="5"/>
  <c r="AQ7" i="5"/>
  <c r="AT7" i="5"/>
  <c r="AU7" i="5"/>
  <c r="AV7" i="5"/>
  <c r="AH74" i="3"/>
  <c r="AK74" i="3"/>
  <c r="AL74" i="3"/>
  <c r="AM74" i="3"/>
  <c r="AN74" i="3"/>
  <c r="AO74" i="3"/>
  <c r="AP74" i="3"/>
  <c r="AQ74" i="3"/>
  <c r="AT74" i="3"/>
  <c r="AU74" i="3"/>
  <c r="AV74" i="3"/>
  <c r="AW74" i="3"/>
  <c r="AJ74" i="3"/>
  <c r="AR25" i="5"/>
  <c r="AR67" i="5"/>
  <c r="AT63" i="5"/>
  <c r="AJ63" i="5"/>
  <c r="AS63" i="5"/>
  <c r="AI63" i="5"/>
  <c r="AR63" i="5"/>
  <c r="AS7" i="5"/>
  <c r="AI7" i="5"/>
  <c r="AR7" i="5"/>
  <c r="AS74" i="3"/>
  <c r="AI74" i="3"/>
  <c r="AR74" i="3"/>
  <c r="U14" i="1" a="1"/>
  <c r="D10" i="21"/>
  <c r="B18" i="21"/>
  <c r="D4" i="21"/>
  <c r="K39" i="11"/>
  <c r="R39" i="11"/>
  <c r="S39" i="11"/>
  <c r="T39" i="11"/>
  <c r="U39" i="11"/>
  <c r="V39" i="11"/>
  <c r="W39" i="11"/>
  <c r="X39" i="11"/>
  <c r="Y39" i="11"/>
  <c r="AA39" i="11"/>
  <c r="AB39" i="11"/>
  <c r="AC39" i="11"/>
  <c r="AD39" i="11"/>
  <c r="AE39" i="11"/>
  <c r="AF39" i="11"/>
  <c r="AG39" i="11" a="1"/>
  <c r="AG39" i="11" s="1"/>
  <c r="S40" i="11"/>
  <c r="R40" i="11"/>
  <c r="AO40" i="11" a="1"/>
  <c r="AH40" i="11" a="1"/>
  <c r="AH40" i="11"/>
  <c r="AG40" i="11" a="1"/>
  <c r="AG40" i="11"/>
  <c r="T40" i="11"/>
  <c r="U40" i="11"/>
  <c r="V40" i="11"/>
  <c r="W40" i="11"/>
  <c r="X40" i="11"/>
  <c r="Y40" i="11"/>
  <c r="AA40" i="11"/>
  <c r="AB40" i="11"/>
  <c r="AC40" i="11"/>
  <c r="AD40" i="11"/>
  <c r="AE40" i="11"/>
  <c r="AF40" i="11"/>
  <c r="K40" i="11"/>
  <c r="AL40" i="11" a="1"/>
  <c r="AI44" i="11" a="1"/>
  <c r="AG44" i="11"/>
  <c r="AK14" i="12" a="1"/>
  <c r="O19" i="19" a="1"/>
  <c r="O19" i="19" s="1"/>
  <c r="N19" i="19" a="1"/>
  <c r="N19" i="19" s="1"/>
  <c r="N17" i="19" a="1"/>
  <c r="N17" i="19" s="1"/>
  <c r="AE14" i="12" a="1"/>
  <c r="AE14" i="12" s="1"/>
  <c r="AC14" i="12" a="1"/>
  <c r="AC14" i="12" s="1"/>
  <c r="AA14" i="12" a="1"/>
  <c r="AA14" i="12" s="1"/>
  <c r="Y14" i="12" a="1"/>
  <c r="Y14" i="12" s="1"/>
  <c r="X14" i="12" a="1"/>
  <c r="X14" i="12" s="1"/>
  <c r="W14" i="12" a="1"/>
  <c r="W14" i="12" s="1"/>
  <c r="V14" i="12" a="1"/>
  <c r="V14" i="12" s="1"/>
  <c r="M15" i="19" a="1"/>
  <c r="I15" i="19" a="1"/>
  <c r="L19" i="19" a="1"/>
  <c r="L19" i="19"/>
  <c r="I20" i="19" a="1"/>
  <c r="I20" i="19" s="1"/>
  <c r="K20" i="19" a="1"/>
  <c r="K16" i="19" a="1"/>
  <c r="AG76" i="12" a="1"/>
  <c r="AG76" i="12" s="1"/>
  <c r="G22" i="19" a="1"/>
  <c r="G22" i="19" s="1"/>
  <c r="AH14" i="12" a="1"/>
  <c r="AG14" i="12" a="1"/>
  <c r="AG14" i="12" s="1"/>
  <c r="AF14" i="12" a="1"/>
  <c r="AF14" i="12" s="1"/>
  <c r="M15" i="19"/>
  <c r="N15" i="19"/>
  <c r="O15" i="19"/>
  <c r="P15" i="19"/>
  <c r="I15" i="19"/>
  <c r="L15" i="19"/>
  <c r="K15" i="19"/>
  <c r="J15" i="19"/>
  <c r="Z39" i="11"/>
  <c r="AH39" i="11" a="1"/>
  <c r="AW40" i="11"/>
  <c r="AV40" i="11"/>
  <c r="Z40" i="11"/>
  <c r="AK40" i="11"/>
  <c r="AJ40" i="11"/>
  <c r="AU40" i="11"/>
  <c r="AT40" i="11"/>
  <c r="AS40" i="11"/>
  <c r="AI40" i="11"/>
  <c r="AR40" i="11"/>
  <c r="AQ14" i="12"/>
  <c r="AR14" i="12"/>
  <c r="AU14" i="12"/>
  <c r="T5" i="12"/>
  <c r="AH44" i="11"/>
  <c r="U44" i="11"/>
  <c r="V44" i="11"/>
  <c r="W44" i="11"/>
  <c r="X44" i="11"/>
  <c r="AA44" i="11"/>
  <c r="AB44" i="11"/>
  <c r="AC44" i="11"/>
  <c r="AD44" i="11"/>
  <c r="AE44" i="11"/>
  <c r="AF44" i="11"/>
  <c r="T44" i="11"/>
  <c r="S44" i="11"/>
  <c r="R44" i="11"/>
  <c r="K44" i="11"/>
  <c r="Y44" i="11"/>
  <c r="Z44" i="11"/>
  <c r="T14" i="12" a="1"/>
  <c r="T14" i="12"/>
  <c r="AB14" i="12" a="1"/>
  <c r="AB14" i="12" s="1"/>
  <c r="AD14" i="12" a="1"/>
  <c r="AD14" i="12" s="1"/>
  <c r="R14" i="12" a="1"/>
  <c r="R14" i="12" s="1"/>
  <c r="K14" i="12"/>
  <c r="X76" i="12" a="1"/>
  <c r="X76" i="12" s="1"/>
  <c r="AH76" i="12" a="1"/>
  <c r="AM76" i="12"/>
  <c r="R76" i="12" a="1"/>
  <c r="R76" i="12"/>
  <c r="AA21" i="1"/>
  <c r="W76" i="12" a="1"/>
  <c r="W76" i="12"/>
  <c r="Y76" i="12" a="1"/>
  <c r="Y76" i="12"/>
  <c r="Z76" i="12" a="1"/>
  <c r="Z76" i="12"/>
  <c r="AA76" i="12" a="1"/>
  <c r="AA76" i="12"/>
  <c r="AC76" i="12" a="1"/>
  <c r="AC76" i="12"/>
  <c r="AD76" i="12" a="1"/>
  <c r="AD76" i="12"/>
  <c r="AE76" i="12" a="1"/>
  <c r="AE76" i="12"/>
  <c r="AF76" i="12" a="1"/>
  <c r="AF76" i="12"/>
  <c r="V76" i="12" a="1"/>
  <c r="V76" i="12"/>
  <c r="S76" i="12" a="1"/>
  <c r="S76" i="12"/>
  <c r="K76" i="12"/>
  <c r="X29" i="12"/>
  <c r="AA63" i="12"/>
  <c r="AL76" i="12"/>
  <c r="AK76" i="12"/>
  <c r="AJ76" i="12"/>
  <c r="AI76" i="12"/>
  <c r="AH76" i="12"/>
  <c r="AV76" i="12"/>
  <c r="AU76" i="12"/>
  <c r="AT76" i="12"/>
  <c r="AS76" i="12"/>
  <c r="AR76" i="12"/>
  <c r="AQ76" i="12"/>
  <c r="AP76" i="12"/>
  <c r="AO76" i="12"/>
  <c r="AB76" i="12" a="1"/>
  <c r="AB76" i="12"/>
  <c r="AN76" i="12"/>
  <c r="AW76" i="12"/>
  <c r="P32" i="1" a="1"/>
  <c r="P32" i="1"/>
  <c r="Q32" i="1" a="1"/>
  <c r="Q32" i="1"/>
  <c r="P31" i="1" a="1"/>
  <c r="P31" i="1"/>
  <c r="AG47" i="3" a="1"/>
  <c r="AG47" i="3"/>
  <c r="AH47" i="3" a="1"/>
  <c r="AI47" i="3"/>
  <c r="T47" i="3" a="1"/>
  <c r="T47" i="3"/>
  <c r="S47" i="3" a="1"/>
  <c r="S47" i="3"/>
  <c r="U47" i="3" a="1"/>
  <c r="U47" i="3"/>
  <c r="V47" i="3" a="1"/>
  <c r="V47" i="3"/>
  <c r="W47" i="3" a="1"/>
  <c r="W47" i="3"/>
  <c r="X47" i="3" a="1"/>
  <c r="X47" i="3"/>
  <c r="Y47" i="3" a="1"/>
  <c r="Y47" i="3"/>
  <c r="Z47" i="3" a="1"/>
  <c r="Z47" i="3"/>
  <c r="AB47" i="3" a="1"/>
  <c r="AB47" i="3"/>
  <c r="AC47" i="3" a="1"/>
  <c r="AC47" i="3"/>
  <c r="AD47" i="3" a="1"/>
  <c r="AD47" i="3"/>
  <c r="AE47" i="3" a="1"/>
  <c r="AE47" i="3"/>
  <c r="AF47" i="3" a="1"/>
  <c r="AF47" i="3"/>
  <c r="R47" i="3" a="1"/>
  <c r="R47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1" i="3"/>
  <c r="Y42" i="3" a="1"/>
  <c r="Y42" i="3"/>
  <c r="Z42" i="3" a="1"/>
  <c r="Z42" i="3"/>
  <c r="AA42" i="3" a="1"/>
  <c r="AA42" i="3"/>
  <c r="AB42" i="3" a="1"/>
  <c r="AB42" i="3"/>
  <c r="AC42" i="3" a="1"/>
  <c r="AC42" i="3"/>
  <c r="AD42" i="3" a="1"/>
  <c r="AD42" i="3"/>
  <c r="AE42" i="3" a="1"/>
  <c r="AE42" i="3"/>
  <c r="AF42" i="3" a="1"/>
  <c r="AF42" i="3"/>
  <c r="X42" i="3" a="1"/>
  <c r="X42" i="3"/>
  <c r="U42" i="3" a="1"/>
  <c r="U42" i="3"/>
  <c r="V42" i="3"/>
  <c r="W42" i="3" a="1"/>
  <c r="W42" i="3"/>
  <c r="P27" i="1" a="1"/>
  <c r="R29" i="1"/>
  <c r="T42" i="3" a="1"/>
  <c r="T42" i="3"/>
  <c r="M30" i="1"/>
  <c r="R42" i="3" a="1"/>
  <c r="R42" i="3"/>
  <c r="AG43" i="3" a="1"/>
  <c r="AG43" i="3"/>
  <c r="AA43" i="3" a="1"/>
  <c r="AA43" i="3"/>
  <c r="AB43" i="3" a="1"/>
  <c r="AB43" i="3"/>
  <c r="AC43" i="3" a="1"/>
  <c r="AC43" i="3"/>
  <c r="AD43" i="3" a="1"/>
  <c r="AD43" i="3"/>
  <c r="Z43" i="3" a="1"/>
  <c r="Z43" i="3"/>
  <c r="X43" i="3" a="1"/>
  <c r="X43" i="3"/>
  <c r="Y43" i="3" a="1"/>
  <c r="Y43" i="3"/>
  <c r="V43" i="3" a="1"/>
  <c r="V43" i="3"/>
  <c r="W43" i="3" a="1"/>
  <c r="W43" i="3"/>
  <c r="U43" i="3" a="1"/>
  <c r="U43" i="3"/>
  <c r="T43" i="3" a="1"/>
  <c r="T43" i="3"/>
  <c r="S43" i="3" a="1"/>
  <c r="S43" i="3"/>
  <c r="AF43" i="3" a="1"/>
  <c r="AF43" i="3"/>
  <c r="R43" i="3" a="1"/>
  <c r="R43" i="3"/>
  <c r="AE43" i="3" a="1"/>
  <c r="AE43" i="3"/>
  <c r="R76" i="5"/>
  <c r="AF76" i="5"/>
  <c r="S76" i="5"/>
  <c r="S77" i="5"/>
  <c r="R77" i="5"/>
  <c r="AF77" i="5"/>
  <c r="T76" i="5"/>
  <c r="AH77" i="5" a="1"/>
  <c r="AE77" i="5"/>
  <c r="AD77" i="5"/>
  <c r="AC77" i="5"/>
  <c r="AB77" i="5"/>
  <c r="AA77" i="5"/>
  <c r="Z77" i="5"/>
  <c r="Y77" i="5"/>
  <c r="X77" i="5"/>
  <c r="W77" i="5"/>
  <c r="V77" i="5"/>
  <c r="U77" i="5"/>
  <c r="T77" i="5"/>
  <c r="AH76" i="5" a="1"/>
  <c r="AE76" i="5"/>
  <c r="AD76" i="5"/>
  <c r="AC76" i="5"/>
  <c r="AB76" i="5"/>
  <c r="AA76" i="5"/>
  <c r="Z76" i="5"/>
  <c r="Y76" i="5"/>
  <c r="X76" i="5"/>
  <c r="W76" i="5"/>
  <c r="V76" i="5"/>
  <c r="U76" i="5"/>
  <c r="AH29" i="18" a="1"/>
  <c r="AA29" i="18"/>
  <c r="AB29" i="18"/>
  <c r="AC29" i="18"/>
  <c r="AD29" i="18"/>
  <c r="AE29" i="18"/>
  <c r="Z29" i="18"/>
  <c r="Y29" i="18"/>
  <c r="X29" i="18"/>
  <c r="W29" i="18"/>
  <c r="V29" i="18"/>
  <c r="U29" i="18"/>
  <c r="T29" i="18"/>
  <c r="S29" i="18"/>
  <c r="R29" i="18"/>
  <c r="AF29" i="18"/>
  <c r="AH28" i="18" a="1"/>
  <c r="AH28" i="18"/>
  <c r="AH27" i="18" a="1"/>
  <c r="AH26" i="18" a="1"/>
  <c r="AA26" i="18"/>
  <c r="AB26" i="18"/>
  <c r="AC26" i="18"/>
  <c r="AD26" i="18"/>
  <c r="AE26" i="18"/>
  <c r="AF26" i="18"/>
  <c r="AA27" i="18"/>
  <c r="AB27" i="18"/>
  <c r="AC27" i="18"/>
  <c r="AD27" i="18"/>
  <c r="AE27" i="18"/>
  <c r="AF27" i="18"/>
  <c r="AA28" i="18"/>
  <c r="AB28" i="18"/>
  <c r="AC28" i="18"/>
  <c r="AD28" i="18"/>
  <c r="AE28" i="18"/>
  <c r="AF28" i="18"/>
  <c r="Z28" i="18"/>
  <c r="Z27" i="18"/>
  <c r="Z26" i="18"/>
  <c r="Y28" i="18"/>
  <c r="Y27" i="18"/>
  <c r="Y26" i="18"/>
  <c r="X28" i="18"/>
  <c r="X27" i="18"/>
  <c r="X26" i="18"/>
  <c r="W28" i="18"/>
  <c r="W27" i="18"/>
  <c r="W26" i="18"/>
  <c r="V28" i="18"/>
  <c r="V27" i="18"/>
  <c r="V26" i="18"/>
  <c r="U28" i="18"/>
  <c r="U27" i="18"/>
  <c r="U26" i="18"/>
  <c r="T28" i="18"/>
  <c r="T27" i="18"/>
  <c r="S28" i="18"/>
  <c r="S27" i="18"/>
  <c r="R28" i="18"/>
  <c r="R27" i="18"/>
  <c r="T26" i="18"/>
  <c r="S26" i="18"/>
  <c r="R26" i="18"/>
  <c r="AH71" i="5" a="1"/>
  <c r="AH71" i="5"/>
  <c r="AA71" i="5"/>
  <c r="AB71" i="5"/>
  <c r="AC71" i="5"/>
  <c r="AD71" i="5"/>
  <c r="AE71" i="5"/>
  <c r="AF71" i="5"/>
  <c r="Z71" i="5"/>
  <c r="Y71" i="5"/>
  <c r="X71" i="5"/>
  <c r="W71" i="5"/>
  <c r="V71" i="5"/>
  <c r="U71" i="5"/>
  <c r="T71" i="5"/>
  <c r="S71" i="5"/>
  <c r="R71" i="5"/>
  <c r="T73" i="5"/>
  <c r="Z73" i="5"/>
  <c r="Y73" i="5"/>
  <c r="AH73" i="5" a="1"/>
  <c r="AF73" i="5"/>
  <c r="U73" i="5"/>
  <c r="V73" i="5"/>
  <c r="W73" i="5"/>
  <c r="X73" i="5"/>
  <c r="AA73" i="5"/>
  <c r="AB73" i="5"/>
  <c r="AC73" i="5"/>
  <c r="AD73" i="5"/>
  <c r="AE73" i="5"/>
  <c r="S73" i="5"/>
  <c r="R73" i="5"/>
  <c r="Y72" i="5"/>
  <c r="X72" i="5"/>
  <c r="T72" i="5"/>
  <c r="AH72" i="5" a="1"/>
  <c r="W72" i="5"/>
  <c r="Z72" i="5"/>
  <c r="AA72" i="5"/>
  <c r="AB72" i="5"/>
  <c r="AC72" i="5"/>
  <c r="AD72" i="5"/>
  <c r="AE72" i="5"/>
  <c r="AF72" i="5"/>
  <c r="V72" i="5"/>
  <c r="U72" i="5"/>
  <c r="S72" i="5"/>
  <c r="R72" i="5"/>
  <c r="AH86" i="5" a="1"/>
  <c r="AH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AF86" i="5" s="1"/>
  <c r="U85" i="5"/>
  <c r="T85" i="5"/>
  <c r="S85" i="5"/>
  <c r="V85" i="5"/>
  <c r="W85" i="5"/>
  <c r="V32" i="18"/>
  <c r="R85" i="5"/>
  <c r="AF85" i="5"/>
  <c r="R32" i="18"/>
  <c r="AF32" i="18"/>
  <c r="W32" i="18"/>
  <c r="T32" i="18"/>
  <c r="S32" i="18"/>
  <c r="AG32" i="18"/>
  <c r="AA32" i="18"/>
  <c r="AB32" i="18"/>
  <c r="AH85" i="5" a="1"/>
  <c r="AE85" i="5"/>
  <c r="AD85" i="5"/>
  <c r="AC85" i="5"/>
  <c r="AB85" i="5"/>
  <c r="AA85" i="5"/>
  <c r="Z85" i="5"/>
  <c r="Y85" i="5"/>
  <c r="X85" i="5"/>
  <c r="AH32" i="18" a="1"/>
  <c r="Y32" i="18"/>
  <c r="X32" i="18"/>
  <c r="Z32" i="18"/>
  <c r="AC32" i="18"/>
  <c r="AD32" i="18"/>
  <c r="AE32" i="18"/>
  <c r="U32" i="18"/>
  <c r="AH76" i="3" a="1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F30" i="1"/>
  <c r="F29" i="1"/>
  <c r="C27" i="1"/>
  <c r="C28" i="1"/>
  <c r="C30" i="1"/>
  <c r="C29" i="1"/>
  <c r="D33" i="1"/>
  <c r="D32" i="1"/>
  <c r="X8" i="11"/>
  <c r="B32" i="1"/>
  <c r="C32" i="1" s="1"/>
  <c r="AF8" i="11"/>
  <c r="AE8" i="11"/>
  <c r="AD8" i="11"/>
  <c r="AC8" i="11"/>
  <c r="AB8" i="11"/>
  <c r="AA8" i="11"/>
  <c r="Y8" i="11"/>
  <c r="W8" i="11"/>
  <c r="V8" i="11"/>
  <c r="U8" i="11"/>
  <c r="T8" i="11"/>
  <c r="S8" i="11"/>
  <c r="R8" i="11"/>
  <c r="K8" i="11"/>
  <c r="Z8" i="11" s="1"/>
  <c r="AH8" i="11" a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/>
  <c r="B79" i="1"/>
  <c r="C79" i="1" s="1"/>
  <c r="B80" i="1"/>
  <c r="C80" i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 s="1"/>
  <c r="B97" i="1"/>
  <c r="C97" i="1" s="1"/>
  <c r="B98" i="1"/>
  <c r="C98" i="1" s="1"/>
  <c r="B99" i="1"/>
  <c r="C99" i="1" s="1"/>
  <c r="B100" i="1"/>
  <c r="C100" i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/>
  <c r="B218" i="1"/>
  <c r="C218" i="1"/>
  <c r="B219" i="1"/>
  <c r="C219" i="1"/>
  <c r="B220" i="1"/>
  <c r="C220" i="1"/>
  <c r="B221" i="1"/>
  <c r="C221" i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 s="1"/>
  <c r="B231" i="1"/>
  <c r="C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Y6" i="11"/>
  <c r="AA6" i="11"/>
  <c r="AB6" i="11"/>
  <c r="AC6" i="11"/>
  <c r="AD6" i="11"/>
  <c r="AE6" i="11"/>
  <c r="AF6" i="11"/>
  <c r="R6" i="11"/>
  <c r="S6" i="11"/>
  <c r="W6" i="11"/>
  <c r="X6" i="11"/>
  <c r="T6" i="11"/>
  <c r="U6" i="11"/>
  <c r="V6" i="11"/>
  <c r="K6" i="11"/>
  <c r="Z6" i="11" s="1"/>
  <c r="AH6" i="11" a="1"/>
  <c r="AG3" i="8"/>
  <c r="W3" i="8"/>
  <c r="V3" i="8"/>
  <c r="R3" i="8"/>
  <c r="J26" i="1" a="1"/>
  <c r="J26" i="1"/>
  <c r="I26" i="1"/>
  <c r="I28" i="1"/>
  <c r="H26" i="1"/>
  <c r="H30" i="1"/>
  <c r="D28" i="1" a="1"/>
  <c r="D28" i="1" s="1"/>
  <c r="C3" i="19"/>
  <c r="D3" i="19"/>
  <c r="D2" i="19"/>
  <c r="C2" i="19"/>
  <c r="B2" i="19"/>
  <c r="R59" i="3"/>
  <c r="R82" i="3"/>
  <c r="A48" i="19"/>
  <c r="A46" i="19"/>
  <c r="R41" i="11"/>
  <c r="X41" i="11"/>
  <c r="Y41" i="11"/>
  <c r="AA41" i="11"/>
  <c r="AB41" i="11"/>
  <c r="AC41" i="11"/>
  <c r="AD41" i="11"/>
  <c r="AE41" i="11"/>
  <c r="AF41" i="11"/>
  <c r="W41" i="11"/>
  <c r="S41" i="11"/>
  <c r="T41" i="11"/>
  <c r="U41" i="11"/>
  <c r="V41" i="11"/>
  <c r="K41" i="11"/>
  <c r="Z41" i="11" s="1"/>
  <c r="AH41" i="11" a="1"/>
  <c r="AH41" i="11"/>
  <c r="A47" i="19"/>
  <c r="A43" i="19"/>
  <c r="A4" i="19"/>
  <c r="A37" i="19"/>
  <c r="A45" i="19"/>
  <c r="A44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F51" i="11"/>
  <c r="AE51" i="11"/>
  <c r="AD51" i="11"/>
  <c r="AC51" i="11"/>
  <c r="AB51" i="11"/>
  <c r="AA51" i="11"/>
  <c r="Y51" i="11"/>
  <c r="X51" i="11"/>
  <c r="W51" i="11"/>
  <c r="V51" i="11"/>
  <c r="U51" i="11"/>
  <c r="T51" i="11"/>
  <c r="S51" i="11"/>
  <c r="R51" i="11"/>
  <c r="K51" i="11"/>
  <c r="AH51" i="11" a="1"/>
  <c r="AW51" i="11"/>
  <c r="AT3" i="8"/>
  <c r="AR3" i="8"/>
  <c r="AS3" i="8"/>
  <c r="AQ3" i="8"/>
  <c r="AP3" i="8"/>
  <c r="AO13" i="6" a="1"/>
  <c r="AK13" i="6" a="1"/>
  <c r="AM13" i="6" s="1"/>
  <c r="AK13" i="6"/>
  <c r="AH13" i="6" a="1"/>
  <c r="AH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R13" i="6"/>
  <c r="AO11" i="6" a="1"/>
  <c r="AT11" i="6"/>
  <c r="AK11" i="6" a="1"/>
  <c r="AM11" i="6" s="1"/>
  <c r="AK11" i="6"/>
  <c r="AH11" i="6" a="1"/>
  <c r="AH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R11" i="6"/>
  <c r="AK18" i="6" a="1"/>
  <c r="AO18" i="6" a="1"/>
  <c r="AH18" i="6" a="1"/>
  <c r="AH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R18" i="6"/>
  <c r="T15" i="6"/>
  <c r="AO15" i="6" a="1"/>
  <c r="AO15" i="6"/>
  <c r="AK15" i="6" a="1"/>
  <c r="AN15" i="6"/>
  <c r="AH15" i="6" a="1"/>
  <c r="AH15" i="6"/>
  <c r="AG15" i="6"/>
  <c r="S15" i="6"/>
  <c r="U15" i="6"/>
  <c r="V15" i="6"/>
  <c r="W15" i="6"/>
  <c r="X15" i="6"/>
  <c r="Y15" i="6"/>
  <c r="Z15" i="6"/>
  <c r="AA15" i="6"/>
  <c r="AB15" i="6"/>
  <c r="AC15" i="6"/>
  <c r="AD15" i="6"/>
  <c r="AE15" i="6"/>
  <c r="AF15" i="6"/>
  <c r="R15" i="6"/>
  <c r="AB9" i="6"/>
  <c r="AO9" i="6" a="1"/>
  <c r="AU9" i="6" s="1"/>
  <c r="W9" i="6"/>
  <c r="AK9" i="6" a="1"/>
  <c r="AK9" i="6"/>
  <c r="AH9" i="6" a="1"/>
  <c r="AH9" i="6"/>
  <c r="AG9" i="6"/>
  <c r="X9" i="6"/>
  <c r="T9" i="6"/>
  <c r="S9" i="6"/>
  <c r="U9" i="6"/>
  <c r="V9" i="6"/>
  <c r="Y9" i="6"/>
  <c r="Z9" i="6"/>
  <c r="AA9" i="6"/>
  <c r="AC9" i="6"/>
  <c r="AD9" i="6"/>
  <c r="AE9" i="6"/>
  <c r="AF9" i="6"/>
  <c r="R9" i="6"/>
  <c r="AI6" i="6" a="1"/>
  <c r="AI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U3" i="12"/>
  <c r="AA3" i="12"/>
  <c r="AB3" i="12"/>
  <c r="K3" i="12"/>
  <c r="W3" i="12"/>
  <c r="R3" i="12"/>
  <c r="AC3" i="12"/>
  <c r="R38" i="5"/>
  <c r="R56" i="5"/>
  <c r="R37" i="5"/>
  <c r="AB37" i="5"/>
  <c r="R32" i="9"/>
  <c r="AE32" i="9"/>
  <c r="U32" i="9"/>
  <c r="S32" i="9"/>
  <c r="T32" i="9"/>
  <c r="V32" i="9"/>
  <c r="W32" i="9"/>
  <c r="X32" i="9"/>
  <c r="AB32" i="9"/>
  <c r="AC32" i="9"/>
  <c r="AD32" i="9"/>
  <c r="R39" i="9"/>
  <c r="AE39" i="9"/>
  <c r="L32" i="9"/>
  <c r="AA32" i="9" s="1"/>
  <c r="AH45" i="9" a="1"/>
  <c r="AH45" i="9"/>
  <c r="Y45" i="9"/>
  <c r="S45" i="9"/>
  <c r="T45" i="9"/>
  <c r="U45" i="9"/>
  <c r="V45" i="9"/>
  <c r="W45" i="9"/>
  <c r="X45" i="9"/>
  <c r="Z45" i="9"/>
  <c r="AB45" i="9"/>
  <c r="AC45" i="9"/>
  <c r="AD45" i="9"/>
  <c r="AE45" i="9"/>
  <c r="AF45" i="9"/>
  <c r="R45" i="9"/>
  <c r="R44" i="9"/>
  <c r="L45" i="9"/>
  <c r="AA45" i="9"/>
  <c r="Z40" i="9"/>
  <c r="AH40" i="9" a="1"/>
  <c r="AR40" i="9" s="1"/>
  <c r="AH40" i="9"/>
  <c r="X13" i="9"/>
  <c r="X22" i="9"/>
  <c r="AH22" i="9" a="1"/>
  <c r="S22" i="9"/>
  <c r="T22" i="9"/>
  <c r="U22" i="9"/>
  <c r="V22" i="9"/>
  <c r="W22" i="9"/>
  <c r="AB22" i="9"/>
  <c r="AC22" i="9"/>
  <c r="AD22" i="9"/>
  <c r="R22" i="9"/>
  <c r="AF22" i="9" s="1"/>
  <c r="AE22" i="9"/>
  <c r="L22" i="9"/>
  <c r="AA22" i="9"/>
  <c r="W13" i="9"/>
  <c r="AH13" i="9" a="1"/>
  <c r="R13" i="9"/>
  <c r="S13" i="9"/>
  <c r="T13" i="9"/>
  <c r="U13" i="9"/>
  <c r="V13" i="9"/>
  <c r="Y13" i="9"/>
  <c r="Z13" i="9"/>
  <c r="AB13" i="9"/>
  <c r="AC13" i="9"/>
  <c r="AD13" i="9"/>
  <c r="AE13" i="9"/>
  <c r="AF13" i="9"/>
  <c r="AH44" i="9" a="1"/>
  <c r="AH44" i="9"/>
  <c r="AF44" i="9"/>
  <c r="S44" i="9"/>
  <c r="T44" i="9"/>
  <c r="U44" i="9"/>
  <c r="V44" i="9"/>
  <c r="W44" i="9"/>
  <c r="X44" i="9"/>
  <c r="Y44" i="9"/>
  <c r="Z44" i="9"/>
  <c r="AB44" i="9"/>
  <c r="AC44" i="9"/>
  <c r="AD44" i="9"/>
  <c r="AE44" i="9"/>
  <c r="L44" i="9"/>
  <c r="AA44" i="9"/>
  <c r="AH54" i="9" a="1"/>
  <c r="AH55" i="9" a="1"/>
  <c r="AH55" i="9"/>
  <c r="R54" i="9"/>
  <c r="R56" i="9" s="1"/>
  <c r="AG54" i="9"/>
  <c r="R25" i="9"/>
  <c r="L13" i="9"/>
  <c r="AA13" i="9"/>
  <c r="AH39" i="9" a="1"/>
  <c r="AW39" i="9" s="1"/>
  <c r="S40" i="9"/>
  <c r="T40" i="9"/>
  <c r="U40" i="9"/>
  <c r="V40" i="9"/>
  <c r="W40" i="9"/>
  <c r="X40" i="9"/>
  <c r="Y40" i="9"/>
  <c r="AB40" i="9"/>
  <c r="AC40" i="9"/>
  <c r="AD40" i="9"/>
  <c r="AE40" i="9"/>
  <c r="AF40" i="9"/>
  <c r="R40" i="9"/>
  <c r="L40" i="9"/>
  <c r="AA40" i="9"/>
  <c r="AH26" i="9" a="1"/>
  <c r="AH25" i="9" a="1"/>
  <c r="AF25" i="9"/>
  <c r="S25" i="9"/>
  <c r="T25" i="9"/>
  <c r="U25" i="9"/>
  <c r="V25" i="9"/>
  <c r="W25" i="9"/>
  <c r="X25" i="9"/>
  <c r="Y25" i="9"/>
  <c r="Z25" i="9"/>
  <c r="AB25" i="9"/>
  <c r="AC25" i="9"/>
  <c r="AD25" i="9"/>
  <c r="AE25" i="9"/>
  <c r="L25" i="9"/>
  <c r="AA25" i="9"/>
  <c r="X33" i="9"/>
  <c r="AG56" i="9"/>
  <c r="AG55" i="9"/>
  <c r="AH20" i="5" a="1"/>
  <c r="AW20" i="5" s="1"/>
  <c r="AH20" i="5"/>
  <c r="AG20" i="5"/>
  <c r="R20" i="5"/>
  <c r="AE20" i="5" s="1"/>
  <c r="AG27" i="17"/>
  <c r="AG23" i="17"/>
  <c r="AH12" i="6" a="1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R12" i="6"/>
  <c r="AF9" i="8"/>
  <c r="AE9" i="8"/>
  <c r="AD9" i="8"/>
  <c r="AC9" i="8"/>
  <c r="AB9" i="8"/>
  <c r="AA9" i="8"/>
  <c r="Y9" i="8"/>
  <c r="X9" i="8"/>
  <c r="W9" i="8"/>
  <c r="V9" i="8"/>
  <c r="U9" i="8"/>
  <c r="T9" i="8"/>
  <c r="S9" i="8"/>
  <c r="R9" i="8"/>
  <c r="AL9" i="8" s="1" a="1"/>
  <c r="AJ9" i="8" a="1"/>
  <c r="K9" i="8"/>
  <c r="AH9" i="8" s="1" a="1"/>
  <c r="Z9" i="8"/>
  <c r="AH12" i="17" a="1"/>
  <c r="AF12" i="17"/>
  <c r="Y12" i="17"/>
  <c r="R23" i="17"/>
  <c r="S12" i="17"/>
  <c r="T12" i="17"/>
  <c r="U12" i="17"/>
  <c r="V12" i="17"/>
  <c r="W12" i="17"/>
  <c r="X12" i="17"/>
  <c r="Z12" i="17"/>
  <c r="AA12" i="17"/>
  <c r="AB12" i="17"/>
  <c r="AC12" i="17"/>
  <c r="AD12" i="17"/>
  <c r="AE12" i="17"/>
  <c r="R12" i="17"/>
  <c r="X23" i="17"/>
  <c r="W23" i="17"/>
  <c r="Y23" i="17"/>
  <c r="AH23" i="17" a="1"/>
  <c r="AH23" i="17" s="1"/>
  <c r="AH22" i="17" a="1"/>
  <c r="AF23" i="17"/>
  <c r="AF22" i="17"/>
  <c r="T23" i="17"/>
  <c r="U23" i="17"/>
  <c r="V23" i="17"/>
  <c r="Z23" i="17"/>
  <c r="AA23" i="17"/>
  <c r="AB23" i="17"/>
  <c r="AC23" i="17"/>
  <c r="AD23" i="17"/>
  <c r="AE23" i="17"/>
  <c r="S23" i="17"/>
  <c r="AH4" i="17" a="1"/>
  <c r="AB4" i="17"/>
  <c r="V4" i="17"/>
  <c r="AA4" i="17"/>
  <c r="Z4" i="17"/>
  <c r="W4" i="17"/>
  <c r="U4" i="17"/>
  <c r="T4" i="17"/>
  <c r="S4" i="17"/>
  <c r="X4" i="17"/>
  <c r="Y4" i="17"/>
  <c r="AC4" i="17"/>
  <c r="AD4" i="17"/>
  <c r="AE4" i="17"/>
  <c r="R4" i="17"/>
  <c r="AF4" i="17" s="1"/>
  <c r="R22" i="17"/>
  <c r="Z22" i="17"/>
  <c r="AA22" i="17"/>
  <c r="AB22" i="17"/>
  <c r="AC22" i="17"/>
  <c r="AD22" i="17"/>
  <c r="AE22" i="17"/>
  <c r="S22" i="17"/>
  <c r="T22" i="17"/>
  <c r="U22" i="17"/>
  <c r="V22" i="17"/>
  <c r="W22" i="17"/>
  <c r="X22" i="17"/>
  <c r="Y22" i="17"/>
  <c r="AD20" i="5"/>
  <c r="AN52" i="3" a="1"/>
  <c r="AV52" i="3" s="1"/>
  <c r="AH52" i="3" a="1"/>
  <c r="AM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O92" i="5"/>
  <c r="S20" i="5"/>
  <c r="AF20" i="5" s="1"/>
  <c r="T20" i="5"/>
  <c r="U20" i="5"/>
  <c r="V20" i="5"/>
  <c r="W20" i="5"/>
  <c r="X20" i="5"/>
  <c r="Y20" i="5"/>
  <c r="Z20" i="5"/>
  <c r="AA20" i="5"/>
  <c r="AB20" i="5"/>
  <c r="AC20" i="5"/>
  <c r="U64" i="5"/>
  <c r="AG64" i="5"/>
  <c r="AN64" i="5" a="1"/>
  <c r="AH64" i="5" a="1"/>
  <c r="AF64" i="5"/>
  <c r="AE64" i="5"/>
  <c r="AD64" i="5"/>
  <c r="AC64" i="5"/>
  <c r="AA64" i="5"/>
  <c r="Z64" i="5"/>
  <c r="Y64" i="5"/>
  <c r="X64" i="5"/>
  <c r="W64" i="5"/>
  <c r="V64" i="5"/>
  <c r="T64" i="5"/>
  <c r="S64" i="5"/>
  <c r="R64" i="5"/>
  <c r="AH42" i="5" a="1"/>
  <c r="Z42" i="5"/>
  <c r="Y42" i="5"/>
  <c r="AB42" i="5"/>
  <c r="S39" i="9"/>
  <c r="T39" i="9"/>
  <c r="U39" i="9"/>
  <c r="V39" i="9"/>
  <c r="W39" i="9"/>
  <c r="X39" i="9"/>
  <c r="AB39" i="9"/>
  <c r="AC39" i="9"/>
  <c r="AD39" i="9"/>
  <c r="L39" i="9"/>
  <c r="Y39" i="9" s="1"/>
  <c r="V42" i="5"/>
  <c r="AC42" i="5"/>
  <c r="AD42" i="5"/>
  <c r="AE42" i="5"/>
  <c r="S42" i="5"/>
  <c r="T42" i="5"/>
  <c r="U42" i="5"/>
  <c r="W42" i="5"/>
  <c r="X42" i="5"/>
  <c r="AA42" i="5"/>
  <c r="R42" i="5"/>
  <c r="AF42" i="5" s="1"/>
  <c r="V37" i="5"/>
  <c r="AF37" i="5" s="1"/>
  <c r="U37" i="5"/>
  <c r="AE37" i="5" s="1"/>
  <c r="AH37" i="5" a="1"/>
  <c r="S3" i="12"/>
  <c r="T3" i="12"/>
  <c r="AH3" i="12" a="1"/>
  <c r="Q28" i="1"/>
  <c r="P27" i="1"/>
  <c r="Q29" i="1"/>
  <c r="AH76" i="5"/>
  <c r="AO76" i="5"/>
  <c r="AQ76" i="5"/>
  <c r="AT76" i="5"/>
  <c r="AU76" i="5"/>
  <c r="AV76" i="5"/>
  <c r="AH29" i="18"/>
  <c r="AK29" i="18"/>
  <c r="AQ29" i="18"/>
  <c r="AV29" i="18"/>
  <c r="AM29" i="18"/>
  <c r="AH27" i="18"/>
  <c r="AV27" i="18"/>
  <c r="AH26" i="18"/>
  <c r="AW26" i="18"/>
  <c r="AO13" i="6"/>
  <c r="AT13" i="6"/>
  <c r="AV13" i="6"/>
  <c r="AP11" i="6"/>
  <c r="AS11" i="6"/>
  <c r="AV11" i="6"/>
  <c r="AK18" i="6"/>
  <c r="AN18" i="6"/>
  <c r="AO18" i="6"/>
  <c r="AU18" i="6"/>
  <c r="AO9" i="6"/>
  <c r="AW9" i="6"/>
  <c r="AH4" i="17"/>
  <c r="AN4" i="17"/>
  <c r="AH77" i="5"/>
  <c r="AT77" i="5"/>
  <c r="AU77" i="5"/>
  <c r="AW77" i="5"/>
  <c r="AH73" i="5"/>
  <c r="AI73" i="5"/>
  <c r="AK73" i="5"/>
  <c r="AO73" i="5"/>
  <c r="AS73" i="5"/>
  <c r="AT73" i="5"/>
  <c r="AU73" i="5"/>
  <c r="AH72" i="5"/>
  <c r="AM72" i="5"/>
  <c r="AV72" i="5"/>
  <c r="AH85" i="5"/>
  <c r="AU85" i="5"/>
  <c r="AV85" i="5"/>
  <c r="AN64" i="5"/>
  <c r="AS64" i="5"/>
  <c r="AT64" i="5"/>
  <c r="AH32" i="9" a="1"/>
  <c r="Y32" i="9"/>
  <c r="Z32" i="9"/>
  <c r="AH22" i="9"/>
  <c r="AL22" i="9"/>
  <c r="AN22" i="9"/>
  <c r="AQ22" i="9"/>
  <c r="AH13" i="9"/>
  <c r="AT13" i="9"/>
  <c r="AV13" i="9"/>
  <c r="AH54" i="9"/>
  <c r="AV54" i="9"/>
  <c r="AH39" i="9"/>
  <c r="AT39" i="9"/>
  <c r="AQ39" i="9"/>
  <c r="AK25" i="9"/>
  <c r="AH25" i="9"/>
  <c r="AT25" i="9"/>
  <c r="Z39" i="9"/>
  <c r="AA39" i="9"/>
  <c r="AO11" i="6"/>
  <c r="AR13" i="6"/>
  <c r="AP13" i="6"/>
  <c r="AW11" i="6"/>
  <c r="AL76" i="3"/>
  <c r="AW52" i="3"/>
  <c r="Z51" i="11"/>
  <c r="Y3" i="12"/>
  <c r="V3" i="12"/>
  <c r="AQ76" i="3"/>
  <c r="AM85" i="5"/>
  <c r="AM71" i="5"/>
  <c r="AK26" i="18"/>
  <c r="B3" i="19"/>
  <c r="B4" i="19"/>
  <c r="C4" i="19"/>
  <c r="D4" i="19"/>
  <c r="Z37" i="5"/>
  <c r="AA37" i="5"/>
  <c r="Y37" i="5"/>
  <c r="W37" i="5"/>
  <c r="X37" i="5"/>
  <c r="T37" i="5"/>
  <c r="AD37" i="5"/>
  <c r="S37" i="5"/>
  <c r="AC37" i="5"/>
  <c r="AH14" i="6" a="1"/>
  <c r="AJ14" i="6"/>
  <c r="AH8" i="6" a="1"/>
  <c r="AH8" i="6"/>
  <c r="AH7" i="6" a="1"/>
  <c r="AH7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R14" i="6"/>
  <c r="U37" i="11"/>
  <c r="AN37" i="11" a="1"/>
  <c r="AN37" i="11"/>
  <c r="AK37" i="11" a="1"/>
  <c r="AK37" i="11"/>
  <c r="AH37" i="11" a="1"/>
  <c r="AH37" i="11"/>
  <c r="AF37" i="11"/>
  <c r="V37" i="11"/>
  <c r="W37" i="11"/>
  <c r="X37" i="11"/>
  <c r="AB37" i="11"/>
  <c r="AC37" i="11"/>
  <c r="AD37" i="11"/>
  <c r="AE37" i="11"/>
  <c r="S37" i="11"/>
  <c r="T37" i="11"/>
  <c r="Y37" i="11"/>
  <c r="AA37" i="11"/>
  <c r="R37" i="11"/>
  <c r="K37" i="11"/>
  <c r="Z37" i="11"/>
  <c r="V9" i="17"/>
  <c r="X9" i="17"/>
  <c r="W9" i="17"/>
  <c r="AH9" i="17" a="1"/>
  <c r="AH9" i="17"/>
  <c r="R5" i="17"/>
  <c r="U9" i="17"/>
  <c r="T9" i="17"/>
  <c r="Y9" i="17"/>
  <c r="AG9" i="17" a="1"/>
  <c r="AG9" i="17"/>
  <c r="AE9" i="17"/>
  <c r="S9" i="17"/>
  <c r="Z9" i="17"/>
  <c r="AA9" i="17"/>
  <c r="AB9" i="17"/>
  <c r="AC9" i="17"/>
  <c r="AD9" i="17"/>
  <c r="AF9" i="17"/>
  <c r="O13" i="1"/>
  <c r="AV8" i="6"/>
  <c r="AT8" i="6"/>
  <c r="AR8" i="6"/>
  <c r="AW8" i="6"/>
  <c r="AU8" i="6"/>
  <c r="AS8" i="6"/>
  <c r="D5" i="19"/>
  <c r="B5" i="19"/>
  <c r="C5" i="19"/>
  <c r="AQ8" i="6"/>
  <c r="AI14" i="6"/>
  <c r="AU14" i="6"/>
  <c r="AT14" i="6"/>
  <c r="AR14" i="6"/>
  <c r="AL14" i="6"/>
  <c r="AW14" i="6"/>
  <c r="AP14" i="6"/>
  <c r="AK14" i="6"/>
  <c r="AH14" i="6"/>
  <c r="AV14" i="6"/>
  <c r="AS14" i="6"/>
  <c r="AQ14" i="6"/>
  <c r="AO14" i="6"/>
  <c r="AN14" i="6"/>
  <c r="AM14" i="6"/>
  <c r="AO8" i="6"/>
  <c r="AL8" i="6"/>
  <c r="AK8" i="6"/>
  <c r="AP8" i="6"/>
  <c r="AN8" i="6"/>
  <c r="AJ8" i="6"/>
  <c r="AI8" i="6"/>
  <c r="AM8" i="6"/>
  <c r="AL7" i="6"/>
  <c r="AK7" i="6"/>
  <c r="AV7" i="6"/>
  <c r="AS7" i="6"/>
  <c r="AQ7" i="6"/>
  <c r="AJ7" i="6"/>
  <c r="AW7" i="6"/>
  <c r="AU7" i="6"/>
  <c r="AT7" i="6"/>
  <c r="AR7" i="6"/>
  <c r="AP7" i="6"/>
  <c r="AO7" i="6"/>
  <c r="AN7" i="6"/>
  <c r="AM7" i="6"/>
  <c r="AI7" i="6"/>
  <c r="AR37" i="11"/>
  <c r="AQ37" i="11"/>
  <c r="AW37" i="11"/>
  <c r="AV37" i="11"/>
  <c r="AU37" i="11"/>
  <c r="AT37" i="11"/>
  <c r="AS37" i="11"/>
  <c r="AP37" i="11"/>
  <c r="AO37" i="11"/>
  <c r="AM37" i="11"/>
  <c r="AL37" i="11"/>
  <c r="AJ37" i="11"/>
  <c r="AI37" i="11"/>
  <c r="AW9" i="17"/>
  <c r="AU9" i="17"/>
  <c r="AS9" i="17"/>
  <c r="AQ9" i="17"/>
  <c r="AO9" i="17"/>
  <c r="AK9" i="17"/>
  <c r="AV9" i="17"/>
  <c r="AT9" i="17"/>
  <c r="AR9" i="17"/>
  <c r="AP9" i="17"/>
  <c r="AN9" i="17"/>
  <c r="AM9" i="17"/>
  <c r="AL9" i="17"/>
  <c r="AJ9" i="17"/>
  <c r="AI9" i="17"/>
  <c r="AP10" i="8" a="1"/>
  <c r="AP10" i="8"/>
  <c r="AN10" i="8" a="1"/>
  <c r="AN10" i="8"/>
  <c r="AJ10" i="8" a="1"/>
  <c r="AJ10" i="8"/>
  <c r="AH10" i="8" a="1"/>
  <c r="AH10" i="8"/>
  <c r="K10" i="8"/>
  <c r="AB16" i="8"/>
  <c r="AA16" i="8"/>
  <c r="P16" i="1"/>
  <c r="P17" i="1"/>
  <c r="M11" i="1"/>
  <c r="AT10" i="8" a="1"/>
  <c r="X10" i="8" a="1"/>
  <c r="X10" i="8"/>
  <c r="W10" i="8" a="1"/>
  <c r="W10" i="8"/>
  <c r="Z10" i="8" a="1"/>
  <c r="Z10" i="8"/>
  <c r="Y10" i="8" a="1"/>
  <c r="Y10" i="8"/>
  <c r="D6" i="19"/>
  <c r="B6" i="19"/>
  <c r="C6" i="19"/>
  <c r="AQ10" i="8"/>
  <c r="AS10" i="8"/>
  <c r="AR10" i="8"/>
  <c r="AO10" i="8"/>
  <c r="AL10" i="8"/>
  <c r="AK10" i="8"/>
  <c r="AI10" i="8"/>
  <c r="I14" i="1"/>
  <c r="AT10" i="8"/>
  <c r="AV10" i="8"/>
  <c r="AW10" i="8"/>
  <c r="AU10" i="8"/>
  <c r="D7" i="19"/>
  <c r="C7" i="19"/>
  <c r="B7" i="19"/>
  <c r="J14" i="1"/>
  <c r="J15" i="1"/>
  <c r="X72" i="3"/>
  <c r="B8" i="19"/>
  <c r="C8" i="19"/>
  <c r="D8" i="19"/>
  <c r="Y45" i="3"/>
  <c r="C9" i="19"/>
  <c r="D9" i="19"/>
  <c r="B9" i="19"/>
  <c r="S31" i="3"/>
  <c r="S75" i="3"/>
  <c r="R31" i="3"/>
  <c r="R45" i="3"/>
  <c r="S67" i="3"/>
  <c r="D10" i="19"/>
  <c r="C10" i="19"/>
  <c r="B10" i="19"/>
  <c r="J23" i="1"/>
  <c r="B11" i="19"/>
  <c r="C11" i="19"/>
  <c r="D11" i="19"/>
  <c r="P18" i="1"/>
  <c r="B12" i="19"/>
  <c r="D12" i="19"/>
  <c r="C12" i="19"/>
  <c r="E25" i="1"/>
  <c r="B13" i="19"/>
  <c r="C13" i="19"/>
  <c r="D13" i="19"/>
  <c r="AN111" i="5" a="1"/>
  <c r="AN111" i="5"/>
  <c r="AN110" i="5" a="1"/>
  <c r="AN109" i="5" a="1"/>
  <c r="AP109" i="5"/>
  <c r="AN108" i="5" a="1"/>
  <c r="AN108" i="5"/>
  <c r="AH111" i="5" a="1"/>
  <c r="AI111" i="5"/>
  <c r="AH110" i="5" a="1"/>
  <c r="AH110" i="5"/>
  <c r="AH109" i="5" a="1"/>
  <c r="AJ109" i="5"/>
  <c r="AH108" i="5" a="1"/>
  <c r="AH108" i="5"/>
  <c r="AG111" i="5"/>
  <c r="AG110" i="5"/>
  <c r="AG109" i="5"/>
  <c r="AG108" i="5"/>
  <c r="AA108" i="5"/>
  <c r="AB108" i="5"/>
  <c r="AC108" i="5"/>
  <c r="AD108" i="5"/>
  <c r="AE108" i="5"/>
  <c r="AF108" i="5"/>
  <c r="AA109" i="5"/>
  <c r="AB109" i="5"/>
  <c r="AC109" i="5"/>
  <c r="AD109" i="5"/>
  <c r="AE109" i="5"/>
  <c r="AF109" i="5"/>
  <c r="AA110" i="5"/>
  <c r="AB110" i="5"/>
  <c r="AC110" i="5"/>
  <c r="AD110" i="5"/>
  <c r="AE110" i="5"/>
  <c r="AF110" i="5"/>
  <c r="AA111" i="5"/>
  <c r="AB111" i="5"/>
  <c r="AC111" i="5"/>
  <c r="AD111" i="5"/>
  <c r="AE111" i="5"/>
  <c r="AF111" i="5"/>
  <c r="Z111" i="5"/>
  <c r="Z110" i="5"/>
  <c r="Z109" i="5"/>
  <c r="Z108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AN40" i="18" a="1"/>
  <c r="AN40" i="18"/>
  <c r="AN39" i="18" a="1"/>
  <c r="AN39" i="18"/>
  <c r="AH40" i="18" a="1"/>
  <c r="AH40" i="18"/>
  <c r="AH39" i="18" a="1"/>
  <c r="AH39" i="18"/>
  <c r="AG40" i="18"/>
  <c r="AG39" i="18"/>
  <c r="AA39" i="18"/>
  <c r="AB39" i="18"/>
  <c r="AC39" i="18"/>
  <c r="AD39" i="18"/>
  <c r="AE39" i="18"/>
  <c r="AF39" i="18"/>
  <c r="AA40" i="18"/>
  <c r="AB40" i="18"/>
  <c r="AC40" i="18"/>
  <c r="AD40" i="18"/>
  <c r="AE40" i="18"/>
  <c r="AF40" i="18"/>
  <c r="Z40" i="18"/>
  <c r="Z39" i="18"/>
  <c r="Y40" i="18"/>
  <c r="Y39" i="18"/>
  <c r="X40" i="18"/>
  <c r="X39" i="18"/>
  <c r="W40" i="18"/>
  <c r="W39" i="18"/>
  <c r="V40" i="18"/>
  <c r="V39" i="18"/>
  <c r="U40" i="18"/>
  <c r="U39" i="18"/>
  <c r="T40" i="18"/>
  <c r="T39" i="18"/>
  <c r="S40" i="18"/>
  <c r="S39" i="18"/>
  <c r="R40" i="18"/>
  <c r="R39" i="18"/>
  <c r="AN35" i="18" a="1"/>
  <c r="AN35" i="18"/>
  <c r="AN34" i="18" a="1"/>
  <c r="AN34" i="18"/>
  <c r="AH35" i="18" a="1"/>
  <c r="AH35" i="18"/>
  <c r="AH34" i="18" a="1"/>
  <c r="AH34" i="18"/>
  <c r="AG35" i="18"/>
  <c r="AG34" i="18"/>
  <c r="AB34" i="18"/>
  <c r="AC34" i="18"/>
  <c r="AD34" i="18"/>
  <c r="AE34" i="18"/>
  <c r="AF34" i="18"/>
  <c r="AA34" i="18"/>
  <c r="Z34" i="18"/>
  <c r="Y34" i="18"/>
  <c r="X34" i="18"/>
  <c r="W34" i="18"/>
  <c r="V34" i="18"/>
  <c r="AF35" i="18"/>
  <c r="AE35" i="18"/>
  <c r="AD35" i="18"/>
  <c r="AC35" i="18"/>
  <c r="AB35" i="18"/>
  <c r="Y35" i="18"/>
  <c r="Z35" i="18"/>
  <c r="X35" i="18"/>
  <c r="W35" i="18"/>
  <c r="V35" i="18"/>
  <c r="U35" i="18"/>
  <c r="T35" i="18"/>
  <c r="S35" i="18"/>
  <c r="R35" i="18"/>
  <c r="AA35" i="18"/>
  <c r="U34" i="18"/>
  <c r="T34" i="18"/>
  <c r="S34" i="18"/>
  <c r="R34" i="18"/>
  <c r="U98" i="5"/>
  <c r="V98" i="5"/>
  <c r="AN110" i="5"/>
  <c r="AW110" i="5"/>
  <c r="AN109" i="5"/>
  <c r="AV110" i="5"/>
  <c r="AI108" i="5"/>
  <c r="AS110" i="5"/>
  <c r="AH109" i="5"/>
  <c r="AP108" i="5"/>
  <c r="AM110" i="5"/>
  <c r="AK110" i="5"/>
  <c r="AV108" i="5"/>
  <c r="AK40" i="18"/>
  <c r="AL109" i="5"/>
  <c r="AU108" i="5"/>
  <c r="AK109" i="5"/>
  <c r="AT108" i="5"/>
  <c r="AI109" i="5"/>
  <c r="AS108" i="5"/>
  <c r="B14" i="19"/>
  <c r="C14" i="19"/>
  <c r="D14" i="19"/>
  <c r="AO35" i="18"/>
  <c r="AO109" i="5"/>
  <c r="AT111" i="5"/>
  <c r="AM40" i="18"/>
  <c r="AR108" i="5"/>
  <c r="AU110" i="5"/>
  <c r="AL40" i="18"/>
  <c r="AJ108" i="5"/>
  <c r="AL110" i="5"/>
  <c r="AQ108" i="5"/>
  <c r="AT110" i="5"/>
  <c r="AI40" i="18"/>
  <c r="AO108" i="5"/>
  <c r="AR110" i="5"/>
  <c r="AM109" i="5"/>
  <c r="AH111" i="5"/>
  <c r="AI110" i="5"/>
  <c r="AW109" i="5"/>
  <c r="AQ110" i="5"/>
  <c r="AM108" i="5"/>
  <c r="AV109" i="5"/>
  <c r="AP110" i="5"/>
  <c r="AL108" i="5"/>
  <c r="AM111" i="5"/>
  <c r="AU109" i="5"/>
  <c r="AO110" i="5"/>
  <c r="AW35" i="18"/>
  <c r="AV35" i="18"/>
  <c r="AK108" i="5"/>
  <c r="AJ111" i="5"/>
  <c r="AT109" i="5"/>
  <c r="AW111" i="5"/>
  <c r="AU35" i="18"/>
  <c r="AS109" i="5"/>
  <c r="AT35" i="18"/>
  <c r="AR109" i="5"/>
  <c r="AV111" i="5"/>
  <c r="AS35" i="18"/>
  <c r="AW108" i="5"/>
  <c r="AQ109" i="5"/>
  <c r="AU111" i="5"/>
  <c r="AQ111" i="5"/>
  <c r="AS111" i="5"/>
  <c r="AP111" i="5"/>
  <c r="AO111" i="5"/>
  <c r="AR111" i="5"/>
  <c r="AL111" i="5"/>
  <c r="AK111" i="5"/>
  <c r="AJ110" i="5"/>
  <c r="AV40" i="18"/>
  <c r="AT40" i="18"/>
  <c r="AR40" i="18"/>
  <c r="AP40" i="18"/>
  <c r="AO40" i="18"/>
  <c r="AW40" i="18"/>
  <c r="AU40" i="18"/>
  <c r="AS40" i="18"/>
  <c r="AQ40" i="18"/>
  <c r="AT39" i="18"/>
  <c r="AR39" i="18"/>
  <c r="AP39" i="18"/>
  <c r="AV39" i="18"/>
  <c r="AS39" i="18"/>
  <c r="AQ39" i="18"/>
  <c r="AO39" i="18"/>
  <c r="AW39" i="18"/>
  <c r="AU39" i="18"/>
  <c r="AJ40" i="18"/>
  <c r="AJ39" i="18"/>
  <c r="AI39" i="18"/>
  <c r="AM39" i="18"/>
  <c r="AL39" i="18"/>
  <c r="AK39" i="18"/>
  <c r="AR35" i="18"/>
  <c r="AQ35" i="18"/>
  <c r="AP35" i="18"/>
  <c r="AP34" i="18"/>
  <c r="AO34" i="18"/>
  <c r="AW34" i="18"/>
  <c r="AV34" i="18"/>
  <c r="AU34" i="18"/>
  <c r="AT34" i="18"/>
  <c r="AN98" i="5" a="1"/>
  <c r="AP98" i="5" s="1"/>
  <c r="AN98" i="5"/>
  <c r="AN97" i="5" a="1"/>
  <c r="AH98" i="5" a="1"/>
  <c r="AH98" i="5"/>
  <c r="AH97" i="5" a="1"/>
  <c r="AJ97" i="5" s="1"/>
  <c r="AH97" i="5"/>
  <c r="AG97" i="5"/>
  <c r="AG98" i="5"/>
  <c r="AB98" i="5"/>
  <c r="AC98" i="5"/>
  <c r="AD98" i="5"/>
  <c r="AE98" i="5"/>
  <c r="AF98" i="5"/>
  <c r="AA98" i="5"/>
  <c r="Z98" i="5"/>
  <c r="Y98" i="5"/>
  <c r="X98" i="5"/>
  <c r="W98" i="5"/>
  <c r="T98" i="5"/>
  <c r="S98" i="5"/>
  <c r="R98" i="5"/>
  <c r="AB97" i="5"/>
  <c r="AC97" i="5"/>
  <c r="AD97" i="5"/>
  <c r="AE97" i="5"/>
  <c r="AF97" i="5"/>
  <c r="AA97" i="5"/>
  <c r="Z97" i="5"/>
  <c r="Y97" i="5"/>
  <c r="X97" i="5"/>
  <c r="W97" i="5"/>
  <c r="V97" i="5"/>
  <c r="U97" i="5"/>
  <c r="T97" i="5"/>
  <c r="S97" i="5"/>
  <c r="R97" i="5"/>
  <c r="AN96" i="5" a="1"/>
  <c r="AN96" i="5"/>
  <c r="AN95" i="5" a="1"/>
  <c r="AN95" i="5"/>
  <c r="AH96" i="5" a="1"/>
  <c r="AH96" i="5"/>
  <c r="AH95" i="5" a="1"/>
  <c r="AH95" i="5"/>
  <c r="AG95" i="5"/>
  <c r="AG96" i="5"/>
  <c r="AF95" i="5"/>
  <c r="U95" i="5"/>
  <c r="AB95" i="5"/>
  <c r="AC95" i="5"/>
  <c r="AD95" i="5"/>
  <c r="AE95" i="5"/>
  <c r="AA95" i="5"/>
  <c r="Z95" i="5"/>
  <c r="Y95" i="5"/>
  <c r="X95" i="5"/>
  <c r="W95" i="5"/>
  <c r="V95" i="5"/>
  <c r="T95" i="5"/>
  <c r="S95" i="5"/>
  <c r="R95" i="5"/>
  <c r="U96" i="5"/>
  <c r="X96" i="5"/>
  <c r="W96" i="5"/>
  <c r="R96" i="5"/>
  <c r="V96" i="5"/>
  <c r="Y96" i="5"/>
  <c r="AB96" i="5"/>
  <c r="AC96" i="5"/>
  <c r="AD96" i="5"/>
  <c r="AE96" i="5"/>
  <c r="AF96" i="5"/>
  <c r="AA96" i="5"/>
  <c r="Z96" i="5"/>
  <c r="T96" i="5"/>
  <c r="S96" i="5"/>
  <c r="S61" i="5"/>
  <c r="AN97" i="5"/>
  <c r="AO97" i="5"/>
  <c r="AR97" i="5"/>
  <c r="AV98" i="5"/>
  <c r="AT98" i="5"/>
  <c r="AS98" i="5"/>
  <c r="AM97" i="5"/>
  <c r="AK97" i="5"/>
  <c r="AW98" i="5"/>
  <c r="B15" i="19"/>
  <c r="C15" i="19"/>
  <c r="D15" i="19"/>
  <c r="AL97" i="5"/>
  <c r="AU98" i="5"/>
  <c r="AU96" i="5"/>
  <c r="AR98" i="5"/>
  <c r="AT96" i="5"/>
  <c r="AQ98" i="5"/>
  <c r="AS96" i="5"/>
  <c r="AQ97" i="5"/>
  <c r="AO98" i="5"/>
  <c r="AR96" i="5"/>
  <c r="AQ96" i="5"/>
  <c r="AI97" i="5"/>
  <c r="AW97" i="5"/>
  <c r="AO96" i="5"/>
  <c r="AV97" i="5"/>
  <c r="AU97" i="5"/>
  <c r="AW96" i="5"/>
  <c r="AT97" i="5"/>
  <c r="O23" i="1"/>
  <c r="N23" i="1"/>
  <c r="AL9" i="11" a="1"/>
  <c r="AL9" i="11"/>
  <c r="AH9" i="11" a="1"/>
  <c r="AH9" i="11"/>
  <c r="W9" i="11"/>
  <c r="R9" i="11"/>
  <c r="AA9" i="11"/>
  <c r="AB9" i="11"/>
  <c r="AC9" i="11"/>
  <c r="AD9" i="11"/>
  <c r="AE9" i="11"/>
  <c r="AF9" i="11"/>
  <c r="AA10" i="11"/>
  <c r="AB10" i="11"/>
  <c r="AC10" i="11"/>
  <c r="AD10" i="11"/>
  <c r="S10" i="11"/>
  <c r="T10" i="11"/>
  <c r="U10" i="11"/>
  <c r="V10" i="11"/>
  <c r="W10" i="11"/>
  <c r="R10" i="11"/>
  <c r="AE10" i="11"/>
  <c r="S9" i="11"/>
  <c r="T9" i="11"/>
  <c r="U9" i="11"/>
  <c r="V9" i="11"/>
  <c r="K10" i="11"/>
  <c r="AH10" i="11" a="1"/>
  <c r="AH10" i="11"/>
  <c r="K9" i="11"/>
  <c r="X9" i="11"/>
  <c r="C16" i="19"/>
  <c r="D16" i="19"/>
  <c r="B16" i="19"/>
  <c r="Z9" i="11"/>
  <c r="Y9" i="11"/>
  <c r="Y10" i="11"/>
  <c r="X10" i="11"/>
  <c r="Z10" i="11"/>
  <c r="AF10" i="11"/>
  <c r="AV9" i="11"/>
  <c r="AP9" i="11"/>
  <c r="AO9" i="11"/>
  <c r="AT9" i="11"/>
  <c r="AQ9" i="11"/>
  <c r="AN9" i="11"/>
  <c r="AR9" i="11"/>
  <c r="AM9" i="11"/>
  <c r="AW9" i="11"/>
  <c r="AU9" i="11"/>
  <c r="AS9" i="11"/>
  <c r="AK9" i="11"/>
  <c r="AJ9" i="11"/>
  <c r="AI9" i="11"/>
  <c r="AJ10" i="11"/>
  <c r="AW10" i="11"/>
  <c r="AU10" i="11"/>
  <c r="AS10" i="11"/>
  <c r="AR10" i="11"/>
  <c r="AP10" i="11"/>
  <c r="AO10" i="11"/>
  <c r="AM10" i="11"/>
  <c r="AK10" i="11"/>
  <c r="AI10" i="11"/>
  <c r="AV10" i="11"/>
  <c r="AT10" i="11"/>
  <c r="AQ10" i="11"/>
  <c r="AN10" i="11"/>
  <c r="AL10" i="11"/>
  <c r="AP6" i="8" a="1"/>
  <c r="AQ6" i="8"/>
  <c r="AH6" i="8" a="1"/>
  <c r="AH6" i="8"/>
  <c r="AP20" i="8" a="1"/>
  <c r="AP20" i="8"/>
  <c r="AH20" i="8" a="1"/>
  <c r="AH20" i="8"/>
  <c r="W6" i="8"/>
  <c r="W20" i="8"/>
  <c r="C17" i="19"/>
  <c r="D17" i="19"/>
  <c r="B17" i="19"/>
  <c r="AP6" i="8"/>
  <c r="AO6" i="8"/>
  <c r="AR6" i="8"/>
  <c r="AW6" i="8"/>
  <c r="AV6" i="8"/>
  <c r="AU6" i="8"/>
  <c r="AT6" i="8"/>
  <c r="AS6" i="8"/>
  <c r="AN6" i="8"/>
  <c r="AM6" i="8"/>
  <c r="AL6" i="8"/>
  <c r="AK6" i="8"/>
  <c r="AJ6" i="8"/>
  <c r="AI6" i="8"/>
  <c r="AW20" i="8"/>
  <c r="AU20" i="8"/>
  <c r="AS20" i="8"/>
  <c r="AR20" i="8"/>
  <c r="AV20" i="8"/>
  <c r="AT20" i="8"/>
  <c r="AQ20" i="8"/>
  <c r="AJ20" i="8"/>
  <c r="AO20" i="8"/>
  <c r="AM20" i="8"/>
  <c r="AK20" i="8"/>
  <c r="AI20" i="8"/>
  <c r="AN20" i="8"/>
  <c r="AL20" i="8"/>
  <c r="M25" i="1"/>
  <c r="B18" i="19"/>
  <c r="D18" i="19"/>
  <c r="C18" i="19"/>
  <c r="X67" i="12"/>
  <c r="C19" i="19"/>
  <c r="B19" i="19"/>
  <c r="D19" i="19"/>
  <c r="D9" i="1"/>
  <c r="D20" i="19"/>
  <c r="B20" i="19"/>
  <c r="C20" i="19"/>
  <c r="AH93" i="5" a="1"/>
  <c r="AI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X56" i="5"/>
  <c r="AH56" i="5" a="1"/>
  <c r="AI56" i="5"/>
  <c r="Z56" i="5"/>
  <c r="AA56" i="5"/>
  <c r="AB56" i="5"/>
  <c r="AC56" i="5"/>
  <c r="AD56" i="5"/>
  <c r="AE56" i="5"/>
  <c r="AF56" i="5"/>
  <c r="Y56" i="5"/>
  <c r="W56" i="5"/>
  <c r="V56" i="5"/>
  <c r="U56" i="5"/>
  <c r="T56" i="5"/>
  <c r="S56" i="5"/>
  <c r="T61" i="5"/>
  <c r="X23" i="5"/>
  <c r="W23" i="5"/>
  <c r="T23" i="5"/>
  <c r="AG23" i="5"/>
  <c r="S23" i="5"/>
  <c r="U23" i="5"/>
  <c r="V23" i="5"/>
  <c r="Y23" i="5"/>
  <c r="Z23" i="5"/>
  <c r="AA23" i="5"/>
  <c r="AB23" i="5"/>
  <c r="AC23" i="5"/>
  <c r="AD23" i="5"/>
  <c r="AE23" i="5"/>
  <c r="R23" i="5"/>
  <c r="AF23" i="5"/>
  <c r="AN23" i="5" a="1"/>
  <c r="AW23" i="5"/>
  <c r="AH23" i="5" a="1"/>
  <c r="AH23" i="5"/>
  <c r="B21" i="19"/>
  <c r="C21" i="19"/>
  <c r="D21" i="19"/>
  <c r="AT93" i="5"/>
  <c r="AW93" i="5"/>
  <c r="AU93" i="5"/>
  <c r="AQ93" i="5"/>
  <c r="AO93" i="5"/>
  <c r="AM93" i="5"/>
  <c r="AL93" i="5"/>
  <c r="AH93" i="5"/>
  <c r="AV93" i="5"/>
  <c r="AS93" i="5"/>
  <c r="AN93" i="5"/>
  <c r="AK93" i="5"/>
  <c r="AJ93" i="5"/>
  <c r="AR93" i="5"/>
  <c r="AP93" i="5"/>
  <c r="AH56" i="5"/>
  <c r="AR56" i="5"/>
  <c r="AT56" i="5"/>
  <c r="AV56" i="5"/>
  <c r="AQ56" i="5"/>
  <c r="AO56" i="5"/>
  <c r="AM56" i="5"/>
  <c r="AL56" i="5"/>
  <c r="AK56" i="5"/>
  <c r="AW56" i="5"/>
  <c r="AU56" i="5"/>
  <c r="AS56" i="5"/>
  <c r="AP56" i="5"/>
  <c r="AN56" i="5"/>
  <c r="AJ56" i="5"/>
  <c r="AM23" i="5"/>
  <c r="AI23" i="5"/>
  <c r="AJ23" i="5"/>
  <c r="AK23" i="5"/>
  <c r="AL23" i="5"/>
  <c r="AN23" i="5"/>
  <c r="AO23" i="5"/>
  <c r="AP23" i="5"/>
  <c r="AQ23" i="5"/>
  <c r="AR23" i="5"/>
  <c r="AS23" i="5"/>
  <c r="AT23" i="5"/>
  <c r="AU23" i="5"/>
  <c r="AV23" i="5"/>
  <c r="V55" i="9"/>
  <c r="B22" i="19"/>
  <c r="D22" i="19"/>
  <c r="C22" i="19"/>
  <c r="AE54" i="9"/>
  <c r="AF54" i="9"/>
  <c r="R55" i="9"/>
  <c r="S55" i="9"/>
  <c r="T55" i="9"/>
  <c r="Z54" i="9"/>
  <c r="Y54" i="9"/>
  <c r="X54" i="9"/>
  <c r="X55" i="9"/>
  <c r="Y55" i="9"/>
  <c r="AD56" i="9"/>
  <c r="AD54" i="9"/>
  <c r="V54" i="9"/>
  <c r="U54" i="9"/>
  <c r="W54" i="9"/>
  <c r="W55" i="9"/>
  <c r="Z55" i="9"/>
  <c r="AB55" i="9"/>
  <c r="AC55" i="9"/>
  <c r="AD55" i="9"/>
  <c r="AE55" i="9"/>
  <c r="AF55" i="9"/>
  <c r="AF56" i="9"/>
  <c r="AC54" i="9"/>
  <c r="AB54" i="9"/>
  <c r="AA54" i="9"/>
  <c r="U55" i="9"/>
  <c r="T54" i="9"/>
  <c r="S54" i="9"/>
  <c r="S56" i="9"/>
  <c r="W26" i="9"/>
  <c r="L54" i="9"/>
  <c r="L55" i="9"/>
  <c r="R26" i="9"/>
  <c r="Z56" i="9"/>
  <c r="AA56" i="9"/>
  <c r="X56" i="9"/>
  <c r="Y56" i="9"/>
  <c r="U56" i="9"/>
  <c r="R33" i="9"/>
  <c r="S33" i="9"/>
  <c r="AH56" i="9" a="1"/>
  <c r="AH56" i="9"/>
  <c r="V33" i="9"/>
  <c r="Y33" i="9"/>
  <c r="L26" i="9"/>
  <c r="S26" i="9"/>
  <c r="T26" i="9"/>
  <c r="U26" i="9"/>
  <c r="V26" i="9"/>
  <c r="X26" i="9"/>
  <c r="Y26" i="9"/>
  <c r="Z26" i="9"/>
  <c r="AA26" i="9"/>
  <c r="AB26" i="9"/>
  <c r="AC26" i="9"/>
  <c r="AD26" i="9"/>
  <c r="AE26" i="9"/>
  <c r="AF26" i="9"/>
  <c r="L27" i="9"/>
  <c r="AH27" i="9" a="1"/>
  <c r="AR27" i="9" s="1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L56" i="9"/>
  <c r="AA55" i="9"/>
  <c r="T56" i="9"/>
  <c r="V56" i="9"/>
  <c r="W56" i="9"/>
  <c r="AC56" i="9"/>
  <c r="AE56" i="9"/>
  <c r="U33" i="9"/>
  <c r="T33" i="9"/>
  <c r="AF33" i="9"/>
  <c r="W33" i="9"/>
  <c r="Z33" i="9"/>
  <c r="AB33" i="9"/>
  <c r="AC33" i="9"/>
  <c r="AD33" i="9"/>
  <c r="AE33" i="9"/>
  <c r="L33" i="9"/>
  <c r="AH33" i="9" a="1"/>
  <c r="AH33" i="9"/>
  <c r="B23" i="19"/>
  <c r="C23" i="19"/>
  <c r="D23" i="19"/>
  <c r="AA33" i="9"/>
  <c r="AU56" i="9"/>
  <c r="AS56" i="9"/>
  <c r="AQ56" i="9"/>
  <c r="AP56" i="9"/>
  <c r="AO56" i="9"/>
  <c r="AN56" i="9"/>
  <c r="AM56" i="9"/>
  <c r="AL56" i="9"/>
  <c r="AT56" i="9"/>
  <c r="AR56" i="9"/>
  <c r="AK56" i="9"/>
  <c r="AJ56" i="9"/>
  <c r="AV56" i="9"/>
  <c r="AW56" i="9"/>
  <c r="AI56" i="9"/>
  <c r="AP27" i="9"/>
  <c r="AN27" i="9"/>
  <c r="AM27" i="9"/>
  <c r="AL27" i="9"/>
  <c r="AO27" i="9"/>
  <c r="AQ27" i="9"/>
  <c r="AK27" i="9"/>
  <c r="AI27" i="9"/>
  <c r="AW27" i="9"/>
  <c r="AH27" i="9"/>
  <c r="AV27" i="9"/>
  <c r="AU27" i="9"/>
  <c r="AJ27" i="9"/>
  <c r="AT27" i="9"/>
  <c r="AS27" i="9"/>
  <c r="AB56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W29" i="12"/>
  <c r="W28" i="12"/>
  <c r="AH6" i="5" a="1"/>
  <c r="AH6" i="5"/>
  <c r="U24" i="5"/>
  <c r="U21" i="5"/>
  <c r="U22" i="5"/>
  <c r="R61" i="5"/>
  <c r="V61" i="5"/>
  <c r="U61" i="5"/>
  <c r="C24" i="19"/>
  <c r="B24" i="19"/>
  <c r="D24" i="19"/>
  <c r="AV6" i="5"/>
  <c r="AT6" i="5"/>
  <c r="AS6" i="5"/>
  <c r="AP6" i="5"/>
  <c r="AJ6" i="5"/>
  <c r="AW6" i="5"/>
  <c r="AU6" i="5"/>
  <c r="AR6" i="5"/>
  <c r="AQ6" i="5"/>
  <c r="AO6" i="5"/>
  <c r="AN6" i="5"/>
  <c r="AM6" i="5"/>
  <c r="AK6" i="5"/>
  <c r="AI6" i="5"/>
  <c r="AL6" i="5"/>
  <c r="S6" i="5"/>
  <c r="R6" i="5"/>
  <c r="AB6" i="5"/>
  <c r="AC6" i="5"/>
  <c r="AD6" i="5"/>
  <c r="AE6" i="5"/>
  <c r="AF6" i="5"/>
  <c r="AA6" i="5"/>
  <c r="Z6" i="5"/>
  <c r="Y6" i="5"/>
  <c r="X6" i="5"/>
  <c r="W6" i="5"/>
  <c r="V6" i="5"/>
  <c r="U6" i="5"/>
  <c r="T6" i="5"/>
  <c r="AH24" i="5" a="1"/>
  <c r="AI24" i="5"/>
  <c r="AF24" i="5"/>
  <c r="AE24" i="5"/>
  <c r="AD24" i="5"/>
  <c r="AC24" i="5"/>
  <c r="AB24" i="5"/>
  <c r="AA24" i="5"/>
  <c r="Z24" i="5"/>
  <c r="Y24" i="5"/>
  <c r="X24" i="5"/>
  <c r="W24" i="5"/>
  <c r="V24" i="5"/>
  <c r="T24" i="5"/>
  <c r="S24" i="5"/>
  <c r="R24" i="5"/>
  <c r="S5" i="5"/>
  <c r="S4" i="5"/>
  <c r="T5" i="5"/>
  <c r="T4" i="5"/>
  <c r="T66" i="5"/>
  <c r="T65" i="5"/>
  <c r="T62" i="5"/>
  <c r="S66" i="5"/>
  <c r="S65" i="5"/>
  <c r="S62" i="5"/>
  <c r="AN22" i="5" a="1"/>
  <c r="AN22" i="5"/>
  <c r="AH22" i="5" a="1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T22" i="5"/>
  <c r="S22" i="5"/>
  <c r="R22" i="5"/>
  <c r="V62" i="5"/>
  <c r="Y61" i="5"/>
  <c r="R21" i="5"/>
  <c r="AN21" i="5" a="1"/>
  <c r="AN21" i="5"/>
  <c r="AH21" i="5" a="1"/>
  <c r="AH21" i="5"/>
  <c r="AG21" i="5"/>
  <c r="Z21" i="5"/>
  <c r="Y21" i="5"/>
  <c r="AA21" i="5"/>
  <c r="AB21" i="5"/>
  <c r="AC21" i="5"/>
  <c r="AD21" i="5"/>
  <c r="AE21" i="5"/>
  <c r="AF21" i="5"/>
  <c r="X21" i="5"/>
  <c r="W21" i="5"/>
  <c r="V21" i="5"/>
  <c r="T21" i="5"/>
  <c r="S21" i="5"/>
  <c r="B25" i="19"/>
  <c r="D25" i="19"/>
  <c r="C25" i="19"/>
  <c r="AP24" i="5"/>
  <c r="AH24" i="5"/>
  <c r="AV24" i="5"/>
  <c r="AT24" i="5"/>
  <c r="AQ24" i="5"/>
  <c r="AM24" i="5"/>
  <c r="AL24" i="5"/>
  <c r="AS24" i="5"/>
  <c r="AR24" i="5"/>
  <c r="AO24" i="5"/>
  <c r="AK24" i="5"/>
  <c r="AJ24" i="5"/>
  <c r="AW24" i="5"/>
  <c r="AU24" i="5"/>
  <c r="AN24" i="5"/>
  <c r="AT22" i="5"/>
  <c r="AW22" i="5"/>
  <c r="AV22" i="5"/>
  <c r="AU22" i="5"/>
  <c r="AS22" i="5"/>
  <c r="AR22" i="5"/>
  <c r="AQ22" i="5"/>
  <c r="AP22" i="5"/>
  <c r="AO22" i="5"/>
  <c r="AJ22" i="5"/>
  <c r="AM22" i="5"/>
  <c r="AL22" i="5"/>
  <c r="AK22" i="5"/>
  <c r="AI22" i="5"/>
  <c r="AV21" i="5"/>
  <c r="AT21" i="5"/>
  <c r="AO21" i="5"/>
  <c r="AW21" i="5"/>
  <c r="AU21" i="5"/>
  <c r="AS21" i="5"/>
  <c r="AR21" i="5"/>
  <c r="AQ21" i="5"/>
  <c r="AP21" i="5"/>
  <c r="AM21" i="5"/>
  <c r="AL21" i="5"/>
  <c r="AK21" i="5"/>
  <c r="AJ21" i="5"/>
  <c r="AI21" i="5"/>
  <c r="AH73" i="3" a="1"/>
  <c r="AI73" i="3"/>
  <c r="AG73" i="3" a="1"/>
  <c r="AG73" i="3"/>
  <c r="AA73" i="3"/>
  <c r="AB73" i="3"/>
  <c r="AC73" i="3"/>
  <c r="AD73" i="3"/>
  <c r="AE73" i="3"/>
  <c r="AF73" i="3"/>
  <c r="Z73" i="3"/>
  <c r="Y73" i="3"/>
  <c r="X73" i="3"/>
  <c r="W73" i="3"/>
  <c r="V73" i="3"/>
  <c r="S73" i="3"/>
  <c r="T73" i="3"/>
  <c r="U73" i="3"/>
  <c r="R73" i="3"/>
  <c r="B26" i="19"/>
  <c r="C26" i="19"/>
  <c r="D26" i="19"/>
  <c r="AH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H20" i="6" a="1"/>
  <c r="AH20" i="6" s="1"/>
  <c r="W20" i="6"/>
  <c r="C27" i="19"/>
  <c r="D27" i="19"/>
  <c r="B27" i="19"/>
  <c r="AR20" i="6"/>
  <c r="AI20" i="6"/>
  <c r="AP20" i="6"/>
  <c r="AK20" i="6"/>
  <c r="AW20" i="6"/>
  <c r="AV20" i="6"/>
  <c r="AU20" i="6"/>
  <c r="AT20" i="6"/>
  <c r="AS20" i="6"/>
  <c r="AQ20" i="6"/>
  <c r="AO20" i="6"/>
  <c r="AN20" i="6"/>
  <c r="AM20" i="6"/>
  <c r="AL20" i="6"/>
  <c r="AJ20" i="6"/>
  <c r="D22" i="1"/>
  <c r="B28" i="19"/>
  <c r="C28" i="19"/>
  <c r="D28" i="19"/>
  <c r="R27" i="17"/>
  <c r="AF27" i="17" s="1"/>
  <c r="W27" i="17"/>
  <c r="Y27" i="17"/>
  <c r="T27" i="17"/>
  <c r="V27" i="17"/>
  <c r="U27" i="17"/>
  <c r="Y6" i="17"/>
  <c r="Y20" i="17"/>
  <c r="X27" i="17"/>
  <c r="AH27" i="17" a="1"/>
  <c r="AH27" i="17"/>
  <c r="AA27" i="17"/>
  <c r="Z27" i="17"/>
  <c r="AB27" i="17"/>
  <c r="AC27" i="17"/>
  <c r="AD27" i="17"/>
  <c r="AE27" i="17"/>
  <c r="S27" i="17"/>
  <c r="X20" i="17"/>
  <c r="W17" i="17"/>
  <c r="W21" i="17"/>
  <c r="U13" i="17"/>
  <c r="AH18" i="17" a="1"/>
  <c r="AH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R18" i="17"/>
  <c r="AH13" i="17" a="1"/>
  <c r="AH13" i="17"/>
  <c r="S13" i="17"/>
  <c r="T13" i="17"/>
  <c r="V13" i="17"/>
  <c r="W13" i="17"/>
  <c r="X13" i="17"/>
  <c r="Y13" i="17"/>
  <c r="Z13" i="17"/>
  <c r="AA13" i="17"/>
  <c r="AB13" i="17"/>
  <c r="AC13" i="17"/>
  <c r="AD13" i="17"/>
  <c r="AE13" i="17"/>
  <c r="AF13" i="17"/>
  <c r="R13" i="17"/>
  <c r="AH11" i="17" a="1"/>
  <c r="AH11" i="17"/>
  <c r="U11" i="17"/>
  <c r="S11" i="17"/>
  <c r="T11" i="17"/>
  <c r="V11" i="17"/>
  <c r="W11" i="17"/>
  <c r="X11" i="17"/>
  <c r="Y11" i="17"/>
  <c r="Z11" i="17"/>
  <c r="AA11" i="17"/>
  <c r="AB11" i="17"/>
  <c r="AC11" i="17"/>
  <c r="AD11" i="17"/>
  <c r="AE11" i="17"/>
  <c r="AF11" i="17"/>
  <c r="R11" i="17"/>
  <c r="AH20" i="17" a="1"/>
  <c r="S20" i="17"/>
  <c r="T20" i="17"/>
  <c r="U20" i="17"/>
  <c r="V20" i="17"/>
  <c r="W20" i="17"/>
  <c r="Z20" i="17"/>
  <c r="AA20" i="17"/>
  <c r="AB20" i="17"/>
  <c r="AC20" i="17"/>
  <c r="AD20" i="17"/>
  <c r="AE20" i="17"/>
  <c r="AF20" i="17"/>
  <c r="R20" i="17"/>
  <c r="AH6" i="17" a="1"/>
  <c r="AH6" i="17"/>
  <c r="U6" i="17"/>
  <c r="U14" i="17"/>
  <c r="AH14" i="17" a="1"/>
  <c r="AH14" i="17"/>
  <c r="U19" i="17"/>
  <c r="S19" i="17"/>
  <c r="AO19" i="17" a="1"/>
  <c r="AO19" i="17"/>
  <c r="AL19" i="17" a="1"/>
  <c r="AL19" i="17"/>
  <c r="AH19" i="17" a="1"/>
  <c r="AH19" i="17"/>
  <c r="AF19" i="17"/>
  <c r="AE19" i="17"/>
  <c r="AD19" i="17"/>
  <c r="AC19" i="17"/>
  <c r="AB19" i="17"/>
  <c r="AA19" i="17"/>
  <c r="Z19" i="17"/>
  <c r="Y19" i="17"/>
  <c r="X19" i="17"/>
  <c r="W19" i="17"/>
  <c r="V19" i="17"/>
  <c r="T19" i="17"/>
  <c r="R19" i="17"/>
  <c r="AH26" i="17" a="1"/>
  <c r="AH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R26" i="17"/>
  <c r="S14" i="17"/>
  <c r="T14" i="17"/>
  <c r="V14" i="17"/>
  <c r="W14" i="17"/>
  <c r="X14" i="17"/>
  <c r="Y14" i="17"/>
  <c r="Z14" i="17"/>
  <c r="AA14" i="17"/>
  <c r="AB14" i="17"/>
  <c r="AC14" i="17"/>
  <c r="AD14" i="17"/>
  <c r="AE14" i="17"/>
  <c r="AF14" i="17"/>
  <c r="R14" i="17"/>
  <c r="T6" i="17"/>
  <c r="S6" i="17"/>
  <c r="V6" i="17"/>
  <c r="W6" i="17"/>
  <c r="X6" i="17"/>
  <c r="Z6" i="17"/>
  <c r="AA6" i="17"/>
  <c r="AB6" i="17"/>
  <c r="AC6" i="17"/>
  <c r="AD6" i="17"/>
  <c r="AE6" i="17"/>
  <c r="AF6" i="17"/>
  <c r="R6" i="17"/>
  <c r="AH5" i="17" a="1"/>
  <c r="W5" i="17"/>
  <c r="S5" i="17"/>
  <c r="T5" i="17"/>
  <c r="U5" i="17"/>
  <c r="V5" i="17"/>
  <c r="Y5" i="17"/>
  <c r="Z5" i="17"/>
  <c r="AA5" i="17"/>
  <c r="AB5" i="17"/>
  <c r="AC5" i="17"/>
  <c r="AD5" i="17"/>
  <c r="AE5" i="17"/>
  <c r="AF5" i="17"/>
  <c r="AO3" i="17" a="1"/>
  <c r="AP3" i="17"/>
  <c r="AL3" i="17" a="1"/>
  <c r="AM3" i="17"/>
  <c r="AH3" i="17" a="1"/>
  <c r="AH3" i="17"/>
  <c r="W3" i="17"/>
  <c r="AF3" i="17"/>
  <c r="AE3" i="17"/>
  <c r="AD3" i="17"/>
  <c r="AC3" i="17"/>
  <c r="Z3" i="17"/>
  <c r="AA3" i="17"/>
  <c r="AB3" i="17"/>
  <c r="Y3" i="17"/>
  <c r="V3" i="17"/>
  <c r="X3" i="17"/>
  <c r="S3" i="17"/>
  <c r="T3" i="17"/>
  <c r="U3" i="17"/>
  <c r="B29" i="19"/>
  <c r="C29" i="19"/>
  <c r="D29" i="19"/>
  <c r="AK19" i="17"/>
  <c r="AJ19" i="17"/>
  <c r="AI19" i="17"/>
  <c r="AW26" i="17"/>
  <c r="AT26" i="17"/>
  <c r="AR26" i="17"/>
  <c r="AO26" i="17"/>
  <c r="AM26" i="17"/>
  <c r="AK26" i="17"/>
  <c r="AJ26" i="17"/>
  <c r="AV26" i="17"/>
  <c r="AQ26" i="17"/>
  <c r="AN26" i="17"/>
  <c r="AL26" i="17"/>
  <c r="W5" i="5"/>
  <c r="U66" i="5"/>
  <c r="U65" i="5"/>
  <c r="U62" i="5"/>
  <c r="AG5" i="5"/>
  <c r="D30" i="19"/>
  <c r="C30" i="19"/>
  <c r="B30" i="19"/>
  <c r="AN5" i="5" a="1"/>
  <c r="AN5" i="5"/>
  <c r="AH5" i="5" a="1"/>
  <c r="AI5" i="5"/>
  <c r="Y5" i="5"/>
  <c r="X5" i="5"/>
  <c r="AA5" i="5"/>
  <c r="AB5" i="5"/>
  <c r="AC5" i="5"/>
  <c r="AD5" i="5"/>
  <c r="AE5" i="5"/>
  <c r="AF5" i="5"/>
  <c r="Z5" i="5"/>
  <c r="V4" i="5"/>
  <c r="V5" i="5"/>
  <c r="U5" i="5"/>
  <c r="R5" i="5"/>
  <c r="X62" i="5"/>
  <c r="Y62" i="5"/>
  <c r="W62" i="5"/>
  <c r="AN62" i="5" a="1"/>
  <c r="AN62" i="5"/>
  <c r="AH62" i="5" a="1"/>
  <c r="AI62" i="5"/>
  <c r="AG62" i="5"/>
  <c r="AC62" i="5"/>
  <c r="AD62" i="5"/>
  <c r="AE62" i="5"/>
  <c r="AF62" i="5"/>
  <c r="AB62" i="5"/>
  <c r="AA62" i="5"/>
  <c r="Z62" i="5"/>
  <c r="R62" i="5"/>
  <c r="W66" i="5"/>
  <c r="V66" i="5"/>
  <c r="R66" i="5"/>
  <c r="AN66" i="5" a="1"/>
  <c r="AN66" i="5"/>
  <c r="AH66" i="5" a="1"/>
  <c r="AJ66" i="5"/>
  <c r="AG66" i="5"/>
  <c r="AF66" i="5"/>
  <c r="AE66" i="5"/>
  <c r="AD66" i="5"/>
  <c r="AC66" i="5"/>
  <c r="AB66" i="5"/>
  <c r="AA66" i="5"/>
  <c r="Z66" i="5"/>
  <c r="Y66" i="5"/>
  <c r="X66" i="5"/>
  <c r="C31" i="19"/>
  <c r="D31" i="19"/>
  <c r="B31" i="19"/>
  <c r="AH5" i="5"/>
  <c r="AI66" i="5"/>
  <c r="AW5" i="5"/>
  <c r="AP5" i="5"/>
  <c r="AO5" i="5"/>
  <c r="AV5" i="5"/>
  <c r="AU5" i="5"/>
  <c r="AT5" i="5"/>
  <c r="AS5" i="5"/>
  <c r="AR5" i="5"/>
  <c r="AQ5" i="5"/>
  <c r="AM5" i="5"/>
  <c r="AL5" i="5"/>
  <c r="AK5" i="5"/>
  <c r="AJ5" i="5"/>
  <c r="AW62" i="5"/>
  <c r="AR62" i="5"/>
  <c r="AO62" i="5"/>
  <c r="AV62" i="5"/>
  <c r="AT62" i="5"/>
  <c r="AQ62" i="5"/>
  <c r="AU62" i="5"/>
  <c r="AS62" i="5"/>
  <c r="AP62" i="5"/>
  <c r="AH62" i="5"/>
  <c r="AL62" i="5"/>
  <c r="AM62" i="5"/>
  <c r="AK62" i="5"/>
  <c r="AJ62" i="5"/>
  <c r="AW66" i="5"/>
  <c r="AV66" i="5"/>
  <c r="AU66" i="5"/>
  <c r="AT66" i="5"/>
  <c r="AS66" i="5"/>
  <c r="AR66" i="5"/>
  <c r="AQ66" i="5"/>
  <c r="AP66" i="5"/>
  <c r="AO66" i="5"/>
  <c r="AM66" i="5"/>
  <c r="AL66" i="5"/>
  <c r="AK66" i="5"/>
  <c r="AH66" i="5"/>
  <c r="AT24" i="12" a="1"/>
  <c r="AT24" i="12"/>
  <c r="S15" i="8"/>
  <c r="T15" i="8"/>
  <c r="U15" i="8"/>
  <c r="V15" i="8"/>
  <c r="W15" i="8"/>
  <c r="X15" i="8"/>
  <c r="Y15" i="8"/>
  <c r="AA15" i="8"/>
  <c r="AB15" i="8"/>
  <c r="AC15" i="8"/>
  <c r="AD15" i="8"/>
  <c r="AE15" i="8"/>
  <c r="AF15" i="8"/>
  <c r="R15" i="8"/>
  <c r="K15" i="8"/>
  <c r="Z15" i="8"/>
  <c r="AR16" i="8"/>
  <c r="AT21" i="8"/>
  <c r="AS21" i="8"/>
  <c r="AR21" i="8"/>
  <c r="AQ21" i="8"/>
  <c r="AP21" i="8"/>
  <c r="AO21" i="8"/>
  <c r="AL21" i="8" a="1"/>
  <c r="AL21" i="8"/>
  <c r="AG21" i="8"/>
  <c r="S21" i="8"/>
  <c r="T21" i="8"/>
  <c r="U21" i="8"/>
  <c r="V21" i="8"/>
  <c r="W21" i="8"/>
  <c r="X21" i="8"/>
  <c r="Y21" i="8"/>
  <c r="AA21" i="8"/>
  <c r="AB21" i="8"/>
  <c r="AC21" i="8"/>
  <c r="AD21" i="8"/>
  <c r="AE21" i="8"/>
  <c r="AF21" i="8"/>
  <c r="R21" i="8"/>
  <c r="K21" i="8"/>
  <c r="AH21" i="8" a="1"/>
  <c r="AH21" i="8"/>
  <c r="AO3" i="8"/>
  <c r="AL3" i="8" a="1"/>
  <c r="AL3" i="8"/>
  <c r="J3" i="8"/>
  <c r="Y3" i="8"/>
  <c r="X3" i="8"/>
  <c r="S3" i="8"/>
  <c r="T3" i="8"/>
  <c r="U3" i="8"/>
  <c r="AA3" i="8"/>
  <c r="AB3" i="8"/>
  <c r="AC3" i="8"/>
  <c r="AD3" i="8"/>
  <c r="AE3" i="8"/>
  <c r="AF3" i="8"/>
  <c r="X16" i="8"/>
  <c r="W16" i="8"/>
  <c r="S16" i="8"/>
  <c r="T16" i="8"/>
  <c r="U16" i="8"/>
  <c r="V16" i="8"/>
  <c r="Y16" i="8"/>
  <c r="AC16" i="8"/>
  <c r="AD16" i="8"/>
  <c r="AE16" i="8"/>
  <c r="AF16" i="8"/>
  <c r="R16" i="8"/>
  <c r="AQ16" i="8"/>
  <c r="AP16" i="8"/>
  <c r="K3" i="8"/>
  <c r="Z3" i="8"/>
  <c r="J6" i="8"/>
  <c r="AO16" i="8"/>
  <c r="AL16" i="8" a="1"/>
  <c r="AL16" i="8"/>
  <c r="B32" i="19"/>
  <c r="C32" i="19"/>
  <c r="D32" i="19"/>
  <c r="AH15" i="8" a="1"/>
  <c r="AS15" i="8"/>
  <c r="AJ21" i="8" a="1"/>
  <c r="AJ21" i="8"/>
  <c r="Z21" i="8"/>
  <c r="AN21" i="8"/>
  <c r="AU26" i="12"/>
  <c r="AH3" i="8" a="1"/>
  <c r="AH3" i="8"/>
  <c r="AJ3" i="8" a="1"/>
  <c r="AJ3" i="8"/>
  <c r="AT26" i="12"/>
  <c r="AU25" i="12"/>
  <c r="AT25" i="12"/>
  <c r="AU24" i="12"/>
  <c r="AM21" i="8"/>
  <c r="AI21" i="8"/>
  <c r="AN3" i="8"/>
  <c r="AM3" i="8"/>
  <c r="AM16" i="8"/>
  <c r="AN16" i="8"/>
  <c r="K16" i="8"/>
  <c r="Z16" i="8"/>
  <c r="AS24" i="12" a="1"/>
  <c r="AS24" i="12"/>
  <c r="AQ24" i="12" a="1"/>
  <c r="AR24" i="12"/>
  <c r="R26" i="12"/>
  <c r="R25" i="12"/>
  <c r="V24" i="12"/>
  <c r="AK21" i="8"/>
  <c r="AM15" i="8"/>
  <c r="AJ15" i="8"/>
  <c r="AL15" i="8"/>
  <c r="AU15" i="8"/>
  <c r="AP15" i="8"/>
  <c r="AI15" i="8"/>
  <c r="AV15" i="8"/>
  <c r="AQ15" i="8"/>
  <c r="AW15" i="8"/>
  <c r="C33" i="19"/>
  <c r="D33" i="19"/>
  <c r="B33" i="19"/>
  <c r="AI3" i="8"/>
  <c r="AK3" i="8"/>
  <c r="AR26" i="12"/>
  <c r="AN15" i="8"/>
  <c r="AK15" i="8"/>
  <c r="AH15" i="8"/>
  <c r="AR15" i="8"/>
  <c r="AT15" i="8"/>
  <c r="AO15" i="8"/>
  <c r="AS26" i="12"/>
  <c r="AQ26" i="12"/>
  <c r="AQ24" i="12"/>
  <c r="AJ16" i="8" a="1"/>
  <c r="AH16" i="8" a="1"/>
  <c r="AS25" i="12"/>
  <c r="AR25" i="12"/>
  <c r="AQ25" i="12"/>
  <c r="AN26" i="12" a="1"/>
  <c r="AN26" i="12"/>
  <c r="AO24" i="12" a="1"/>
  <c r="AO24" i="12"/>
  <c r="AK24" i="12" a="1"/>
  <c r="AK24" i="12"/>
  <c r="AM24" i="12" a="1"/>
  <c r="AM24" i="12"/>
  <c r="AI24" i="12" a="1"/>
  <c r="AI24" i="12"/>
  <c r="AB26" i="12"/>
  <c r="AA26" i="12"/>
  <c r="AC26" i="12"/>
  <c r="AD26" i="12"/>
  <c r="AE26" i="12"/>
  <c r="AF26" i="12"/>
  <c r="AH24" i="12" a="1"/>
  <c r="AH24" i="12"/>
  <c r="Z25" i="12" a="1"/>
  <c r="Z25" i="12"/>
  <c r="Y25" i="12"/>
  <c r="X25" i="12"/>
  <c r="W25" i="12"/>
  <c r="V25" i="12"/>
  <c r="U25" i="12"/>
  <c r="U24" i="12"/>
  <c r="T24" i="12"/>
  <c r="S24" i="12"/>
  <c r="T25" i="12"/>
  <c r="S25" i="12"/>
  <c r="W24" i="12"/>
  <c r="X24" i="12"/>
  <c r="Z24" i="12"/>
  <c r="AA24" i="12"/>
  <c r="AB24" i="12"/>
  <c r="AC24" i="12"/>
  <c r="AD24" i="12"/>
  <c r="AE24" i="12"/>
  <c r="R24" i="12"/>
  <c r="AF24" i="12"/>
  <c r="K26" i="12"/>
  <c r="Z26" i="12"/>
  <c r="K25" i="12"/>
  <c r="K24" i="12"/>
  <c r="Y24" i="12"/>
  <c r="C34" i="19"/>
  <c r="D34" i="19"/>
  <c r="B34" i="19"/>
  <c r="AI16" i="8"/>
  <c r="AH16" i="8"/>
  <c r="AJ16" i="8"/>
  <c r="AK16" i="8"/>
  <c r="AO26" i="12"/>
  <c r="AP25" i="12"/>
  <c r="AP24" i="12"/>
  <c r="AO25" i="12"/>
  <c r="AL25" i="12"/>
  <c r="AL24" i="12"/>
  <c r="AL26" i="12"/>
  <c r="AK26" i="12"/>
  <c r="AK25" i="12"/>
  <c r="AN24" i="12"/>
  <c r="AJ24" i="12"/>
  <c r="AH25" i="12"/>
  <c r="AA25" i="12"/>
  <c r="K19" i="8"/>
  <c r="AP37" i="3" a="1"/>
  <c r="AP37" i="3"/>
  <c r="AN37" i="3" a="1"/>
  <c r="AO37" i="3"/>
  <c r="AL37" i="3" a="1"/>
  <c r="AM37" i="3"/>
  <c r="AH37" i="3" a="1"/>
  <c r="AH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S34" i="3"/>
  <c r="R34" i="3"/>
  <c r="T34" i="3"/>
  <c r="U34" i="3"/>
  <c r="V34" i="3"/>
  <c r="AF34" i="3"/>
  <c r="Y34" i="3"/>
  <c r="W34" i="3"/>
  <c r="AT34" i="3"/>
  <c r="AS34" i="3"/>
  <c r="AR34" i="3"/>
  <c r="AP34" i="3" a="1"/>
  <c r="AN34" i="3" a="1"/>
  <c r="AL34" i="3" a="1"/>
  <c r="AH34" i="3" a="1"/>
  <c r="AU34" i="3"/>
  <c r="AV34" i="3"/>
  <c r="X34" i="3"/>
  <c r="Z34" i="3"/>
  <c r="AA34" i="3"/>
  <c r="AB34" i="3"/>
  <c r="AC34" i="3"/>
  <c r="AD34" i="3"/>
  <c r="AE34" i="3"/>
  <c r="AH19" i="8" a="1"/>
  <c r="Z19" i="8" a="1"/>
  <c r="Z19" i="8"/>
  <c r="C35" i="19"/>
  <c r="B35" i="19"/>
  <c r="D35" i="19"/>
  <c r="AW37" i="3"/>
  <c r="AV37" i="3"/>
  <c r="AR37" i="3"/>
  <c r="AS37" i="3"/>
  <c r="AQ37" i="3"/>
  <c r="AU37" i="3"/>
  <c r="AT37" i="3"/>
  <c r="AN37" i="3"/>
  <c r="AL37" i="3"/>
  <c r="AK37" i="3"/>
  <c r="AJ37" i="3"/>
  <c r="AI37" i="3"/>
  <c r="AL34" i="3"/>
  <c r="AH34" i="3"/>
  <c r="AP34" i="3"/>
  <c r="AN34" i="3"/>
  <c r="AW34" i="3"/>
  <c r="AQ34" i="3"/>
  <c r="AO34" i="3"/>
  <c r="AM34" i="3"/>
  <c r="AJ34" i="3"/>
  <c r="AK34" i="3"/>
  <c r="AI34" i="3"/>
  <c r="AT8" i="12" a="1"/>
  <c r="AW9" i="12"/>
  <c r="AQ8" i="12" a="1"/>
  <c r="AR8" i="12"/>
  <c r="AN8" i="12" a="1"/>
  <c r="AN9" i="12"/>
  <c r="AK8" i="12" a="1"/>
  <c r="AK8" i="12"/>
  <c r="AH8" i="12" a="1"/>
  <c r="AH8" i="12"/>
  <c r="W68" i="12"/>
  <c r="W67" i="12"/>
  <c r="W66" i="12"/>
  <c r="W10" i="12"/>
  <c r="W9" i="12"/>
  <c r="W8" i="12"/>
  <c r="R9" i="12"/>
  <c r="S9" i="12"/>
  <c r="T9" i="12"/>
  <c r="U9" i="12"/>
  <c r="V9" i="12"/>
  <c r="X9" i="12"/>
  <c r="Y9" i="12"/>
  <c r="Z9" i="12"/>
  <c r="AA9" i="12"/>
  <c r="AB9" i="12"/>
  <c r="AC9" i="12"/>
  <c r="AD9" i="12"/>
  <c r="AE9" i="12"/>
  <c r="AF9" i="12"/>
  <c r="R10" i="12"/>
  <c r="S10" i="12"/>
  <c r="T10" i="12"/>
  <c r="U10" i="12"/>
  <c r="V10" i="12"/>
  <c r="X10" i="12"/>
  <c r="Y10" i="12"/>
  <c r="Z10" i="12"/>
  <c r="AA10" i="12"/>
  <c r="AB10" i="12"/>
  <c r="AC10" i="12"/>
  <c r="AD10" i="12"/>
  <c r="AE10" i="12"/>
  <c r="AF10" i="12"/>
  <c r="S8" i="12"/>
  <c r="T8" i="12"/>
  <c r="U8" i="12"/>
  <c r="V8" i="12"/>
  <c r="X8" i="12"/>
  <c r="Y8" i="12"/>
  <c r="Z8" i="12"/>
  <c r="AA8" i="12"/>
  <c r="AB8" i="12"/>
  <c r="AC8" i="12"/>
  <c r="AD8" i="12"/>
  <c r="AE8" i="12"/>
  <c r="AF8" i="12"/>
  <c r="R8" i="12"/>
  <c r="K8" i="12"/>
  <c r="AT66" i="12" a="1"/>
  <c r="AT66" i="12"/>
  <c r="AQ66" i="12" a="1"/>
  <c r="AQ66" i="12"/>
  <c r="AN66" i="12" a="1"/>
  <c r="AP67" i="12" s="1"/>
  <c r="AO66" i="12"/>
  <c r="AK66" i="12" a="1"/>
  <c r="AK66" i="12"/>
  <c r="AH66" i="12" a="1"/>
  <c r="AH66" i="12"/>
  <c r="R67" i="12"/>
  <c r="S67" i="12"/>
  <c r="T67" i="12"/>
  <c r="U67" i="12"/>
  <c r="V67" i="12"/>
  <c r="Y67" i="12"/>
  <c r="Z67" i="12"/>
  <c r="AA67" i="12"/>
  <c r="AB67" i="12"/>
  <c r="AC67" i="12"/>
  <c r="AD67" i="12"/>
  <c r="AE67" i="12"/>
  <c r="AF67" i="12"/>
  <c r="R68" i="12"/>
  <c r="S68" i="12"/>
  <c r="T68" i="12"/>
  <c r="U68" i="12"/>
  <c r="V68" i="12"/>
  <c r="X68" i="12"/>
  <c r="Y68" i="12"/>
  <c r="Z68" i="12"/>
  <c r="AA68" i="12"/>
  <c r="AB68" i="12"/>
  <c r="AC68" i="12"/>
  <c r="AD68" i="12"/>
  <c r="AE68" i="12"/>
  <c r="AF68" i="12"/>
  <c r="S66" i="12"/>
  <c r="T66" i="12"/>
  <c r="U66" i="12"/>
  <c r="V66" i="12"/>
  <c r="X66" i="12"/>
  <c r="Y66" i="12"/>
  <c r="Z66" i="12"/>
  <c r="AA66" i="12"/>
  <c r="AB66" i="12"/>
  <c r="AC66" i="12"/>
  <c r="AD66" i="12"/>
  <c r="AE66" i="12"/>
  <c r="AF66" i="12"/>
  <c r="R66" i="12"/>
  <c r="K66" i="12"/>
  <c r="AH19" i="8"/>
  <c r="AO19" i="8"/>
  <c r="AK19" i="8"/>
  <c r="AV19" i="8"/>
  <c r="AU19" i="8"/>
  <c r="AT19" i="8"/>
  <c r="AR19" i="8"/>
  <c r="AJ19" i="8"/>
  <c r="AW19" i="8"/>
  <c r="AN19" i="8"/>
  <c r="AM19" i="8"/>
  <c r="AL19" i="8"/>
  <c r="AS19" i="8"/>
  <c r="AQ19" i="8"/>
  <c r="AI19" i="8"/>
  <c r="AP19" i="8"/>
  <c r="B36" i="19"/>
  <c r="C36" i="19"/>
  <c r="D36" i="19"/>
  <c r="AL68" i="12"/>
  <c r="AI10" i="12"/>
  <c r="AR10" i="12"/>
  <c r="AH10" i="12"/>
  <c r="AR9" i="12"/>
  <c r="AH9" i="12"/>
  <c r="AQ9" i="12"/>
  <c r="AJ8" i="12"/>
  <c r="AQ8" i="12"/>
  <c r="AS10" i="12"/>
  <c r="AW10" i="12"/>
  <c r="AW8" i="12"/>
  <c r="AV10" i="12"/>
  <c r="AV8" i="12"/>
  <c r="AU10" i="12"/>
  <c r="AU9" i="12"/>
  <c r="AU8" i="12"/>
  <c r="AV9" i="12"/>
  <c r="AT10" i="12"/>
  <c r="AT9" i="12"/>
  <c r="AT8" i="12"/>
  <c r="AQ10" i="12"/>
  <c r="AS8" i="12"/>
  <c r="AS9" i="12"/>
  <c r="AN10" i="12"/>
  <c r="AP8" i="12"/>
  <c r="AP9" i="12"/>
  <c r="AO8" i="12"/>
  <c r="AP10" i="12"/>
  <c r="AO9" i="12"/>
  <c r="AN8" i="12"/>
  <c r="AO10" i="12"/>
  <c r="AL10" i="12"/>
  <c r="AM8" i="12"/>
  <c r="AM9" i="12"/>
  <c r="AL8" i="12"/>
  <c r="AK9" i="12"/>
  <c r="AK10" i="12"/>
  <c r="AM10" i="12"/>
  <c r="AL9" i="12"/>
  <c r="AJ9" i="12"/>
  <c r="AI8" i="12"/>
  <c r="AJ10" i="12"/>
  <c r="AI9" i="12"/>
  <c r="AK68" i="12"/>
  <c r="AK67" i="12"/>
  <c r="AM66" i="12"/>
  <c r="AV68" i="12"/>
  <c r="AV66" i="12"/>
  <c r="AU68" i="12"/>
  <c r="AU67" i="12"/>
  <c r="AU66" i="12"/>
  <c r="AW68" i="12"/>
  <c r="AW67" i="12"/>
  <c r="AW66" i="12"/>
  <c r="AV67" i="12"/>
  <c r="AT68" i="12"/>
  <c r="AT67" i="12"/>
  <c r="AR68" i="12"/>
  <c r="AQ67" i="12"/>
  <c r="AS66" i="12"/>
  <c r="AS67" i="12"/>
  <c r="AR66" i="12"/>
  <c r="AQ68" i="12"/>
  <c r="AS68" i="12"/>
  <c r="AR67" i="12"/>
  <c r="AP68" i="12"/>
  <c r="AO67" i="12"/>
  <c r="AN66" i="12"/>
  <c r="AO68" i="12"/>
  <c r="AN67" i="12"/>
  <c r="AN68" i="12"/>
  <c r="AP66" i="12"/>
  <c r="W19" i="15"/>
  <c r="W18" i="15"/>
  <c r="W9" i="15"/>
  <c r="W8" i="15"/>
  <c r="W7" i="15"/>
  <c r="W17" i="15"/>
  <c r="T19" i="15"/>
  <c r="T18" i="15"/>
  <c r="T17" i="15"/>
  <c r="F18" i="15"/>
  <c r="G18" i="15"/>
  <c r="V18" i="15"/>
  <c r="F19" i="15"/>
  <c r="G19" i="15"/>
  <c r="V19" i="15"/>
  <c r="F17" i="15"/>
  <c r="G17" i="15"/>
  <c r="V17" i="15"/>
  <c r="C18" i="15"/>
  <c r="R18" i="15"/>
  <c r="C19" i="15"/>
  <c r="R19" i="15"/>
  <c r="C17" i="15"/>
  <c r="R17" i="15"/>
  <c r="S18" i="15"/>
  <c r="S27" i="15"/>
  <c r="S54" i="15"/>
  <c r="T54" i="15"/>
  <c r="U54" i="15"/>
  <c r="V54" i="15"/>
  <c r="W54" i="15"/>
  <c r="X54" i="15"/>
  <c r="Y54" i="15"/>
  <c r="AA54" i="15"/>
  <c r="AB54" i="15"/>
  <c r="AC54" i="15"/>
  <c r="AD54" i="15"/>
  <c r="AE54" i="15"/>
  <c r="AF54" i="15"/>
  <c r="S55" i="15"/>
  <c r="T55" i="15"/>
  <c r="U55" i="15"/>
  <c r="V55" i="15"/>
  <c r="W55" i="15"/>
  <c r="X55" i="15"/>
  <c r="Y55" i="15"/>
  <c r="AA55" i="15"/>
  <c r="AB55" i="15"/>
  <c r="AC55" i="15"/>
  <c r="AD55" i="15"/>
  <c r="AE55" i="15"/>
  <c r="AF55" i="15"/>
  <c r="S56" i="15"/>
  <c r="T56" i="15"/>
  <c r="U56" i="15"/>
  <c r="V56" i="15"/>
  <c r="W56" i="15"/>
  <c r="X56" i="15"/>
  <c r="Y56" i="15"/>
  <c r="AA56" i="15"/>
  <c r="AB56" i="15"/>
  <c r="AC56" i="15"/>
  <c r="AD56" i="15"/>
  <c r="AE56" i="15"/>
  <c r="AF56" i="15"/>
  <c r="R56" i="15"/>
  <c r="R55" i="15"/>
  <c r="R54" i="15"/>
  <c r="S7" i="15"/>
  <c r="T7" i="15"/>
  <c r="U7" i="15"/>
  <c r="V7" i="15"/>
  <c r="X7" i="15"/>
  <c r="Y7" i="15"/>
  <c r="AA7" i="15"/>
  <c r="AB7" i="15"/>
  <c r="AC7" i="15"/>
  <c r="AD7" i="15"/>
  <c r="AE7" i="15"/>
  <c r="AF7" i="15"/>
  <c r="S8" i="15"/>
  <c r="T8" i="15"/>
  <c r="U8" i="15"/>
  <c r="V8" i="15"/>
  <c r="X8" i="15"/>
  <c r="Y8" i="15"/>
  <c r="AA8" i="15"/>
  <c r="AB8" i="15"/>
  <c r="AC8" i="15"/>
  <c r="AD8" i="15"/>
  <c r="AE8" i="15"/>
  <c r="AF8" i="15"/>
  <c r="S9" i="15"/>
  <c r="T9" i="15"/>
  <c r="U9" i="15"/>
  <c r="V9" i="15"/>
  <c r="X9" i="15"/>
  <c r="Y9" i="15"/>
  <c r="AA9" i="15"/>
  <c r="AB9" i="15"/>
  <c r="AC9" i="15"/>
  <c r="AD9" i="15"/>
  <c r="AE9" i="15"/>
  <c r="AF9" i="15"/>
  <c r="R8" i="15"/>
  <c r="R9" i="15"/>
  <c r="R7" i="15"/>
  <c r="S19" i="15"/>
  <c r="X19" i="15"/>
  <c r="Y19" i="15"/>
  <c r="AA19" i="15"/>
  <c r="AB19" i="15"/>
  <c r="AC19" i="15"/>
  <c r="AD19" i="15"/>
  <c r="AE19" i="15"/>
  <c r="AF19" i="15"/>
  <c r="X18" i="15"/>
  <c r="Y18" i="15"/>
  <c r="AA18" i="15"/>
  <c r="AB18" i="15"/>
  <c r="AC18" i="15"/>
  <c r="AD18" i="15"/>
  <c r="AE18" i="15"/>
  <c r="AF18" i="15"/>
  <c r="K56" i="15"/>
  <c r="Z56" i="15"/>
  <c r="K54" i="15"/>
  <c r="Z54" i="15"/>
  <c r="K9" i="15"/>
  <c r="Z9" i="15"/>
  <c r="K8" i="15"/>
  <c r="Z8" i="15"/>
  <c r="K7" i="15"/>
  <c r="Z7" i="15"/>
  <c r="K19" i="15"/>
  <c r="Z19" i="15"/>
  <c r="K18" i="15"/>
  <c r="Z18" i="15"/>
  <c r="X26" i="15"/>
  <c r="S26" i="15"/>
  <c r="T26" i="15"/>
  <c r="S17" i="15"/>
  <c r="X17" i="15"/>
  <c r="Y17" i="15"/>
  <c r="AA17" i="15"/>
  <c r="AB17" i="15"/>
  <c r="AC17" i="15"/>
  <c r="AD17" i="15"/>
  <c r="AE17" i="15"/>
  <c r="AF17" i="15"/>
  <c r="K17" i="15"/>
  <c r="Z17" i="15"/>
  <c r="X28" i="15"/>
  <c r="U18" i="15"/>
  <c r="D37" i="19"/>
  <c r="B37" i="19"/>
  <c r="C37" i="19"/>
  <c r="U19" i="15"/>
  <c r="U17" i="15"/>
  <c r="AH26" i="15" a="1"/>
  <c r="AH26" i="15"/>
  <c r="AH28" i="15" a="1"/>
  <c r="AH28" i="15"/>
  <c r="S28" i="15"/>
  <c r="T28" i="15"/>
  <c r="U28" i="15"/>
  <c r="V28" i="15"/>
  <c r="W28" i="15"/>
  <c r="Y28" i="15"/>
  <c r="AA28" i="15"/>
  <c r="AB28" i="15"/>
  <c r="AC28" i="15"/>
  <c r="AD28" i="15"/>
  <c r="AE28" i="15"/>
  <c r="AF28" i="15"/>
  <c r="R28" i="15"/>
  <c r="K28" i="15"/>
  <c r="Z28" i="15"/>
  <c r="U26" i="15"/>
  <c r="V26" i="15"/>
  <c r="W26" i="15"/>
  <c r="Y26" i="15"/>
  <c r="AA26" i="15"/>
  <c r="AB26" i="15"/>
  <c r="AC26" i="15"/>
  <c r="AD26" i="15"/>
  <c r="AE26" i="15"/>
  <c r="AF26" i="15"/>
  <c r="R26" i="15"/>
  <c r="K26" i="15"/>
  <c r="Z26" i="15"/>
  <c r="B38" i="19"/>
  <c r="C38" i="19"/>
  <c r="D38" i="19"/>
  <c r="AK26" i="15"/>
  <c r="AO26" i="15"/>
  <c r="AM26" i="15"/>
  <c r="AJ26" i="15"/>
  <c r="AN26" i="15"/>
  <c r="AI26" i="15"/>
  <c r="AL26" i="15"/>
  <c r="AO28" i="15"/>
  <c r="AN28" i="15"/>
  <c r="AM28" i="15"/>
  <c r="AL28" i="15"/>
  <c r="AK28" i="15"/>
  <c r="AJ28" i="15"/>
  <c r="AI28" i="15"/>
  <c r="K55" i="15"/>
  <c r="Z55" i="15"/>
  <c r="C39" i="19"/>
  <c r="D39" i="19"/>
  <c r="B39" i="19"/>
  <c r="X27" i="15"/>
  <c r="Y27" i="15"/>
  <c r="R27" i="15"/>
  <c r="W27" i="15"/>
  <c r="T27" i="15"/>
  <c r="AH27" i="15" a="1"/>
  <c r="AH27" i="15" s="1"/>
  <c r="V27" i="15"/>
  <c r="U27" i="15"/>
  <c r="AA27" i="15"/>
  <c r="AB27" i="15"/>
  <c r="AC27" i="15"/>
  <c r="AD27" i="15"/>
  <c r="AE27" i="15"/>
  <c r="AF27" i="15"/>
  <c r="K27" i="15"/>
  <c r="Z27" i="15"/>
  <c r="B40" i="19"/>
  <c r="D40" i="19"/>
  <c r="C40" i="19"/>
  <c r="AN27" i="15"/>
  <c r="AK27" i="15"/>
  <c r="AL27" i="15"/>
  <c r="AJ27" i="15"/>
  <c r="AO27" i="15"/>
  <c r="AM27" i="15"/>
  <c r="AI27" i="15"/>
  <c r="Y17" i="13"/>
  <c r="Y16" i="13"/>
  <c r="Y15" i="13"/>
  <c r="Y14" i="13"/>
  <c r="Y13" i="13"/>
  <c r="Y12" i="13"/>
  <c r="Y11" i="13"/>
  <c r="Y10" i="13"/>
  <c r="Y9" i="13"/>
  <c r="Y8" i="13"/>
  <c r="Y7" i="13"/>
  <c r="Y4" i="13"/>
  <c r="Y3" i="13"/>
  <c r="X10" i="13"/>
  <c r="X11" i="13"/>
  <c r="X12" i="13"/>
  <c r="X13" i="13"/>
  <c r="X9" i="13"/>
  <c r="X8" i="13"/>
  <c r="X7" i="13"/>
  <c r="X4" i="13"/>
  <c r="X3" i="13"/>
  <c r="AH17" i="13" a="1"/>
  <c r="AJ17" i="13"/>
  <c r="AH16" i="13" a="1"/>
  <c r="AH16" i="13"/>
  <c r="AH15" i="13" a="1"/>
  <c r="AH15" i="13"/>
  <c r="AH14" i="13" a="1"/>
  <c r="AH14" i="13"/>
  <c r="AH13" i="13" a="1"/>
  <c r="AH13" i="13"/>
  <c r="AH12" i="13" a="1"/>
  <c r="AH12" i="13"/>
  <c r="AH11" i="13" a="1"/>
  <c r="AH11" i="13"/>
  <c r="AH10" i="13" a="1"/>
  <c r="AH10" i="13"/>
  <c r="AH9" i="13" a="1"/>
  <c r="AH9" i="13"/>
  <c r="S9" i="13"/>
  <c r="T9" i="13"/>
  <c r="U9" i="13"/>
  <c r="V9" i="13"/>
  <c r="W9" i="13"/>
  <c r="Z9" i="13"/>
  <c r="AA9" i="13"/>
  <c r="AB9" i="13"/>
  <c r="AC9" i="13"/>
  <c r="AD9" i="13"/>
  <c r="AE9" i="13"/>
  <c r="S10" i="13"/>
  <c r="T10" i="13"/>
  <c r="U10" i="13"/>
  <c r="V10" i="13"/>
  <c r="W10" i="13"/>
  <c r="Z10" i="13"/>
  <c r="AA10" i="13"/>
  <c r="AB10" i="13"/>
  <c r="AC10" i="13"/>
  <c r="AD10" i="13"/>
  <c r="AE10" i="13"/>
  <c r="S11" i="13"/>
  <c r="T11" i="13"/>
  <c r="U11" i="13"/>
  <c r="V11" i="13"/>
  <c r="W11" i="13"/>
  <c r="Z11" i="13"/>
  <c r="AA11" i="13"/>
  <c r="AB11" i="13"/>
  <c r="AC11" i="13"/>
  <c r="AD11" i="13"/>
  <c r="AE11" i="13"/>
  <c r="S12" i="13"/>
  <c r="T12" i="13"/>
  <c r="U12" i="13"/>
  <c r="V12" i="13"/>
  <c r="W12" i="13"/>
  <c r="Z12" i="13"/>
  <c r="AA12" i="13"/>
  <c r="AB12" i="13"/>
  <c r="AC12" i="13"/>
  <c r="AD12" i="13"/>
  <c r="AE12" i="13"/>
  <c r="S13" i="13"/>
  <c r="T13" i="13"/>
  <c r="U13" i="13"/>
  <c r="V13" i="13"/>
  <c r="W13" i="13"/>
  <c r="Z13" i="13"/>
  <c r="AA13" i="13"/>
  <c r="AB13" i="13"/>
  <c r="AC13" i="13"/>
  <c r="AD13" i="13"/>
  <c r="AE13" i="13"/>
  <c r="S14" i="13"/>
  <c r="T14" i="13"/>
  <c r="U14" i="13"/>
  <c r="V14" i="13"/>
  <c r="W14" i="13"/>
  <c r="X14" i="13"/>
  <c r="Z14" i="13"/>
  <c r="AA14" i="13"/>
  <c r="AB14" i="13"/>
  <c r="AC14" i="13"/>
  <c r="AD14" i="13"/>
  <c r="AE14" i="13"/>
  <c r="S15" i="13"/>
  <c r="T15" i="13"/>
  <c r="U15" i="13"/>
  <c r="V15" i="13"/>
  <c r="W15" i="13"/>
  <c r="X15" i="13"/>
  <c r="Z15" i="13"/>
  <c r="AA15" i="13"/>
  <c r="AB15" i="13"/>
  <c r="AC15" i="13"/>
  <c r="AD15" i="13"/>
  <c r="AE15" i="13"/>
  <c r="S16" i="13"/>
  <c r="T16" i="13"/>
  <c r="U16" i="13"/>
  <c r="V16" i="13"/>
  <c r="W16" i="13"/>
  <c r="X16" i="13"/>
  <c r="Z16" i="13"/>
  <c r="AA16" i="13"/>
  <c r="AB16" i="13"/>
  <c r="AC16" i="13"/>
  <c r="AD16" i="13"/>
  <c r="AE16" i="13"/>
  <c r="S17" i="13"/>
  <c r="T17" i="13"/>
  <c r="U17" i="13"/>
  <c r="V17" i="13"/>
  <c r="W17" i="13"/>
  <c r="X17" i="13"/>
  <c r="Z17" i="13"/>
  <c r="AA17" i="13"/>
  <c r="AB17" i="13"/>
  <c r="AC17" i="13"/>
  <c r="AD17" i="13"/>
  <c r="AE17" i="13"/>
  <c r="AF17" i="13"/>
  <c r="R17" i="13"/>
  <c r="R16" i="13"/>
  <c r="AF16" i="13"/>
  <c r="R15" i="13"/>
  <c r="AF15" i="13"/>
  <c r="R14" i="13"/>
  <c r="AF14" i="13"/>
  <c r="R13" i="13"/>
  <c r="AF13" i="13"/>
  <c r="R12" i="13"/>
  <c r="AF12" i="13"/>
  <c r="R11" i="13"/>
  <c r="AF11" i="13"/>
  <c r="R10" i="13"/>
  <c r="AF10" i="13"/>
  <c r="R9" i="13"/>
  <c r="AF9" i="13"/>
  <c r="AL8" i="13" a="1"/>
  <c r="AL8" i="13"/>
  <c r="AH8" i="13" a="1"/>
  <c r="AJ8" i="13" s="1"/>
  <c r="S8" i="13"/>
  <c r="T8" i="13"/>
  <c r="U8" i="13"/>
  <c r="V8" i="13"/>
  <c r="W8" i="13"/>
  <c r="Z8" i="13"/>
  <c r="AA8" i="13"/>
  <c r="AB8" i="13"/>
  <c r="AC8" i="13"/>
  <c r="AD8" i="13"/>
  <c r="AE8" i="13"/>
  <c r="R8" i="13"/>
  <c r="AF8" i="13"/>
  <c r="AL7" i="13" a="1"/>
  <c r="AQ7" i="13" s="1"/>
  <c r="AL4" i="13" a="1"/>
  <c r="AH7" i="13" a="1"/>
  <c r="AH7" i="13"/>
  <c r="AH4" i="13" a="1"/>
  <c r="AH4" i="13"/>
  <c r="AH3" i="13" a="1"/>
  <c r="AJ3" i="13" s="1"/>
  <c r="S7" i="13"/>
  <c r="T7" i="13"/>
  <c r="U7" i="13"/>
  <c r="V7" i="13"/>
  <c r="W7" i="13"/>
  <c r="Z7" i="13"/>
  <c r="AA7" i="13"/>
  <c r="AB7" i="13"/>
  <c r="AC7" i="13"/>
  <c r="AD7" i="13"/>
  <c r="AE7" i="13"/>
  <c r="R7" i="13"/>
  <c r="AF7" i="13"/>
  <c r="AH6" i="13" a="1"/>
  <c r="AL6" i="13" s="1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R6" i="13"/>
  <c r="AH5" i="13" a="1"/>
  <c r="AH5" i="13" s="1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R5" i="13"/>
  <c r="S4" i="13"/>
  <c r="T4" i="13"/>
  <c r="U4" i="13"/>
  <c r="V4" i="13"/>
  <c r="W4" i="13"/>
  <c r="Z4" i="13"/>
  <c r="AA4" i="13"/>
  <c r="AB4" i="13"/>
  <c r="AC4" i="13"/>
  <c r="AD4" i="13"/>
  <c r="AE4" i="13"/>
  <c r="R4" i="13"/>
  <c r="AF4" i="13"/>
  <c r="S3" i="13"/>
  <c r="T3" i="13"/>
  <c r="U3" i="13"/>
  <c r="V3" i="13"/>
  <c r="W3" i="13"/>
  <c r="AA3" i="13"/>
  <c r="AB3" i="13"/>
  <c r="AC3" i="13"/>
  <c r="AD3" i="13"/>
  <c r="AE3" i="13"/>
  <c r="R3" i="13"/>
  <c r="AF3" i="13"/>
  <c r="K3" i="13"/>
  <c r="Z3" i="13"/>
  <c r="C41" i="19"/>
  <c r="B41" i="19"/>
  <c r="D41" i="19"/>
  <c r="AJ10" i="13"/>
  <c r="AW7" i="13"/>
  <c r="AH3" i="13"/>
  <c r="AI7" i="13"/>
  <c r="AK10" i="13"/>
  <c r="AJ13" i="13"/>
  <c r="AP7" i="13"/>
  <c r="AK15" i="13"/>
  <c r="AU7" i="13"/>
  <c r="AK17" i="13"/>
  <c r="AQ6" i="13"/>
  <c r="AP6" i="13"/>
  <c r="AO6" i="13"/>
  <c r="AN6" i="13"/>
  <c r="AK7" i="13"/>
  <c r="AO7" i="13"/>
  <c r="AV8" i="13"/>
  <c r="AI13" i="13"/>
  <c r="AW6" i="13"/>
  <c r="AK6" i="13"/>
  <c r="AJ7" i="13"/>
  <c r="AM8" i="13"/>
  <c r="AV6" i="13"/>
  <c r="AJ6" i="13"/>
  <c r="AL3" i="13" a="1"/>
  <c r="AL3" i="13" s="1"/>
  <c r="AI10" i="13"/>
  <c r="AS6" i="13"/>
  <c r="AI6" i="13"/>
  <c r="AR6" i="13"/>
  <c r="AH6" i="13"/>
  <c r="AK3" i="13"/>
  <c r="AI3" i="13"/>
  <c r="AM7" i="13"/>
  <c r="AI8" i="13"/>
  <c r="AQ8" i="13"/>
  <c r="AK9" i="13"/>
  <c r="AJ12" i="13"/>
  <c r="AK14" i="13"/>
  <c r="AI17" i="13"/>
  <c r="AI11" i="13"/>
  <c r="AU8" i="13"/>
  <c r="AH8" i="13"/>
  <c r="AP8" i="13"/>
  <c r="AJ9" i="13"/>
  <c r="AI12" i="13"/>
  <c r="AJ14" i="13"/>
  <c r="AK16" i="13"/>
  <c r="AH17" i="13"/>
  <c r="AO8" i="13"/>
  <c r="AI9" i="13"/>
  <c r="AK11" i="13"/>
  <c r="AI14" i="13"/>
  <c r="AJ16" i="13"/>
  <c r="AV7" i="13"/>
  <c r="AW8" i="13"/>
  <c r="AN8" i="13"/>
  <c r="AJ11" i="13"/>
  <c r="AK13" i="13"/>
  <c r="AI16" i="13"/>
  <c r="AJ15" i="13"/>
  <c r="AS8" i="13"/>
  <c r="AN7" i="13"/>
  <c r="AR8" i="13"/>
  <c r="AK12" i="13"/>
  <c r="AI15" i="13"/>
  <c r="AT7" i="13"/>
  <c r="AL7" i="13"/>
  <c r="AS7" i="13"/>
  <c r="AU6" i="13"/>
  <c r="AM6" i="13"/>
  <c r="AR7" i="13"/>
  <c r="AK8" i="13"/>
  <c r="AT8" i="13"/>
  <c r="AT6" i="13"/>
  <c r="AJ4" i="13"/>
  <c r="AI4" i="13"/>
  <c r="AK4" i="13"/>
  <c r="AW5" i="13"/>
  <c r="AO5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S79" i="12"/>
  <c r="T79" i="12"/>
  <c r="U79" i="12"/>
  <c r="V79" i="12"/>
  <c r="W79" i="12"/>
  <c r="X79" i="12"/>
  <c r="Y79" i="12"/>
  <c r="AA79" i="12"/>
  <c r="AB79" i="12"/>
  <c r="AC79" i="12"/>
  <c r="AD79" i="12"/>
  <c r="AE79" i="12"/>
  <c r="AF79" i="12"/>
  <c r="S80" i="12"/>
  <c r="T80" i="12"/>
  <c r="U80" i="12"/>
  <c r="V80" i="12"/>
  <c r="W80" i="12"/>
  <c r="X80" i="12"/>
  <c r="Y80" i="12"/>
  <c r="AA80" i="12"/>
  <c r="AB80" i="12"/>
  <c r="AC80" i="12"/>
  <c r="AD80" i="12"/>
  <c r="AE80" i="12"/>
  <c r="AF80" i="12"/>
  <c r="S81" i="12"/>
  <c r="T81" i="12"/>
  <c r="U81" i="12"/>
  <c r="V81" i="12"/>
  <c r="W81" i="12"/>
  <c r="X81" i="12"/>
  <c r="Y81" i="12"/>
  <c r="AA81" i="12"/>
  <c r="AB81" i="12"/>
  <c r="AC81" i="12"/>
  <c r="AD81" i="12"/>
  <c r="AE81" i="12"/>
  <c r="AF81" i="12"/>
  <c r="R81" i="12"/>
  <c r="R80" i="12"/>
  <c r="R79" i="12"/>
  <c r="K81" i="12"/>
  <c r="Z81" i="12"/>
  <c r="K80" i="12"/>
  <c r="Z80" i="12"/>
  <c r="K79" i="12"/>
  <c r="R18" i="12"/>
  <c r="R20" i="12"/>
  <c r="AF19" i="12"/>
  <c r="AE19" i="12"/>
  <c r="AD19" i="12"/>
  <c r="AC19" i="12"/>
  <c r="AB19" i="12"/>
  <c r="AA19" i="12"/>
  <c r="Y19" i="12"/>
  <c r="X19" i="12"/>
  <c r="W19" i="12"/>
  <c r="V19" i="12"/>
  <c r="U19" i="12"/>
  <c r="T19" i="12"/>
  <c r="S19" i="12"/>
  <c r="R19" i="12"/>
  <c r="K19" i="12"/>
  <c r="Z19" i="12"/>
  <c r="S20" i="12"/>
  <c r="T20" i="12"/>
  <c r="U20" i="12"/>
  <c r="V20" i="12"/>
  <c r="W20" i="12"/>
  <c r="X20" i="12"/>
  <c r="Y20" i="12"/>
  <c r="AA20" i="12"/>
  <c r="AB20" i="12"/>
  <c r="AC20" i="12"/>
  <c r="AD20" i="12"/>
  <c r="AE20" i="12"/>
  <c r="AF20" i="12"/>
  <c r="K20" i="12"/>
  <c r="Z20" i="12"/>
  <c r="Y18" i="12"/>
  <c r="AA18" i="12"/>
  <c r="AB18" i="12"/>
  <c r="AC18" i="12"/>
  <c r="AD18" i="12"/>
  <c r="AE18" i="12"/>
  <c r="AF18" i="12"/>
  <c r="S18" i="12"/>
  <c r="T18" i="12"/>
  <c r="U18" i="12"/>
  <c r="V18" i="12"/>
  <c r="W18" i="12"/>
  <c r="X18" i="12"/>
  <c r="AG28" i="12"/>
  <c r="K18" i="12"/>
  <c r="AH18" i="12" a="1"/>
  <c r="Z79" i="12"/>
  <c r="B42" i="19"/>
  <c r="D42" i="19"/>
  <c r="C42" i="19"/>
  <c r="AU3" i="13"/>
  <c r="AQ3" i="13"/>
  <c r="AN3" i="13"/>
  <c r="AV3" i="13"/>
  <c r="AO3" i="13"/>
  <c r="AW3" i="13"/>
  <c r="Z18" i="12"/>
  <c r="AS3" i="13"/>
  <c r="AT3" i="13"/>
  <c r="AM3" i="13"/>
  <c r="AR3" i="13"/>
  <c r="AP3" i="13"/>
  <c r="AO18" i="12"/>
  <c r="AV18" i="12"/>
  <c r="AN18" i="12"/>
  <c r="AU18" i="12"/>
  <c r="AM18" i="12"/>
  <c r="AT18" i="12"/>
  <c r="AL18" i="12"/>
  <c r="AS18" i="12"/>
  <c r="AK18" i="12"/>
  <c r="AR18" i="12"/>
  <c r="AJ18" i="12"/>
  <c r="AQ18" i="12"/>
  <c r="AI18" i="12"/>
  <c r="AP18" i="12"/>
  <c r="R55" i="12"/>
  <c r="S37" i="12"/>
  <c r="T37" i="12"/>
  <c r="U37" i="12"/>
  <c r="V37" i="12"/>
  <c r="W37" i="12"/>
  <c r="X37" i="12"/>
  <c r="Y37" i="12"/>
  <c r="AA37" i="12"/>
  <c r="AB37" i="12"/>
  <c r="AC37" i="12"/>
  <c r="AD37" i="12"/>
  <c r="AE37" i="12"/>
  <c r="AF37" i="12"/>
  <c r="S38" i="12"/>
  <c r="T38" i="12"/>
  <c r="U38" i="12"/>
  <c r="V38" i="12"/>
  <c r="W38" i="12"/>
  <c r="X38" i="12"/>
  <c r="Y38" i="12"/>
  <c r="AA38" i="12"/>
  <c r="AB38" i="12"/>
  <c r="AC38" i="12"/>
  <c r="AD38" i="12"/>
  <c r="AE38" i="12"/>
  <c r="AF38" i="12"/>
  <c r="S39" i="12"/>
  <c r="T39" i="12"/>
  <c r="U39" i="12"/>
  <c r="V39" i="12"/>
  <c r="W39" i="12"/>
  <c r="X39" i="12"/>
  <c r="Y39" i="12"/>
  <c r="AA39" i="12"/>
  <c r="AB39" i="12"/>
  <c r="AC39" i="12"/>
  <c r="AD39" i="12"/>
  <c r="AE39" i="12"/>
  <c r="AF39" i="12"/>
  <c r="S40" i="12"/>
  <c r="T40" i="12"/>
  <c r="U40" i="12"/>
  <c r="V40" i="12"/>
  <c r="W40" i="12"/>
  <c r="X40" i="12"/>
  <c r="Y40" i="12"/>
  <c r="AA40" i="12"/>
  <c r="AB40" i="12"/>
  <c r="AC40" i="12"/>
  <c r="AD40" i="12"/>
  <c r="AE40" i="12"/>
  <c r="AF40" i="12"/>
  <c r="S41" i="12"/>
  <c r="T41" i="12"/>
  <c r="U41" i="12"/>
  <c r="V41" i="12"/>
  <c r="W41" i="12"/>
  <c r="X41" i="12"/>
  <c r="Y41" i="12"/>
  <c r="AA41" i="12"/>
  <c r="AB41" i="12"/>
  <c r="AC41" i="12"/>
  <c r="AD41" i="12"/>
  <c r="AE41" i="12"/>
  <c r="AF41" i="12"/>
  <c r="S42" i="12"/>
  <c r="T42" i="12"/>
  <c r="U42" i="12"/>
  <c r="V42" i="12"/>
  <c r="W42" i="12"/>
  <c r="X42" i="12"/>
  <c r="Y42" i="12"/>
  <c r="AA42" i="12"/>
  <c r="AB42" i="12"/>
  <c r="AC42" i="12"/>
  <c r="AD42" i="12"/>
  <c r="AE42" i="12"/>
  <c r="AF42" i="12"/>
  <c r="S43" i="12"/>
  <c r="T43" i="12"/>
  <c r="U43" i="12"/>
  <c r="V43" i="12"/>
  <c r="W43" i="12"/>
  <c r="X43" i="12"/>
  <c r="Y43" i="12"/>
  <c r="AA43" i="12"/>
  <c r="AB43" i="12"/>
  <c r="AC43" i="12"/>
  <c r="AD43" i="12"/>
  <c r="AE43" i="12"/>
  <c r="AF43" i="12"/>
  <c r="S44" i="12"/>
  <c r="T44" i="12"/>
  <c r="U44" i="12"/>
  <c r="V44" i="12"/>
  <c r="W44" i="12"/>
  <c r="X44" i="12"/>
  <c r="Y44" i="12"/>
  <c r="AA44" i="12"/>
  <c r="AB44" i="12"/>
  <c r="AC44" i="12"/>
  <c r="AD44" i="12"/>
  <c r="AE44" i="12"/>
  <c r="AF44" i="12"/>
  <c r="S45" i="12"/>
  <c r="T45" i="12"/>
  <c r="U45" i="12"/>
  <c r="V45" i="12"/>
  <c r="W45" i="12"/>
  <c r="X45" i="12"/>
  <c r="Y45" i="12"/>
  <c r="AA45" i="12"/>
  <c r="AB45" i="12"/>
  <c r="AC45" i="12"/>
  <c r="AD45" i="12"/>
  <c r="AE45" i="12"/>
  <c r="AF45" i="12"/>
  <c r="S46" i="12"/>
  <c r="T46" i="12"/>
  <c r="U46" i="12"/>
  <c r="V46" i="12"/>
  <c r="W46" i="12"/>
  <c r="X46" i="12"/>
  <c r="Y46" i="12"/>
  <c r="AA46" i="12"/>
  <c r="AB46" i="12"/>
  <c r="AC46" i="12"/>
  <c r="AD46" i="12"/>
  <c r="AE46" i="12"/>
  <c r="AF46" i="12"/>
  <c r="S47" i="12"/>
  <c r="T47" i="12"/>
  <c r="U47" i="12"/>
  <c r="V47" i="12"/>
  <c r="W47" i="12"/>
  <c r="X47" i="12"/>
  <c r="Y47" i="12"/>
  <c r="AA47" i="12"/>
  <c r="AB47" i="12"/>
  <c r="AC47" i="12"/>
  <c r="AD47" i="12"/>
  <c r="AE47" i="12"/>
  <c r="AF47" i="12"/>
  <c r="S48" i="12"/>
  <c r="T48" i="12"/>
  <c r="U48" i="12"/>
  <c r="V48" i="12"/>
  <c r="W48" i="12"/>
  <c r="X48" i="12"/>
  <c r="Y48" i="12"/>
  <c r="AA48" i="12"/>
  <c r="AB48" i="12"/>
  <c r="AC48" i="12"/>
  <c r="AD48" i="12"/>
  <c r="AE48" i="12"/>
  <c r="AF48" i="12"/>
  <c r="S49" i="12"/>
  <c r="T49" i="12"/>
  <c r="U49" i="12"/>
  <c r="V49" i="12"/>
  <c r="W49" i="12"/>
  <c r="X49" i="12"/>
  <c r="Y49" i="12"/>
  <c r="AA49" i="12"/>
  <c r="AB49" i="12"/>
  <c r="AC49" i="12"/>
  <c r="AD49" i="12"/>
  <c r="AE49" i="12"/>
  <c r="AF49" i="12"/>
  <c r="S50" i="12"/>
  <c r="T50" i="12"/>
  <c r="U50" i="12"/>
  <c r="V50" i="12"/>
  <c r="W50" i="12"/>
  <c r="X50" i="12"/>
  <c r="Y50" i="12"/>
  <c r="AA50" i="12"/>
  <c r="AB50" i="12"/>
  <c r="AC50" i="12"/>
  <c r="AD50" i="12"/>
  <c r="AE50" i="12"/>
  <c r="AF50" i="12"/>
  <c r="S51" i="12"/>
  <c r="T51" i="12"/>
  <c r="U51" i="12"/>
  <c r="V51" i="12"/>
  <c r="W51" i="12"/>
  <c r="X51" i="12"/>
  <c r="Y51" i="12"/>
  <c r="AA51" i="12"/>
  <c r="AB51" i="12"/>
  <c r="AC51" i="12"/>
  <c r="AD51" i="12"/>
  <c r="AE51" i="12"/>
  <c r="AF51" i="12"/>
  <c r="S52" i="12"/>
  <c r="T52" i="12"/>
  <c r="U52" i="12"/>
  <c r="V52" i="12"/>
  <c r="W52" i="12"/>
  <c r="X52" i="12"/>
  <c r="Y52" i="12"/>
  <c r="AA52" i="12"/>
  <c r="AB52" i="12"/>
  <c r="AC52" i="12"/>
  <c r="AD52" i="12"/>
  <c r="AE52" i="12"/>
  <c r="AF52" i="12"/>
  <c r="S53" i="12"/>
  <c r="T53" i="12"/>
  <c r="U53" i="12"/>
  <c r="V53" i="12"/>
  <c r="W53" i="12"/>
  <c r="X53" i="12"/>
  <c r="Y53" i="12"/>
  <c r="AA53" i="12"/>
  <c r="AB53" i="12"/>
  <c r="AC53" i="12"/>
  <c r="AD53" i="12"/>
  <c r="AE53" i="12"/>
  <c r="AF53" i="12"/>
  <c r="S54" i="12"/>
  <c r="T54" i="12"/>
  <c r="U54" i="12"/>
  <c r="V54" i="12"/>
  <c r="W54" i="12"/>
  <c r="X54" i="12"/>
  <c r="Y54" i="12"/>
  <c r="AA54" i="12"/>
  <c r="AB54" i="12"/>
  <c r="AC54" i="12"/>
  <c r="AD54" i="12"/>
  <c r="AE54" i="12"/>
  <c r="AF54" i="12"/>
  <c r="S55" i="12"/>
  <c r="T55" i="12"/>
  <c r="U55" i="12"/>
  <c r="V55" i="12"/>
  <c r="W55" i="12"/>
  <c r="X55" i="12"/>
  <c r="Y55" i="12"/>
  <c r="AA55" i="12"/>
  <c r="AB55" i="12"/>
  <c r="AC55" i="12"/>
  <c r="AD55" i="12"/>
  <c r="AE55" i="12"/>
  <c r="AF55" i="12"/>
  <c r="S56" i="12"/>
  <c r="T56" i="12"/>
  <c r="U56" i="12"/>
  <c r="V56" i="12"/>
  <c r="W56" i="12"/>
  <c r="X56" i="12"/>
  <c r="Y56" i="12"/>
  <c r="AA56" i="12"/>
  <c r="AB56" i="12"/>
  <c r="AC56" i="12"/>
  <c r="AD56" i="12"/>
  <c r="AE56" i="12"/>
  <c r="AF56" i="12"/>
  <c r="S57" i="12"/>
  <c r="T57" i="12"/>
  <c r="U57" i="12"/>
  <c r="V57" i="12"/>
  <c r="W57" i="12"/>
  <c r="X57" i="12"/>
  <c r="Y57" i="12"/>
  <c r="AA57" i="12"/>
  <c r="AB57" i="12"/>
  <c r="AC57" i="12"/>
  <c r="AD57" i="12"/>
  <c r="AE57" i="12"/>
  <c r="AF57" i="12"/>
  <c r="S58" i="12"/>
  <c r="T58" i="12"/>
  <c r="U58" i="12"/>
  <c r="V58" i="12"/>
  <c r="W58" i="12"/>
  <c r="X58" i="12"/>
  <c r="Y58" i="12"/>
  <c r="AA58" i="12"/>
  <c r="AB58" i="12"/>
  <c r="AC58" i="12"/>
  <c r="AD58" i="12"/>
  <c r="AE58" i="12"/>
  <c r="AF58" i="12"/>
  <c r="S59" i="12"/>
  <c r="T59" i="12"/>
  <c r="U59" i="12"/>
  <c r="V59" i="12"/>
  <c r="W59" i="12"/>
  <c r="X59" i="12"/>
  <c r="Y59" i="12"/>
  <c r="AA59" i="12"/>
  <c r="AB59" i="12"/>
  <c r="AC59" i="12"/>
  <c r="AD59" i="12"/>
  <c r="AE59" i="12"/>
  <c r="AF59" i="12"/>
  <c r="S60" i="12"/>
  <c r="T60" i="12"/>
  <c r="U60" i="12"/>
  <c r="V60" i="12"/>
  <c r="W60" i="12"/>
  <c r="X60" i="12"/>
  <c r="Y60" i="12"/>
  <c r="AA60" i="12"/>
  <c r="AB60" i="12"/>
  <c r="AC60" i="12"/>
  <c r="AD60" i="12"/>
  <c r="AE60" i="12"/>
  <c r="AF60" i="12"/>
  <c r="S61" i="12"/>
  <c r="T61" i="12"/>
  <c r="U61" i="12"/>
  <c r="V61" i="12"/>
  <c r="W61" i="12"/>
  <c r="X61" i="12"/>
  <c r="Y61" i="12"/>
  <c r="AA61" i="12"/>
  <c r="AB61" i="12"/>
  <c r="AC61" i="12"/>
  <c r="AD61" i="12"/>
  <c r="AE61" i="12"/>
  <c r="AF61" i="12"/>
  <c r="S62" i="12"/>
  <c r="T62" i="12"/>
  <c r="U62" i="12"/>
  <c r="V62" i="12"/>
  <c r="W62" i="12"/>
  <c r="X62" i="12"/>
  <c r="Y62" i="12"/>
  <c r="AA62" i="12"/>
  <c r="AB62" i="12"/>
  <c r="AC62" i="12"/>
  <c r="AD62" i="12"/>
  <c r="AE62" i="12"/>
  <c r="AF62" i="12"/>
  <c r="S63" i="12"/>
  <c r="T63" i="12"/>
  <c r="U63" i="12"/>
  <c r="V63" i="12"/>
  <c r="W63" i="12"/>
  <c r="X63" i="12"/>
  <c r="Y63" i="12"/>
  <c r="AB63" i="12"/>
  <c r="AC63" i="12"/>
  <c r="AD63" i="12"/>
  <c r="AE63" i="12"/>
  <c r="AF63" i="12"/>
  <c r="R58" i="12"/>
  <c r="R49" i="12"/>
  <c r="R40" i="12"/>
  <c r="R63" i="12"/>
  <c r="R62" i="12"/>
  <c r="R61" i="12"/>
  <c r="R60" i="12"/>
  <c r="R59" i="12"/>
  <c r="R57" i="12"/>
  <c r="R56" i="12"/>
  <c r="K63" i="12"/>
  <c r="Z63" i="12"/>
  <c r="K62" i="12"/>
  <c r="Z62" i="12" s="1"/>
  <c r="K61" i="12"/>
  <c r="Z61" i="12"/>
  <c r="K60" i="12"/>
  <c r="Z60" i="12"/>
  <c r="K59" i="12"/>
  <c r="Z59" i="12"/>
  <c r="K58" i="12"/>
  <c r="Z58" i="12"/>
  <c r="K57" i="12"/>
  <c r="Z57" i="12"/>
  <c r="K56" i="12"/>
  <c r="Z56" i="12"/>
  <c r="K55" i="12"/>
  <c r="Z55" i="12"/>
  <c r="R54" i="12"/>
  <c r="R53" i="12"/>
  <c r="R50" i="12"/>
  <c r="R47" i="12"/>
  <c r="R45" i="12"/>
  <c r="R44" i="12"/>
  <c r="R41" i="12"/>
  <c r="R38" i="12"/>
  <c r="R52" i="12"/>
  <c r="R51" i="12"/>
  <c r="R48" i="12"/>
  <c r="R46" i="12"/>
  <c r="R37" i="12"/>
  <c r="K54" i="12"/>
  <c r="Z54" i="12" s="1"/>
  <c r="K53" i="12"/>
  <c r="Z53" i="12" s="1"/>
  <c r="K52" i="12"/>
  <c r="Z52" i="12"/>
  <c r="K51" i="12"/>
  <c r="Z51" i="12"/>
  <c r="K50" i="12"/>
  <c r="Z50" i="12" s="1"/>
  <c r="K49" i="12"/>
  <c r="Z49" i="12"/>
  <c r="K48" i="12"/>
  <c r="Z48" i="12"/>
  <c r="K47" i="12"/>
  <c r="Z47" i="12"/>
  <c r="K46" i="12"/>
  <c r="Z46" i="12"/>
  <c r="R42" i="12"/>
  <c r="R39" i="12"/>
  <c r="R43" i="12"/>
  <c r="K45" i="12"/>
  <c r="Z45" i="12"/>
  <c r="K44" i="12"/>
  <c r="Z44" i="12" s="1"/>
  <c r="K43" i="12"/>
  <c r="Z43" i="12"/>
  <c r="K42" i="12"/>
  <c r="Z42" i="12"/>
  <c r="K41" i="12"/>
  <c r="Z41" i="12"/>
  <c r="K40" i="12"/>
  <c r="Z40" i="12"/>
  <c r="K39" i="12"/>
  <c r="Z39" i="12"/>
  <c r="K38" i="12"/>
  <c r="Z38" i="12"/>
  <c r="R36" i="12"/>
  <c r="R35" i="12"/>
  <c r="R34" i="12"/>
  <c r="R33" i="12"/>
  <c r="R32" i="12"/>
  <c r="R31" i="12"/>
  <c r="R30" i="12"/>
  <c r="R29" i="12"/>
  <c r="S36" i="12"/>
  <c r="S35" i="12"/>
  <c r="S34" i="12"/>
  <c r="S33" i="12"/>
  <c r="S32" i="12"/>
  <c r="S31" i="12"/>
  <c r="S30" i="12"/>
  <c r="S29" i="12"/>
  <c r="K37" i="12"/>
  <c r="Z37" i="12"/>
  <c r="AF36" i="12"/>
  <c r="AE36" i="12"/>
  <c r="AD36" i="12"/>
  <c r="AC36" i="12"/>
  <c r="AB36" i="12"/>
  <c r="AA36" i="12"/>
  <c r="Y36" i="12"/>
  <c r="X36" i="12"/>
  <c r="W36" i="12"/>
  <c r="V36" i="12"/>
  <c r="U36" i="12"/>
  <c r="T36" i="12"/>
  <c r="AF35" i="12"/>
  <c r="AE35" i="12"/>
  <c r="AD35" i="12"/>
  <c r="AC35" i="12"/>
  <c r="AB35" i="12"/>
  <c r="AA35" i="12"/>
  <c r="Y35" i="12"/>
  <c r="X35" i="12"/>
  <c r="W35" i="12"/>
  <c r="V35" i="12"/>
  <c r="U35" i="12"/>
  <c r="T35" i="12"/>
  <c r="AF34" i="12"/>
  <c r="AE34" i="12"/>
  <c r="AD34" i="12"/>
  <c r="AC34" i="12"/>
  <c r="AB34" i="12"/>
  <c r="AA34" i="12"/>
  <c r="Y34" i="12"/>
  <c r="X34" i="12"/>
  <c r="W34" i="12"/>
  <c r="V34" i="12"/>
  <c r="U34" i="12"/>
  <c r="T34" i="12"/>
  <c r="AF33" i="12"/>
  <c r="AE33" i="12"/>
  <c r="AD33" i="12"/>
  <c r="AC33" i="12"/>
  <c r="AB33" i="12"/>
  <c r="AA33" i="12"/>
  <c r="Y33" i="12"/>
  <c r="X33" i="12"/>
  <c r="W33" i="12"/>
  <c r="V33" i="12"/>
  <c r="U33" i="12"/>
  <c r="T33" i="12"/>
  <c r="AF32" i="12"/>
  <c r="AE32" i="12"/>
  <c r="AD32" i="12"/>
  <c r="AC32" i="12"/>
  <c r="AB32" i="12"/>
  <c r="AA32" i="12"/>
  <c r="Y32" i="12"/>
  <c r="X32" i="12"/>
  <c r="W32" i="12"/>
  <c r="V32" i="12"/>
  <c r="U32" i="12"/>
  <c r="T32" i="12"/>
  <c r="AF31" i="12"/>
  <c r="AE31" i="12"/>
  <c r="AD31" i="12"/>
  <c r="AC31" i="12"/>
  <c r="AB31" i="12"/>
  <c r="AA31" i="12"/>
  <c r="Y31" i="12"/>
  <c r="X31" i="12"/>
  <c r="W31" i="12"/>
  <c r="V31" i="12"/>
  <c r="U31" i="12"/>
  <c r="T31" i="12"/>
  <c r="AF30" i="12"/>
  <c r="AE30" i="12"/>
  <c r="AD30" i="12"/>
  <c r="AC30" i="12"/>
  <c r="AB30" i="12"/>
  <c r="AA30" i="12"/>
  <c r="Y30" i="12"/>
  <c r="X30" i="12"/>
  <c r="W30" i="12"/>
  <c r="V30" i="12"/>
  <c r="U30" i="12"/>
  <c r="T30" i="12"/>
  <c r="AF29" i="12"/>
  <c r="AE29" i="12"/>
  <c r="AD29" i="12"/>
  <c r="AC29" i="12"/>
  <c r="AB29" i="12"/>
  <c r="AA29" i="12"/>
  <c r="Y29" i="12"/>
  <c r="V29" i="12"/>
  <c r="U29" i="12"/>
  <c r="T29" i="12"/>
  <c r="AF28" i="12"/>
  <c r="AE28" i="12"/>
  <c r="AD28" i="12"/>
  <c r="AC28" i="12"/>
  <c r="AB28" i="12"/>
  <c r="AA28" i="12"/>
  <c r="Y28" i="12"/>
  <c r="X28" i="12"/>
  <c r="V28" i="12"/>
  <c r="U28" i="12"/>
  <c r="T28" i="12"/>
  <c r="S28" i="12"/>
  <c r="B43" i="19"/>
  <c r="D43" i="19"/>
  <c r="C43" i="19"/>
  <c r="AG33" i="12"/>
  <c r="AG36" i="12"/>
  <c r="AG35" i="12"/>
  <c r="AG34" i="12"/>
  <c r="AG32" i="12"/>
  <c r="AG31" i="12"/>
  <c r="AG30" i="12"/>
  <c r="AG29" i="12"/>
  <c r="K28" i="12"/>
  <c r="B44" i="19"/>
  <c r="C44" i="19"/>
  <c r="D44" i="19"/>
  <c r="Z34" i="12"/>
  <c r="AH34" i="12" a="1"/>
  <c r="Z29" i="12"/>
  <c r="AH33" i="12" a="1"/>
  <c r="AH31" i="12" a="1"/>
  <c r="Z32" i="12"/>
  <c r="AH30" i="12" a="1"/>
  <c r="AH36" i="12" a="1"/>
  <c r="Z35" i="12"/>
  <c r="AH29" i="12" a="1"/>
  <c r="Z30" i="12"/>
  <c r="AH35" i="12" a="1"/>
  <c r="AH28" i="12" a="1"/>
  <c r="AH32" i="12" a="1"/>
  <c r="Z33" i="12"/>
  <c r="Z36" i="12"/>
  <c r="Z28" i="12"/>
  <c r="Z31" i="12"/>
  <c r="S21" i="11"/>
  <c r="T21" i="11"/>
  <c r="U21" i="11"/>
  <c r="V21" i="11"/>
  <c r="W21" i="11"/>
  <c r="X21" i="11"/>
  <c r="Y21" i="11"/>
  <c r="AA21" i="11"/>
  <c r="AB21" i="11"/>
  <c r="AC21" i="11"/>
  <c r="AD21" i="11"/>
  <c r="AE21" i="11"/>
  <c r="AF21" i="11"/>
  <c r="R21" i="11"/>
  <c r="K21" i="11"/>
  <c r="AH21" i="11" a="1"/>
  <c r="S23" i="11"/>
  <c r="T23" i="11"/>
  <c r="U23" i="11"/>
  <c r="V23" i="11"/>
  <c r="W23" i="11"/>
  <c r="X23" i="11"/>
  <c r="Y23" i="11"/>
  <c r="AA23" i="11"/>
  <c r="AB23" i="11"/>
  <c r="AC23" i="11"/>
  <c r="AD23" i="11"/>
  <c r="AE23" i="11"/>
  <c r="AF23" i="11"/>
  <c r="R23" i="11"/>
  <c r="K23" i="11"/>
  <c r="AH23" i="11" a="1"/>
  <c r="S50" i="11"/>
  <c r="T50" i="11"/>
  <c r="U50" i="11"/>
  <c r="V50" i="11"/>
  <c r="W50" i="11"/>
  <c r="X50" i="11"/>
  <c r="Y50" i="11"/>
  <c r="AA50" i="11"/>
  <c r="AB50" i="11"/>
  <c r="AC50" i="11"/>
  <c r="AD50" i="11"/>
  <c r="AE50" i="11"/>
  <c r="AF50" i="11"/>
  <c r="R50" i="11"/>
  <c r="K50" i="11"/>
  <c r="Z50" i="11"/>
  <c r="S47" i="11"/>
  <c r="T47" i="11"/>
  <c r="U47" i="11"/>
  <c r="V47" i="11"/>
  <c r="W47" i="11"/>
  <c r="X47" i="11"/>
  <c r="Y47" i="11"/>
  <c r="AA47" i="11"/>
  <c r="AB47" i="11"/>
  <c r="AC47" i="11"/>
  <c r="AD47" i="11"/>
  <c r="AE47" i="11"/>
  <c r="AF47" i="11"/>
  <c r="R47" i="11"/>
  <c r="K47" i="11"/>
  <c r="Z47" i="11"/>
  <c r="V32" i="11"/>
  <c r="R32" i="11"/>
  <c r="AH32" i="11" a="1"/>
  <c r="AI32" i="11"/>
  <c r="AA32" i="11"/>
  <c r="AB32" i="11"/>
  <c r="AC32" i="11"/>
  <c r="AD32" i="11"/>
  <c r="AE32" i="11"/>
  <c r="AF32" i="11"/>
  <c r="Y32" i="11"/>
  <c r="X32" i="11"/>
  <c r="W32" i="11"/>
  <c r="U32" i="11"/>
  <c r="T32" i="11"/>
  <c r="S32" i="11"/>
  <c r="K32" i="11"/>
  <c r="AK32" i="11" a="1"/>
  <c r="AK32" i="11"/>
  <c r="AH15" i="11" a="1"/>
  <c r="AH15" i="11"/>
  <c r="Y15" i="11"/>
  <c r="AA15" i="11"/>
  <c r="AB15" i="11"/>
  <c r="AC15" i="11"/>
  <c r="AD15" i="11"/>
  <c r="AE15" i="11"/>
  <c r="AF15" i="11"/>
  <c r="X15" i="11"/>
  <c r="W15" i="11"/>
  <c r="V15" i="11"/>
  <c r="U15" i="11"/>
  <c r="T15" i="11"/>
  <c r="S15" i="11"/>
  <c r="R15" i="11"/>
  <c r="K15" i="11"/>
  <c r="Z15" i="11"/>
  <c r="V24" i="11"/>
  <c r="U24" i="11"/>
  <c r="R24" i="11"/>
  <c r="AH24" i="11" a="1"/>
  <c r="AH24" i="11"/>
  <c r="AA24" i="11"/>
  <c r="AB24" i="11"/>
  <c r="AC24" i="11"/>
  <c r="AD24" i="11"/>
  <c r="AE24" i="11"/>
  <c r="AF24" i="11"/>
  <c r="Y24" i="11"/>
  <c r="X24" i="11"/>
  <c r="W24" i="11"/>
  <c r="R19" i="11"/>
  <c r="T24" i="11"/>
  <c r="S24" i="11"/>
  <c r="K24" i="11"/>
  <c r="AK24" i="11" a="1"/>
  <c r="AH35" i="11" a="1"/>
  <c r="AJ35" i="11"/>
  <c r="AF35" i="11"/>
  <c r="AE35" i="11"/>
  <c r="AD35" i="11"/>
  <c r="AC35" i="11"/>
  <c r="AB35" i="11"/>
  <c r="AA35" i="11"/>
  <c r="Y35" i="11"/>
  <c r="X35" i="11"/>
  <c r="W35" i="11"/>
  <c r="V35" i="11"/>
  <c r="U35" i="11"/>
  <c r="T35" i="11"/>
  <c r="S35" i="11"/>
  <c r="R35" i="11"/>
  <c r="K35" i="11"/>
  <c r="Z35" i="11"/>
  <c r="X19" i="11"/>
  <c r="AH19" i="11" a="1"/>
  <c r="AJ19" i="11"/>
  <c r="AA19" i="11"/>
  <c r="AB19" i="11"/>
  <c r="AC19" i="11"/>
  <c r="AD19" i="11"/>
  <c r="AE19" i="11"/>
  <c r="AF19" i="11"/>
  <c r="Y19" i="11"/>
  <c r="S19" i="11"/>
  <c r="V19" i="11"/>
  <c r="K19" i="11"/>
  <c r="AK19" i="11" a="1"/>
  <c r="AK19" i="11"/>
  <c r="B45" i="19"/>
  <c r="C45" i="19"/>
  <c r="D45" i="19"/>
  <c r="Z32" i="11"/>
  <c r="AH19" i="11"/>
  <c r="AJ32" i="11"/>
  <c r="AI35" i="11"/>
  <c r="AH35" i="11"/>
  <c r="AI24" i="11"/>
  <c r="AI19" i="11"/>
  <c r="AJ24" i="11"/>
  <c r="AK35" i="11" a="1"/>
  <c r="AQ35" i="11"/>
  <c r="AH47" i="11" a="1"/>
  <c r="AH47" i="11"/>
  <c r="AP24" i="11"/>
  <c r="AQ24" i="11"/>
  <c r="AR24" i="11"/>
  <c r="AK24" i="11"/>
  <c r="AS24" i="11"/>
  <c r="AL24" i="11"/>
  <c r="AT24" i="11"/>
  <c r="AM24" i="11"/>
  <c r="AU24" i="11"/>
  <c r="AN24" i="11"/>
  <c r="AV24" i="11"/>
  <c r="AO24" i="11"/>
  <c r="AW24" i="11"/>
  <c r="AK23" i="11"/>
  <c r="AS23" i="11"/>
  <c r="AL23" i="11"/>
  <c r="AT23" i="11"/>
  <c r="AM23" i="11"/>
  <c r="AU23" i="11"/>
  <c r="AN23" i="11"/>
  <c r="AV23" i="11"/>
  <c r="AO23" i="11"/>
  <c r="AW23" i="11"/>
  <c r="AH23" i="11"/>
  <c r="AP23" i="11"/>
  <c r="AI23" i="11"/>
  <c r="AQ23" i="11"/>
  <c r="AJ23" i="11"/>
  <c r="AR23" i="11"/>
  <c r="AM21" i="11"/>
  <c r="AU21" i="11"/>
  <c r="AN21" i="11"/>
  <c r="AV21" i="11"/>
  <c r="AO21" i="11"/>
  <c r="AW21" i="11"/>
  <c r="AH21" i="11"/>
  <c r="AP21" i="11"/>
  <c r="AI21" i="11"/>
  <c r="AQ21" i="11"/>
  <c r="AJ21" i="11"/>
  <c r="AR21" i="11"/>
  <c r="AK21" i="11"/>
  <c r="AS21" i="11"/>
  <c r="AL21" i="11"/>
  <c r="AT21" i="11"/>
  <c r="AH32" i="11"/>
  <c r="AH50" i="11" a="1"/>
  <c r="Z19" i="11"/>
  <c r="Z23" i="11"/>
  <c r="Z24" i="11"/>
  <c r="Z21" i="11"/>
  <c r="AK15" i="11" a="1"/>
  <c r="AW15" i="11"/>
  <c r="AI36" i="12"/>
  <c r="AQ36" i="12"/>
  <c r="AJ36" i="12"/>
  <c r="AR36" i="12"/>
  <c r="AH36" i="12"/>
  <c r="AK36" i="12"/>
  <c r="AS36" i="12"/>
  <c r="AM36" i="12"/>
  <c r="AU36" i="12"/>
  <c r="AL36" i="12"/>
  <c r="AT36" i="12"/>
  <c r="AO36" i="12"/>
  <c r="AW36" i="12"/>
  <c r="AP36" i="12"/>
  <c r="AN36" i="12"/>
  <c r="AV36" i="12"/>
  <c r="AO31" i="12"/>
  <c r="AW31" i="12"/>
  <c r="AH31" i="12"/>
  <c r="AP31" i="12"/>
  <c r="AR31" i="12"/>
  <c r="AI31" i="12"/>
  <c r="AQ31" i="12"/>
  <c r="AL31" i="12"/>
  <c r="AT31" i="12"/>
  <c r="AJ31" i="12"/>
  <c r="AK31" i="12"/>
  <c r="AS31" i="12"/>
  <c r="AM31" i="12"/>
  <c r="AV31" i="12"/>
  <c r="AU31" i="12"/>
  <c r="AN31" i="12"/>
  <c r="AN30" i="12"/>
  <c r="AV30" i="12"/>
  <c r="AS30" i="12"/>
  <c r="AL30" i="12"/>
  <c r="AM30" i="12"/>
  <c r="AO30" i="12"/>
  <c r="AW30" i="12"/>
  <c r="AH30" i="12"/>
  <c r="AP30" i="12"/>
  <c r="AI30" i="12"/>
  <c r="AQ30" i="12"/>
  <c r="AT30" i="12"/>
  <c r="AJ30" i="12"/>
  <c r="AR30" i="12"/>
  <c r="AK30" i="12"/>
  <c r="AU30" i="12"/>
  <c r="AH33" i="12"/>
  <c r="AQ33" i="12"/>
  <c r="AI33" i="12"/>
  <c r="AR33" i="12"/>
  <c r="AK33" i="12"/>
  <c r="AT33" i="12"/>
  <c r="AJ33" i="12"/>
  <c r="AS33" i="12"/>
  <c r="AM33" i="12"/>
  <c r="AW33" i="12"/>
  <c r="AL33" i="12"/>
  <c r="AU33" i="12"/>
  <c r="AV33" i="12"/>
  <c r="AN33" i="12"/>
  <c r="AO33" i="12"/>
  <c r="AP33" i="12"/>
  <c r="AL28" i="12"/>
  <c r="AT28" i="12"/>
  <c r="AI28" i="12"/>
  <c r="AM28" i="12"/>
  <c r="AU28" i="12"/>
  <c r="AN28" i="12"/>
  <c r="AV28" i="12"/>
  <c r="AO28" i="12"/>
  <c r="AW28" i="12"/>
  <c r="AQ28" i="12"/>
  <c r="AR28" i="12"/>
  <c r="W8" i="8"/>
  <c r="X8" i="8"/>
  <c r="Y8" i="8"/>
  <c r="AA8" i="8"/>
  <c r="AB8" i="8"/>
  <c r="AC8" i="8"/>
  <c r="AD8" i="8"/>
  <c r="AE8" i="8"/>
  <c r="S8" i="8"/>
  <c r="T8" i="8"/>
  <c r="U8" i="8"/>
  <c r="V8" i="8"/>
  <c r="R8" i="8"/>
  <c r="K8" i="8"/>
  <c r="AH13" i="3" a="1"/>
  <c r="AH13" i="3"/>
  <c r="AQ7" i="8" a="1"/>
  <c r="AQ7" i="8"/>
  <c r="AT7" i="8" a="1"/>
  <c r="AT7" i="8"/>
  <c r="AL7" i="8" a="1"/>
  <c r="AM7" i="8" s="1"/>
  <c r="AL7" i="8"/>
  <c r="AJ7" i="8" a="1"/>
  <c r="AK7" i="8" s="1"/>
  <c r="AJ7" i="8"/>
  <c r="AH7" i="8" a="1"/>
  <c r="AI7" i="8" s="1"/>
  <c r="AH7" i="8"/>
  <c r="AG75" i="3"/>
  <c r="AB7" i="8"/>
  <c r="T7" i="8"/>
  <c r="X7" i="8"/>
  <c r="W7" i="8"/>
  <c r="S7" i="8"/>
  <c r="U7" i="8"/>
  <c r="V7" i="8"/>
  <c r="Y7" i="8"/>
  <c r="AA7" i="8"/>
  <c r="AC7" i="8"/>
  <c r="AD7" i="8"/>
  <c r="AE7" i="8"/>
  <c r="AF7" i="8"/>
  <c r="R7" i="8"/>
  <c r="K7" i="8"/>
  <c r="AN7" i="8" s="1" a="1"/>
  <c r="Z7" i="8"/>
  <c r="AB4" i="5"/>
  <c r="W4" i="5"/>
  <c r="AN4" i="5" a="1"/>
  <c r="AS4" i="5"/>
  <c r="AH4" i="5" a="1"/>
  <c r="AK4" i="5"/>
  <c r="AG4" i="5"/>
  <c r="AF4" i="5"/>
  <c r="AE4" i="5"/>
  <c r="AD4" i="5"/>
  <c r="AC4" i="5"/>
  <c r="AA4" i="5"/>
  <c r="Z4" i="5"/>
  <c r="Y4" i="5"/>
  <c r="X4" i="5"/>
  <c r="U4" i="5"/>
  <c r="R4" i="5"/>
  <c r="AG61" i="5"/>
  <c r="AG65" i="5"/>
  <c r="AN65" i="5" a="1"/>
  <c r="AQ65" i="5"/>
  <c r="AH65" i="5" a="1"/>
  <c r="AH65" i="5"/>
  <c r="AF65" i="5"/>
  <c r="AE65" i="5"/>
  <c r="AD65" i="5"/>
  <c r="AC65" i="5"/>
  <c r="AB65" i="5"/>
  <c r="AA65" i="5"/>
  <c r="Z65" i="5"/>
  <c r="Y65" i="5"/>
  <c r="X65" i="5"/>
  <c r="W65" i="5"/>
  <c r="V65" i="5"/>
  <c r="R65" i="5"/>
  <c r="AN61" i="5" a="1"/>
  <c r="AP61" i="5"/>
  <c r="AH61" i="5" a="1"/>
  <c r="AH61" i="5"/>
  <c r="AA61" i="5"/>
  <c r="AB61" i="5"/>
  <c r="AC61" i="5"/>
  <c r="AD61" i="5"/>
  <c r="AE61" i="5"/>
  <c r="AF61" i="5"/>
  <c r="Z61" i="5"/>
  <c r="X61" i="5"/>
  <c r="W61" i="5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AM45" i="3" a="1"/>
  <c r="AO45" i="3"/>
  <c r="AH45" i="3" a="1"/>
  <c r="AL45" i="3"/>
  <c r="W45" i="3"/>
  <c r="U45" i="3"/>
  <c r="T45" i="3"/>
  <c r="T31" i="3"/>
  <c r="U36" i="3"/>
  <c r="T36" i="3"/>
  <c r="S36" i="3"/>
  <c r="R36" i="3"/>
  <c r="X45" i="3"/>
  <c r="AA45" i="3"/>
  <c r="AB45" i="3"/>
  <c r="AC45" i="3"/>
  <c r="AD45" i="3"/>
  <c r="AE45" i="3"/>
  <c r="AF45" i="3"/>
  <c r="Z45" i="3"/>
  <c r="V45" i="3"/>
  <c r="S45" i="3"/>
  <c r="X31" i="3"/>
  <c r="W31" i="3"/>
  <c r="V31" i="3"/>
  <c r="V30" i="3"/>
  <c r="U31" i="3"/>
  <c r="AH31" i="3" a="1"/>
  <c r="AL31" i="3"/>
  <c r="Y31" i="3"/>
  <c r="Z31" i="3"/>
  <c r="AA31" i="3"/>
  <c r="AB31" i="3"/>
  <c r="AC31" i="3"/>
  <c r="AD31" i="3"/>
  <c r="AE31" i="3"/>
  <c r="AF31" i="3"/>
  <c r="AH30" i="3" a="1"/>
  <c r="AI30" i="3"/>
  <c r="S30" i="3"/>
  <c r="T30" i="3"/>
  <c r="U30" i="3"/>
  <c r="W30" i="3"/>
  <c r="X30" i="3"/>
  <c r="Y30" i="3"/>
  <c r="Z30" i="3"/>
  <c r="AA30" i="3"/>
  <c r="AB30" i="3"/>
  <c r="AC30" i="3"/>
  <c r="AD30" i="3"/>
  <c r="AE30" i="3"/>
  <c r="AF30" i="3"/>
  <c r="R30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H82" i="3" a="1"/>
  <c r="AI82" i="3"/>
  <c r="S17" i="3"/>
  <c r="S16" i="3"/>
  <c r="AH63" i="3" a="1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3" i="3"/>
  <c r="AH62" i="3" a="1"/>
  <c r="AH62" i="3" s="1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2" i="3"/>
  <c r="Y70" i="3"/>
  <c r="W70" i="3"/>
  <c r="X70" i="3"/>
  <c r="R70" i="3"/>
  <c r="S70" i="3"/>
  <c r="T70" i="3"/>
  <c r="U70" i="3"/>
  <c r="V70" i="3"/>
  <c r="Z70" i="3"/>
  <c r="AA70" i="3"/>
  <c r="AB70" i="3"/>
  <c r="AC70" i="3"/>
  <c r="AD70" i="3"/>
  <c r="AE70" i="3"/>
  <c r="AF70" i="3"/>
  <c r="AH70" i="3" a="1"/>
  <c r="AI70" i="3"/>
  <c r="Y58" i="3"/>
  <c r="W58" i="3"/>
  <c r="T58" i="3"/>
  <c r="U58" i="3"/>
  <c r="V58" i="3"/>
  <c r="X58" i="3"/>
  <c r="Z58" i="3"/>
  <c r="AA58" i="3"/>
  <c r="AB58" i="3"/>
  <c r="AC58" i="3"/>
  <c r="AD58" i="3"/>
  <c r="AE58" i="3"/>
  <c r="AF58" i="3"/>
  <c r="S58" i="3"/>
  <c r="R58" i="3"/>
  <c r="X59" i="3"/>
  <c r="AH58" i="3" a="1"/>
  <c r="AH9" i="3" a="1"/>
  <c r="AH9" i="3" s="1"/>
  <c r="W9" i="3"/>
  <c r="R9" i="3"/>
  <c r="S9" i="3"/>
  <c r="T9" i="3"/>
  <c r="U9" i="3"/>
  <c r="V9" i="3"/>
  <c r="Y9" i="3"/>
  <c r="Z9" i="3"/>
  <c r="AA9" i="3"/>
  <c r="AB9" i="3"/>
  <c r="AC9" i="3"/>
  <c r="AD9" i="3"/>
  <c r="AE9" i="3"/>
  <c r="AF9" i="3"/>
  <c r="X9" i="3"/>
  <c r="AH61" i="3" a="1"/>
  <c r="S61" i="3"/>
  <c r="T61" i="3"/>
  <c r="T60" i="3"/>
  <c r="U60" i="3"/>
  <c r="AH60" i="3" a="1"/>
  <c r="R61" i="3"/>
  <c r="V61" i="3"/>
  <c r="V60" i="3"/>
  <c r="V59" i="3"/>
  <c r="R60" i="3"/>
  <c r="S60" i="3"/>
  <c r="W60" i="3"/>
  <c r="X60" i="3"/>
  <c r="Y60" i="3"/>
  <c r="Z60" i="3"/>
  <c r="AA60" i="3"/>
  <c r="AB60" i="3"/>
  <c r="AC60" i="3"/>
  <c r="AD60" i="3"/>
  <c r="AE60" i="3"/>
  <c r="AF60" i="3"/>
  <c r="U61" i="3"/>
  <c r="W61" i="3"/>
  <c r="X61" i="3"/>
  <c r="Y61" i="3"/>
  <c r="Z61" i="3"/>
  <c r="AA61" i="3"/>
  <c r="AB61" i="3"/>
  <c r="AC61" i="3"/>
  <c r="AD61" i="3"/>
  <c r="AE61" i="3"/>
  <c r="AF61" i="3"/>
  <c r="AH59" i="3" a="1"/>
  <c r="AH59" i="3" s="1"/>
  <c r="T59" i="3"/>
  <c r="Z59" i="3"/>
  <c r="AA59" i="3"/>
  <c r="AB59" i="3"/>
  <c r="AC59" i="3"/>
  <c r="AD59" i="3"/>
  <c r="AE59" i="3"/>
  <c r="AF59" i="3"/>
  <c r="Y59" i="3"/>
  <c r="W59" i="3"/>
  <c r="U59" i="3"/>
  <c r="S59" i="3"/>
  <c r="X66" i="3"/>
  <c r="S66" i="3"/>
  <c r="T66" i="3"/>
  <c r="U66" i="3"/>
  <c r="V66" i="3"/>
  <c r="W66" i="3"/>
  <c r="Y66" i="3"/>
  <c r="AA66" i="3"/>
  <c r="AB66" i="3"/>
  <c r="AC66" i="3"/>
  <c r="AD66" i="3"/>
  <c r="AE66" i="3"/>
  <c r="AF66" i="3"/>
  <c r="R66" i="3"/>
  <c r="K66" i="3"/>
  <c r="AH66" i="3" s="1" a="1"/>
  <c r="Z66" i="3"/>
  <c r="X57" i="3"/>
  <c r="Y57" i="3"/>
  <c r="W57" i="3"/>
  <c r="U57" i="3"/>
  <c r="V57" i="3"/>
  <c r="R57" i="3"/>
  <c r="T57" i="3"/>
  <c r="S57" i="3"/>
  <c r="AF57" i="3"/>
  <c r="AA72" i="3"/>
  <c r="AE57" i="3"/>
  <c r="AD57" i="3"/>
  <c r="W55" i="3"/>
  <c r="V16" i="3"/>
  <c r="AF36" i="3"/>
  <c r="AE36" i="3"/>
  <c r="AD36" i="3"/>
  <c r="AC36" i="3"/>
  <c r="AB36" i="3"/>
  <c r="AA36" i="3"/>
  <c r="Z36" i="3"/>
  <c r="Y36" i="3"/>
  <c r="X36" i="3"/>
  <c r="W36" i="3"/>
  <c r="V36" i="3"/>
  <c r="AH48" i="3" a="1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8" i="3"/>
  <c r="AH28" i="3" a="1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8" i="3"/>
  <c r="Y72" i="3"/>
  <c r="U72" i="3"/>
  <c r="T72" i="3"/>
  <c r="S72" i="3"/>
  <c r="Y3" i="3"/>
  <c r="Y4" i="3"/>
  <c r="Y5" i="3"/>
  <c r="Y6" i="3"/>
  <c r="Y7" i="3"/>
  <c r="Y10" i="3"/>
  <c r="Y11" i="3"/>
  <c r="Y12" i="3"/>
  <c r="Y13" i="3"/>
  <c r="Y14" i="3"/>
  <c r="Y16" i="3"/>
  <c r="Y17" i="3"/>
  <c r="Y20" i="3"/>
  <c r="Y21" i="3"/>
  <c r="Y22" i="3"/>
  <c r="Y23" i="3"/>
  <c r="Y24" i="3"/>
  <c r="Y25" i="3"/>
  <c r="Y26" i="3"/>
  <c r="Y27" i="3"/>
  <c r="Y29" i="3"/>
  <c r="Y32" i="3"/>
  <c r="Y35" i="3"/>
  <c r="Y38" i="3"/>
  <c r="Y39" i="3"/>
  <c r="Y40" i="3"/>
  <c r="Y44" i="3"/>
  <c r="Y51" i="3"/>
  <c r="Y54" i="3"/>
  <c r="Y67" i="3"/>
  <c r="Y68" i="3"/>
  <c r="Y69" i="3"/>
  <c r="Y75" i="3"/>
  <c r="Y80" i="3"/>
  <c r="Y81" i="3"/>
  <c r="AH81" i="3" a="1"/>
  <c r="AH80" i="3" a="1"/>
  <c r="AH75" i="3" a="1"/>
  <c r="AM75" i="3"/>
  <c r="AN72" i="3" a="1"/>
  <c r="AR72" i="3"/>
  <c r="AH69" i="3" a="1"/>
  <c r="AH68" i="3" a="1"/>
  <c r="AH67" i="3" a="1"/>
  <c r="AH54" i="3" a="1"/>
  <c r="AH51" i="3" a="1"/>
  <c r="AH50" i="3" a="1"/>
  <c r="AN50" i="3"/>
  <c r="AH44" i="3" a="1"/>
  <c r="AH40" i="3" a="1"/>
  <c r="AI40" i="3" s="1"/>
  <c r="AH39" i="3" a="1"/>
  <c r="AH38" i="3" a="1"/>
  <c r="AU38" i="3"/>
  <c r="AH35" i="3" a="1"/>
  <c r="AH35" i="3"/>
  <c r="AH33" i="3" a="1"/>
  <c r="AH32" i="3" a="1"/>
  <c r="AH29" i="3" a="1"/>
  <c r="AH27" i="3" a="1"/>
  <c r="AH26" i="3" a="1"/>
  <c r="AH25" i="3" a="1"/>
  <c r="AH24" i="3" a="1"/>
  <c r="AH23" i="3" a="1"/>
  <c r="AH22" i="3" a="1"/>
  <c r="AH21" i="3" a="1"/>
  <c r="AH20" i="3" a="1"/>
  <c r="AL20" i="3"/>
  <c r="AH17" i="3" a="1"/>
  <c r="AH16" i="3" a="1"/>
  <c r="AH14" i="3" a="1"/>
  <c r="AH12" i="3" a="1"/>
  <c r="AH11" i="3" a="1"/>
  <c r="AH10" i="3" a="1"/>
  <c r="AW10" i="3" s="1"/>
  <c r="AH7" i="3" a="1"/>
  <c r="AN7" i="3" s="1"/>
  <c r="AH6" i="3" a="1"/>
  <c r="AU6" i="3" s="1"/>
  <c r="AH5" i="3" a="1"/>
  <c r="AV5" i="3" s="1"/>
  <c r="AH4" i="3" a="1"/>
  <c r="V26" i="3"/>
  <c r="S26" i="3"/>
  <c r="T26" i="3"/>
  <c r="W26" i="3"/>
  <c r="AF26" i="3"/>
  <c r="X26" i="3"/>
  <c r="Z26" i="3"/>
  <c r="AA26" i="3"/>
  <c r="AB26" i="3"/>
  <c r="AC26" i="3"/>
  <c r="AD26" i="3"/>
  <c r="AE26" i="3"/>
  <c r="U26" i="3"/>
  <c r="R26" i="3"/>
  <c r="X44" i="3"/>
  <c r="B7" i="1"/>
  <c r="B9" i="1"/>
  <c r="C9" i="1"/>
  <c r="Y33" i="3"/>
  <c r="F9" i="1"/>
  <c r="E9" i="1" s="1"/>
  <c r="AH6" i="3"/>
  <c r="B46" i="19"/>
  <c r="C46" i="19"/>
  <c r="D46" i="19"/>
  <c r="AL6" i="3"/>
  <c r="AK5" i="3"/>
  <c r="AM10" i="3"/>
  <c r="AL5" i="3"/>
  <c r="AI10" i="3"/>
  <c r="AP6" i="3"/>
  <c r="AW6" i="3"/>
  <c r="AO6" i="3"/>
  <c r="AN6" i="3"/>
  <c r="AM5" i="3"/>
  <c r="AM6" i="3"/>
  <c r="AV6" i="3"/>
  <c r="AV7" i="3"/>
  <c r="AW5" i="3"/>
  <c r="AH7" i="3"/>
  <c r="AU7" i="3"/>
  <c r="AQ7" i="3"/>
  <c r="AH10" i="3"/>
  <c r="AJ10" i="3"/>
  <c r="AS10" i="3"/>
  <c r="AK10" i="3"/>
  <c r="AT10" i="3"/>
  <c r="AL10" i="3"/>
  <c r="AU10" i="3"/>
  <c r="AH5" i="3"/>
  <c r="AP5" i="3"/>
  <c r="AI5" i="3"/>
  <c r="AQ5" i="3"/>
  <c r="AJ5" i="3"/>
  <c r="AR5" i="3"/>
  <c r="AJ7" i="3"/>
  <c r="AR7" i="3"/>
  <c r="AK7" i="3"/>
  <c r="AS7" i="3"/>
  <c r="AL7" i="3"/>
  <c r="AT7" i="3"/>
  <c r="AV10" i="3"/>
  <c r="AT5" i="3"/>
  <c r="AO7" i="3"/>
  <c r="AR10" i="3"/>
  <c r="AO5" i="3"/>
  <c r="AU5" i="3"/>
  <c r="AP7" i="3"/>
  <c r="AS5" i="3"/>
  <c r="AQ10" i="3"/>
  <c r="AI6" i="3"/>
  <c r="AQ6" i="3"/>
  <c r="AJ6" i="3"/>
  <c r="AR6" i="3"/>
  <c r="AK6" i="3"/>
  <c r="AS6" i="3"/>
  <c r="AM7" i="3"/>
  <c r="AO10" i="3"/>
  <c r="AN5" i="3"/>
  <c r="AT6" i="3"/>
  <c r="AW7" i="3"/>
  <c r="AI7" i="3"/>
  <c r="AN10" i="3"/>
  <c r="AP10" i="3"/>
  <c r="D7" i="1"/>
  <c r="C7" i="1"/>
  <c r="E10" i="1"/>
  <c r="H7" i="1"/>
  <c r="G7" i="1"/>
  <c r="E7" i="1"/>
  <c r="T39" i="3"/>
  <c r="V39" i="3"/>
  <c r="S39" i="3"/>
  <c r="U39" i="3"/>
  <c r="W39" i="3"/>
  <c r="X39" i="3"/>
  <c r="Z39" i="3"/>
  <c r="AA39" i="3"/>
  <c r="AB39" i="3"/>
  <c r="AC39" i="3"/>
  <c r="AD39" i="3"/>
  <c r="AE39" i="3"/>
  <c r="AF39" i="3"/>
  <c r="R39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R40" i="3"/>
  <c r="W25" i="3"/>
  <c r="S25" i="3"/>
  <c r="T25" i="3"/>
  <c r="U25" i="3"/>
  <c r="V25" i="3"/>
  <c r="X25" i="3"/>
  <c r="Z25" i="3"/>
  <c r="AA25" i="3"/>
  <c r="AB25" i="3"/>
  <c r="AC25" i="3"/>
  <c r="AD25" i="3"/>
  <c r="AE25" i="3"/>
  <c r="AF25" i="3"/>
  <c r="R25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R24" i="3"/>
  <c r="W22" i="3"/>
  <c r="S22" i="3"/>
  <c r="T22" i="3"/>
  <c r="U22" i="3"/>
  <c r="V22" i="3"/>
  <c r="X22" i="3"/>
  <c r="Z22" i="3"/>
  <c r="AA22" i="3"/>
  <c r="AB22" i="3"/>
  <c r="AC22" i="3"/>
  <c r="AD22" i="3"/>
  <c r="AE22" i="3"/>
  <c r="AF22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R23" i="3"/>
  <c r="R22" i="3"/>
  <c r="AA32" i="3"/>
  <c r="AB32" i="3"/>
  <c r="AC32" i="3"/>
  <c r="AD32" i="3"/>
  <c r="AE32" i="3"/>
  <c r="AF32" i="3"/>
  <c r="Z32" i="3"/>
  <c r="X32" i="3"/>
  <c r="W32" i="3"/>
  <c r="V32" i="3"/>
  <c r="U32" i="3"/>
  <c r="T32" i="3"/>
  <c r="S32" i="3"/>
  <c r="R32" i="3"/>
  <c r="X17" i="3"/>
  <c r="Z17" i="3"/>
  <c r="AA17" i="3"/>
  <c r="AB17" i="3"/>
  <c r="AC17" i="3"/>
  <c r="AD17" i="3"/>
  <c r="AE17" i="3"/>
  <c r="AF17" i="3"/>
  <c r="W17" i="3"/>
  <c r="W50" i="3"/>
  <c r="V33" i="3"/>
  <c r="AC33" i="3"/>
  <c r="U33" i="3"/>
  <c r="AD33" i="3"/>
  <c r="AA33" i="3"/>
  <c r="W33" i="3"/>
  <c r="AF33" i="3"/>
  <c r="R33" i="3"/>
  <c r="AE33" i="3"/>
  <c r="Z33" i="3"/>
  <c r="T33" i="3"/>
  <c r="S33" i="3"/>
  <c r="AB33" i="3"/>
  <c r="X33" i="3"/>
  <c r="D47" i="19"/>
  <c r="B47" i="19"/>
  <c r="C47" i="19"/>
  <c r="AH72" i="3" a="1"/>
  <c r="AM72" i="3"/>
  <c r="AG72" i="3"/>
  <c r="R16" i="3"/>
  <c r="R17" i="3"/>
  <c r="V17" i="3"/>
  <c r="U17" i="3"/>
  <c r="T17" i="3"/>
  <c r="W16" i="3"/>
  <c r="U16" i="3"/>
  <c r="T16" i="3"/>
  <c r="X16" i="3"/>
  <c r="Z16" i="3"/>
  <c r="AA16" i="3"/>
  <c r="AB16" i="3"/>
  <c r="AC16" i="3"/>
  <c r="AD16" i="3"/>
  <c r="AE16" i="3"/>
  <c r="AF16" i="3"/>
  <c r="X13" i="3"/>
  <c r="V13" i="3"/>
  <c r="W13" i="3"/>
  <c r="S13" i="3"/>
  <c r="T13" i="3"/>
  <c r="U13" i="3"/>
  <c r="Z13" i="3"/>
  <c r="AA13" i="3"/>
  <c r="AB13" i="3"/>
  <c r="AC13" i="3"/>
  <c r="AD13" i="3"/>
  <c r="AE13" i="3"/>
  <c r="R13" i="3"/>
  <c r="AF13" i="3"/>
  <c r="S7" i="3"/>
  <c r="T7" i="3"/>
  <c r="U7" i="3"/>
  <c r="V7" i="3"/>
  <c r="W7" i="3"/>
  <c r="X7" i="3"/>
  <c r="Z7" i="3"/>
  <c r="AA7" i="3"/>
  <c r="AB7" i="3"/>
  <c r="AC7" i="3"/>
  <c r="AD7" i="3"/>
  <c r="AE7" i="3"/>
  <c r="AF7" i="3"/>
  <c r="R7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B48" i="19"/>
  <c r="C48" i="19"/>
  <c r="D48" i="19"/>
  <c r="AF72" i="3"/>
  <c r="AE72" i="3"/>
  <c r="AD72" i="3"/>
  <c r="AC72" i="3"/>
  <c r="AB72" i="3"/>
  <c r="Z72" i="3"/>
  <c r="W72" i="3"/>
  <c r="V72" i="3"/>
  <c r="R72" i="3"/>
  <c r="K3" i="3"/>
  <c r="AH3" i="3" a="1"/>
  <c r="AA4" i="3"/>
  <c r="AA3" i="3"/>
  <c r="AF75" i="3"/>
  <c r="AE75" i="3"/>
  <c r="AD75" i="3"/>
  <c r="AC75" i="3"/>
  <c r="AB75" i="3"/>
  <c r="AA75" i="3"/>
  <c r="Z75" i="3"/>
  <c r="X75" i="3"/>
  <c r="W75" i="3"/>
  <c r="V75" i="3"/>
  <c r="U75" i="3"/>
  <c r="T75" i="3"/>
  <c r="R75" i="3"/>
  <c r="W3" i="3"/>
  <c r="W4" i="3"/>
  <c r="W10" i="3"/>
  <c r="W11" i="3"/>
  <c r="W12" i="3"/>
  <c r="W14" i="3"/>
  <c r="W20" i="3"/>
  <c r="W21" i="3"/>
  <c r="W27" i="3"/>
  <c r="W29" i="3"/>
  <c r="W38" i="3"/>
  <c r="W54" i="3"/>
  <c r="W67" i="3"/>
  <c r="W68" i="3"/>
  <c r="W69" i="3"/>
  <c r="W80" i="3"/>
  <c r="W81" i="3"/>
  <c r="W35" i="3"/>
  <c r="W51" i="3"/>
  <c r="W44" i="3"/>
  <c r="AF44" i="3"/>
  <c r="AB44" i="3"/>
  <c r="AC44" i="3"/>
  <c r="AD44" i="3"/>
  <c r="AE44" i="3"/>
  <c r="Z44" i="3"/>
  <c r="AA44" i="3"/>
  <c r="Z51" i="3"/>
  <c r="X51" i="3"/>
  <c r="V44" i="3"/>
  <c r="T44" i="3"/>
  <c r="U44" i="3"/>
  <c r="S44" i="3"/>
  <c r="R44" i="3"/>
  <c r="AF51" i="3"/>
  <c r="AB51" i="3"/>
  <c r="AC51" i="3"/>
  <c r="AD51" i="3"/>
  <c r="AE51" i="3"/>
  <c r="AA51" i="3"/>
  <c r="V51" i="3"/>
  <c r="S51" i="3"/>
  <c r="U51" i="3"/>
  <c r="R51" i="3"/>
  <c r="T51" i="3"/>
  <c r="S35" i="3"/>
  <c r="T35" i="3"/>
  <c r="U35" i="3"/>
  <c r="V35" i="3"/>
  <c r="X35" i="3"/>
  <c r="Z35" i="3"/>
  <c r="AA35" i="3"/>
  <c r="AB35" i="3"/>
  <c r="AC35" i="3"/>
  <c r="AD35" i="3"/>
  <c r="AE35" i="3"/>
  <c r="AF35" i="3"/>
  <c r="R35" i="3"/>
  <c r="AF69" i="3"/>
  <c r="AF54" i="3"/>
  <c r="AF27" i="3"/>
  <c r="AF3" i="3"/>
  <c r="AF81" i="3"/>
  <c r="AF80" i="3"/>
  <c r="AF68" i="3"/>
  <c r="AF67" i="3"/>
  <c r="AF21" i="3"/>
  <c r="AF20" i="3"/>
  <c r="AF14" i="3"/>
  <c r="Z38" i="3"/>
  <c r="AA38" i="3"/>
  <c r="AB38" i="3"/>
  <c r="AC38" i="3"/>
  <c r="AD38" i="3"/>
  <c r="AE38" i="3"/>
  <c r="AF38" i="3"/>
  <c r="Z29" i="3"/>
  <c r="AA29" i="3"/>
  <c r="AB29" i="3"/>
  <c r="AC29" i="3"/>
  <c r="AD29" i="3"/>
  <c r="AE29" i="3"/>
  <c r="AF29" i="3"/>
  <c r="Z4" i="3"/>
  <c r="AB4" i="3"/>
  <c r="AC4" i="3"/>
  <c r="AD4" i="3"/>
  <c r="AE4" i="3"/>
  <c r="AF4" i="3"/>
  <c r="Z10" i="3"/>
  <c r="AA10" i="3"/>
  <c r="AB10" i="3"/>
  <c r="AC10" i="3"/>
  <c r="AD10" i="3"/>
  <c r="AE10" i="3"/>
  <c r="AF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Z14" i="3"/>
  <c r="AA14" i="3"/>
  <c r="AB14" i="3"/>
  <c r="AC14" i="3"/>
  <c r="AD14" i="3"/>
  <c r="AE14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Z80" i="3"/>
  <c r="AA80" i="3"/>
  <c r="AB80" i="3"/>
  <c r="AC80" i="3"/>
  <c r="AD80" i="3"/>
  <c r="AE80" i="3"/>
  <c r="Z81" i="3"/>
  <c r="AA81" i="3"/>
  <c r="AB81" i="3"/>
  <c r="AC81" i="3"/>
  <c r="AD81" i="3"/>
  <c r="AE81" i="3"/>
  <c r="AB3" i="3"/>
  <c r="AC3" i="3"/>
  <c r="AD3" i="3"/>
  <c r="AE3" i="3"/>
  <c r="Z27" i="3"/>
  <c r="AA27" i="3"/>
  <c r="AB27" i="3"/>
  <c r="AC27" i="3"/>
  <c r="AD27" i="3"/>
  <c r="AE27" i="3"/>
  <c r="Z54" i="3"/>
  <c r="AA54" i="3"/>
  <c r="AB54" i="3"/>
  <c r="AC54" i="3"/>
  <c r="AD54" i="3"/>
  <c r="AE54" i="3"/>
  <c r="Z69" i="3"/>
  <c r="AA69" i="3"/>
  <c r="AB69" i="3"/>
  <c r="AC69" i="3"/>
  <c r="AD69" i="3"/>
  <c r="AE69" i="3"/>
  <c r="S38" i="3"/>
  <c r="T38" i="3"/>
  <c r="U38" i="3"/>
  <c r="V38" i="3"/>
  <c r="X38" i="3"/>
  <c r="S29" i="3"/>
  <c r="T29" i="3"/>
  <c r="U29" i="3"/>
  <c r="V29" i="3"/>
  <c r="X29" i="3"/>
  <c r="S4" i="3"/>
  <c r="T4" i="3"/>
  <c r="U4" i="3"/>
  <c r="V4" i="3"/>
  <c r="X4" i="3"/>
  <c r="S10" i="3"/>
  <c r="T10" i="3"/>
  <c r="U10" i="3"/>
  <c r="V10" i="3"/>
  <c r="X10" i="3"/>
  <c r="S11" i="3"/>
  <c r="T11" i="3"/>
  <c r="U11" i="3"/>
  <c r="V11" i="3"/>
  <c r="X11" i="3"/>
  <c r="S12" i="3"/>
  <c r="T12" i="3"/>
  <c r="U12" i="3"/>
  <c r="V12" i="3"/>
  <c r="X12" i="3"/>
  <c r="S14" i="3"/>
  <c r="T14" i="3"/>
  <c r="U14" i="3"/>
  <c r="V14" i="3"/>
  <c r="X14" i="3"/>
  <c r="S20" i="3"/>
  <c r="T20" i="3"/>
  <c r="U20" i="3"/>
  <c r="V20" i="3"/>
  <c r="X20" i="3"/>
  <c r="S21" i="3"/>
  <c r="T21" i="3"/>
  <c r="U21" i="3"/>
  <c r="V21" i="3"/>
  <c r="X21" i="3"/>
  <c r="T67" i="3"/>
  <c r="U67" i="3"/>
  <c r="V67" i="3"/>
  <c r="X67" i="3"/>
  <c r="S68" i="3"/>
  <c r="T68" i="3"/>
  <c r="U68" i="3"/>
  <c r="V68" i="3"/>
  <c r="X68" i="3"/>
  <c r="S80" i="3"/>
  <c r="T80" i="3"/>
  <c r="U80" i="3"/>
  <c r="V80" i="3"/>
  <c r="X80" i="3"/>
  <c r="S81" i="3"/>
  <c r="T81" i="3"/>
  <c r="U81" i="3"/>
  <c r="V81" i="3"/>
  <c r="X81" i="3"/>
  <c r="S3" i="3"/>
  <c r="T3" i="3"/>
  <c r="U3" i="3"/>
  <c r="V3" i="3"/>
  <c r="X3" i="3"/>
  <c r="S27" i="3"/>
  <c r="T27" i="3"/>
  <c r="U27" i="3"/>
  <c r="V27" i="3"/>
  <c r="X27" i="3"/>
  <c r="S54" i="3"/>
  <c r="T54" i="3"/>
  <c r="U54" i="3"/>
  <c r="V54" i="3"/>
  <c r="X54" i="3"/>
  <c r="S69" i="3"/>
  <c r="T69" i="3"/>
  <c r="U69" i="3"/>
  <c r="V69" i="3"/>
  <c r="X69" i="3"/>
  <c r="R69" i="3"/>
  <c r="R54" i="3"/>
  <c r="R27" i="3"/>
  <c r="R3" i="3"/>
  <c r="R81" i="3"/>
  <c r="R80" i="3"/>
  <c r="R68" i="3"/>
  <c r="R67" i="3"/>
  <c r="R21" i="3"/>
  <c r="R20" i="3"/>
  <c r="R14" i="3"/>
  <c r="R12" i="3"/>
  <c r="R11" i="3"/>
  <c r="R10" i="3"/>
  <c r="R4" i="3"/>
  <c r="R29" i="3"/>
  <c r="R38" i="3"/>
  <c r="C49" i="19"/>
  <c r="B49" i="19"/>
  <c r="D49" i="19"/>
  <c r="Z3" i="3"/>
  <c r="AO3" i="3"/>
  <c r="AW3" i="3"/>
  <c r="AH3" i="3"/>
  <c r="AP3" i="3"/>
  <c r="AM3" i="3"/>
  <c r="AQ3" i="3"/>
  <c r="AI3" i="3"/>
  <c r="AN3" i="3"/>
  <c r="AR3" i="3"/>
  <c r="AS3" i="3"/>
  <c r="AT3" i="3"/>
  <c r="AL3" i="3"/>
  <c r="AV3" i="3"/>
  <c r="AJ3" i="3"/>
  <c r="AK3" i="3"/>
  <c r="AU3" i="3"/>
  <c r="Q8" i="1"/>
  <c r="R8" i="1"/>
  <c r="Q9" i="1"/>
  <c r="D50" i="19"/>
  <c r="C50" i="19"/>
  <c r="B50" i="19"/>
  <c r="H14" i="1"/>
  <c r="H15" i="1"/>
  <c r="P8" i="1"/>
  <c r="C51" i="19"/>
  <c r="D51" i="19"/>
  <c r="B51" i="19"/>
  <c r="B18" i="1"/>
  <c r="B17" i="1"/>
  <c r="E19" i="1"/>
  <c r="F21" i="1"/>
  <c r="F25" i="1"/>
  <c r="E13" i="1"/>
  <c r="I15" i="1"/>
  <c r="E14" i="1"/>
  <c r="K12" i="1"/>
  <c r="M4" i="1" a="1"/>
  <c r="N4" i="1" s="1"/>
  <c r="K6" i="1"/>
  <c r="J6" i="1"/>
  <c r="R9" i="1"/>
  <c r="J4" i="1" a="1"/>
  <c r="J4" i="1" s="1"/>
  <c r="J8" i="1" a="1"/>
  <c r="J8" i="1" s="1"/>
  <c r="G9" i="1" a="1"/>
  <c r="H9" i="1" s="1"/>
  <c r="D10" i="1"/>
  <c r="L18" i="1"/>
  <c r="M21" i="1" s="1"/>
  <c r="B52" i="19"/>
  <c r="D52" i="19"/>
  <c r="C52" i="19"/>
  <c r="K5" i="1"/>
  <c r="G9" i="1"/>
  <c r="J5" i="1"/>
  <c r="K4" i="1"/>
  <c r="N5" i="1"/>
  <c r="G11" i="1"/>
  <c r="M5" i="1"/>
  <c r="J9" i="1"/>
  <c r="M4" i="1"/>
  <c r="L24" i="1"/>
  <c r="K14" i="1"/>
  <c r="K15" i="1"/>
  <c r="K9" i="1"/>
  <c r="H12" i="1"/>
  <c r="H10" i="1"/>
  <c r="G12" i="1"/>
  <c r="G10" i="1"/>
  <c r="K10" i="1"/>
  <c r="K8" i="1"/>
  <c r="H11" i="1"/>
  <c r="J10" i="1"/>
  <c r="B53" i="19"/>
  <c r="D53" i="19"/>
  <c r="C53" i="19"/>
  <c r="L6" i="1" a="1"/>
  <c r="Q5" i="1"/>
  <c r="Q4" i="1"/>
  <c r="H20" i="1" a="1"/>
  <c r="H20" i="1" s="1"/>
  <c r="F11" i="1"/>
  <c r="H16" i="1" a="1"/>
  <c r="B54" i="19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/>
  <c r="I16" i="1"/>
  <c r="J17" i="1"/>
  <c r="J16" i="1"/>
  <c r="L23" i="1" s="1"/>
  <c r="H17" i="1"/>
  <c r="I18" i="1"/>
  <c r="H18" i="1"/>
  <c r="B55" i="19"/>
  <c r="C55" i="19"/>
  <c r="D55" i="19"/>
  <c r="R13" i="1"/>
  <c r="R12" i="1"/>
  <c r="R10" i="1"/>
  <c r="R11" i="1"/>
  <c r="M14" i="1" a="1"/>
  <c r="B56" i="19"/>
  <c r="C56" i="19"/>
  <c r="D56" i="19"/>
  <c r="C57" i="19"/>
  <c r="D57" i="19"/>
  <c r="B57" i="19"/>
  <c r="B58" i="19"/>
  <c r="C58" i="19"/>
  <c r="D58" i="19"/>
  <c r="C59" i="19"/>
  <c r="D59" i="19"/>
  <c r="B59" i="19"/>
  <c r="D60" i="19"/>
  <c r="B60" i="19"/>
  <c r="C60" i="19"/>
  <c r="B61" i="19"/>
  <c r="C61" i="19"/>
  <c r="D61" i="19"/>
  <c r="B62" i="19"/>
  <c r="D62" i="19"/>
  <c r="C62" i="19"/>
  <c r="B63" i="19"/>
  <c r="C63" i="19"/>
  <c r="D63" i="19"/>
  <c r="B64" i="19"/>
  <c r="D64" i="19"/>
  <c r="C64" i="19"/>
  <c r="C65" i="19"/>
  <c r="B65" i="19"/>
  <c r="D65" i="19"/>
  <c r="B66" i="19"/>
  <c r="C66" i="19"/>
  <c r="D66" i="19"/>
  <c r="C67" i="19"/>
  <c r="D67" i="19"/>
  <c r="B67" i="19"/>
  <c r="D68" i="19"/>
  <c r="B68" i="19"/>
  <c r="C68" i="19"/>
  <c r="C69" i="19"/>
  <c r="D69" i="19"/>
  <c r="B69" i="19"/>
  <c r="D70" i="19"/>
  <c r="C70" i="19"/>
  <c r="B70" i="19"/>
  <c r="C71" i="19"/>
  <c r="B71" i="19"/>
  <c r="D71" i="19"/>
  <c r="B72" i="19"/>
  <c r="D72" i="19"/>
  <c r="C72" i="19"/>
  <c r="B73" i="19"/>
  <c r="C73" i="19"/>
  <c r="D73" i="19"/>
  <c r="B74" i="19"/>
  <c r="C74" i="19"/>
  <c r="D74" i="19"/>
  <c r="B75" i="19"/>
  <c r="C75" i="19"/>
  <c r="D75" i="19"/>
  <c r="B76" i="19"/>
  <c r="C76" i="19"/>
  <c r="D76" i="19"/>
  <c r="C77" i="19"/>
  <c r="D77" i="19"/>
  <c r="B77" i="19"/>
  <c r="B78" i="19"/>
  <c r="D78" i="19"/>
  <c r="C78" i="19"/>
  <c r="C79" i="19"/>
  <c r="B79" i="19"/>
  <c r="D79" i="19"/>
  <c r="D80" i="19"/>
  <c r="B80" i="19"/>
  <c r="C80" i="19"/>
  <c r="B81" i="19"/>
  <c r="C81" i="19"/>
  <c r="D81" i="19"/>
  <c r="B82" i="19"/>
  <c r="D82" i="19"/>
  <c r="C82" i="19"/>
  <c r="B83" i="19"/>
  <c r="D83" i="19"/>
  <c r="C83" i="19"/>
  <c r="B84" i="19"/>
  <c r="C84" i="19"/>
  <c r="D84" i="19"/>
  <c r="B85" i="19"/>
  <c r="C85" i="19"/>
  <c r="D85" i="19"/>
  <c r="B86" i="19"/>
  <c r="C86" i="19"/>
  <c r="D86" i="19"/>
  <c r="C87" i="19"/>
  <c r="D87" i="19"/>
  <c r="B87" i="19"/>
  <c r="B88" i="19"/>
  <c r="C88" i="19"/>
  <c r="D88" i="19"/>
  <c r="C89" i="19"/>
  <c r="D89" i="19"/>
  <c r="B89" i="19"/>
  <c r="D90" i="19"/>
  <c r="B90" i="19"/>
  <c r="C90" i="19"/>
  <c r="B91" i="19"/>
  <c r="C91" i="19"/>
  <c r="D91" i="19"/>
  <c r="D92" i="19"/>
  <c r="B92" i="19"/>
  <c r="C92" i="19"/>
  <c r="D93" i="19"/>
  <c r="B93" i="19"/>
  <c r="C93" i="19"/>
  <c r="B94" i="19"/>
  <c r="C94" i="19"/>
  <c r="D94" i="19"/>
  <c r="B95" i="19"/>
  <c r="C95" i="19"/>
  <c r="D95" i="19"/>
  <c r="B96" i="19"/>
  <c r="C96" i="19"/>
  <c r="D96" i="19"/>
  <c r="C97" i="19"/>
  <c r="D97" i="19"/>
  <c r="B97" i="19"/>
  <c r="B98" i="19"/>
  <c r="C98" i="19"/>
  <c r="D98" i="19"/>
  <c r="C99" i="19"/>
  <c r="D99" i="19"/>
  <c r="B99" i="19"/>
  <c r="C100" i="19"/>
  <c r="D100" i="19"/>
  <c r="B100" i="19"/>
  <c r="B101" i="19"/>
  <c r="C101" i="19"/>
  <c r="D101" i="19"/>
  <c r="D102" i="19"/>
  <c r="C102" i="19"/>
  <c r="B102" i="19"/>
  <c r="B103" i="19"/>
  <c r="C103" i="19"/>
  <c r="D103" i="19"/>
  <c r="B104" i="19"/>
  <c r="C104" i="19"/>
  <c r="D104" i="19"/>
  <c r="B105" i="19"/>
  <c r="D105" i="19"/>
  <c r="C105" i="19"/>
  <c r="B106" i="19"/>
  <c r="C106" i="19"/>
  <c r="D106" i="19"/>
  <c r="C107" i="19"/>
  <c r="D107" i="19"/>
  <c r="B107" i="19"/>
  <c r="B108" i="19"/>
  <c r="C108" i="19"/>
  <c r="D108" i="19"/>
  <c r="B109" i="19"/>
  <c r="C109" i="19"/>
  <c r="D109" i="19"/>
  <c r="D110" i="19"/>
  <c r="C110" i="19"/>
  <c r="B110" i="19"/>
  <c r="C111" i="19"/>
  <c r="D111" i="19"/>
  <c r="B111" i="19"/>
  <c r="D112" i="19"/>
  <c r="B112" i="19"/>
  <c r="C112" i="19"/>
  <c r="B113" i="19"/>
  <c r="C113" i="19"/>
  <c r="D113" i="19"/>
  <c r="B114" i="19"/>
  <c r="D114" i="19"/>
  <c r="C114" i="19"/>
  <c r="B115" i="19"/>
  <c r="D115" i="19"/>
  <c r="C115" i="19"/>
  <c r="B116" i="19"/>
  <c r="D116" i="19"/>
  <c r="C116" i="19"/>
  <c r="C117" i="19"/>
  <c r="B117" i="19"/>
  <c r="D117" i="19"/>
  <c r="B118" i="19"/>
  <c r="C118" i="19"/>
  <c r="D118" i="19"/>
  <c r="C119" i="19"/>
  <c r="B119" i="19"/>
  <c r="D119" i="19"/>
  <c r="D120" i="19"/>
  <c r="B120" i="19"/>
  <c r="C120" i="19"/>
  <c r="C121" i="19"/>
  <c r="D121" i="19"/>
  <c r="B121" i="19"/>
  <c r="D122" i="19"/>
  <c r="B122" i="19"/>
  <c r="C122" i="19"/>
  <c r="B123" i="19"/>
  <c r="C123" i="19"/>
  <c r="D123" i="19"/>
  <c r="B124" i="19"/>
  <c r="D124" i="19"/>
  <c r="C124" i="19"/>
  <c r="B125" i="19"/>
  <c r="D125" i="19"/>
  <c r="C125" i="19"/>
  <c r="B126" i="19"/>
  <c r="D126" i="19"/>
  <c r="C126" i="19"/>
  <c r="C127" i="19"/>
  <c r="D127" i="19"/>
  <c r="B127" i="19"/>
  <c r="C128" i="19"/>
  <c r="D128" i="19"/>
  <c r="B128" i="19"/>
  <c r="C129" i="19"/>
  <c r="B129" i="19"/>
  <c r="D129" i="19"/>
  <c r="D130" i="19"/>
  <c r="B130" i="19"/>
  <c r="C130" i="19"/>
  <c r="C131" i="19"/>
  <c r="D131" i="19"/>
  <c r="B131" i="19"/>
  <c r="D132" i="19"/>
  <c r="C132" i="19"/>
  <c r="B132" i="19"/>
  <c r="B133" i="19"/>
  <c r="C133" i="19"/>
  <c r="D133" i="19"/>
  <c r="B134" i="19"/>
  <c r="D134" i="19"/>
  <c r="C134" i="19"/>
  <c r="B135" i="19"/>
  <c r="D135" i="19"/>
  <c r="C135" i="19"/>
  <c r="C136" i="19"/>
  <c r="B136" i="19"/>
  <c r="D136" i="19"/>
  <c r="D137" i="19"/>
  <c r="C137" i="19"/>
  <c r="B137" i="19"/>
  <c r="B138" i="19"/>
  <c r="C138" i="19"/>
  <c r="D138" i="19"/>
  <c r="C139" i="19"/>
  <c r="B139" i="19"/>
  <c r="D139" i="19"/>
  <c r="D140" i="19"/>
  <c r="C140" i="19"/>
  <c r="B140" i="19"/>
  <c r="C141" i="19"/>
  <c r="D141" i="19"/>
  <c r="B141" i="19"/>
  <c r="D142" i="19"/>
  <c r="B142" i="19"/>
  <c r="C142" i="19"/>
  <c r="C143" i="19"/>
  <c r="B143" i="19"/>
  <c r="D143" i="19"/>
  <c r="B144" i="19"/>
  <c r="D144" i="19"/>
  <c r="C144" i="19"/>
  <c r="B145" i="19"/>
  <c r="C145" i="19"/>
  <c r="D145" i="19"/>
  <c r="D146" i="19"/>
  <c r="C146" i="19"/>
  <c r="B146" i="19"/>
  <c r="C147" i="19"/>
  <c r="B147" i="19"/>
  <c r="D147" i="19"/>
  <c r="C148" i="19"/>
  <c r="D148" i="19"/>
  <c r="B148" i="19"/>
  <c r="C149" i="19"/>
  <c r="B149" i="19"/>
  <c r="D149" i="19"/>
  <c r="D150" i="19"/>
  <c r="C150" i="19"/>
  <c r="B150" i="19"/>
  <c r="C151" i="19"/>
  <c r="D151" i="19"/>
  <c r="B151" i="19"/>
  <c r="D152" i="19"/>
  <c r="C152" i="19"/>
  <c r="B152" i="19"/>
  <c r="C153" i="19"/>
  <c r="B153" i="19"/>
  <c r="D153" i="19"/>
  <c r="B154" i="19"/>
  <c r="D154" i="19"/>
  <c r="C154" i="19"/>
  <c r="D155" i="19"/>
  <c r="B155" i="19"/>
  <c r="C155" i="19"/>
  <c r="B156" i="19"/>
  <c r="C156" i="19"/>
  <c r="D156" i="19"/>
  <c r="C157" i="19"/>
  <c r="D157" i="19"/>
  <c r="B157" i="19"/>
  <c r="B158" i="19"/>
  <c r="C158" i="19"/>
  <c r="D158" i="19"/>
  <c r="C159" i="19"/>
  <c r="B159" i="19"/>
  <c r="D159" i="19"/>
  <c r="D160" i="19"/>
  <c r="B160" i="19"/>
  <c r="C160" i="19"/>
  <c r="D7" i="21" l="1"/>
  <c r="E7" i="21"/>
  <c r="E9" i="21"/>
  <c r="D9" i="21"/>
  <c r="C19" i="21"/>
  <c r="D18" i="21"/>
  <c r="D29" i="1" a="1"/>
  <c r="D29" i="1" s="1"/>
  <c r="AF32" i="9"/>
  <c r="AF39" i="9"/>
  <c r="P9" i="1"/>
  <c r="AO40" i="11"/>
  <c r="AP40" i="11"/>
  <c r="AQ40" i="11"/>
  <c r="AN40" i="11"/>
  <c r="AM40" i="11"/>
  <c r="AL40" i="11"/>
  <c r="AJ44" i="11"/>
  <c r="AO44" i="11"/>
  <c r="AN44" i="11"/>
  <c r="AT44" i="11"/>
  <c r="AW44" i="11"/>
  <c r="AL44" i="11"/>
  <c r="AK44" i="11"/>
  <c r="AP44" i="11"/>
  <c r="AM44" i="11"/>
  <c r="AQ44" i="11"/>
  <c r="AR44" i="11"/>
  <c r="AI44" i="11"/>
  <c r="AV44" i="11"/>
  <c r="AS44" i="11"/>
  <c r="AU44" i="11"/>
  <c r="AM14" i="12"/>
  <c r="AS14" i="12"/>
  <c r="AP14" i="12"/>
  <c r="AV14" i="12"/>
  <c r="AN14" i="12"/>
  <c r="AO14" i="12"/>
  <c r="AT14" i="12"/>
  <c r="AL14" i="12"/>
  <c r="AK14" i="12"/>
  <c r="AW14" i="12"/>
  <c r="K20" i="19"/>
  <c r="K21" i="19"/>
  <c r="K16" i="19"/>
  <c r="L16" i="19"/>
  <c r="K17" i="19"/>
  <c r="L17" i="19"/>
  <c r="AH14" i="12"/>
  <c r="AI14" i="12"/>
  <c r="AJ14" i="12"/>
  <c r="AQ47" i="3"/>
  <c r="AN47" i="3"/>
  <c r="AM47" i="3"/>
  <c r="AS47" i="3"/>
  <c r="AR47" i="3"/>
  <c r="AT47" i="3"/>
  <c r="AJ47" i="3"/>
  <c r="AU47" i="3"/>
  <c r="AK47" i="3"/>
  <c r="AV47" i="3"/>
  <c r="AL47" i="3"/>
  <c r="AO47" i="3"/>
  <c r="AW47" i="3"/>
  <c r="AH47" i="3"/>
  <c r="AP47" i="3"/>
  <c r="R30" i="1"/>
  <c r="Q27" i="1"/>
  <c r="P29" i="1"/>
  <c r="P28" i="1"/>
  <c r="Q30" i="1"/>
  <c r="S27" i="1"/>
  <c r="S28" i="1"/>
  <c r="P30" i="1"/>
  <c r="R28" i="1"/>
  <c r="R27" i="1"/>
  <c r="S30" i="1"/>
  <c r="S29" i="1"/>
  <c r="AP77" i="5"/>
  <c r="AS77" i="5"/>
  <c r="AO77" i="5"/>
  <c r="AJ77" i="5"/>
  <c r="AI77" i="5"/>
  <c r="AM77" i="5"/>
  <c r="AR77" i="5"/>
  <c r="AV77" i="5"/>
  <c r="AQ77" i="5"/>
  <c r="AL77" i="5"/>
  <c r="AN77" i="5"/>
  <c r="AK77" i="5"/>
  <c r="AM76" i="5"/>
  <c r="AJ76" i="5"/>
  <c r="AW76" i="5"/>
  <c r="AR76" i="5"/>
  <c r="AN76" i="5"/>
  <c r="AS76" i="5"/>
  <c r="AP76" i="5"/>
  <c r="AI76" i="5"/>
  <c r="AK76" i="5"/>
  <c r="AL76" i="5"/>
  <c r="AP29" i="18"/>
  <c r="AT29" i="18"/>
  <c r="AN29" i="18"/>
  <c r="AO29" i="18"/>
  <c r="AS29" i="18"/>
  <c r="AI29" i="18"/>
  <c r="AR29" i="18"/>
  <c r="AU29" i="18"/>
  <c r="AL29" i="18"/>
  <c r="AJ29" i="18"/>
  <c r="AW29" i="18"/>
  <c r="AO28" i="18"/>
  <c r="AU28" i="18"/>
  <c r="AM28" i="18"/>
  <c r="AL28" i="18"/>
  <c r="AJ28" i="18"/>
  <c r="AS28" i="18"/>
  <c r="AN28" i="18"/>
  <c r="AK28" i="18"/>
  <c r="AQ28" i="18"/>
  <c r="AP28" i="18"/>
  <c r="AR28" i="18"/>
  <c r="AV28" i="18"/>
  <c r="AW28" i="18"/>
  <c r="AI28" i="18"/>
  <c r="AT28" i="18"/>
  <c r="AW27" i="18"/>
  <c r="AS27" i="18"/>
  <c r="AJ27" i="18"/>
  <c r="AI27" i="18"/>
  <c r="AR27" i="18"/>
  <c r="AU27" i="18"/>
  <c r="AL27" i="18"/>
  <c r="AO27" i="18"/>
  <c r="AP27" i="18"/>
  <c r="AN27" i="18"/>
  <c r="AM27" i="18"/>
  <c r="AQ27" i="18"/>
  <c r="AK27" i="18"/>
  <c r="AT27" i="18"/>
  <c r="AS26" i="18"/>
  <c r="AM26" i="18"/>
  <c r="AR26" i="18"/>
  <c r="AN26" i="18"/>
  <c r="AI26" i="18"/>
  <c r="AT26" i="18"/>
  <c r="AP26" i="18"/>
  <c r="AJ26" i="18"/>
  <c r="AO26" i="18"/>
  <c r="AV26" i="18"/>
  <c r="AU26" i="18"/>
  <c r="AL26" i="18"/>
  <c r="AQ26" i="18"/>
  <c r="AR71" i="5"/>
  <c r="AO71" i="5"/>
  <c r="AN71" i="5"/>
  <c r="AU71" i="5"/>
  <c r="AS71" i="5"/>
  <c r="AK71" i="5"/>
  <c r="AT71" i="5"/>
  <c r="AJ71" i="5"/>
  <c r="AI71" i="5"/>
  <c r="AV71" i="5"/>
  <c r="AQ71" i="5"/>
  <c r="AL71" i="5"/>
  <c r="AW71" i="5"/>
  <c r="AP71" i="5"/>
  <c r="AR73" i="5"/>
  <c r="AN73" i="5"/>
  <c r="AJ73" i="5"/>
  <c r="AV73" i="5"/>
  <c r="AQ73" i="5"/>
  <c r="AL73" i="5"/>
  <c r="AM73" i="5"/>
  <c r="AP73" i="5"/>
  <c r="AW73" i="5"/>
  <c r="AO72" i="5"/>
  <c r="AK72" i="5"/>
  <c r="AN72" i="5"/>
  <c r="AR72" i="5"/>
  <c r="AI72" i="5"/>
  <c r="AS72" i="5"/>
  <c r="AP72" i="5"/>
  <c r="AU72" i="5"/>
  <c r="AT72" i="5"/>
  <c r="AW72" i="5"/>
  <c r="AQ72" i="5"/>
  <c r="AJ72" i="5"/>
  <c r="AL72" i="5"/>
  <c r="AO86" i="5"/>
  <c r="AN86" i="5"/>
  <c r="AW86" i="5"/>
  <c r="AP86" i="5"/>
  <c r="AS86" i="5"/>
  <c r="AK86" i="5"/>
  <c r="AU86" i="5"/>
  <c r="AR86" i="5"/>
  <c r="AL86" i="5"/>
  <c r="AM86" i="5"/>
  <c r="AV86" i="5"/>
  <c r="AT86" i="5"/>
  <c r="AJ86" i="5"/>
  <c r="AI86" i="5"/>
  <c r="AQ86" i="5"/>
  <c r="AR85" i="5"/>
  <c r="AJ85" i="5"/>
  <c r="AO85" i="5"/>
  <c r="AS85" i="5"/>
  <c r="AW85" i="5"/>
  <c r="AQ85" i="5"/>
  <c r="AI85" i="5"/>
  <c r="AK85" i="5"/>
  <c r="AL85" i="5"/>
  <c r="AP85" i="5"/>
  <c r="AT85" i="5"/>
  <c r="AN85" i="5"/>
  <c r="AH32" i="18"/>
  <c r="AS32" i="18"/>
  <c r="AU32" i="18"/>
  <c r="AL32" i="18"/>
  <c r="AI32" i="18"/>
  <c r="AR32" i="18"/>
  <c r="AP32" i="18"/>
  <c r="AV32" i="18"/>
  <c r="AK32" i="18"/>
  <c r="AM32" i="18"/>
  <c r="AW32" i="18"/>
  <c r="AN32" i="18"/>
  <c r="AT32" i="18"/>
  <c r="AJ32" i="18"/>
  <c r="AQ32" i="18"/>
  <c r="AO32" i="18"/>
  <c r="AW76" i="3"/>
  <c r="AO76" i="3"/>
  <c r="AP76" i="3"/>
  <c r="AT76" i="3"/>
  <c r="AK76" i="3"/>
  <c r="AJ76" i="3"/>
  <c r="AV76" i="3"/>
  <c r="AN76" i="3"/>
  <c r="AM76" i="3"/>
  <c r="AU76" i="3"/>
  <c r="AR76" i="3"/>
  <c r="AI76" i="3"/>
  <c r="AS76" i="3"/>
  <c r="AW8" i="11"/>
  <c r="AK8" i="11"/>
  <c r="AV8" i="11"/>
  <c r="AL8" i="11"/>
  <c r="AM8" i="11"/>
  <c r="AN8" i="11"/>
  <c r="AO8" i="11"/>
  <c r="AP8" i="11"/>
  <c r="AJ8" i="11"/>
  <c r="AU8" i="11"/>
  <c r="AH8" i="11"/>
  <c r="AS8" i="11"/>
  <c r="AR8" i="11"/>
  <c r="AI8" i="11"/>
  <c r="AT8" i="11"/>
  <c r="AQ8" i="11"/>
  <c r="AI6" i="11"/>
  <c r="AJ6" i="11"/>
  <c r="AT6" i="11"/>
  <c r="AN6" i="11"/>
  <c r="AH6" i="11"/>
  <c r="AO6" i="11"/>
  <c r="AP6" i="11"/>
  <c r="AQ6" i="11"/>
  <c r="AU6" i="11"/>
  <c r="AV6" i="11"/>
  <c r="AW6" i="11"/>
  <c r="AK6" i="11"/>
  <c r="AL6" i="11"/>
  <c r="AM6" i="11"/>
  <c r="AS6" i="11"/>
  <c r="AR6" i="11"/>
  <c r="I29" i="1"/>
  <c r="I27" i="1"/>
  <c r="I30" i="1" s="1"/>
  <c r="AU41" i="11"/>
  <c r="AK41" i="11"/>
  <c r="AP41" i="11"/>
  <c r="AQ41" i="11"/>
  <c r="AO41" i="11"/>
  <c r="AN41" i="11"/>
  <c r="AS41" i="11"/>
  <c r="AT41" i="11"/>
  <c r="AW41" i="11"/>
  <c r="AL41" i="11"/>
  <c r="AM41" i="11"/>
  <c r="AR41" i="11"/>
  <c r="AI41" i="11"/>
  <c r="AV41" i="11"/>
  <c r="AJ41" i="11"/>
  <c r="AQ51" i="11"/>
  <c r="AH51" i="11"/>
  <c r="AO51" i="11"/>
  <c r="AR51" i="11"/>
  <c r="AI51" i="11"/>
  <c r="AS51" i="11"/>
  <c r="AP51" i="11"/>
  <c r="AJ51" i="11"/>
  <c r="AT51" i="11"/>
  <c r="AK51" i="11"/>
  <c r="AN51" i="11"/>
  <c r="AQ13" i="6"/>
  <c r="AS13" i="6"/>
  <c r="AW13" i="6"/>
  <c r="AU13" i="6"/>
  <c r="AQ11" i="6"/>
  <c r="AU11" i="6"/>
  <c r="AR11" i="6"/>
  <c r="AI11" i="6"/>
  <c r="AJ11" i="6"/>
  <c r="AW18" i="6"/>
  <c r="AR18" i="6"/>
  <c r="AM9" i="6"/>
  <c r="AL9" i="6"/>
  <c r="AN9" i="6"/>
  <c r="AS6" i="6"/>
  <c r="AQ6" i="6"/>
  <c r="AV6" i="6"/>
  <c r="AU6" i="6"/>
  <c r="AT6" i="6"/>
  <c r="AO6" i="6"/>
  <c r="AN6" i="6"/>
  <c r="AP6" i="6"/>
  <c r="AM6" i="6"/>
  <c r="AR6" i="6"/>
  <c r="AW6" i="6"/>
  <c r="X3" i="12"/>
  <c r="Z3" i="12"/>
  <c r="AR22" i="9"/>
  <c r="AS22" i="9"/>
  <c r="AV22" i="9"/>
  <c r="AU22" i="9"/>
  <c r="AK22" i="9"/>
  <c r="Z22" i="9"/>
  <c r="Y22" i="9"/>
  <c r="AO13" i="9"/>
  <c r="AL13" i="9"/>
  <c r="AS13" i="9"/>
  <c r="AT54" i="9"/>
  <c r="AS54" i="9"/>
  <c r="AR54" i="9"/>
  <c r="AW54" i="9"/>
  <c r="AL25" i="9"/>
  <c r="AR25" i="9"/>
  <c r="AJ25" i="9"/>
  <c r="AQ25" i="9"/>
  <c r="AM25" i="9"/>
  <c r="AS25" i="9"/>
  <c r="AW25" i="9"/>
  <c r="AV25" i="9"/>
  <c r="AP25" i="9"/>
  <c r="AO25" i="9"/>
  <c r="AI25" i="9"/>
  <c r="AS12" i="6"/>
  <c r="AI12" i="6"/>
  <c r="AR12" i="6"/>
  <c r="AK4" i="17"/>
  <c r="AO4" i="17"/>
  <c r="AR4" i="17"/>
  <c r="AQ4" i="17"/>
  <c r="AW4" i="17"/>
  <c r="AM4" i="17"/>
  <c r="AU4" i="17"/>
  <c r="AT4" i="17"/>
  <c r="AW64" i="5"/>
  <c r="AV64" i="5"/>
  <c r="AQ34" i="18"/>
  <c r="AS34" i="18"/>
  <c r="AR34" i="18"/>
  <c r="AJ35" i="18"/>
  <c r="AM35" i="18"/>
  <c r="AI35" i="18"/>
  <c r="AK35" i="18"/>
  <c r="AL35" i="18"/>
  <c r="AM34" i="18"/>
  <c r="AL34" i="18"/>
  <c r="AK34" i="18"/>
  <c r="AJ34" i="18"/>
  <c r="AI34" i="18"/>
  <c r="AL27" i="17"/>
  <c r="AK27" i="17"/>
  <c r="AJ27" i="17"/>
  <c r="AQ27" i="17"/>
  <c r="AM27" i="17"/>
  <c r="AN27" i="17"/>
  <c r="AO27" i="17"/>
  <c r="AI27" i="17"/>
  <c r="AP27" i="17"/>
  <c r="AR27" i="17"/>
  <c r="AT27" i="17"/>
  <c r="AU27" i="17"/>
  <c r="AV27" i="17"/>
  <c r="AW27" i="17"/>
  <c r="AS27" i="17"/>
  <c r="AO18" i="17"/>
  <c r="AI18" i="17"/>
  <c r="AS18" i="17"/>
  <c r="AP18" i="17"/>
  <c r="AJ18" i="17"/>
  <c r="AQ18" i="17"/>
  <c r="AU18" i="17"/>
  <c r="AL18" i="17"/>
  <c r="AT18" i="17"/>
  <c r="AW18" i="17"/>
  <c r="AR18" i="17"/>
  <c r="AN18" i="17"/>
  <c r="AM18" i="17"/>
  <c r="AK18" i="17"/>
  <c r="AV18" i="17"/>
  <c r="AN13" i="17"/>
  <c r="AJ13" i="17"/>
  <c r="AT13" i="17"/>
  <c r="AR13" i="17"/>
  <c r="AO13" i="17"/>
  <c r="AU13" i="17"/>
  <c r="AM13" i="17"/>
  <c r="AS13" i="17"/>
  <c r="AP13" i="17"/>
  <c r="AL13" i="17"/>
  <c r="AV13" i="17"/>
  <c r="AK13" i="17"/>
  <c r="AW13" i="17"/>
  <c r="AQ13" i="17"/>
  <c r="AI13" i="17"/>
  <c r="AS11" i="17"/>
  <c r="AJ11" i="17"/>
  <c r="AQ11" i="17"/>
  <c r="AI11" i="17"/>
  <c r="AW11" i="17"/>
  <c r="AN11" i="17"/>
  <c r="AM11" i="17"/>
  <c r="AR11" i="17"/>
  <c r="AU11" i="17"/>
  <c r="AP11" i="17"/>
  <c r="AL11" i="17"/>
  <c r="AV11" i="17"/>
  <c r="AT11" i="17"/>
  <c r="AO11" i="17"/>
  <c r="AK11" i="17"/>
  <c r="AH20" i="17"/>
  <c r="AQ20" i="17"/>
  <c r="AN20" i="17"/>
  <c r="AM20" i="17"/>
  <c r="AK20" i="17"/>
  <c r="AI20" i="17"/>
  <c r="AT20" i="17"/>
  <c r="AV20" i="17"/>
  <c r="AO20" i="17"/>
  <c r="AS20" i="17"/>
  <c r="AU20" i="17"/>
  <c r="AJ20" i="17"/>
  <c r="AR20" i="17"/>
  <c r="AW20" i="17"/>
  <c r="AL20" i="17"/>
  <c r="AP20" i="17"/>
  <c r="AU6" i="17"/>
  <c r="AJ6" i="17"/>
  <c r="AL6" i="17"/>
  <c r="AK6" i="17"/>
  <c r="AI6" i="17"/>
  <c r="AQ6" i="17"/>
  <c r="AR6" i="17"/>
  <c r="AO6" i="17"/>
  <c r="AW6" i="17"/>
  <c r="AM6" i="17"/>
  <c r="AT6" i="17"/>
  <c r="AS6" i="17"/>
  <c r="AN6" i="17"/>
  <c r="AV6" i="17"/>
  <c r="AP6" i="17"/>
  <c r="AI14" i="17"/>
  <c r="AW14" i="17"/>
  <c r="AR14" i="17"/>
  <c r="AQ14" i="17"/>
  <c r="AJ14" i="17"/>
  <c r="AL14" i="17"/>
  <c r="AM14" i="17"/>
  <c r="AP14" i="17"/>
  <c r="AT14" i="17"/>
  <c r="AK14" i="17"/>
  <c r="AN14" i="17"/>
  <c r="AS14" i="17"/>
  <c r="AU14" i="17"/>
  <c r="AV14" i="17"/>
  <c r="AO14" i="17"/>
  <c r="AT19" i="17"/>
  <c r="AS19" i="17"/>
  <c r="AV19" i="17"/>
  <c r="AR19" i="17"/>
  <c r="AW19" i="17"/>
  <c r="AU19" i="17"/>
  <c r="AQ19" i="17"/>
  <c r="AP19" i="17"/>
  <c r="AN19" i="17"/>
  <c r="AM19" i="17"/>
  <c r="AL66" i="12"/>
  <c r="AM67" i="12"/>
  <c r="AL67" i="12"/>
  <c r="AM68" i="12"/>
  <c r="AJ66" i="12"/>
  <c r="AJ67" i="12"/>
  <c r="AI66" i="12"/>
  <c r="AI68" i="12"/>
  <c r="AJ68" i="12"/>
  <c r="AI67" i="12"/>
  <c r="AH67" i="12"/>
  <c r="AH68" i="12"/>
  <c r="AO4" i="13"/>
  <c r="AV4" i="13"/>
  <c r="AN4" i="13"/>
  <c r="AU4" i="13"/>
  <c r="AM4" i="13"/>
  <c r="AT4" i="13"/>
  <c r="AW4" i="13"/>
  <c r="AQ4" i="13"/>
  <c r="AR4" i="13"/>
  <c r="AS4" i="13"/>
  <c r="AL4" i="13"/>
  <c r="AP4" i="13"/>
  <c r="AH18" i="12"/>
  <c r="AW18" i="12"/>
  <c r="AO34" i="12"/>
  <c r="AH34" i="12"/>
  <c r="AU34" i="12"/>
  <c r="AV34" i="12"/>
  <c r="AL34" i="12"/>
  <c r="AS34" i="12"/>
  <c r="AM34" i="12"/>
  <c r="AR34" i="12"/>
  <c r="AJ34" i="12"/>
  <c r="AK34" i="12"/>
  <c r="AQ34" i="12"/>
  <c r="AI34" i="12"/>
  <c r="AW34" i="12"/>
  <c r="AN34" i="12"/>
  <c r="AP34" i="12"/>
  <c r="AT34" i="12"/>
  <c r="AT29" i="12"/>
  <c r="AN29" i="12"/>
  <c r="AV29" i="12"/>
  <c r="AO29" i="12"/>
  <c r="AW29" i="12"/>
  <c r="AH29" i="12"/>
  <c r="AP29" i="12"/>
  <c r="AJ29" i="12"/>
  <c r="AI29" i="12"/>
  <c r="AQ29" i="12"/>
  <c r="AR29" i="12"/>
  <c r="AS29" i="12"/>
  <c r="AU29" i="12"/>
  <c r="AM29" i="12"/>
  <c r="AK29" i="12"/>
  <c r="AL29" i="12"/>
  <c r="AH35" i="12"/>
  <c r="AI35" i="12"/>
  <c r="AP35" i="12"/>
  <c r="AO35" i="12"/>
  <c r="AU35" i="12"/>
  <c r="AM35" i="12"/>
  <c r="AW35" i="12"/>
  <c r="AN35" i="12"/>
  <c r="AS35" i="12"/>
  <c r="AK35" i="12"/>
  <c r="AT35" i="12"/>
  <c r="AL35" i="12"/>
  <c r="AR35" i="12"/>
  <c r="AJ35" i="12"/>
  <c r="AV35" i="12"/>
  <c r="AQ35" i="12"/>
  <c r="AP28" i="12"/>
  <c r="AH28" i="12"/>
  <c r="AK28" i="12"/>
  <c r="AJ28" i="12"/>
  <c r="AS28" i="12"/>
  <c r="AH32" i="12"/>
  <c r="AO32" i="12"/>
  <c r="AP32" i="12"/>
  <c r="AT32" i="12"/>
  <c r="AL32" i="12"/>
  <c r="AV32" i="12"/>
  <c r="AM32" i="12"/>
  <c r="AK32" i="12"/>
  <c r="AR32" i="12"/>
  <c r="AJ32" i="12"/>
  <c r="AS32" i="12"/>
  <c r="AQ32" i="12"/>
  <c r="AI32" i="12"/>
  <c r="AW32" i="12"/>
  <c r="AN32" i="12"/>
  <c r="AU32" i="12"/>
  <c r="AR32" i="11"/>
  <c r="AO32" i="11"/>
  <c r="AS32" i="11"/>
  <c r="AL32" i="11"/>
  <c r="AT32" i="11"/>
  <c r="AM32" i="11"/>
  <c r="AU32" i="11"/>
  <c r="AN32" i="11"/>
  <c r="AV32" i="11"/>
  <c r="AQ32" i="11"/>
  <c r="AP32" i="11"/>
  <c r="AW32" i="11"/>
  <c r="AI15" i="11"/>
  <c r="AJ15" i="11"/>
  <c r="AL19" i="11"/>
  <c r="AS19" i="11"/>
  <c r="AR19" i="11"/>
  <c r="AQ19" i="11"/>
  <c r="AP19" i="11"/>
  <c r="AW19" i="11"/>
  <c r="AO19" i="11"/>
  <c r="AV19" i="11"/>
  <c r="AN19" i="11"/>
  <c r="AU19" i="11"/>
  <c r="AM19" i="11"/>
  <c r="AT19" i="11"/>
  <c r="AS4" i="3"/>
  <c r="AR4" i="3"/>
  <c r="AI4" i="3"/>
  <c r="AN4" i="3"/>
  <c r="AL4" i="3"/>
  <c r="AV4" i="3"/>
  <c r="AJ4" i="3"/>
  <c r="AO4" i="3"/>
  <c r="AH4" i="3"/>
  <c r="AU4" i="3"/>
  <c r="AK4" i="3"/>
  <c r="AM4" i="3"/>
  <c r="AQ4" i="3"/>
  <c r="AT4" i="3"/>
  <c r="AW4" i="3"/>
  <c r="AP4" i="3"/>
  <c r="AL72" i="3"/>
  <c r="AK72" i="3"/>
  <c r="AJ72" i="3"/>
  <c r="AI72" i="3"/>
  <c r="AH72" i="3"/>
  <c r="W17" i="1"/>
  <c r="AB14" i="1"/>
  <c r="AA18" i="1"/>
  <c r="X19" i="1"/>
  <c r="U15" i="1"/>
  <c r="X14" i="1"/>
  <c r="Y16" i="1"/>
  <c r="X15" i="1"/>
  <c r="W14" i="1"/>
  <c r="AA19" i="1"/>
  <c r="Z18" i="1"/>
  <c r="Y15" i="1"/>
  <c r="X18" i="1"/>
  <c r="Y17" i="1"/>
  <c r="X16" i="1"/>
  <c r="W15" i="1"/>
  <c r="V14" i="1"/>
  <c r="Z19" i="1"/>
  <c r="Y18" i="1"/>
  <c r="X17" i="1"/>
  <c r="W16" i="1"/>
  <c r="V15" i="1"/>
  <c r="Z17" i="1"/>
  <c r="Y19" i="1"/>
  <c r="Z16" i="1"/>
  <c r="AA17" i="1"/>
  <c r="AC16" i="1"/>
  <c r="U18" i="1"/>
  <c r="AB18" i="1"/>
  <c r="AC19" i="1"/>
  <c r="Y14" i="1"/>
  <c r="Z15" i="1"/>
  <c r="AB15" i="1"/>
  <c r="AA14" i="1"/>
  <c r="U19" i="1"/>
  <c r="AC17" i="1"/>
  <c r="AA16" i="1"/>
  <c r="AB16" i="1"/>
  <c r="AB17" i="1"/>
  <c r="V17" i="1"/>
  <c r="W18" i="1"/>
  <c r="V16" i="1"/>
  <c r="U14" i="1"/>
  <c r="AC18" i="1"/>
  <c r="AA15" i="1"/>
  <c r="Z14" i="1"/>
  <c r="U16" i="1"/>
  <c r="AC14" i="1"/>
  <c r="W19" i="1"/>
  <c r="V18" i="1"/>
  <c r="V19" i="1"/>
  <c r="U17" i="1"/>
  <c r="AC15" i="1"/>
  <c r="AB19" i="1"/>
  <c r="AH39" i="11"/>
  <c r="AK39" i="11"/>
  <c r="AT39" i="11"/>
  <c r="AU39" i="11"/>
  <c r="AQ39" i="11"/>
  <c r="AN39" i="11"/>
  <c r="AJ39" i="11"/>
  <c r="AR39" i="11"/>
  <c r="AI39" i="11"/>
  <c r="AS39" i="11"/>
  <c r="AL39" i="11"/>
  <c r="AV39" i="11"/>
  <c r="AO39" i="11"/>
  <c r="AP39" i="11"/>
  <c r="AW39" i="11"/>
  <c r="AM39" i="11"/>
  <c r="AV51" i="11"/>
  <c r="AM51" i="11"/>
  <c r="AL51" i="11"/>
  <c r="AU51" i="11"/>
  <c r="AL13" i="6"/>
  <c r="AN13" i="6"/>
  <c r="AJ13" i="6"/>
  <c r="AI13" i="6"/>
  <c r="AN11" i="6"/>
  <c r="AL11" i="6"/>
  <c r="AM18" i="6"/>
  <c r="AL18" i="6"/>
  <c r="AS18" i="6"/>
  <c r="AT18" i="6"/>
  <c r="AV18" i="6"/>
  <c r="AQ18" i="6"/>
  <c r="AP18" i="6"/>
  <c r="AJ18" i="6"/>
  <c r="AI18" i="6"/>
  <c r="AQ15" i="6"/>
  <c r="AR15" i="6"/>
  <c r="AP15" i="6"/>
  <c r="AT15" i="6"/>
  <c r="AU15" i="6"/>
  <c r="AV15" i="6"/>
  <c r="AW15" i="6"/>
  <c r="AS15" i="6"/>
  <c r="AK15" i="6"/>
  <c r="AM15" i="6"/>
  <c r="AL15" i="6"/>
  <c r="AI15" i="6"/>
  <c r="AJ15" i="6"/>
  <c r="AS9" i="6"/>
  <c r="AP9" i="6"/>
  <c r="AQ9" i="6"/>
  <c r="AV9" i="6"/>
  <c r="AR9" i="6"/>
  <c r="AT9" i="6"/>
  <c r="AI9" i="6"/>
  <c r="AJ9" i="6"/>
  <c r="AL6" i="6"/>
  <c r="AJ6" i="6"/>
  <c r="AK6" i="6"/>
  <c r="AF3" i="12"/>
  <c r="AE3" i="12"/>
  <c r="AD3" i="12"/>
  <c r="AP45" i="9"/>
  <c r="AN45" i="9"/>
  <c r="AM45" i="9"/>
  <c r="AU45" i="9"/>
  <c r="AO45" i="9"/>
  <c r="AL45" i="9"/>
  <c r="AT45" i="9"/>
  <c r="AV45" i="9"/>
  <c r="AR45" i="9"/>
  <c r="AK45" i="9"/>
  <c r="AQ45" i="9"/>
  <c r="AW45" i="9"/>
  <c r="AS45" i="9"/>
  <c r="AJ45" i="9"/>
  <c r="AI45" i="9"/>
  <c r="AS40" i="9"/>
  <c r="AN40" i="9"/>
  <c r="AM40" i="9"/>
  <c r="AW40" i="9"/>
  <c r="AV40" i="9"/>
  <c r="AL40" i="9"/>
  <c r="AU40" i="9"/>
  <c r="AK40" i="9"/>
  <c r="AT40" i="9"/>
  <c r="AJ40" i="9"/>
  <c r="AI40" i="9"/>
  <c r="AQ40" i="9"/>
  <c r="AP40" i="9"/>
  <c r="AO40" i="9"/>
  <c r="AP22" i="9"/>
  <c r="AO22" i="9"/>
  <c r="AI22" i="9"/>
  <c r="AW22" i="9"/>
  <c r="AM22" i="9"/>
  <c r="AT22" i="9"/>
  <c r="AJ22" i="9"/>
  <c r="AM13" i="9"/>
  <c r="AU13" i="9"/>
  <c r="AQ13" i="9"/>
  <c r="AW13" i="9"/>
  <c r="AR13" i="9"/>
  <c r="AN13" i="9"/>
  <c r="AJ13" i="9"/>
  <c r="AP13" i="9"/>
  <c r="AI13" i="9"/>
  <c r="AK13" i="9"/>
  <c r="AR44" i="9"/>
  <c r="AV44" i="9"/>
  <c r="AQ44" i="9"/>
  <c r="AW44" i="9"/>
  <c r="AT44" i="9"/>
  <c r="AI44" i="9"/>
  <c r="AM44" i="9"/>
  <c r="AO44" i="9"/>
  <c r="AN44" i="9"/>
  <c r="AJ44" i="9"/>
  <c r="AU44" i="9"/>
  <c r="AK44" i="9"/>
  <c r="AP44" i="9"/>
  <c r="AL44" i="9"/>
  <c r="AS44" i="9"/>
  <c r="AU54" i="9"/>
  <c r="AI54" i="9"/>
  <c r="AM54" i="9"/>
  <c r="AO54" i="9"/>
  <c r="AN54" i="9"/>
  <c r="AQ54" i="9"/>
  <c r="AL54" i="9"/>
  <c r="AK54" i="9"/>
  <c r="AP54" i="9"/>
  <c r="AJ54" i="9"/>
  <c r="AJ55" i="9"/>
  <c r="AU55" i="9"/>
  <c r="AK55" i="9"/>
  <c r="AN55" i="9"/>
  <c r="AL55" i="9"/>
  <c r="AP55" i="9"/>
  <c r="AQ55" i="9"/>
  <c r="AS55" i="9"/>
  <c r="AV55" i="9"/>
  <c r="AR55" i="9"/>
  <c r="AT55" i="9"/>
  <c r="AM55" i="9"/>
  <c r="AI55" i="9"/>
  <c r="AW55" i="9"/>
  <c r="AO55" i="9"/>
  <c r="AI39" i="9"/>
  <c r="AN39" i="9"/>
  <c r="AS39" i="9"/>
  <c r="AP39" i="9"/>
  <c r="AK39" i="9"/>
  <c r="AR39" i="9"/>
  <c r="AL39" i="9"/>
  <c r="AO39" i="9"/>
  <c r="AU39" i="9"/>
  <c r="AV39" i="9"/>
  <c r="AM39" i="9"/>
  <c r="AJ39" i="9"/>
  <c r="AP26" i="9"/>
  <c r="AI26" i="9"/>
  <c r="AJ26" i="9"/>
  <c r="AQ26" i="9"/>
  <c r="AO26" i="9"/>
  <c r="AN26" i="9"/>
  <c r="AR26" i="9"/>
  <c r="AM26" i="9"/>
  <c r="AT26" i="9"/>
  <c r="AL26" i="9"/>
  <c r="AH26" i="9"/>
  <c r="AK26" i="9"/>
  <c r="AV26" i="9"/>
  <c r="AS26" i="9"/>
  <c r="AU26" i="9"/>
  <c r="AW26" i="9"/>
  <c r="AN25" i="9"/>
  <c r="AU25" i="9"/>
  <c r="AM20" i="5"/>
  <c r="AK20" i="5"/>
  <c r="AU20" i="5"/>
  <c r="AT20" i="5"/>
  <c r="AS20" i="5"/>
  <c r="AR20" i="5"/>
  <c r="AP20" i="5"/>
  <c r="AN20" i="5"/>
  <c r="AL20" i="5"/>
  <c r="AJ20" i="5"/>
  <c r="AV20" i="5"/>
  <c r="AI20" i="5"/>
  <c r="AQ20" i="5"/>
  <c r="AO20" i="5"/>
  <c r="AK12" i="6"/>
  <c r="AH12" i="6"/>
  <c r="AQ12" i="6"/>
  <c r="AP12" i="6"/>
  <c r="AO12" i="6"/>
  <c r="AN12" i="6"/>
  <c r="AW12" i="6"/>
  <c r="AM12" i="6"/>
  <c r="AV12" i="6"/>
  <c r="AL12" i="6"/>
  <c r="AU12" i="6"/>
  <c r="AT12" i="6"/>
  <c r="AJ12" i="6"/>
  <c r="AJ9" i="8"/>
  <c r="AK9" i="8"/>
  <c r="AM12" i="17"/>
  <c r="AS12" i="17"/>
  <c r="AW12" i="17"/>
  <c r="AH12" i="17"/>
  <c r="AP12" i="17"/>
  <c r="AL12" i="17"/>
  <c r="AK12" i="17"/>
  <c r="AV12" i="17"/>
  <c r="AR12" i="17"/>
  <c r="AO12" i="17"/>
  <c r="AJ12" i="17"/>
  <c r="AT12" i="17"/>
  <c r="AQ12" i="17"/>
  <c r="AN12" i="17"/>
  <c r="AI12" i="17"/>
  <c r="AU12" i="17"/>
  <c r="AP23" i="17"/>
  <c r="AI23" i="17"/>
  <c r="AT23" i="17"/>
  <c r="AU23" i="17"/>
  <c r="AQ23" i="17"/>
  <c r="AV23" i="17"/>
  <c r="AR23" i="17"/>
  <c r="AS23" i="17"/>
  <c r="AW23" i="17"/>
  <c r="AJ23" i="17"/>
  <c r="AK23" i="17"/>
  <c r="AL23" i="17"/>
  <c r="AM23" i="17"/>
  <c r="AN23" i="17"/>
  <c r="AO23" i="17"/>
  <c r="AH22" i="17"/>
  <c r="AR22" i="17"/>
  <c r="AQ22" i="17"/>
  <c r="AP22" i="17"/>
  <c r="AO22" i="17"/>
  <c r="AN22" i="17"/>
  <c r="AL22" i="17"/>
  <c r="AK22" i="17"/>
  <c r="AJ22" i="17"/>
  <c r="AI22" i="17"/>
  <c r="AM22" i="17"/>
  <c r="AW22" i="17"/>
  <c r="AV22" i="17"/>
  <c r="AU22" i="17"/>
  <c r="AT22" i="17"/>
  <c r="AS22" i="17"/>
  <c r="AV4" i="17"/>
  <c r="AJ4" i="17"/>
  <c r="AI4" i="17"/>
  <c r="AL4" i="17"/>
  <c r="AS4" i="17"/>
  <c r="AP4" i="17"/>
  <c r="AQ52" i="3"/>
  <c r="AT52" i="3"/>
  <c r="AR52" i="3"/>
  <c r="AS52" i="3"/>
  <c r="AN52" i="3"/>
  <c r="AU52" i="3"/>
  <c r="AP52" i="3"/>
  <c r="AO52" i="3"/>
  <c r="AL52" i="3"/>
  <c r="AI52" i="3"/>
  <c r="AJ52" i="3"/>
  <c r="AK52" i="3"/>
  <c r="AH52" i="3"/>
  <c r="AU64" i="5"/>
  <c r="AR64" i="5"/>
  <c r="AO64" i="5"/>
  <c r="AP64" i="5"/>
  <c r="AQ64" i="5"/>
  <c r="AJ64" i="5"/>
  <c r="AK64" i="5"/>
  <c r="AH64" i="5"/>
  <c r="AL64" i="5"/>
  <c r="AM64" i="5"/>
  <c r="AI64" i="5"/>
  <c r="AH42" i="5"/>
  <c r="AT42" i="5"/>
  <c r="AK42" i="5"/>
  <c r="AM42" i="5"/>
  <c r="AN42" i="5"/>
  <c r="AO42" i="5"/>
  <c r="AP42" i="5"/>
  <c r="AS42" i="5"/>
  <c r="AV42" i="5"/>
  <c r="AI42" i="5"/>
  <c r="AJ42" i="5"/>
  <c r="AL42" i="5"/>
  <c r="AQ42" i="5"/>
  <c r="AR42" i="5"/>
  <c r="AU42" i="5"/>
  <c r="AW42" i="5"/>
  <c r="AM37" i="5"/>
  <c r="AJ37" i="5"/>
  <c r="AO37" i="5"/>
  <c r="AP37" i="5"/>
  <c r="AQ37" i="5"/>
  <c r="AR37" i="5"/>
  <c r="AU37" i="5"/>
  <c r="AH37" i="5"/>
  <c r="AV37" i="5"/>
  <c r="AL37" i="5"/>
  <c r="AK37" i="5"/>
  <c r="AI37" i="5"/>
  <c r="AT37" i="5"/>
  <c r="AN37" i="5"/>
  <c r="AW37" i="5"/>
  <c r="AS37" i="5"/>
  <c r="AO3" i="12"/>
  <c r="AK3" i="12"/>
  <c r="AN3" i="12"/>
  <c r="AJ3" i="12"/>
  <c r="AI3" i="12"/>
  <c r="AM3" i="12"/>
  <c r="AH3" i="12"/>
  <c r="AW3" i="12"/>
  <c r="AV3" i="12"/>
  <c r="AU3" i="12"/>
  <c r="AT3" i="12"/>
  <c r="AS3" i="12"/>
  <c r="AR3" i="12"/>
  <c r="AQ3" i="12"/>
  <c r="AP3" i="12"/>
  <c r="AL3" i="12"/>
  <c r="AT32" i="9"/>
  <c r="AJ32" i="9"/>
  <c r="AI32" i="9"/>
  <c r="AS32" i="9"/>
  <c r="AK32" i="9"/>
  <c r="AR32" i="9"/>
  <c r="AQ32" i="9"/>
  <c r="AP32" i="9"/>
  <c r="AO32" i="9"/>
  <c r="AN32" i="9"/>
  <c r="AW32" i="9"/>
  <c r="AH32" i="9"/>
  <c r="AM32" i="9"/>
  <c r="AV32" i="9"/>
  <c r="AL32" i="9"/>
  <c r="AU32" i="9"/>
  <c r="AI9" i="8"/>
  <c r="AH9" i="8"/>
  <c r="AT9" i="8"/>
  <c r="AL9" i="8"/>
  <c r="AS9" i="8"/>
  <c r="AR9" i="8"/>
  <c r="AN9" i="8"/>
  <c r="AM9" i="8"/>
  <c r="AP9" i="8"/>
  <c r="AW9" i="8"/>
  <c r="AQ9" i="8"/>
  <c r="AV9" i="8"/>
  <c r="AU9" i="8"/>
  <c r="AO9" i="8"/>
  <c r="AS97" i="5"/>
  <c r="AP97" i="5"/>
  <c r="AL98" i="5"/>
  <c r="AM98" i="5"/>
  <c r="AK98" i="5"/>
  <c r="AI98" i="5"/>
  <c r="AJ98" i="5"/>
  <c r="AV96" i="5"/>
  <c r="AP96" i="5"/>
  <c r="AQ95" i="5"/>
  <c r="AP95" i="5"/>
  <c r="AW95" i="5"/>
  <c r="AV95" i="5"/>
  <c r="AU95" i="5"/>
  <c r="AT95" i="5"/>
  <c r="AS95" i="5"/>
  <c r="AR95" i="5"/>
  <c r="AO95" i="5"/>
  <c r="AK96" i="5"/>
  <c r="AM96" i="5"/>
  <c r="AI96" i="5"/>
  <c r="AL96" i="5"/>
  <c r="AJ96" i="5"/>
  <c r="AK95" i="5"/>
  <c r="AI95" i="5"/>
  <c r="AJ95" i="5"/>
  <c r="AL95" i="5"/>
  <c r="AM95" i="5"/>
  <c r="AI26" i="17"/>
  <c r="AP26" i="17"/>
  <c r="AU26" i="17"/>
  <c r="AS26" i="17"/>
  <c r="AN5" i="17"/>
  <c r="AT5" i="17"/>
  <c r="AQ5" i="17"/>
  <c r="AL5" i="17"/>
  <c r="AK5" i="17"/>
  <c r="AI5" i="17"/>
  <c r="AJ5" i="17"/>
  <c r="AR5" i="17"/>
  <c r="AS5" i="17"/>
  <c r="AO5" i="17"/>
  <c r="AM5" i="17"/>
  <c r="AH5" i="17"/>
  <c r="AW5" i="17"/>
  <c r="AV5" i="17"/>
  <c r="AU5" i="17"/>
  <c r="AP5" i="17"/>
  <c r="AQ3" i="17"/>
  <c r="AR3" i="17"/>
  <c r="AT3" i="17"/>
  <c r="AU3" i="17"/>
  <c r="AS3" i="17"/>
  <c r="AW3" i="17"/>
  <c r="AO3" i="17"/>
  <c r="AV3" i="17"/>
  <c r="AL3" i="17"/>
  <c r="AN3" i="17"/>
  <c r="AI3" i="17"/>
  <c r="AJ3" i="17"/>
  <c r="AK3" i="17"/>
  <c r="AS35" i="11"/>
  <c r="AL35" i="11"/>
  <c r="AN35" i="11"/>
  <c r="AT35" i="11"/>
  <c r="AP35" i="11"/>
  <c r="AM35" i="11"/>
  <c r="AR35" i="11"/>
  <c r="AO35" i="11"/>
  <c r="AU35" i="11"/>
  <c r="AK35" i="11"/>
  <c r="AW35" i="11"/>
  <c r="AV35" i="11"/>
  <c r="AT47" i="11"/>
  <c r="AQ47" i="11"/>
  <c r="AV47" i="11"/>
  <c r="AU47" i="11"/>
  <c r="AI47" i="11"/>
  <c r="AM47" i="11"/>
  <c r="AJ47" i="11"/>
  <c r="AR47" i="11"/>
  <c r="AP47" i="11"/>
  <c r="AO47" i="11"/>
  <c r="AK47" i="11"/>
  <c r="AS47" i="11"/>
  <c r="AL47" i="11"/>
  <c r="AN47" i="11"/>
  <c r="AW47" i="11"/>
  <c r="AQ50" i="11"/>
  <c r="AL50" i="11"/>
  <c r="AR50" i="11"/>
  <c r="AW50" i="11"/>
  <c r="AK50" i="11"/>
  <c r="AO50" i="11"/>
  <c r="AV50" i="11"/>
  <c r="AI50" i="11"/>
  <c r="AP50" i="11"/>
  <c r="AH50" i="11"/>
  <c r="AN50" i="11"/>
  <c r="AU50" i="11"/>
  <c r="AS50" i="11"/>
  <c r="AM50" i="11"/>
  <c r="AJ50" i="11"/>
  <c r="AT50" i="11"/>
  <c r="AP15" i="11"/>
  <c r="AR15" i="11"/>
  <c r="AN15" i="11"/>
  <c r="AQ15" i="11"/>
  <c r="AK15" i="11"/>
  <c r="AM15" i="11"/>
  <c r="AU15" i="11"/>
  <c r="AO15" i="11"/>
  <c r="AL15" i="11"/>
  <c r="AS15" i="11"/>
  <c r="AV15" i="11"/>
  <c r="AT15" i="11"/>
  <c r="AJ8" i="8" a="1"/>
  <c r="AL8" i="8" a="1"/>
  <c r="AF8" i="8"/>
  <c r="AH8" i="8" a="1"/>
  <c r="Z8" i="8"/>
  <c r="AM13" i="3"/>
  <c r="AQ13" i="3"/>
  <c r="AP13" i="3"/>
  <c r="AN13" i="3"/>
  <c r="AV13" i="3"/>
  <c r="AU13" i="3"/>
  <c r="AL13" i="3"/>
  <c r="AW13" i="3"/>
  <c r="AI13" i="3"/>
  <c r="AT13" i="3"/>
  <c r="AK13" i="3"/>
  <c r="AR13" i="3"/>
  <c r="AS13" i="3"/>
  <c r="AJ13" i="3"/>
  <c r="AO13" i="3"/>
  <c r="AR7" i="8"/>
  <c r="AS7" i="8"/>
  <c r="AV7" i="8"/>
  <c r="AW7" i="8"/>
  <c r="AU7" i="8"/>
  <c r="AP7" i="8"/>
  <c r="AO7" i="8"/>
  <c r="AN7" i="8"/>
  <c r="AU4" i="5"/>
  <c r="AO4" i="5"/>
  <c r="AR4" i="5"/>
  <c r="AQ4" i="5"/>
  <c r="AV4" i="5"/>
  <c r="AN4" i="5"/>
  <c r="AW4" i="5"/>
  <c r="AT4" i="5"/>
  <c r="AP4" i="5"/>
  <c r="AL4" i="5"/>
  <c r="AM4" i="5"/>
  <c r="AH4" i="5"/>
  <c r="AI4" i="5"/>
  <c r="AJ4" i="5"/>
  <c r="AV65" i="5"/>
  <c r="AO65" i="5"/>
  <c r="AN65" i="5"/>
  <c r="AW65" i="5"/>
  <c r="AP65" i="5"/>
  <c r="AR65" i="5"/>
  <c r="AT65" i="5"/>
  <c r="AS65" i="5"/>
  <c r="AU65" i="5"/>
  <c r="AK65" i="5"/>
  <c r="AI65" i="5"/>
  <c r="AL65" i="5"/>
  <c r="AM65" i="5"/>
  <c r="AJ65" i="5"/>
  <c r="AW61" i="5"/>
  <c r="AN61" i="5"/>
  <c r="AV61" i="5"/>
  <c r="AT61" i="5"/>
  <c r="AQ61" i="5"/>
  <c r="AS61" i="5"/>
  <c r="AO61" i="5"/>
  <c r="AR61" i="5"/>
  <c r="AU61" i="5"/>
  <c r="AJ61" i="5"/>
  <c r="AK61" i="5"/>
  <c r="AI61" i="5"/>
  <c r="AL61" i="5"/>
  <c r="AM61" i="5"/>
  <c r="AN45" i="3"/>
  <c r="AS45" i="3"/>
  <c r="AW45" i="3"/>
  <c r="AU45" i="3"/>
  <c r="AP45" i="3"/>
  <c r="AQ45" i="3"/>
  <c r="AV45" i="3"/>
  <c r="AR45" i="3"/>
  <c r="AM45" i="3"/>
  <c r="AT45" i="3"/>
  <c r="AH45" i="3"/>
  <c r="AI45" i="3"/>
  <c r="AK45" i="3"/>
  <c r="AJ45" i="3"/>
  <c r="AP31" i="3"/>
  <c r="AJ31" i="3"/>
  <c r="AO31" i="3"/>
  <c r="AM31" i="3"/>
  <c r="AT31" i="3"/>
  <c r="AU31" i="3"/>
  <c r="AH31" i="3"/>
  <c r="AW31" i="3"/>
  <c r="AI31" i="3"/>
  <c r="AR31" i="3"/>
  <c r="AQ31" i="3"/>
  <c r="AN31" i="3"/>
  <c r="AV31" i="3"/>
  <c r="AS31" i="3"/>
  <c r="AK31" i="3"/>
  <c r="AW30" i="3"/>
  <c r="AQ30" i="3"/>
  <c r="AU30" i="3"/>
  <c r="AM30" i="3"/>
  <c r="AP30" i="3"/>
  <c r="AK30" i="3"/>
  <c r="AN30" i="3"/>
  <c r="AL30" i="3"/>
  <c r="AV30" i="3"/>
  <c r="AS30" i="3"/>
  <c r="AO30" i="3"/>
  <c r="AJ30" i="3"/>
  <c r="AH30" i="3"/>
  <c r="AT30" i="3"/>
  <c r="AR30" i="3"/>
  <c r="AR82" i="3"/>
  <c r="AJ82" i="3"/>
  <c r="AN82" i="3"/>
  <c r="AO82" i="3"/>
  <c r="AU82" i="3"/>
  <c r="AV82" i="3"/>
  <c r="AM82" i="3"/>
  <c r="AQ82" i="3"/>
  <c r="AH82" i="3"/>
  <c r="AW82" i="3"/>
  <c r="AK82" i="3"/>
  <c r="AT82" i="3"/>
  <c r="AL82" i="3"/>
  <c r="AS82" i="3"/>
  <c r="AP82" i="3"/>
  <c r="AK63" i="3"/>
  <c r="AT63" i="3"/>
  <c r="AW63" i="3"/>
  <c r="AN63" i="3"/>
  <c r="AH63" i="3"/>
  <c r="AQ63" i="3"/>
  <c r="AP63" i="3"/>
  <c r="AU63" i="3"/>
  <c r="AL63" i="3"/>
  <c r="AR63" i="3"/>
  <c r="AI63" i="3"/>
  <c r="AM63" i="3"/>
  <c r="AV63" i="3"/>
  <c r="AS63" i="3"/>
  <c r="AJ63" i="3"/>
  <c r="AO63" i="3"/>
  <c r="AR62" i="3"/>
  <c r="AU62" i="3"/>
  <c r="AP62" i="3"/>
  <c r="AW62" i="3"/>
  <c r="AN62" i="3"/>
  <c r="AK62" i="3"/>
  <c r="AT62" i="3"/>
  <c r="AO62" i="3"/>
  <c r="AI62" i="3"/>
  <c r="AS62" i="3"/>
  <c r="AQ62" i="3"/>
  <c r="AJ62" i="3"/>
  <c r="AV62" i="3"/>
  <c r="AL62" i="3"/>
  <c r="AM62" i="3"/>
  <c r="AV70" i="3"/>
  <c r="AH70" i="3"/>
  <c r="AN70" i="3"/>
  <c r="AM70" i="3"/>
  <c r="AT70" i="3"/>
  <c r="AQ70" i="3"/>
  <c r="AO70" i="3"/>
  <c r="AS70" i="3"/>
  <c r="AK70" i="3"/>
  <c r="AW70" i="3"/>
  <c r="AU70" i="3"/>
  <c r="AL70" i="3"/>
  <c r="AP70" i="3"/>
  <c r="AR70" i="3"/>
  <c r="AJ70" i="3"/>
  <c r="AL58" i="3"/>
  <c r="AI58" i="3"/>
  <c r="AV58" i="3"/>
  <c r="AN58" i="3"/>
  <c r="AR58" i="3"/>
  <c r="AO58" i="3"/>
  <c r="AW58" i="3"/>
  <c r="AJ58" i="3"/>
  <c r="AH58" i="3"/>
  <c r="AU58" i="3"/>
  <c r="AM58" i="3"/>
  <c r="AQ58" i="3"/>
  <c r="AS58" i="3"/>
  <c r="AK58" i="3"/>
  <c r="AP58" i="3"/>
  <c r="AT58" i="3"/>
  <c r="AN9" i="3"/>
  <c r="AO9" i="3"/>
  <c r="AV9" i="3"/>
  <c r="AU9" i="3"/>
  <c r="AT9" i="3"/>
  <c r="AK9" i="3"/>
  <c r="AS9" i="3"/>
  <c r="AM9" i="3"/>
  <c r="AL9" i="3"/>
  <c r="AW9" i="3"/>
  <c r="AR9" i="3"/>
  <c r="AI9" i="3"/>
  <c r="AQ9" i="3"/>
  <c r="AP9" i="3"/>
  <c r="AJ9" i="3"/>
  <c r="AI61" i="3"/>
  <c r="AW61" i="3"/>
  <c r="AP61" i="3"/>
  <c r="AQ61" i="3"/>
  <c r="AK61" i="3"/>
  <c r="AO61" i="3"/>
  <c r="AJ61" i="3"/>
  <c r="AR61" i="3"/>
  <c r="AS61" i="3"/>
  <c r="AL61" i="3"/>
  <c r="AM61" i="3"/>
  <c r="AV61" i="3"/>
  <c r="AU61" i="3"/>
  <c r="AN61" i="3"/>
  <c r="AT61" i="3"/>
  <c r="AH61" i="3"/>
  <c r="AQ60" i="3"/>
  <c r="AH60" i="3"/>
  <c r="AN60" i="3"/>
  <c r="AT60" i="3"/>
  <c r="AM60" i="3"/>
  <c r="AS60" i="3"/>
  <c r="AW60" i="3"/>
  <c r="AP60" i="3"/>
  <c r="AV60" i="3"/>
  <c r="AO60" i="3"/>
  <c r="AU60" i="3"/>
  <c r="AI60" i="3"/>
  <c r="AL60" i="3"/>
  <c r="AJ60" i="3"/>
  <c r="AK60" i="3"/>
  <c r="AR60" i="3"/>
  <c r="AN59" i="3"/>
  <c r="AV59" i="3"/>
  <c r="AP59" i="3"/>
  <c r="AU59" i="3"/>
  <c r="AW59" i="3"/>
  <c r="AI59" i="3"/>
  <c r="AQ59" i="3"/>
  <c r="AM59" i="3"/>
  <c r="AJ59" i="3"/>
  <c r="AR59" i="3"/>
  <c r="AK59" i="3"/>
  <c r="AS59" i="3"/>
  <c r="AL59" i="3"/>
  <c r="AO59" i="3"/>
  <c r="AT59" i="3"/>
  <c r="AP66" i="3"/>
  <c r="AV66" i="3"/>
  <c r="AN66" i="3"/>
  <c r="AO66" i="3"/>
  <c r="AQ66" i="3"/>
  <c r="AT66" i="3"/>
  <c r="AU66" i="3"/>
  <c r="AL66" i="3"/>
  <c r="AJ66" i="3"/>
  <c r="AR66" i="3"/>
  <c r="AK66" i="3"/>
  <c r="AS66" i="3"/>
  <c r="AW66" i="3"/>
  <c r="AM66" i="3"/>
  <c r="AI66" i="3"/>
  <c r="AH66" i="3"/>
  <c r="AN48" i="3"/>
  <c r="AV48" i="3"/>
  <c r="AL48" i="3"/>
  <c r="AI48" i="3"/>
  <c r="AR48" i="3"/>
  <c r="AO48" i="3"/>
  <c r="AQ48" i="3"/>
  <c r="AS48" i="3"/>
  <c r="AH48" i="3"/>
  <c r="AK48" i="3"/>
  <c r="AT48" i="3"/>
  <c r="AU48" i="3"/>
  <c r="AM48" i="3"/>
  <c r="AP48" i="3"/>
  <c r="AJ48" i="3"/>
  <c r="AW48" i="3"/>
  <c r="AT28" i="3"/>
  <c r="AH28" i="3"/>
  <c r="AP28" i="3"/>
  <c r="AM28" i="3"/>
  <c r="AU28" i="3"/>
  <c r="AQ28" i="3"/>
  <c r="AJ28" i="3"/>
  <c r="AL28" i="3"/>
  <c r="AK28" i="3"/>
  <c r="AV28" i="3"/>
  <c r="AN28" i="3"/>
  <c r="AW28" i="3"/>
  <c r="AR28" i="3"/>
  <c r="AO28" i="3"/>
  <c r="AI28" i="3"/>
  <c r="AS28" i="3"/>
  <c r="AP81" i="3"/>
  <c r="AR81" i="3"/>
  <c r="AH81" i="3"/>
  <c r="AL81" i="3"/>
  <c r="AU81" i="3"/>
  <c r="AV81" i="3"/>
  <c r="AM81" i="3"/>
  <c r="AQ81" i="3"/>
  <c r="AO81" i="3"/>
  <c r="AJ81" i="3"/>
  <c r="AS81" i="3"/>
  <c r="AW81" i="3"/>
  <c r="AN81" i="3"/>
  <c r="AT81" i="3"/>
  <c r="AK81" i="3"/>
  <c r="AI81" i="3"/>
  <c r="AQ80" i="3"/>
  <c r="AI80" i="3"/>
  <c r="AR80" i="3"/>
  <c r="AN80" i="3"/>
  <c r="AK80" i="3"/>
  <c r="AP80" i="3"/>
  <c r="AS80" i="3"/>
  <c r="AJ80" i="3"/>
  <c r="AO80" i="3"/>
  <c r="AH80" i="3"/>
  <c r="AT80" i="3"/>
  <c r="AU80" i="3"/>
  <c r="AL80" i="3"/>
  <c r="AM80" i="3"/>
  <c r="AW80" i="3"/>
  <c r="AV80" i="3"/>
  <c r="AT75" i="3"/>
  <c r="AN75" i="3"/>
  <c r="AO75" i="3"/>
  <c r="AS75" i="3"/>
  <c r="AL75" i="3"/>
  <c r="AI75" i="3"/>
  <c r="AH75" i="3"/>
  <c r="AW75" i="3"/>
  <c r="AK75" i="3"/>
  <c r="AV75" i="3"/>
  <c r="AR75" i="3"/>
  <c r="AJ75" i="3"/>
  <c r="AP75" i="3"/>
  <c r="AQ75" i="3"/>
  <c r="AU75" i="3"/>
  <c r="AV72" i="3"/>
  <c r="AW72" i="3"/>
  <c r="AT72" i="3"/>
  <c r="AS72" i="3"/>
  <c r="AU72" i="3"/>
  <c r="AO72" i="3"/>
  <c r="AP72" i="3"/>
  <c r="AQ72" i="3"/>
  <c r="AN72" i="3"/>
  <c r="AH69" i="3"/>
  <c r="AN69" i="3"/>
  <c r="AI69" i="3"/>
  <c r="AR69" i="3"/>
  <c r="AK69" i="3"/>
  <c r="AQ69" i="3"/>
  <c r="AS69" i="3"/>
  <c r="AP69" i="3"/>
  <c r="AL69" i="3"/>
  <c r="AO69" i="3"/>
  <c r="AT69" i="3"/>
  <c r="AM69" i="3"/>
  <c r="AV69" i="3"/>
  <c r="AW69" i="3"/>
  <c r="AU69" i="3"/>
  <c r="AJ69" i="3"/>
  <c r="AJ68" i="3"/>
  <c r="AN68" i="3"/>
  <c r="AS68" i="3"/>
  <c r="AK68" i="3"/>
  <c r="AT68" i="3"/>
  <c r="AR68" i="3"/>
  <c r="AI68" i="3"/>
  <c r="AL68" i="3"/>
  <c r="AH68" i="3"/>
  <c r="AQ68" i="3"/>
  <c r="AU68" i="3"/>
  <c r="AW68" i="3"/>
  <c r="AP68" i="3"/>
  <c r="AM68" i="3"/>
  <c r="AV68" i="3"/>
  <c r="AO68" i="3"/>
  <c r="AO67" i="3"/>
  <c r="AT67" i="3"/>
  <c r="AI67" i="3"/>
  <c r="AQ67" i="3"/>
  <c r="AJ67" i="3"/>
  <c r="AN67" i="3"/>
  <c r="AW67" i="3"/>
  <c r="AR67" i="3"/>
  <c r="AH67" i="3"/>
  <c r="AK67" i="3"/>
  <c r="AV67" i="3"/>
  <c r="AS67" i="3"/>
  <c r="AP67" i="3"/>
  <c r="AL67" i="3"/>
  <c r="AU67" i="3"/>
  <c r="AM67" i="3"/>
  <c r="AP54" i="3"/>
  <c r="AV54" i="3"/>
  <c r="AM54" i="3"/>
  <c r="AW54" i="3"/>
  <c r="AN54" i="3"/>
  <c r="AO54" i="3"/>
  <c r="AU54" i="3"/>
  <c r="AK54" i="3"/>
  <c r="AT54" i="3"/>
  <c r="AS54" i="3"/>
  <c r="AL54" i="3"/>
  <c r="AR54" i="3"/>
  <c r="AJ54" i="3"/>
  <c r="AQ54" i="3"/>
  <c r="AI54" i="3"/>
  <c r="AH54" i="3"/>
  <c r="AV51" i="3"/>
  <c r="AT51" i="3"/>
  <c r="AU51" i="3"/>
  <c r="AL51" i="3"/>
  <c r="AM51" i="3"/>
  <c r="AH51" i="3"/>
  <c r="AP51" i="3"/>
  <c r="AR51" i="3"/>
  <c r="AI51" i="3"/>
  <c r="AW51" i="3"/>
  <c r="AN51" i="3"/>
  <c r="AQ51" i="3"/>
  <c r="AJ51" i="3"/>
  <c r="AS51" i="3"/>
  <c r="AO51" i="3"/>
  <c r="AK51" i="3"/>
  <c r="AL50" i="3"/>
  <c r="AU50" i="3"/>
  <c r="AQ50" i="3"/>
  <c r="AM50" i="3"/>
  <c r="AH50" i="3"/>
  <c r="AS50" i="3"/>
  <c r="AV50" i="3"/>
  <c r="AR50" i="3"/>
  <c r="AT50" i="3"/>
  <c r="AK50" i="3"/>
  <c r="AW50" i="3"/>
  <c r="AJ50" i="3"/>
  <c r="AI50" i="3"/>
  <c r="AP50" i="3"/>
  <c r="AO50" i="3"/>
  <c r="AP44" i="3"/>
  <c r="AI44" i="3"/>
  <c r="AV44" i="3"/>
  <c r="AN44" i="3"/>
  <c r="AJ44" i="3"/>
  <c r="AM44" i="3"/>
  <c r="AH44" i="3"/>
  <c r="AR44" i="3"/>
  <c r="AW44" i="3"/>
  <c r="AS44" i="3"/>
  <c r="AO44" i="3"/>
  <c r="AQ44" i="3"/>
  <c r="AK44" i="3"/>
  <c r="AU44" i="3"/>
  <c r="AL44" i="3"/>
  <c r="AT44" i="3"/>
  <c r="AO40" i="3"/>
  <c r="AU40" i="3"/>
  <c r="AM40" i="3"/>
  <c r="AS40" i="3"/>
  <c r="AL40" i="3"/>
  <c r="AT40" i="3"/>
  <c r="AH40" i="3"/>
  <c r="AW40" i="3"/>
  <c r="AN40" i="3"/>
  <c r="AQ40" i="3"/>
  <c r="AP40" i="3"/>
  <c r="AK40" i="3"/>
  <c r="AR40" i="3"/>
  <c r="AV40" i="3"/>
  <c r="AJ40" i="3"/>
  <c r="AW39" i="3"/>
  <c r="AI39" i="3"/>
  <c r="AL39" i="3"/>
  <c r="AN39" i="3"/>
  <c r="AT39" i="3"/>
  <c r="AR39" i="3"/>
  <c r="AM39" i="3"/>
  <c r="AU39" i="3"/>
  <c r="AO39" i="3"/>
  <c r="AJ39" i="3"/>
  <c r="AH39" i="3"/>
  <c r="AQ39" i="3"/>
  <c r="AV39" i="3"/>
  <c r="AP39" i="3"/>
  <c r="AS39" i="3"/>
  <c r="AK39" i="3"/>
  <c r="AV38" i="3"/>
  <c r="AH38" i="3"/>
  <c r="AN38" i="3"/>
  <c r="AP38" i="3"/>
  <c r="AI38" i="3"/>
  <c r="AQ38" i="3"/>
  <c r="AO38" i="3"/>
  <c r="AJ38" i="3"/>
  <c r="AM38" i="3"/>
  <c r="AR38" i="3"/>
  <c r="AK38" i="3"/>
  <c r="AS38" i="3"/>
  <c r="AL38" i="3"/>
  <c r="AT38" i="3"/>
  <c r="AW38" i="3"/>
  <c r="AS35" i="3"/>
  <c r="AM35" i="3"/>
  <c r="AO35" i="3"/>
  <c r="AV35" i="3"/>
  <c r="AK35" i="3"/>
  <c r="AJ35" i="3"/>
  <c r="AP35" i="3"/>
  <c r="AT35" i="3"/>
  <c r="AQ35" i="3"/>
  <c r="AN35" i="3"/>
  <c r="AU35" i="3"/>
  <c r="AI35" i="3"/>
  <c r="AW35" i="3"/>
  <c r="AR35" i="3"/>
  <c r="AL35" i="3"/>
  <c r="AO33" i="3"/>
  <c r="AQ33" i="3"/>
  <c r="AI33" i="3"/>
  <c r="AS33" i="3"/>
  <c r="AJ33" i="3"/>
  <c r="AM33" i="3"/>
  <c r="AW33" i="3"/>
  <c r="AT33" i="3"/>
  <c r="AP33" i="3"/>
  <c r="AV33" i="3"/>
  <c r="AL33" i="3"/>
  <c r="AR33" i="3"/>
  <c r="AK33" i="3"/>
  <c r="AU33" i="3"/>
  <c r="AH33" i="3"/>
  <c r="AN33" i="3"/>
  <c r="AT32" i="3"/>
  <c r="AW32" i="3"/>
  <c r="AJ32" i="3"/>
  <c r="AU32" i="3"/>
  <c r="AP32" i="3"/>
  <c r="AS32" i="3"/>
  <c r="AN32" i="3"/>
  <c r="AK32" i="3"/>
  <c r="AL32" i="3"/>
  <c r="AR32" i="3"/>
  <c r="AQ32" i="3"/>
  <c r="AH32" i="3"/>
  <c r="AI32" i="3"/>
  <c r="AM32" i="3"/>
  <c r="AV32" i="3"/>
  <c r="AO32" i="3"/>
  <c r="AM29" i="3"/>
  <c r="AL29" i="3"/>
  <c r="AH29" i="3"/>
  <c r="AK29" i="3"/>
  <c r="AR29" i="3"/>
  <c r="AO29" i="3"/>
  <c r="AQ29" i="3"/>
  <c r="AP29" i="3"/>
  <c r="AW29" i="3"/>
  <c r="AJ29" i="3"/>
  <c r="AV29" i="3"/>
  <c r="AI29" i="3"/>
  <c r="AT29" i="3"/>
  <c r="AS29" i="3"/>
  <c r="AN29" i="3"/>
  <c r="AU29" i="3"/>
  <c r="AP27" i="3"/>
  <c r="AJ27" i="3"/>
  <c r="AU27" i="3"/>
  <c r="AS27" i="3"/>
  <c r="AI27" i="3"/>
  <c r="AK27" i="3"/>
  <c r="AW27" i="3"/>
  <c r="AL27" i="3"/>
  <c r="AR27" i="3"/>
  <c r="AN27" i="3"/>
  <c r="AM27" i="3"/>
  <c r="AT27" i="3"/>
  <c r="AV27" i="3"/>
  <c r="AO27" i="3"/>
  <c r="AQ27" i="3"/>
  <c r="AH27" i="3"/>
  <c r="AT26" i="3"/>
  <c r="AN26" i="3"/>
  <c r="AK26" i="3"/>
  <c r="AW26" i="3"/>
  <c r="AR26" i="3"/>
  <c r="AS26" i="3"/>
  <c r="AI26" i="3"/>
  <c r="AM26" i="3"/>
  <c r="AL26" i="3"/>
  <c r="AQ26" i="3"/>
  <c r="AH26" i="3"/>
  <c r="AO26" i="3"/>
  <c r="AP26" i="3"/>
  <c r="AJ26" i="3"/>
  <c r="AU26" i="3"/>
  <c r="AV26" i="3"/>
  <c r="AO25" i="3"/>
  <c r="AU25" i="3"/>
  <c r="AQ25" i="3"/>
  <c r="AN25" i="3"/>
  <c r="AJ25" i="3"/>
  <c r="AR25" i="3"/>
  <c r="AV25" i="3"/>
  <c r="AS25" i="3"/>
  <c r="AK25" i="3"/>
  <c r="AW25" i="3"/>
  <c r="AP25" i="3"/>
  <c r="AL25" i="3"/>
  <c r="AI25" i="3"/>
  <c r="AH25" i="3"/>
  <c r="AT25" i="3"/>
  <c r="AM25" i="3"/>
  <c r="AW24" i="3"/>
  <c r="AJ24" i="3"/>
  <c r="AI24" i="3"/>
  <c r="AP24" i="3"/>
  <c r="AQ24" i="3"/>
  <c r="AO24" i="3"/>
  <c r="AU24" i="3"/>
  <c r="AN24" i="3"/>
  <c r="AV24" i="3"/>
  <c r="AK24" i="3"/>
  <c r="AM24" i="3"/>
  <c r="AS24" i="3"/>
  <c r="AL24" i="3"/>
  <c r="AT24" i="3"/>
  <c r="AR24" i="3"/>
  <c r="AH24" i="3"/>
  <c r="AV23" i="3"/>
  <c r="AP23" i="3"/>
  <c r="AR23" i="3"/>
  <c r="AI23" i="3"/>
  <c r="AQ23" i="3"/>
  <c r="AL23" i="3"/>
  <c r="AJ23" i="3"/>
  <c r="AK23" i="3"/>
  <c r="AT23" i="3"/>
  <c r="AH23" i="3"/>
  <c r="AU23" i="3"/>
  <c r="AM23" i="3"/>
  <c r="AW23" i="3"/>
  <c r="AS23" i="3"/>
  <c r="AN23" i="3"/>
  <c r="AO23" i="3"/>
  <c r="AH22" i="3"/>
  <c r="AQ22" i="3"/>
  <c r="AT22" i="3"/>
  <c r="AR22" i="3"/>
  <c r="AP22" i="3"/>
  <c r="AV22" i="3"/>
  <c r="AO22" i="3"/>
  <c r="AI22" i="3"/>
  <c r="AJ22" i="3"/>
  <c r="AL22" i="3"/>
  <c r="AW22" i="3"/>
  <c r="AM22" i="3"/>
  <c r="AS22" i="3"/>
  <c r="AK22" i="3"/>
  <c r="AN22" i="3"/>
  <c r="AU22" i="3"/>
  <c r="AS21" i="3"/>
  <c r="AP21" i="3"/>
  <c r="AQ21" i="3"/>
  <c r="AK21" i="3"/>
  <c r="AR21" i="3"/>
  <c r="AM21" i="3"/>
  <c r="AJ21" i="3"/>
  <c r="AI21" i="3"/>
  <c r="AL21" i="3"/>
  <c r="AN21" i="3"/>
  <c r="AU21" i="3"/>
  <c r="AV21" i="3"/>
  <c r="AW21" i="3"/>
  <c r="AO21" i="3"/>
  <c r="AH21" i="3"/>
  <c r="AT21" i="3"/>
  <c r="AJ20" i="3"/>
  <c r="AN20" i="3"/>
  <c r="AU20" i="3"/>
  <c r="AT20" i="3"/>
  <c r="AH20" i="3"/>
  <c r="AW20" i="3"/>
  <c r="AP20" i="3"/>
  <c r="AI20" i="3"/>
  <c r="AS20" i="3"/>
  <c r="AV20" i="3"/>
  <c r="AO20" i="3"/>
  <c r="AK20" i="3"/>
  <c r="AR20" i="3"/>
  <c r="AQ20" i="3"/>
  <c r="AM20" i="3"/>
  <c r="AU17" i="3"/>
  <c r="AM17" i="3"/>
  <c r="AQ17" i="3"/>
  <c r="AH17" i="3"/>
  <c r="AP17" i="3"/>
  <c r="AV17" i="3"/>
  <c r="AR17" i="3"/>
  <c r="AW17" i="3"/>
  <c r="AT17" i="3"/>
  <c r="AL17" i="3"/>
  <c r="AO17" i="3"/>
  <c r="AI17" i="3"/>
  <c r="AN17" i="3"/>
  <c r="AK17" i="3"/>
  <c r="AS17" i="3"/>
  <c r="AJ17" i="3"/>
  <c r="AT16" i="3"/>
  <c r="AJ16" i="3"/>
  <c r="AV16" i="3"/>
  <c r="AO16" i="3"/>
  <c r="AP16" i="3"/>
  <c r="AN16" i="3"/>
  <c r="AK16" i="3"/>
  <c r="AQ16" i="3"/>
  <c r="AS16" i="3"/>
  <c r="AM16" i="3"/>
  <c r="AL16" i="3"/>
  <c r="AU16" i="3"/>
  <c r="AW16" i="3"/>
  <c r="AR16" i="3"/>
  <c r="AH16" i="3"/>
  <c r="AI16" i="3"/>
  <c r="AV14" i="3"/>
  <c r="AJ14" i="3"/>
  <c r="AI14" i="3"/>
  <c r="AU14" i="3"/>
  <c r="AO14" i="3"/>
  <c r="AP14" i="3"/>
  <c r="AL14" i="3"/>
  <c r="AW14" i="3"/>
  <c r="AN14" i="3"/>
  <c r="AQ14" i="3"/>
  <c r="AH14" i="3"/>
  <c r="AM14" i="3"/>
  <c r="AR14" i="3"/>
  <c r="AT14" i="3"/>
  <c r="AK14" i="3"/>
  <c r="AS14" i="3"/>
  <c r="AL12" i="3"/>
  <c r="AU12" i="3"/>
  <c r="AV12" i="3"/>
  <c r="AP12" i="3"/>
  <c r="AT12" i="3"/>
  <c r="AI12" i="3"/>
  <c r="AO12" i="3"/>
  <c r="AQ12" i="3"/>
  <c r="AW12" i="3"/>
  <c r="AS12" i="3"/>
  <c r="AM12" i="3"/>
  <c r="AK12" i="3"/>
  <c r="AH12" i="3"/>
  <c r="AN12" i="3"/>
  <c r="AR12" i="3"/>
  <c r="AJ12" i="3"/>
  <c r="AQ11" i="3"/>
  <c r="AJ11" i="3"/>
  <c r="AS11" i="3"/>
  <c r="AM11" i="3"/>
  <c r="AK11" i="3"/>
  <c r="AP11" i="3"/>
  <c r="AV11" i="3"/>
  <c r="AN11" i="3"/>
  <c r="AU11" i="3"/>
  <c r="AW11" i="3"/>
  <c r="AT11" i="3"/>
  <c r="AL11" i="3"/>
  <c r="AI11" i="3"/>
  <c r="AH11" i="3"/>
  <c r="AR11" i="3"/>
  <c r="AO11" i="3"/>
  <c r="R5" i="1"/>
  <c r="R4" i="1"/>
  <c r="M15" i="1"/>
  <c r="N15" i="1"/>
  <c r="N16" i="1"/>
  <c r="M14" i="1"/>
  <c r="N14" i="1"/>
  <c r="M16" i="1"/>
  <c r="AJ8" i="8" l="1"/>
  <c r="AK8" i="8"/>
  <c r="AU8" i="8"/>
  <c r="AN8" i="8"/>
  <c r="AV8" i="8"/>
  <c r="AR8" i="8"/>
  <c r="AW8" i="8"/>
  <c r="AP8" i="8"/>
  <c r="AQ8" i="8"/>
  <c r="AL8" i="8"/>
  <c r="AO8" i="8"/>
  <c r="AS8" i="8"/>
  <c r="AT8" i="8"/>
  <c r="AM8" i="8"/>
  <c r="AH8" i="8"/>
  <c r="AI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</futureMetadata>
  <cellMetadata count="1">
    <bk>
      <rc t="1" v="0"/>
    </bk>
  </cellMetadata>
  <valueMetadata count="10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</valueMetadata>
</metadata>
</file>

<file path=xl/sharedStrings.xml><?xml version="1.0" encoding="utf-8"?>
<sst xmlns="http://schemas.openxmlformats.org/spreadsheetml/2006/main" count="1314" uniqueCount="608">
  <si>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</si>
  <si>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</si>
  <si>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</si>
  <si>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</si>
  <si>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</si>
  <si>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</si>
  <si>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</si>
  <si>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</si>
  <si>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</si>
  <si>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</si>
  <si>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</si>
  <si>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</si>
  <si>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</si>
  <si>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</si>
  <si>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</si>
  <si>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</si>
  <si>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</si>
  <si>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</si>
  <si>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</si>
  <si>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</si>
  <si>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</si>
  <si>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</si>
  <si>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</si>
  <si>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</si>
  <si>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</si>
  <si>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</si>
  <si>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</si>
  <si>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</si>
  <si>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</si>
  <si>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</si>
  <si>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</si>
  <si>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</si>
  <si>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</si>
  <si>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</si>
  <si>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</si>
  <si>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</si>
  <si>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</si>
  <si>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</si>
  <si>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</si>
  <si>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</si>
  <si>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</si>
  <si>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</si>
  <si>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</si>
  <si>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</si>
  <si>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</si>
  <si>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</si>
  <si>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</si>
  <si>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</si>
  <si>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</si>
  <si>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</si>
  <si>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</si>
  <si>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</si>
  <si>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</si>
  <si>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</si>
  <si>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</si>
  <si>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</si>
  <si>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</si>
  <si>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</si>
  <si>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</si>
  <si>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</si>
  <si>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</si>
  <si>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</si>
  <si>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</si>
  <si>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</si>
  <si>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</si>
  <si>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</si>
  <si>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</si>
  <si>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</si>
  <si>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</si>
  <si>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</si>
  <si>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</si>
  <si>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</si>
  <si>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</si>
  <si>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</si>
  <si>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</si>
  <si>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</si>
  <si>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</si>
  <si>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</si>
  <si>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</si>
  <si>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</si>
  <si>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</si>
  <si>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</si>
  <si>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</si>
  <si>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</si>
  <si>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</si>
  <si>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</si>
  <si>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</si>
  <si>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</si>
  <si>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</si>
  <si>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</si>
  <si>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</si>
  <si>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</si>
  <si>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</si>
  <si>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</si>
  <si>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</si>
  <si>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</si>
  <si>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</si>
  <si>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</si>
  <si>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</si>
  <si>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</si>
  <si>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</si>
  <si>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</si>
  <si>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</si>
  <si>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</si>
  <si>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</si>
  <si>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</si>
  <si>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</si>
  <si>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</si>
  <si>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</si>
  <si>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</si>
  <si>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</si>
  <si>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</si>
  <si>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</si>
  <si>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</si>
  <si>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</si>
  <si>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</si>
  <si>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</si>
  <si>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</si>
  <si>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</si>
  <si>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</si>
  <si>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</si>
  <si>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</si>
  <si>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</si>
  <si>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</si>
  <si>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</si>
  <si>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</si>
  <si>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</si>
  <si>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</si>
  <si>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</si>
  <si>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</si>
  <si>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</si>
  <si>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</si>
  <si>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</si>
  <si>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</si>
  <si>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</si>
  <si>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</si>
  <si>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</si>
  <si>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</si>
  <si>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</si>
  <si>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</si>
  <si>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</si>
  <si>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</si>
  <si>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</si>
  <si>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</si>
  <si>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</si>
  <si>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</si>
  <si>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</si>
  <si>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</si>
  <si>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</si>
  <si>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</si>
  <si>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</si>
  <si>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</si>
  <si>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</si>
  <si>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</si>
  <si>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</si>
  <si>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</si>
  <si>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</si>
  <si>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</si>
  <si>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</si>
  <si>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</si>
  <si>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</si>
  <si>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</si>
  <si>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</si>
  <si>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</si>
  <si>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</si>
  <si>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</si>
  <si>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</si>
  <si>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</si>
  <si>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</si>
  <si>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</si>
  <si>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</si>
  <si>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</si>
  <si>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</si>
  <si>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</si>
  <si>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</si>
  <si>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</si>
  <si>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</si>
  <si>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</si>
  <si>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</si>
  <si>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</si>
  <si>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</si>
  <si>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</si>
  <si>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</si>
  <si>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</si>
  <si>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</si>
  <si>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</si>
  <si>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</si>
  <si>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</si>
  <si>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</si>
  <si>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</si>
  <si>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</si>
  <si>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</si>
  <si>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</si>
  <si>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</si>
  <si>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</si>
  <si>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</si>
  <si>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</si>
  <si>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</si>
  <si>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</si>
  <si>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</si>
  <si>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</si>
  <si>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</si>
  <si>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</si>
  <si>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</si>
  <si>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</si>
  <si>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</si>
  <si>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</si>
  <si>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</si>
  <si>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</si>
  <si>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</si>
  <si>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</si>
  <si>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</si>
  <si>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</si>
  <si>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</si>
  <si>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</si>
  <si>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</si>
  <si>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</si>
  <si>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</si>
  <si>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</si>
  <si>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</si>
  <si>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</si>
  <si>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</si>
  <si>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</si>
  <si>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</si>
  <si>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</si>
  <si>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</si>
  <si>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</si>
  <si>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</si>
  <si>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</si>
  <si>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</si>
  <si>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</si>
  <si>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</si>
  <si>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</si>
  <si>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</si>
  <si>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</si>
  <si>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</si>
  <si>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</si>
  <si>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</si>
  <si>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</si>
  <si>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</si>
  <si>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</si>
  <si>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</si>
  <si>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</si>
  <si>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</si>
  <si>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</si>
  <si>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</si>
  <si>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</si>
  <si>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</si>
  <si>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</si>
  <si>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</si>
  <si>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</si>
  <si>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</si>
  <si>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</si>
  <si>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</si>
  <si>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</si>
  <si>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</si>
  <si>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</si>
  <si>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</si>
  <si>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</si>
  <si>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</si>
  <si>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</si>
  <si>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</si>
  <si>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</si>
  <si>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</si>
  <si>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</si>
  <si>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</si>
  <si>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</si>
  <si>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</si>
  <si>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</si>
  <si>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</si>
  <si>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</si>
  <si>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</si>
  <si>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</si>
  <si>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</si>
  <si>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</si>
  <si>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</si>
  <si>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</si>
  <si>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</si>
  <si>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</si>
  <si>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</si>
  <si>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</si>
  <si>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</si>
  <si>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</si>
  <si>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</si>
  <si>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</si>
  <si>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</si>
  <si>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</si>
  <si>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</si>
  <si>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</si>
  <si>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</si>
  <si>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</si>
  <si>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</si>
  <si>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</si>
  <si>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</si>
  <si>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</si>
  <si>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</si>
  <si>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</si>
  <si>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</si>
  <si>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</si>
  <si>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</si>
  <si>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</si>
  <si>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</si>
  <si>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</si>
  <si>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</si>
  <si>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</si>
  <si>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</si>
  <si>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</si>
  <si>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</si>
  <si>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</si>
  <si>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</si>
  <si>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</si>
  <si>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</si>
  <si>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</si>
  <si>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</si>
  <si>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</si>
  <si>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</si>
  <si>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</si>
  <si>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</si>
  <si>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</si>
  <si>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</si>
  <si>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</si>
  <si>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</si>
  <si>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</si>
  <si>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</si>
  <si>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</si>
  <si>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</si>
  <si>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</si>
  <si>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</si>
  <si>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</si>
  <si>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</si>
  <si>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</si>
  <si>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</si>
  <si>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</si>
  <si>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</si>
  <si>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</si>
  <si>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</si>
  <si>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</si>
  <si>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</si>
  <si>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</si>
  <si>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</si>
  <si>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</si>
  <si>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</si>
  <si>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</si>
  <si>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</si>
  <si>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</si>
  <si>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</si>
  <si>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</si>
  <si>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</si>
  <si>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</si>
  <si>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</si>
  <si>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</si>
  <si>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</si>
  <si>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</si>
  <si>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</si>
  <si>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</si>
  <si>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</si>
  <si>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</si>
  <si>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</si>
  <si>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</si>
  <si>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</si>
  <si>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</si>
  <si>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</si>
  <si>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</si>
  <si>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</si>
  <si>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</si>
  <si>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</si>
  <si>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</si>
  <si>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</si>
  <si>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</si>
  <si>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</si>
  <si>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</si>
  <si>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</si>
  <si>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</si>
  <si>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</si>
  <si>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</si>
  <si>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</si>
  <si>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</si>
  <si>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</si>
  <si>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</si>
  <si>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</si>
  <si>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</si>
  <si>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</si>
  <si>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</si>
  <si>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</si>
  <si>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</si>
  <si>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</si>
  <si>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</si>
  <si>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</si>
  <si>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</si>
  <si>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</si>
  <si>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</si>
  <si>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</si>
  <si>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</si>
  <si>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</si>
  <si>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</si>
  <si>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</si>
  <si>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</si>
  <si>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</si>
  <si>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</si>
  <si>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</si>
  <si>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</si>
  <si>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</si>
  <si>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</si>
  <si>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</si>
  <si>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</si>
  <si>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</si>
  <si>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</si>
  <si>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</si>
  <si>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</si>
  <si>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</si>
  <si>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</si>
  <si>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</si>
  <si>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</si>
  <si>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</si>
  <si>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</si>
  <si>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</si>
  <si>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</si>
  <si>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</si>
  <si>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</si>
  <si>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</si>
  <si>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</si>
  <si>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</si>
  <si>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</si>
  <si>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</si>
  <si>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</si>
  <si>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</si>
  <si>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</si>
  <si>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</si>
  <si>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</si>
  <si>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</si>
  <si>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</si>
  <si>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</si>
  <si>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</si>
  <si>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</si>
  <si>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</si>
  <si>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</si>
  <si>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</si>
  <si>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</si>
  <si>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</si>
  <si>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</si>
  <si>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</si>
  <si>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</si>
  <si>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</si>
  <si>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</si>
  <si>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</si>
  <si>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</si>
  <si>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</si>
  <si>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</si>
  <si>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</si>
  <si>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</si>
  <si>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</si>
  <si>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</si>
  <si>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</si>
  <si>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</si>
  <si>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</si>
  <si>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</si>
  <si>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</si>
  <si>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</si>
  <si>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</si>
  <si>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</si>
  <si>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</si>
  <si>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</si>
  <si>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</si>
  <si>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</si>
  <si>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</si>
  <si>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</si>
  <si>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</si>
  <si>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</si>
  <si>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</si>
  <si>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</si>
  <si>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</si>
  <si>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</si>
  <si>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</si>
  <si>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</si>
  <si>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</si>
  <si>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</si>
  <si>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</si>
  <si>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</si>
  <si>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</si>
  <si>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</si>
  <si>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</si>
  <si>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</si>
  <si>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</si>
  <si>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</si>
  <si>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</si>
  <si>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</si>
  <si>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</si>
  <si>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</si>
  <si>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</si>
  <si>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</si>
  <si>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</si>
  <si>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</si>
  <si>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</si>
  <si>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</si>
  <si>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</si>
  <si>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</si>
  <si>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</si>
  <si>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</si>
  <si>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</si>
  <si>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</si>
  <si>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</si>
  <si>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</si>
  <si>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</si>
  <si>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</si>
  <si>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</si>
  <si>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</si>
  <si>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</si>
  <si>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</si>
  <si>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</si>
  <si>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</si>
  <si>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</si>
  <si>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</si>
  <si>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</si>
  <si>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</si>
  <si>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</si>
  <si>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</si>
  <si>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</si>
  <si>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</si>
  <si>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</si>
  <si>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</si>
  <si>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</si>
  <si>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</si>
  <si>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</si>
  <si>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</si>
  <si>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</si>
  <si>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</si>
  <si>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</si>
  <si>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</si>
  <si>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</si>
  <si>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</si>
  <si>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</si>
  <si>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</si>
  <si>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</si>
  <si>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</si>
  <si>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</si>
  <si>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</si>
  <si>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</si>
  <si>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</si>
  <si>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</si>
  <si>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</si>
  <si>
    <t>STATUS</t>
  </si>
  <si>
    <t>DONE</t>
  </si>
  <si>
    <t>COVERAGE</t>
  </si>
  <si>
    <t>MATH &amp; TRIG</t>
  </si>
  <si>
    <t>FUNCTIONS</t>
  </si>
  <si>
    <t>IMPLEMENTED</t>
  </si>
  <si>
    <t>TOTAL</t>
  </si>
  <si>
    <t>FINANCIAL</t>
  </si>
  <si>
    <t>STATISTICAL</t>
  </si>
  <si>
    <t>DATE &amp; TIME</t>
  </si>
  <si>
    <t>MATCH</t>
  </si>
  <si>
    <t>INFORMATION</t>
  </si>
  <si>
    <t>LOGICAL</t>
  </si>
  <si>
    <t>COMPATIBILITY</t>
  </si>
  <si>
    <t>OPERATORS</t>
  </si>
  <si>
    <t>ENGINEERING</t>
  </si>
  <si>
    <t>DETECTLANGUAGE</t>
  </si>
  <si>
    <t>GROUPBY</t>
  </si>
  <si>
    <t>PERCENTOF</t>
  </si>
  <si>
    <t>PIVOTBY</t>
  </si>
  <si>
    <t>REGEXEXTRACT</t>
  </si>
  <si>
    <t>REGEXREPLACE</t>
  </si>
  <si>
    <t>REGEXTEST</t>
  </si>
  <si>
    <t>STOCKHISTORY</t>
  </si>
  <si>
    <t>TRANSLATE</t>
  </si>
  <si>
    <t>TRIMRANGE</t>
  </si>
  <si>
    <t>AND</t>
  </si>
  <si>
    <t>CALL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</si>
  <si>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</si>
  <si>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</si>
  <si>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</si>
  <si>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</si>
  <si>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</si>
  <si>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</si>
  <si>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</si>
  <si>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</si>
  <si>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</si>
  <si>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</si>
  <si>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</si>
  <si>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</si>
  <si>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</si>
  <si>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</si>
  <si>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</si>
  <si>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</si>
  <si>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</si>
  <si>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</si>
  <si>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</si>
  <si>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ENCODEURL</t>
  </si>
  <si>
    <t>EUROCONVERT</t>
  </si>
  <si>
    <t>FILTERXML</t>
  </si>
  <si>
    <t>IF</t>
  </si>
  <si>
    <t>IFERROR</t>
  </si>
  <si>
    <t>IFNA</t>
  </si>
  <si>
    <t>IFS</t>
  </si>
  <si>
    <t>JIS</t>
  </si>
  <si>
    <t>NOT</t>
  </si>
  <si>
    <t>OR</t>
  </si>
  <si>
    <t>REGISTER.ID</t>
  </si>
  <si>
    <t>SWITCH</t>
  </si>
  <si>
    <t>WEBSERVICE</t>
  </si>
  <si>
    <t>XOR</t>
  </si>
  <si>
    <t>FALSE</t>
  </si>
  <si>
    <t>TRUE</t>
  </si>
  <si>
    <t>AUTOMATION</t>
  </si>
  <si>
    <t>CUBE</t>
  </si>
  <si>
    <t>DATABASE</t>
  </si>
  <si>
    <t>WEB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</si>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</sst>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800]dddd\,\ mmmm\ dd\,\ yyyy"/>
    <numFmt numFmtId="166" formatCode="0.000"/>
    <numFmt numFmtId="167" formatCode="[$-F400]h:mm:ss\ AM/PM"/>
  </numFmts>
  <fonts count="1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.2"/>
      <color rgb="FF39393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10" fillId="0" borderId="0" xfId="0" applyNumberFormat="1" applyFont="1"/>
    <xf numFmtId="0" fontId="11" fillId="0" borderId="0" xfId="0" applyFont="1"/>
    <xf numFmtId="0" fontId="12" fillId="0" borderId="0" xfId="0" applyFont="1"/>
    <xf numFmtId="167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4" fillId="0" borderId="0" xfId="2"/>
    <xf numFmtId="0" fontId="4" fillId="0" borderId="0" xfId="0" applyFont="1" applyAlignment="1">
      <alignment horizontal="center" vertical="center"/>
    </xf>
    <xf numFmtId="0" fontId="15" fillId="0" borderId="0" xfId="0" applyFont="1"/>
    <xf numFmtId="0" fontId="5" fillId="3" borderId="0" xfId="0" quotePrefix="1" applyFont="1" applyFill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9" fontId="0" fillId="0" borderId="0" xfId="1" applyFont="1"/>
    <xf numFmtId="9" fontId="0" fillId="6" borderId="0" xfId="1" applyFont="1" applyFill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4">
  <rv s="0">
    <v>ciao</v>
    <v>2</v>
    <v>288</v>
    <v>5</v>
  </rv>
  <rv s="0">
    <v>ciao</v>
    <v>2</v>
    <v>285</v>
    <v>5</v>
  </rv>
  <rv s="0">
    <v/>
    <v>2</v>
    <v>12</v>
    <v>5</v>
  </rv>
  <rv s="0">
    <v/>
    <v>2</v>
    <v>193</v>
    <v>5</v>
  </rv>
  <rv s="0">
    <v/>
    <v>2</v>
    <v>46</v>
    <v>5</v>
  </rv>
  <rv s="0">
    <v/>
    <v>2</v>
    <v>194</v>
    <v>5</v>
  </rv>
  <rv s="0">
    <v>ciao</v>
    <v>2</v>
    <v>57</v>
    <v>5</v>
  </rv>
  <rv s="1">
    <v>ciao</v>
    <v>2</v>
    <v>167</v>
    <v>6</v>
    <v>5</v>
  </rv>
  <rv s="0">
    <v>ciao</v>
    <v>2</v>
    <v>62</v>
    <v>5</v>
  </rv>
  <rv s="0">
    <v>ciao</v>
    <v>2</v>
    <v>58</v>
    <v>5</v>
  </rv>
  <rv s="1">
    <v>ciao</v>
    <v>2</v>
    <v>58</v>
    <v>6</v>
    <v>5</v>
  </rv>
  <rv s="0">
    <v>ciao</v>
    <v>2</v>
    <v>11</v>
    <v>5</v>
  </rv>
  <rv s="0">
    <v>ciao</v>
    <v>2</v>
    <v>59</v>
    <v>5</v>
  </rv>
  <rv s="1">
    <v>ciao</v>
    <v>2</v>
    <v>59</v>
    <v>6</v>
    <v>5</v>
  </rv>
  <rv s="0">
    <v>ciao</v>
    <v>2</v>
    <v>168</v>
    <v>5</v>
  </rv>
  <rv s="0">
    <v>ciao</v>
    <v>2</v>
    <v>56</v>
    <v>5</v>
  </rv>
  <rv s="0">
    <v>ciao</v>
    <v>2</v>
    <v>60</v>
    <v>5</v>
  </rv>
  <rv s="0">
    <v>ciao</v>
    <v>2</v>
    <v>1</v>
    <v>6</v>
  </rv>
  <rv s="2">
    <v>ciao</v>
    <v>2</v>
    <v>6</v>
  </rv>
  <rv s="0">
    <v>0</v>
    <v>2</v>
    <v>38</v>
    <v>6</v>
  </rv>
  <rv s="0">
    <v>*b?u*</v>
    <v>2</v>
    <v>219</v>
    <v>6</v>
  </rv>
  <rv s="0">
    <v>*b?u*</v>
    <v>2</v>
    <v>219</v>
    <v>5</v>
  </rv>
  <rv s="3">
    <v>13</v>
    <v>3</v>
  </rv>
  <rv s="0">
    <v>ciao</v>
    <v>2</v>
    <v>24</v>
    <v>5</v>
  </rv>
  <rv s="0">
    <v>ciao</v>
    <v>2</v>
    <v>99</v>
    <v>5</v>
  </rv>
  <rv s="0">
    <v>ciao</v>
    <v>2</v>
    <v>233</v>
    <v>5</v>
  </rv>
  <rv s="0">
    <v>ciao</v>
    <v>2</v>
    <v>548</v>
    <v>5</v>
  </rv>
  <rv s="0">
    <v>ciao</v>
    <v>2</v>
    <v>549</v>
    <v>5</v>
  </rv>
  <rv s="0">
    <v>ciao</v>
    <v>2</v>
    <v>98</v>
    <v>5</v>
  </rv>
  <rv s="0">
    <v>ciao</v>
    <v>2</v>
    <v>232</v>
    <v>5</v>
  </rv>
  <rv s="0">
    <v>ciao</v>
    <v>2</v>
    <v>18</v>
    <v>5</v>
  </rv>
  <rv s="0">
    <v>ciao</v>
    <v>2</v>
    <v>97</v>
    <v>5</v>
  </rv>
  <rv s="0">
    <v>ciao</v>
    <v>2</v>
    <v>234</v>
    <v>5</v>
  </rv>
  <rv s="0">
    <v>ciao</v>
    <v>2</v>
    <v>591</v>
    <v>5</v>
  </rv>
  <rv s="0">
    <v>ciao</v>
    <v>2</v>
    <v>546</v>
    <v>5</v>
  </rv>
  <rv s="0">
    <v>ciao</v>
    <v>2</v>
    <v>16</v>
    <v>5</v>
  </rv>
  <rv s="0">
    <v>ciao</v>
    <v>2</v>
    <v>230</v>
    <v>5</v>
  </rv>
  <rv s="0">
    <v>ciao</v>
    <v>2</v>
    <v>550</v>
    <v>5</v>
  </rv>
  <rv s="0">
    <v>ciao</v>
    <v>2</v>
    <v>551</v>
    <v>5</v>
  </rv>
  <rv s="0">
    <v>ciao</v>
    <v>2</v>
    <v>552</v>
    <v>5</v>
  </rv>
  <rv s="0">
    <v>ciao</v>
    <v>2</v>
    <v>553</v>
    <v>5</v>
  </rv>
  <rv s="0">
    <v>ciao</v>
    <v>2</v>
    <v>572</v>
    <v>5</v>
  </rv>
  <rv s="0">
    <v>ciao</v>
    <v>2</v>
    <v>343</v>
    <v>5</v>
  </rv>
  <rv s="0">
    <v>ciao</v>
    <v>2</v>
    <v>279</v>
    <v>5</v>
  </rv>
  <rv s="0">
    <v>ciao</v>
    <v>2</v>
    <v>21</v>
    <v>5</v>
  </rv>
  <rv s="0">
    <v>ciao</v>
    <v>2</v>
    <v>184</v>
    <v>5</v>
  </rv>
  <rv s="0">
    <v>ciao</v>
    <v>2</v>
    <v>592</v>
    <v>5</v>
  </rv>
  <rv s="0">
    <v>ciao</v>
    <v>2</v>
    <v>547</v>
    <v>5</v>
  </rv>
  <rv s="0">
    <v>ciao</v>
    <v>2</v>
    <v>25</v>
    <v>5</v>
  </rv>
  <rv s="0">
    <v>ciao</v>
    <v>2</v>
    <v>523</v>
    <v>5</v>
  </rv>
  <rv s="0">
    <v>ciao</v>
    <v>2</v>
    <v>22</v>
    <v>5</v>
  </rv>
  <rv s="0">
    <v>ciao</v>
    <v>2</v>
    <v>109</v>
    <v>5</v>
  </rv>
  <rv s="0">
    <v>ciao</v>
    <v>2</v>
    <v>23</v>
    <v>5</v>
  </rv>
  <rv s="0">
    <v>ciao</v>
    <v>2</v>
    <v>39</v>
    <v>5</v>
  </rv>
  <rv s="0">
    <v>ciao</v>
    <v>2</v>
    <v>582</v>
    <v>5</v>
  </rv>
  <rv s="0">
    <v>ciao</v>
    <v>2</v>
    <v>298</v>
    <v>5</v>
  </rv>
  <rv s="0">
    <v>ciao</v>
    <v>2</v>
    <v>337</v>
    <v>5</v>
  </rv>
  <rv s="0">
    <v>ciao</v>
    <v>2</v>
    <v>342</v>
    <v>5</v>
  </rv>
  <rv s="0">
    <v>ciao</v>
    <v>2</v>
    <v>354</v>
    <v>5</v>
  </rv>
  <rv s="0">
    <v>ciao</v>
    <v>2</v>
    <v>27</v>
    <v>5</v>
  </rv>
  <rv s="0">
    <v>ciao</v>
    <v>2</v>
    <v>213</v>
    <v>5</v>
  </rv>
  <rv s="0">
    <v>ciao</v>
    <v>2</v>
    <v>212</v>
    <v>5</v>
  </rv>
  <rv s="0">
    <v>ciao</v>
    <v>2</v>
    <v>554</v>
    <v>5</v>
  </rv>
  <rv s="0">
    <v>ciao</v>
    <v>2</v>
    <v>555</v>
    <v>5</v>
  </rv>
  <rv s="0">
    <v>ciao</v>
    <v>2</v>
    <v>26</v>
    <v>5</v>
  </rv>
  <rv s="0">
    <v>ciao</v>
    <v>2</v>
    <v>15</v>
    <v>5</v>
  </rv>
  <rv s="0">
    <v>ciao</v>
    <v>2</v>
    <v>229</v>
    <v>5</v>
  </rv>
  <rv s="0">
    <v>ciao</v>
    <v>2</v>
    <v>20</v>
    <v>5</v>
  </rv>
  <rv s="0">
    <v>ciao</v>
    <v>2</v>
    <v>17</v>
    <v>5</v>
  </rv>
  <rv s="0">
    <v>ciao</v>
    <v>2</v>
    <v>231</v>
    <v>5</v>
  </rv>
  <rv s="0">
    <v>ciao</v>
    <v>2</v>
    <v>197</v>
    <v>5</v>
  </rv>
  <rv s="0">
    <v/>
    <v>2</v>
    <v>5</v>
    <v>5</v>
  </rv>
  <rv s="0">
    <v/>
    <v>2</v>
    <v>361</v>
    <v>5</v>
  </rv>
  <rv s="0">
    <v>c</v>
    <v>2</v>
    <v>325</v>
    <v>5</v>
  </rv>
  <rv s="0">
    <v/>
    <v>2</v>
    <v>7</v>
    <v>5</v>
  </rv>
  <rv s="0">
    <v/>
    <v>2</v>
    <v>362</v>
    <v>5</v>
  </rv>
  <rv s="0">
    <v/>
    <v>2</v>
    <v>227</v>
    <v>5</v>
  </rv>
  <rv s="0">
    <v/>
    <v>2</v>
    <v>6</v>
    <v>5</v>
  </rv>
  <rv s="0">
    <v/>
    <v>2</v>
    <v>363</v>
    <v>5</v>
  </rv>
  <rv s="0">
    <v>1</v>
    <v>2</v>
    <v>539</v>
    <v>6</v>
  </rv>
  <rv s="0">
    <v>c</v>
    <v>2</v>
    <v>326</v>
    <v>5</v>
  </rv>
  <rv s="0">
    <v/>
    <v>2</v>
    <v>511</v>
    <v>5</v>
  </rv>
  <rv s="0">
    <v/>
    <v>2</v>
    <v>510</v>
    <v>5</v>
  </rv>
  <rv s="0">
    <v/>
    <v>2</v>
    <v>366</v>
    <v>5</v>
  </rv>
  <rv s="0">
    <v/>
    <v>2</v>
    <v>364</v>
    <v>5</v>
  </rv>
  <rv s="0">
    <v/>
    <v>2</v>
    <v>518</v>
    <v>5</v>
  </rv>
  <rv s="0">
    <v/>
    <v>2</v>
    <v>517</v>
    <v>5</v>
  </rv>
  <rv s="0">
    <v/>
    <v>2</v>
    <v>367</v>
    <v>5</v>
  </rv>
  <rv s="0">
    <v/>
    <v>2</v>
    <v>365</v>
    <v>5</v>
  </rv>
  <rv s="0">
    <v>ciao</v>
    <v>2</v>
    <v>111</v>
    <v>5</v>
  </rv>
  <rv s="0">
    <v>ciao</v>
    <v>2</v>
    <v>124</v>
    <v>5</v>
  </rv>
  <rv s="0">
    <v>ciao</v>
    <v>2</v>
    <v>115</v>
    <v>5</v>
  </rv>
  <rv s="0">
    <v>ciao</v>
    <v>2</v>
    <v>31</v>
    <v>5</v>
  </rv>
  <rv s="0">
    <v>ciao</v>
    <v>2</v>
    <v>119</v>
    <v>5</v>
  </rv>
  <rv s="0">
    <v>ciao</v>
    <v>2</v>
    <v>116</v>
    <v>5</v>
  </rv>
  <rv s="0">
    <v>ciao</v>
    <v>2</v>
    <v>82</v>
    <v>5</v>
  </rv>
  <rv s="4">
    <v>ciao</v>
    <v>2</v>
    <v>3</v>
    <v>5</v>
  </rv>
  <rv s="4">
    <v>ciao</v>
    <v>2</v>
    <v>4</v>
    <v>5</v>
  </rv>
  <rv s="2">
    <v>ciao</v>
    <v>2</v>
    <v>5</v>
  </rv>
  <rv s="4">
    <v>ciao</v>
    <v>2</v>
    <v>5</v>
    <v>5</v>
  </rv>
  <rv s="4">
    <v>ciao</v>
    <v>2</v>
    <v>6</v>
    <v>5</v>
  </rv>
  <rv s="4">
    <v>ciao</v>
    <v>2</v>
    <v>7</v>
    <v>5</v>
  </rv>
  <rv s="0">
    <v>ciao</v>
    <v>2</v>
    <v>4</v>
    <v>5</v>
  </rv>
  <rv s="0">
    <v/>
    <v>2</v>
    <v>4</v>
    <v>5</v>
  </rv>
</rvData>
</file>

<file path=xl/richData/rdrichvaluestructure.xml><?xml version="1.0" encoding="utf-8"?>
<rvStructures xmlns="http://schemas.microsoft.com/office/spreadsheetml/2017/richdata" count="5">
  <s t="_error">
    <k n="argument" t="s"/>
    <k n="errorType" t="i"/>
    <k n="iftab" t="i"/>
    <k n="subType" t="i"/>
  </s>
  <s t="_error">
    <k n="argument" t="s"/>
    <k n="errorType" t="i"/>
    <k n="iftab" t="i"/>
    <k n="ptg" t="i"/>
    <k n="subType" t="i"/>
  </s>
  <s t="_error">
    <k n="argument" t="s"/>
    <k n="errorType" t="i"/>
    <k n="subType" t="i"/>
  </s>
  <s t="_error">
    <k n="errorType" t="i"/>
    <k n="subType" t="i"/>
  </s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701-DC5B-5947-9DEF-DA731F6D922F}">
  <sheetPr codeName="Sheet1"/>
  <dimension ref="A1:F27"/>
  <sheetViews>
    <sheetView zoomScaleNormal="100" workbookViewId="0">
      <selection activeCell="H5" sqref="H5"/>
    </sheetView>
  </sheetViews>
  <sheetFormatPr baseColWidth="10" defaultRowHeight="16" x14ac:dyDescent="0.2"/>
  <cols>
    <col min="1" max="1" width="25.5" bestFit="1" customWidth="1"/>
    <col min="2" max="2" width="13.33203125" bestFit="1" customWidth="1"/>
    <col min="3" max="3" width="6.5" bestFit="1" customWidth="1"/>
  </cols>
  <sheetData>
    <row r="1" spans="1:6" x14ac:dyDescent="0.2">
      <c r="A1" s="63" t="s">
        <v>607</v>
      </c>
      <c r="B1" s="65" t="s">
        <v>544</v>
      </c>
      <c r="C1" s="65"/>
      <c r="D1" s="65"/>
    </row>
    <row r="2" spans="1:6" ht="17" thickBot="1" x14ac:dyDescent="0.25">
      <c r="A2" s="64"/>
      <c r="B2" s="57" t="s">
        <v>545</v>
      </c>
      <c r="C2" s="55" t="s">
        <v>546</v>
      </c>
      <c r="D2" s="55" t="s">
        <v>542</v>
      </c>
    </row>
    <row r="3" spans="1:6" x14ac:dyDescent="0.2">
      <c r="A3" s="60" t="s">
        <v>603</v>
      </c>
      <c r="B3" s="58">
        <f>COUNTIF(AUTOMATION!B$3:B$245,"=DONE")</f>
        <v>0</v>
      </c>
      <c r="C3" s="53">
        <f>COUNTA(AUTOMATION!A$3:A$245)</f>
        <v>3</v>
      </c>
      <c r="D3" s="54">
        <f t="shared" ref="D3:D18" si="0">B3/C3</f>
        <v>0</v>
      </c>
      <c r="E3">
        <f t="shared" ref="E3:E19" si="1">C3-B3</f>
        <v>3</v>
      </c>
      <c r="F3" s="71">
        <f>E3/C$18</f>
        <v>5.597014925373134E-3</v>
      </c>
    </row>
    <row r="4" spans="1:6" x14ac:dyDescent="0.2">
      <c r="A4" s="61" t="s">
        <v>553</v>
      </c>
      <c r="B4" s="59">
        <f>COUNTIF(COMPATIBILITY!B$3:B$92,"=DONE")</f>
        <v>12</v>
      </c>
      <c r="C4" s="51">
        <f>COUNTA(COMPATIBILITY!A$3:A$92)</f>
        <v>40</v>
      </c>
      <c r="D4" s="52">
        <f t="shared" si="0"/>
        <v>0.3</v>
      </c>
      <c r="E4">
        <f t="shared" si="1"/>
        <v>28</v>
      </c>
      <c r="F4" s="71">
        <f>E4/C$18</f>
        <v>5.2238805970149252E-2</v>
      </c>
    </row>
    <row r="5" spans="1:6" x14ac:dyDescent="0.2">
      <c r="A5" s="61" t="s">
        <v>604</v>
      </c>
      <c r="B5" s="59">
        <f>COUNTIF(CUBE!B$3:B$92,"=DONE")</f>
        <v>0</v>
      </c>
      <c r="C5" s="51">
        <f>COUNTA(CUBE!A$3:A$92)</f>
        <v>7</v>
      </c>
      <c r="D5" s="52">
        <f t="shared" si="0"/>
        <v>0</v>
      </c>
      <c r="E5">
        <f t="shared" si="1"/>
        <v>7</v>
      </c>
      <c r="F5" s="71">
        <f t="shared" ref="F5:F19" si="2">E5/C$18</f>
        <v>1.3059701492537313E-2</v>
      </c>
    </row>
    <row r="6" spans="1:6" x14ac:dyDescent="0.2">
      <c r="A6" s="61" t="s">
        <v>605</v>
      </c>
      <c r="B6" s="59">
        <f>COUNTIF(DATABASE!B$3:B$92,"=DONE")</f>
        <v>0</v>
      </c>
      <c r="C6" s="51">
        <f>COUNTA(DATABASE!A$3:A$92)</f>
        <v>12</v>
      </c>
      <c r="D6" s="52">
        <f t="shared" si="0"/>
        <v>0</v>
      </c>
      <c r="E6">
        <f t="shared" si="1"/>
        <v>12</v>
      </c>
      <c r="F6" s="71">
        <f t="shared" si="2"/>
        <v>2.2388059701492536E-2</v>
      </c>
    </row>
    <row r="7" spans="1:6" x14ac:dyDescent="0.2">
      <c r="A7" s="61" t="s">
        <v>549</v>
      </c>
      <c r="B7" s="59">
        <f>COUNTIF('DATE &amp; TIME'!B$3:B$245,"=DONE")</f>
        <v>19</v>
      </c>
      <c r="C7" s="51">
        <f>COUNTA('DATE &amp; TIME'!A$3:A$245)</f>
        <v>25</v>
      </c>
      <c r="D7" s="52">
        <f t="shared" si="0"/>
        <v>0.76</v>
      </c>
      <c r="E7">
        <f t="shared" si="1"/>
        <v>6</v>
      </c>
      <c r="F7" s="72">
        <f t="shared" si="2"/>
        <v>1.1194029850746268E-2</v>
      </c>
    </row>
    <row r="8" spans="1:6" x14ac:dyDescent="0.2">
      <c r="A8" s="61" t="s">
        <v>555</v>
      </c>
      <c r="B8" s="59">
        <f>COUNTIF(ENGINEERING!B$3:B$246,"=DONE")</f>
        <v>12</v>
      </c>
      <c r="C8" s="51">
        <f>COUNTA(ENGINEERING!A$3:A$246)</f>
        <v>54</v>
      </c>
      <c r="D8" s="52">
        <f t="shared" si="0"/>
        <v>0.22222222222222221</v>
      </c>
      <c r="E8">
        <f t="shared" si="1"/>
        <v>42</v>
      </c>
      <c r="F8" s="71">
        <f t="shared" si="2"/>
        <v>7.8358208955223885E-2</v>
      </c>
    </row>
    <row r="9" spans="1:6" x14ac:dyDescent="0.2">
      <c r="A9" s="61" t="s">
        <v>547</v>
      </c>
      <c r="B9" s="59">
        <f>COUNTIF(FINANCIAL!B$3:B$245,"=DONE")</f>
        <v>12</v>
      </c>
      <c r="C9" s="51">
        <f>COUNTA(FINANCIAL!A$3:A$245)</f>
        <v>55</v>
      </c>
      <c r="D9" s="52">
        <f t="shared" si="0"/>
        <v>0.21818181818181817</v>
      </c>
      <c r="E9">
        <f>C9-B9</f>
        <v>43</v>
      </c>
      <c r="F9" s="71">
        <f t="shared" si="2"/>
        <v>8.0223880597014921E-2</v>
      </c>
    </row>
    <row r="10" spans="1:6" x14ac:dyDescent="0.2">
      <c r="A10" s="61" t="s">
        <v>551</v>
      </c>
      <c r="B10" s="59">
        <f>COUNTIF(INFORMATION!B$3:B$278,"=DONE")</f>
        <v>11</v>
      </c>
      <c r="C10" s="51">
        <f>COUNTA(INFORMATION!A$3:A$278)</f>
        <v>22</v>
      </c>
      <c r="D10" s="52">
        <f t="shared" si="0"/>
        <v>0.5</v>
      </c>
      <c r="E10">
        <f t="shared" si="1"/>
        <v>11</v>
      </c>
      <c r="F10" s="71">
        <f t="shared" si="2"/>
        <v>2.0522388059701493E-2</v>
      </c>
    </row>
    <row r="11" spans="1:6" x14ac:dyDescent="0.2">
      <c r="A11" s="61" t="s">
        <v>552</v>
      </c>
      <c r="B11" s="59">
        <f>COUNTIF(LOGICAL!B$3:B$276,"=DONE")</f>
        <v>11</v>
      </c>
      <c r="C11" s="51">
        <f>COUNTA(LOGICAL!A$3:A$276)</f>
        <v>19</v>
      </c>
      <c r="D11" s="52">
        <f t="shared" si="0"/>
        <v>0.57894736842105265</v>
      </c>
      <c r="E11">
        <f t="shared" si="1"/>
        <v>8</v>
      </c>
      <c r="F11" s="71">
        <f t="shared" si="2"/>
        <v>1.4925373134328358E-2</v>
      </c>
    </row>
    <row r="12" spans="1:6" x14ac:dyDescent="0.2">
      <c r="A12" s="61" t="s">
        <v>331</v>
      </c>
      <c r="B12" s="59">
        <f>COUNTIF(LOOKUP!B$3:B$268,"=DONE")</f>
        <v>10</v>
      </c>
      <c r="C12" s="51">
        <f>COUNTA(LOOKUP!A$3:A$268)</f>
        <v>40</v>
      </c>
      <c r="D12" s="52">
        <f t="shared" si="0"/>
        <v>0.25</v>
      </c>
      <c r="E12">
        <f t="shared" si="1"/>
        <v>30</v>
      </c>
      <c r="F12" s="71">
        <f t="shared" si="2"/>
        <v>5.5970149253731345E-2</v>
      </c>
    </row>
    <row r="13" spans="1:6" x14ac:dyDescent="0.2">
      <c r="A13" s="61" t="s">
        <v>543</v>
      </c>
      <c r="B13" s="59">
        <f>COUNTIF('MATH &amp; TRIG'!B$3:B$219,"=DONE")</f>
        <v>66</v>
      </c>
      <c r="C13" s="51">
        <f>COUNTA('MATH &amp; TRIG'!A$3:A$219)</f>
        <v>80</v>
      </c>
      <c r="D13" s="52">
        <f t="shared" si="0"/>
        <v>0.82499999999999996</v>
      </c>
      <c r="E13">
        <f t="shared" si="1"/>
        <v>14</v>
      </c>
      <c r="F13" s="71">
        <f t="shared" si="2"/>
        <v>2.6119402985074626E-2</v>
      </c>
    </row>
    <row r="14" spans="1:6" x14ac:dyDescent="0.2">
      <c r="A14" s="61" t="s">
        <v>548</v>
      </c>
      <c r="B14" s="59">
        <f>COUNTIF(STATISTICAL!B$3:B$189,"=DONE")</f>
        <v>38</v>
      </c>
      <c r="C14" s="51">
        <f>COUNTA(STATISTICAL!A$3:A$189)</f>
        <v>111</v>
      </c>
      <c r="D14" s="52">
        <f t="shared" si="0"/>
        <v>0.34234234234234234</v>
      </c>
      <c r="E14">
        <f t="shared" si="1"/>
        <v>73</v>
      </c>
      <c r="F14" s="71">
        <f t="shared" si="2"/>
        <v>0.13619402985074627</v>
      </c>
    </row>
    <row r="15" spans="1:6" x14ac:dyDescent="0.2">
      <c r="A15" s="61" t="s">
        <v>313</v>
      </c>
      <c r="B15" s="59">
        <f>COUNTIF(TEXT!B$3:B$263,"=DONE")</f>
        <v>19</v>
      </c>
      <c r="C15" s="51">
        <f>COUNTA(TEXT!A$3:A$263)</f>
        <v>50</v>
      </c>
      <c r="D15" s="52">
        <f t="shared" si="0"/>
        <v>0.38</v>
      </c>
      <c r="E15">
        <f t="shared" si="1"/>
        <v>31</v>
      </c>
      <c r="F15" s="71">
        <f t="shared" si="2"/>
        <v>5.7835820895522388E-2</v>
      </c>
    </row>
    <row r="16" spans="1:6" x14ac:dyDescent="0.2">
      <c r="A16" s="61" t="s">
        <v>606</v>
      </c>
      <c r="B16" s="59">
        <f>COUNTIF(WEB!B$3:B$263,"=DONE")</f>
        <v>0</v>
      </c>
      <c r="C16" s="51">
        <f>COUNTA(WEB!A$3:A$263)</f>
        <v>3</v>
      </c>
      <c r="D16" s="52">
        <f t="shared" si="0"/>
        <v>0</v>
      </c>
      <c r="E16">
        <f t="shared" si="1"/>
        <v>3</v>
      </c>
      <c r="F16" s="71">
        <f t="shared" si="2"/>
        <v>5.597014925373134E-3</v>
      </c>
    </row>
    <row r="17" spans="1:6" ht="17" thickBot="1" x14ac:dyDescent="0.25">
      <c r="A17" s="62" t="s">
        <v>554</v>
      </c>
      <c r="B17" s="57">
        <f>COUNTIF(OPERATORS!B$3:B$300,"=DONE")</f>
        <v>15</v>
      </c>
      <c r="C17" s="55">
        <f>COUNTA(OPERATORS!A$3:A$300)</f>
        <v>15</v>
      </c>
      <c r="D17" s="56">
        <f t="shared" si="0"/>
        <v>1</v>
      </c>
      <c r="E17">
        <f t="shared" si="1"/>
        <v>0</v>
      </c>
      <c r="F17" s="71">
        <f t="shared" si="2"/>
        <v>0</v>
      </c>
    </row>
    <row r="18" spans="1:6" x14ac:dyDescent="0.2">
      <c r="A18" s="60" t="s">
        <v>546</v>
      </c>
      <c r="B18" s="58">
        <f>SUM(B3:B17)</f>
        <v>225</v>
      </c>
      <c r="C18" s="53">
        <f>SUM(C3:C17)</f>
        <v>536</v>
      </c>
      <c r="D18" s="54">
        <f t="shared" si="0"/>
        <v>0.41977611940298509</v>
      </c>
      <c r="F18" s="71">
        <f t="shared" si="2"/>
        <v>0</v>
      </c>
    </row>
    <row r="19" spans="1:6" x14ac:dyDescent="0.2">
      <c r="C19">
        <f>C18-B18</f>
        <v>311</v>
      </c>
      <c r="F19" s="71">
        <f t="shared" si="2"/>
        <v>0</v>
      </c>
    </row>
    <row r="27" spans="1:6" ht="28" x14ac:dyDescent="0.4">
      <c r="A27" s="49"/>
      <c r="B27" s="49"/>
    </row>
  </sheetData>
  <mergeCells count="2">
    <mergeCell ref="A1:A2"/>
    <mergeCell ref="B1:D1"/>
  </mergeCells>
  <conditionalFormatting sqref="D3: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9E3-5E47-744A-A207-744C4379A77C}">
  <sheetPr codeName="Sheet2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41" t="s">
        <v>567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x14ac:dyDescent="0.15">
      <c r="A4" s="41" t="s">
        <v>588</v>
      </c>
      <c r="J4" s="6"/>
    </row>
    <row r="5" spans="1:49" x14ac:dyDescent="0.15">
      <c r="A5" s="41" t="s">
        <v>597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sheetPr codeName="Sheet3"/>
  <dimension ref="A1:BK42"/>
  <sheetViews>
    <sheetView topLeftCell="A31" zoomScale="114"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83203125" style="4" bestFit="1" customWidth="1"/>
    <col min="4" max="6" width="3" style="4" bestFit="1" customWidth="1"/>
    <col min="7" max="7" width="3.33203125" style="4" bestFit="1" customWidth="1"/>
    <col min="8" max="8" width="4.6640625" style="4" bestFit="1" customWidth="1"/>
    <col min="9" max="9" width="6.66406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6" width="5" style="4" bestFit="1" customWidth="1"/>
    <col min="17" max="17" width="4.1640625" style="4" bestFit="1" customWidth="1"/>
    <col min="18" max="18" width="5" style="4" bestFit="1" customWidth="1"/>
    <col min="19" max="19" width="5.83203125" style="4" bestFit="1" customWidth="1"/>
    <col min="20" max="20" width="5" style="4" bestFit="1" customWidth="1"/>
    <col min="21" max="21" width="5.33203125" style="4" bestFit="1" customWidth="1"/>
    <col min="22" max="22" width="5" style="4" bestFit="1" customWidth="1"/>
    <col min="23" max="23" width="6" style="4" bestFit="1" customWidth="1"/>
    <col min="24" max="26" width="5.83203125" style="4" bestFit="1" customWidth="1"/>
    <col min="27" max="27" width="5.16406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5" style="4" bestFit="1" customWidth="1"/>
    <col min="35" max="35" width="5.1640625" style="4" bestFit="1" customWidth="1"/>
    <col min="36" max="36" width="4" style="4" bestFit="1" customWidth="1"/>
    <col min="37" max="37" width="3.6640625" style="4" bestFit="1" customWidth="1"/>
    <col min="38" max="38" width="5.1640625" style="4" bestFit="1" customWidth="1"/>
    <col min="39" max="39" width="5" style="4" bestFit="1" customWidth="1"/>
    <col min="40" max="40" width="6.33203125" style="4" bestFit="1" customWidth="1"/>
    <col min="41" max="44" width="6.1640625" style="4" bestFit="1" customWidth="1"/>
    <col min="45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COUNTIF(B3:B92,"=DONE")/COUNTA(A3:A92)</f>
        <v>0.3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41" t="s">
        <v>449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450</v>
      </c>
      <c r="J4" s="6"/>
    </row>
    <row r="5" spans="1:63" x14ac:dyDescent="0.15">
      <c r="A5" s="41" t="s">
        <v>451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38" t="s">
        <v>45</v>
      </c>
      <c r="B6" s="37" t="s">
        <v>541</v>
      </c>
      <c r="C6" s="4">
        <v>2.5</v>
      </c>
      <c r="D6" s="4">
        <v>-255.5</v>
      </c>
      <c r="E6" s="4">
        <v>-2.5</v>
      </c>
      <c r="F6" s="4">
        <v>5</v>
      </c>
      <c r="G6" s="4">
        <v>0.23400000000000001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CEILING(C6,1)</f>
        <v>3</v>
      </c>
      <c r="S6" s="6">
        <f>CEILING(D6,-2)</f>
        <v>-256</v>
      </c>
      <c r="T6" s="6">
        <f>CEILING(E6,2)</f>
        <v>-2</v>
      </c>
      <c r="U6" s="6">
        <f>CEILING(F6,0)</f>
        <v>0</v>
      </c>
      <c r="V6" s="6">
        <f>CEILING(G6,0.01)</f>
        <v>0.24</v>
      </c>
      <c r="W6" s="6">
        <f>CEILING(H6,-2)</f>
        <v>0</v>
      </c>
      <c r="X6" s="6" t="e" vm="1">
        <f>CEILING(I6,0)</f>
        <v>#VALUE!</v>
      </c>
      <c r="Y6" s="6">
        <f>CEILING(J6,0)</f>
        <v>0</v>
      </c>
      <c r="Z6" s="6" t="e">
        <f t="shared" ref="Z6:AF6" si="0">CEILING(2.3,K6)</f>
        <v>#VALUE!</v>
      </c>
      <c r="AA6" s="6" t="e">
        <f t="shared" si="0"/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8"/>
      <c r="AH6" s="6" t="e">
        <f t="array" ref="AH6:AW6">CEILING(C6:P6,D6:Q6)</f>
        <v>#NUM!</v>
      </c>
      <c r="AI6" s="6">
        <v>-257.5</v>
      </c>
      <c r="AJ6" s="6">
        <v>0</v>
      </c>
      <c r="AK6" s="6">
        <v>5.1480000000000006</v>
      </c>
      <c r="AL6" s="6">
        <v>0</v>
      </c>
      <c r="AM6" s="6" t="e" vm="1">
        <v>#VALUE!</v>
      </c>
      <c r="AN6" s="6" t="e" vm="1">
        <v>#VALUE!</v>
      </c>
      <c r="AO6" s="6" t="e">
        <v>#VALUE!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#N/A</v>
      </c>
      <c r="AW6" s="4" t="e">
        <v>#N/A</v>
      </c>
    </row>
    <row r="7" spans="1:63" x14ac:dyDescent="0.15">
      <c r="A7" s="41" t="s">
        <v>452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453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454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x14ac:dyDescent="0.15">
      <c r="A10" s="41" t="s">
        <v>455</v>
      </c>
      <c r="H10" s="6"/>
      <c r="I10" s="6"/>
      <c r="J10" s="6"/>
      <c r="K10" s="6"/>
      <c r="L10" s="6"/>
      <c r="M10" s="7"/>
      <c r="N10" s="7"/>
      <c r="O10" s="7"/>
      <c r="P10" s="7"/>
      <c r="Q10" s="7"/>
    </row>
    <row r="11" spans="1:63" x14ac:dyDescent="0.15">
      <c r="A11" s="41" t="s">
        <v>456</v>
      </c>
      <c r="H11" s="6"/>
      <c r="I11" s="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457</v>
      </c>
      <c r="J12" s="6"/>
    </row>
    <row r="13" spans="1:63" x14ac:dyDescent="0.15">
      <c r="A13" s="41" t="s">
        <v>458</v>
      </c>
      <c r="H13" s="6"/>
      <c r="I13" s="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459</v>
      </c>
    </row>
    <row r="15" spans="1:63" x14ac:dyDescent="0.15">
      <c r="A15" s="41" t="s">
        <v>460</v>
      </c>
    </row>
    <row r="16" spans="1:63" x14ac:dyDescent="0.15">
      <c r="A16" s="38" t="s">
        <v>58</v>
      </c>
      <c r="B16" s="37" t="s">
        <v>541</v>
      </c>
      <c r="C16" s="4">
        <v>2.5</v>
      </c>
      <c r="D16" s="4">
        <v>-255.5</v>
      </c>
      <c r="E16" s="4">
        <v>-2.5</v>
      </c>
      <c r="F16" s="4">
        <v>1.5</v>
      </c>
      <c r="G16" s="4">
        <v>0.23400000000000001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FLOOR(C16,1)</f>
        <v>2</v>
      </c>
      <c r="S16" s="6">
        <f>FLOOR(D16,-2)</f>
        <v>-254</v>
      </c>
      <c r="T16" s="6">
        <f>FLOOR(E16,2)</f>
        <v>-4</v>
      </c>
      <c r="U16" s="6" t="e">
        <f>FLOOR(F16,0)</f>
        <v>#DIV/0!</v>
      </c>
      <c r="V16" s="6">
        <f>FLOOR(G16,0.01)</f>
        <v>0.23</v>
      </c>
      <c r="W16" s="6">
        <f>FLOOR(H16,-2)</f>
        <v>0</v>
      </c>
      <c r="X16" s="6" t="e" vm="2">
        <f>FLOOR(I16,0)</f>
        <v>#VALUE!</v>
      </c>
      <c r="Y16" s="6" t="e">
        <f>FLOOR(J16,0)</f>
        <v>#DIV/0!</v>
      </c>
      <c r="Z16" s="6" t="e">
        <f t="shared" ref="Z16:AF16" si="1">FLOOR(2.3,K16)</f>
        <v>#VALUE!</v>
      </c>
      <c r="AA16" s="6" t="e">
        <f t="shared" si="1"/>
        <v>#N/A</v>
      </c>
      <c r="AB16" s="6" t="e">
        <f t="shared" si="1"/>
        <v>#DIV/0!</v>
      </c>
      <c r="AC16" s="6" t="e">
        <f t="shared" si="1"/>
        <v>#NAME?</v>
      </c>
      <c r="AD16" s="6" t="e">
        <f t="shared" si="1"/>
        <v>#NULL!</v>
      </c>
      <c r="AE16" s="6" t="e">
        <f t="shared" si="1"/>
        <v>#NUM!</v>
      </c>
      <c r="AF16" s="6" t="e">
        <f t="shared" si="1"/>
        <v>#REF!</v>
      </c>
      <c r="AG16" s="8"/>
      <c r="AH16" s="6" t="e">
        <f t="array" ref="AH16:AW16">FLOOR(C16:P16,D16:Q16)</f>
        <v>#NUM!</v>
      </c>
      <c r="AI16" s="6">
        <v>-255</v>
      </c>
      <c r="AJ16" s="6">
        <v>-3</v>
      </c>
      <c r="AK16" s="6">
        <v>1.4040000000000001</v>
      </c>
      <c r="AL16" s="6" t="e">
        <v>#DIV/0!</v>
      </c>
      <c r="AM16" s="6" t="e" vm="2">
        <v>#VALUE!</v>
      </c>
      <c r="AN16" s="6" t="e" vm="2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41" t="s">
        <v>461</v>
      </c>
    </row>
    <row r="18" spans="1:49" x14ac:dyDescent="0.15">
      <c r="A18" s="41" t="s">
        <v>462</v>
      </c>
    </row>
    <row r="19" spans="1:49" x14ac:dyDescent="0.15">
      <c r="A19" s="41" t="s">
        <v>463</v>
      </c>
    </row>
    <row r="20" spans="1:49" x14ac:dyDescent="0.15">
      <c r="A20" s="41" t="s">
        <v>464</v>
      </c>
    </row>
    <row r="21" spans="1:49" x14ac:dyDescent="0.15">
      <c r="A21" s="41" t="s">
        <v>465</v>
      </c>
    </row>
    <row r="22" spans="1:49" x14ac:dyDescent="0.15">
      <c r="A22" s="44" t="s">
        <v>466</v>
      </c>
    </row>
    <row r="23" spans="1:49" x14ac:dyDescent="0.15">
      <c r="A23" s="44" t="s">
        <v>467</v>
      </c>
    </row>
    <row r="24" spans="1:49" x14ac:dyDescent="0.15">
      <c r="A24" s="44" t="s">
        <v>468</v>
      </c>
    </row>
    <row r="25" spans="1:49" x14ac:dyDescent="0.15">
      <c r="A25" s="36" t="s">
        <v>166</v>
      </c>
      <c r="B25" s="37" t="s">
        <v>541</v>
      </c>
      <c r="C25" s="4">
        <v>0</v>
      </c>
      <c r="D25" s="4">
        <v>-0.1</v>
      </c>
      <c r="E25" s="4">
        <v>0.7</v>
      </c>
      <c r="F25" s="4">
        <v>2E-3</v>
      </c>
      <c r="G25" s="4">
        <v>4</v>
      </c>
      <c r="H25" s="6"/>
      <c r="I25" s="17" t="s">
        <v>444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>_xlfn.NORM.INV(C25,4,4)</f>
        <v>#NUM!</v>
      </c>
      <c r="S25" s="6" t="e">
        <f>_xlfn.NORM.INV(D25,2,2)</f>
        <v>#NUM!</v>
      </c>
      <c r="T25" s="6">
        <f>_xlfn.NORM.INV(0.4,2,E25)</f>
        <v>1.8226570278049401</v>
      </c>
      <c r="U25" s="6">
        <f>_xlfn.NORM.INV(F25,4,3)</f>
        <v>-4.6344852172864481</v>
      </c>
      <c r="V25" s="6" t="e">
        <f>_xlfn.NORM.INV(G25,D25,E25)</f>
        <v>#NUM!</v>
      </c>
      <c r="W25" s="6" t="e">
        <f>_xlfn.NORM.INV(H25,3,2)</f>
        <v>#NUM!</v>
      </c>
      <c r="X25" s="6">
        <f>_xlfn.NORM.INV(0.3,I25,2)</f>
        <v>58.951198974583917</v>
      </c>
      <c r="Y25" s="6">
        <f>_xlfn.NORM.INV(0.3,J25,2)</f>
        <v>-4.8801025416081778E-2</v>
      </c>
      <c r="Z25" s="6" t="e">
        <f t="shared" ref="Z25:AF25" si="2">_xlfn.NORM.INV(K25,C25,E25)</f>
        <v>#VALUE!</v>
      </c>
      <c r="AA25" s="6" t="e">
        <f t="shared" si="2"/>
        <v>#N/A</v>
      </c>
      <c r="AB25" s="6" t="e">
        <f t="shared" si="2"/>
        <v>#DIV/0!</v>
      </c>
      <c r="AC25" s="6" t="e">
        <f t="shared" si="2"/>
        <v>#NAME?</v>
      </c>
      <c r="AD25" s="6" t="e">
        <f t="shared" si="2"/>
        <v>#NULL!</v>
      </c>
      <c r="AE25" s="6" t="e">
        <f t="shared" si="2"/>
        <v>#NUM!</v>
      </c>
      <c r="AF25" s="6" t="e">
        <f t="shared" si="2"/>
        <v>#REF!</v>
      </c>
      <c r="AG25" s="6" t="e">
        <f t="array" ref="AG25">_xlfn.NORM.INV(C25:Q25,3,3)</f>
        <v>#NUM!</v>
      </c>
      <c r="AH25" s="6" t="e">
        <f t="array" ref="AH25:AW25">_xlfn.NORM.INV(C25:Q25, 3,2)</f>
        <v>#NUM!</v>
      </c>
      <c r="AI25" s="6" t="e">
        <v>#NUM!</v>
      </c>
      <c r="AJ25" s="6">
        <v>4.0488010254160818</v>
      </c>
      <c r="AK25" s="6">
        <v>-2.7563234781909651</v>
      </c>
      <c r="AL25" s="6" t="e">
        <v>#NUM!</v>
      </c>
      <c r="AM25" s="6" t="e">
        <v>#NUM!</v>
      </c>
      <c r="AN25" s="6" t="e">
        <v>#NUM!</v>
      </c>
      <c r="AO25" s="6" t="e">
        <v>#NUM!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469</v>
      </c>
      <c r="B26" s="37" t="s">
        <v>541</v>
      </c>
      <c r="C26" s="4">
        <v>0</v>
      </c>
      <c r="D26" s="4">
        <v>-0.1</v>
      </c>
      <c r="E26" s="4">
        <v>0.7</v>
      </c>
      <c r="F26" s="4">
        <v>3</v>
      </c>
      <c r="G26" s="4">
        <v>4</v>
      </c>
      <c r="H26" s="6"/>
      <c r="I26" s="17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e">
        <f>NORMDIST(C26,,,)</f>
        <v>#NUM!</v>
      </c>
      <c r="S26" s="6">
        <f>NORMDIST(D26,1,2,FALSE)</f>
        <v>0.17147192750969195</v>
      </c>
      <c r="T26" s="6">
        <f>NORMDIST(E26,"1","3",5)</f>
        <v>0.46017216272297101</v>
      </c>
      <c r="U26" s="6">
        <f>NORMDIST(F26,-1,2,"TRUE")</f>
        <v>0.97724986805182079</v>
      </c>
      <c r="V26" s="6" t="e">
        <f>NORMDIST(G26, 0,0,1)</f>
        <v>#NUM!</v>
      </c>
      <c r="W26" s="6">
        <f>NORMDIST(H26,H26,G26,1)</f>
        <v>0.5</v>
      </c>
      <c r="X26" s="6">
        <f>NORMDIST(I26,,I26,1)</f>
        <v>0.84134474606854304</v>
      </c>
      <c r="Y26" s="6">
        <f>NORMDIST(J26,I26,E26,1)</f>
        <v>0</v>
      </c>
      <c r="Z26" s="6" t="e">
        <f t="shared" ref="Z26:AF26" si="3">NORMDIST(K26,I26,G26,1)</f>
        <v>#VALUE!</v>
      </c>
      <c r="AA26" s="6" t="e">
        <f t="shared" si="3"/>
        <v>#N/A</v>
      </c>
      <c r="AB26" s="6" t="e">
        <f t="shared" si="3"/>
        <v>#DIV/0!</v>
      </c>
      <c r="AC26" s="6" t="e">
        <f t="shared" si="3"/>
        <v>#NAME?</v>
      </c>
      <c r="AD26" s="6" t="e">
        <f t="shared" si="3"/>
        <v>#NULL!</v>
      </c>
      <c r="AE26" s="6" t="e">
        <f t="shared" si="3"/>
        <v>#NUM!</v>
      </c>
      <c r="AF26" s="6" t="e">
        <f t="shared" si="3"/>
        <v>#REF!</v>
      </c>
      <c r="AG26" s="6">
        <f t="array" ref="AG26">NORMDIST(C26:Q26,3,3,1)</f>
        <v>0.15865525393145699</v>
      </c>
      <c r="AH26" s="6">
        <f t="array" ref="AH26:AW26">NORMDIST(C26:Q26,C26:Q26,4,1)</f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>
        <v>0.5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471</v>
      </c>
      <c r="B27" s="37" t="s">
        <v>541</v>
      </c>
      <c r="C27" s="4">
        <v>0</v>
      </c>
      <c r="D27" s="4">
        <v>-0.1</v>
      </c>
      <c r="E27" s="4">
        <v>0.7</v>
      </c>
      <c r="F27" s="4">
        <v>3</v>
      </c>
      <c r="G27" s="4">
        <v>4</v>
      </c>
      <c r="H27" s="6"/>
      <c r="I27" s="17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Z27" si="4">NORMSDIST(C27)</f>
        <v>0.5</v>
      </c>
      <c r="S27" s="6">
        <f t="shared" si="4"/>
        <v>0.46017216272297101</v>
      </c>
      <c r="T27" s="6">
        <f t="shared" si="4"/>
        <v>0.75803634777692697</v>
      </c>
      <c r="U27" s="6">
        <f t="shared" si="4"/>
        <v>0.9986501019683699</v>
      </c>
      <c r="V27" s="6">
        <f t="shared" si="4"/>
        <v>0.99996832875816688</v>
      </c>
      <c r="W27" s="6">
        <f t="shared" si="4"/>
        <v>0.5</v>
      </c>
      <c r="X27" s="6">
        <f t="shared" si="4"/>
        <v>1</v>
      </c>
      <c r="Y27" s="6">
        <f t="shared" si="4"/>
        <v>0.84134474606854304</v>
      </c>
      <c r="Z27" s="6" t="e">
        <f t="shared" si="4"/>
        <v>#VALUE!</v>
      </c>
      <c r="AA27" s="6" t="e">
        <f t="shared" ref="AA27:AF27" si="5">NORMSDIST(L27)</f>
        <v>#N/A</v>
      </c>
      <c r="AB27" s="6" t="e">
        <f t="shared" si="5"/>
        <v>#DIV/0!</v>
      </c>
      <c r="AC27" s="6" t="e">
        <f t="shared" si="5"/>
        <v>#NAME?</v>
      </c>
      <c r="AD27" s="6" t="e">
        <f t="shared" si="5"/>
        <v>#NULL!</v>
      </c>
      <c r="AE27" s="6" t="e">
        <f t="shared" si="5"/>
        <v>#NUM!</v>
      </c>
      <c r="AF27" s="6" t="e">
        <f t="shared" si="5"/>
        <v>#REF!</v>
      </c>
      <c r="AG27" s="6">
        <f t="array" ref="AG27">NORMSDIST(C27:Q27)</f>
        <v>0.5</v>
      </c>
      <c r="AH27" s="6">
        <f t="array" ref="AH27:AW27">NORMSDIST(C27:Q27)</f>
        <v>0.5</v>
      </c>
      <c r="AI27" s="6">
        <v>0.46017216272297101</v>
      </c>
      <c r="AJ27" s="6">
        <v>0.75803634777692697</v>
      </c>
      <c r="AK27" s="6">
        <v>0.9986501019683699</v>
      </c>
      <c r="AL27" s="6">
        <v>0.99996832875816688</v>
      </c>
      <c r="AM27" s="6">
        <v>0.5</v>
      </c>
      <c r="AN27" s="6">
        <v>1</v>
      </c>
      <c r="AO27" s="6">
        <v>0.84134474606854304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472</v>
      </c>
      <c r="B28" s="37" t="s">
        <v>541</v>
      </c>
      <c r="C28" s="4">
        <v>0</v>
      </c>
      <c r="D28" s="4">
        <v>-0.1</v>
      </c>
      <c r="E28" s="4">
        <v>0.7</v>
      </c>
      <c r="F28" s="4">
        <v>2E-3</v>
      </c>
      <c r="G28" s="4">
        <v>4</v>
      </c>
      <c r="H28" s="6"/>
      <c r="I28" s="17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e">
        <f t="shared" ref="R28:Z28" si="6">NORMSINV(C28)</f>
        <v>#NUM!</v>
      </c>
      <c r="S28" s="6" t="e">
        <f t="shared" si="6"/>
        <v>#NUM!</v>
      </c>
      <c r="T28" s="6">
        <f t="shared" si="6"/>
        <v>0.52440051270804078</v>
      </c>
      <c r="U28" s="6">
        <f t="shared" si="6"/>
        <v>-2.8781617390954826</v>
      </c>
      <c r="V28" s="6" t="e">
        <f t="shared" si="6"/>
        <v>#NUM!</v>
      </c>
      <c r="W28" s="6" t="e">
        <f t="shared" si="6"/>
        <v>#NUM!</v>
      </c>
      <c r="X28" s="6" t="e">
        <f t="shared" si="6"/>
        <v>#NUM!</v>
      </c>
      <c r="Y28" s="6" t="e">
        <f t="shared" si="6"/>
        <v>#NUM!</v>
      </c>
      <c r="Z28" s="6" t="e">
        <f t="shared" si="6"/>
        <v>#VALUE!</v>
      </c>
      <c r="AA28" s="6" t="e">
        <f t="shared" ref="AA28:AF28" si="7">NORMSINV(L28)</f>
        <v>#N/A</v>
      </c>
      <c r="AB28" s="6" t="e">
        <f t="shared" si="7"/>
        <v>#DIV/0!</v>
      </c>
      <c r="AC28" s="6" t="e">
        <f t="shared" si="7"/>
        <v>#NAME?</v>
      </c>
      <c r="AD28" s="6" t="e">
        <f t="shared" si="7"/>
        <v>#NULL!</v>
      </c>
      <c r="AE28" s="6" t="e">
        <f t="shared" si="7"/>
        <v>#NUM!</v>
      </c>
      <c r="AF28" s="6" t="e">
        <f t="shared" si="7"/>
        <v>#REF!</v>
      </c>
      <c r="AG28" s="6" t="e">
        <f t="array" ref="AG28">NORMSINV(C28:Q28)</f>
        <v>#NUM!</v>
      </c>
      <c r="AH28" s="6" t="e">
        <f t="array" ref="AH28:AW28">NORMSINV(C28:Q28)</f>
        <v>#NUM!</v>
      </c>
      <c r="AI28" s="6" t="e">
        <v>#NUM!</v>
      </c>
      <c r="AJ28" s="6">
        <v>0.52440051270804078</v>
      </c>
      <c r="AK28" s="6">
        <v>-2.8781617390954826</v>
      </c>
      <c r="AL28" s="6" t="e">
        <v>#NUM!</v>
      </c>
      <c r="AM28" s="6" t="e">
        <v>#NUM!</v>
      </c>
      <c r="AN28" s="6" t="e">
        <v>#NUM!</v>
      </c>
      <c r="AO28" s="6" t="e">
        <v>#NUM!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473</v>
      </c>
      <c r="B29" s="37" t="s">
        <v>541</v>
      </c>
      <c r="C29" s="4">
        <v>0</v>
      </c>
      <c r="D29" s="4">
        <v>-10</v>
      </c>
      <c r="E29" s="4">
        <v>0.9</v>
      </c>
      <c r="F29" s="4">
        <v>0.1</v>
      </c>
      <c r="G29" s="4">
        <v>-0.1</v>
      </c>
      <c r="H29" s="6"/>
      <c r="I29" s="17" t="s">
        <v>448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>PERCENTILE(C29:D29,".2")</f>
        <v>-8</v>
      </c>
      <c r="S29" s="6">
        <f>PERCENTILE(C29:H29,E29)</f>
        <v>0.57999999999999974</v>
      </c>
      <c r="T29" s="6">
        <f>PERCENTILE(E29:F29,F29)</f>
        <v>0.18000000000000008</v>
      </c>
      <c r="U29" s="6" t="e">
        <f>PERCENTILE(F29:G29,G29)</f>
        <v>#NUM!</v>
      </c>
      <c r="V29" s="6">
        <f>PERCENTILE(G29:H29,H29)</f>
        <v>-0.1</v>
      </c>
      <c r="W29" s="6">
        <f>PERCENTILE(D29:E29,I29)</f>
        <v>0.9</v>
      </c>
      <c r="X29" s="6">
        <f>PERCENTILE(E29:I29,J29)</f>
        <v>0.9</v>
      </c>
      <c r="Y29" s="6" t="e">
        <f>PERCENTILE(I29:J29,K29)</f>
        <v>#VALUE!</v>
      </c>
      <c r="Z29" s="6" t="e">
        <f>PERCENTILE(K29:L29,L29)</f>
        <v>#N/A</v>
      </c>
      <c r="AA29" s="6" t="e">
        <f t="shared" ref="AA29:AF29" si="8">PERCENTILE(L29:M29,M29)</f>
        <v>#DIV/0!</v>
      </c>
      <c r="AB29" s="6" t="e">
        <f t="shared" si="8"/>
        <v>#NAME?</v>
      </c>
      <c r="AC29" s="6" t="e">
        <f t="shared" si="8"/>
        <v>#NULL!</v>
      </c>
      <c r="AD29" s="6" t="e">
        <f t="shared" si="8"/>
        <v>#NUM!</v>
      </c>
      <c r="AE29" s="6" t="e">
        <f t="shared" si="8"/>
        <v>#REF!</v>
      </c>
      <c r="AF29" s="6" t="e">
        <f t="shared" si="8"/>
        <v>#REF!</v>
      </c>
      <c r="AG29" s="6">
        <f t="array" ref="AG29">PERCENTILE(C29:G29,0.03)</f>
        <v>-8.8119999999999994</v>
      </c>
      <c r="AH29" s="6">
        <f t="array" ref="AH29:AW29">PERCENTILE(C29:J29,C29:Q29)</f>
        <v>-10</v>
      </c>
      <c r="AI29" s="6" t="e">
        <v>#NUM!</v>
      </c>
      <c r="AJ29" s="6">
        <v>0.57999999999999974</v>
      </c>
      <c r="AK29" s="6">
        <v>-6.0400000000000009</v>
      </c>
      <c r="AL29" s="6" t="e">
        <v>#NUM!</v>
      </c>
      <c r="AM29" s="6">
        <v>-10</v>
      </c>
      <c r="AN29" s="6">
        <v>0.9</v>
      </c>
      <c r="AO29" s="6">
        <v>0.9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44" t="s">
        <v>474</v>
      </c>
    </row>
    <row r="31" spans="1:49" x14ac:dyDescent="0.15">
      <c r="A31" s="44" t="s">
        <v>475</v>
      </c>
    </row>
    <row r="32" spans="1:49" x14ac:dyDescent="0.15">
      <c r="A32" s="38" t="s">
        <v>476</v>
      </c>
      <c r="B32" s="37" t="s">
        <v>541</v>
      </c>
      <c r="C32" s="4">
        <v>0</v>
      </c>
      <c r="D32" s="4">
        <v>-10</v>
      </c>
      <c r="E32" s="4">
        <v>0.9</v>
      </c>
      <c r="F32" s="4">
        <v>2.2000000000000002</v>
      </c>
      <c r="G32" s="4">
        <v>-0.1</v>
      </c>
      <c r="H32" s="6"/>
      <c r="I32" s="17" t="s">
        <v>448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QUARTILE(C32:D32,"2")</f>
        <v>-5</v>
      </c>
      <c r="S32" s="6">
        <f>QUARTILE(C32:H32,E32)</f>
        <v>-10</v>
      </c>
      <c r="T32" s="6">
        <f>QUARTILE(E32:F32,F32)</f>
        <v>1.5500000000000003</v>
      </c>
      <c r="U32" s="6" t="e">
        <f>QUARTILE(F32:G32,G32)</f>
        <v>#NUM!</v>
      </c>
      <c r="V32" s="6">
        <f>QUARTILE(G32:H32,H32)</f>
        <v>-0.1</v>
      </c>
      <c r="W32" s="6">
        <f>QUARTILE(D32:E32,I32)</f>
        <v>-7.2750000000000004</v>
      </c>
      <c r="X32" s="6">
        <f>QUARTILE(E32:I32,J32)</f>
        <v>0.4</v>
      </c>
      <c r="Y32" s="6" t="e">
        <f>QUARTILE(I32:J32,K32)</f>
        <v>#VALUE!</v>
      </c>
      <c r="Z32" s="6" t="e">
        <f>QUARTILE(K32:L32,L32)</f>
        <v>#N/A</v>
      </c>
      <c r="AA32" s="6" t="e">
        <f>QUARTILE(L32:M32,I32)</f>
        <v>#N/A</v>
      </c>
      <c r="AB32" s="6" t="e">
        <f>QUARTILE(M32:N32,N32)</f>
        <v>#NAME?</v>
      </c>
      <c r="AC32" s="6" t="e">
        <f>QUARTILE(N32:O32,O32)</f>
        <v>#NULL!</v>
      </c>
      <c r="AD32" s="6" t="e">
        <f>QUARTILE(O32:P32,P32)</f>
        <v>#NUM!</v>
      </c>
      <c r="AE32" s="6" t="e">
        <f>QUARTILE(P32:Q32,Q32)</f>
        <v>#REF!</v>
      </c>
      <c r="AF32" s="6" t="e">
        <f>QUARTILE(Q32:R32,R32)</f>
        <v>#REF!</v>
      </c>
      <c r="AG32" s="6">
        <f>QUARTILE(C32:G32,I32)</f>
        <v>-0.1</v>
      </c>
      <c r="AH32" s="6">
        <f t="array" ref="AH32:AW32">QUARTILE(C32:J32,C32:Q32)</f>
        <v>-10</v>
      </c>
      <c r="AI32" s="6" t="e">
        <v>#NUM!</v>
      </c>
      <c r="AJ32" s="6">
        <v>-10</v>
      </c>
      <c r="AK32" s="6">
        <v>0</v>
      </c>
      <c r="AL32" s="6" t="e">
        <v>#NUM!</v>
      </c>
      <c r="AM32" s="6">
        <v>-10</v>
      </c>
      <c r="AN32" s="6">
        <v>-0.1</v>
      </c>
      <c r="AO32" s="6">
        <v>-0.1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44" t="s">
        <v>477</v>
      </c>
    </row>
    <row r="34" spans="1:49" x14ac:dyDescent="0.15">
      <c r="A34" s="38" t="s">
        <v>478</v>
      </c>
      <c r="B34" s="37" t="s">
        <v>541</v>
      </c>
      <c r="C34" s="4">
        <v>0</v>
      </c>
      <c r="D34" s="4">
        <v>-10</v>
      </c>
      <c r="E34" s="4">
        <v>0.9</v>
      </c>
      <c r="F34" s="4">
        <v>2.2000000000000002</v>
      </c>
      <c r="G34" s="4">
        <v>-0.1</v>
      </c>
      <c r="H34" s="6"/>
      <c r="I34" s="17" t="s">
        <v>448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STDEV(C34:D34,D34:E34,E34:F34,"2")</f>
        <v>5.5145262715848942</v>
      </c>
      <c r="S34" s="6" t="e" vm="3">
        <f>STDEV(D34:E34,E34:F34,F34:G34,"")</f>
        <v>#VALUE!</v>
      </c>
      <c r="T34" s="6">
        <f>STDEV(E34:F34,F34:G34,G34:H34,"29/02/1900")</f>
        <v>24.100518666617944</v>
      </c>
      <c r="U34" s="6" t="e">
        <f>STDEV(G34:H34)</f>
        <v>#DIV/0!</v>
      </c>
      <c r="V34" s="6">
        <f>STDEV(F34:H34,H34:I34,I34:J34)</f>
        <v>1.6263455967290594</v>
      </c>
      <c r="W34" s="6" t="e">
        <f>STDEV(G34:H34)</f>
        <v>#DIV/0!</v>
      </c>
      <c r="X34" s="6">
        <f>STDEV(I34,G34,E34)</f>
        <v>0.70710678118654757</v>
      </c>
      <c r="Y34" s="6" t="e">
        <f>STDEV(J34,G34)</f>
        <v>#DIV/0!</v>
      </c>
      <c r="Z34" s="6" t="e">
        <f t="shared" ref="Z34:AF34" si="9">STDEV(K34:L34)</f>
        <v>#VALUE!</v>
      </c>
      <c r="AA34" s="6" t="e">
        <f t="shared" si="9"/>
        <v>#N/A</v>
      </c>
      <c r="AB34" s="6" t="e">
        <f t="shared" si="9"/>
        <v>#DIV/0!</v>
      </c>
      <c r="AC34" s="6" t="e">
        <f t="shared" si="9"/>
        <v>#NAME?</v>
      </c>
      <c r="AD34" s="6" t="e">
        <f t="shared" si="9"/>
        <v>#NULL!</v>
      </c>
      <c r="AE34" s="6" t="e">
        <f t="shared" si="9"/>
        <v>#NUM!</v>
      </c>
      <c r="AF34" s="6" t="e">
        <f t="shared" si="9"/>
        <v>#REF!</v>
      </c>
      <c r="AG34" s="6">
        <f>STDEV(F34:J34)</f>
        <v>1.6263455967290594</v>
      </c>
      <c r="AH34" s="6">
        <f t="array" ref="AH34:AM34">STDEV(C34:J34)</f>
        <v>4.8954060097197249</v>
      </c>
      <c r="AI34" s="6">
        <v>4.8954060097197249</v>
      </c>
      <c r="AJ34" s="6">
        <v>4.8954060097197249</v>
      </c>
      <c r="AK34" s="6">
        <v>4.8954060097197249</v>
      </c>
      <c r="AL34" s="6">
        <v>4.8954060097197249</v>
      </c>
      <c r="AM34" s="6">
        <v>4.8954060097197249</v>
      </c>
      <c r="AN34" s="6" t="e">
        <f t="array" ref="AN34:AW34">STDEV(J34:Q34)</f>
        <v>#VALUE!</v>
      </c>
      <c r="AO34" s="6" t="e">
        <v>#VALUE!</v>
      </c>
      <c r="AP34" s="6" t="e">
        <v>#VALUE!</v>
      </c>
      <c r="AQ34" s="6" t="e">
        <v>#VALUE!</v>
      </c>
      <c r="AR34" s="6" t="e">
        <v>#VALUE!</v>
      </c>
      <c r="AS34" s="6" t="e">
        <v>#VALUE!</v>
      </c>
      <c r="AT34" s="6" t="e">
        <v>#VALUE!</v>
      </c>
      <c r="AU34" s="6" t="e">
        <v>#VALUE!</v>
      </c>
      <c r="AV34" s="6" t="e">
        <v>#VALUE!</v>
      </c>
      <c r="AW34" s="4" t="e">
        <v>#VALUE!</v>
      </c>
    </row>
    <row r="35" spans="1:49" x14ac:dyDescent="0.15">
      <c r="A35" s="38" t="s">
        <v>479</v>
      </c>
      <c r="B35" s="37" t="s">
        <v>541</v>
      </c>
      <c r="C35" s="4">
        <v>0</v>
      </c>
      <c r="D35" s="4">
        <v>-10</v>
      </c>
      <c r="E35" s="4">
        <v>0.9</v>
      </c>
      <c r="F35" s="4">
        <v>2.2000000000000002</v>
      </c>
      <c r="G35" s="4">
        <v>-0.1</v>
      </c>
      <c r="H35" s="6"/>
      <c r="I35" s="17" t="s">
        <v>448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>STDEVP(C35:D35,D35:E35,E35:F35,"2")</f>
        <v>5.1054592629570834</v>
      </c>
      <c r="S35" s="6" t="e" vm="4">
        <f>STDEVP(D35:E35,E35:F35,F35:G35,"")</f>
        <v>#VALUE!</v>
      </c>
      <c r="T35" s="6">
        <f>STDEVP(E35:F35,F35:G35,G35:H35,"29/02/1900")</f>
        <v>22.00066286880163</v>
      </c>
      <c r="U35" s="6" t="e">
        <f>STDEVP(H35)</f>
        <v>#DIV/0!</v>
      </c>
      <c r="V35" s="6">
        <f>STDEVP(G35:H35,H35:I35,I35:J35)</f>
        <v>0</v>
      </c>
      <c r="W35" s="6">
        <f>STDEVP(G35:H35)</f>
        <v>0</v>
      </c>
      <c r="X35" s="6">
        <f>STDEVP(I35,G35)</f>
        <v>0</v>
      </c>
      <c r="Y35" s="6">
        <f>STDEVP(J35,G35)</f>
        <v>0</v>
      </c>
      <c r="Z35" s="6" t="e">
        <f>STDEVP(K35:L35)</f>
        <v>#VALUE!</v>
      </c>
      <c r="AA35" s="6" t="e">
        <f>_xlfn.STDEV.P(L35:M35)</f>
        <v>#N/A</v>
      </c>
      <c r="AB35" s="6" t="e">
        <f>STDEVP(M35:N35)</f>
        <v>#DIV/0!</v>
      </c>
      <c r="AC35" s="6" t="e">
        <f>STDEVP(N35:O35)</f>
        <v>#NAME?</v>
      </c>
      <c r="AD35" s="6" t="e">
        <f>STDEVP(O35:P35)</f>
        <v>#NULL!</v>
      </c>
      <c r="AE35" s="6" t="e">
        <f>STDEVP(P35:Q35)</f>
        <v>#NUM!</v>
      </c>
      <c r="AF35" s="6" t="e">
        <f>STDEVP(Q35:R35)</f>
        <v>#REF!</v>
      </c>
      <c r="AG35" s="6">
        <f>STDEVP(F35:J35)</f>
        <v>1.1500000000000001</v>
      </c>
      <c r="AH35" s="6">
        <f t="array" ref="AH35:AM35">STDEVP(C35:J35)</f>
        <v>4.3785842460777209</v>
      </c>
      <c r="AI35" s="6">
        <v>4.3785842460777209</v>
      </c>
      <c r="AJ35" s="6">
        <v>4.3785842460777209</v>
      </c>
      <c r="AK35" s="6">
        <v>4.3785842460777209</v>
      </c>
      <c r="AL35" s="6">
        <v>4.3785842460777209</v>
      </c>
      <c r="AM35" s="6">
        <v>4.3785842460777209</v>
      </c>
      <c r="AN35" s="6" t="e">
        <f t="array" ref="AN35:AW35">STDEVP(J35:Q35)</f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6" t="e">
        <v>#VALUE!</v>
      </c>
      <c r="AW35" s="4" t="e">
        <v>#VALUE!</v>
      </c>
    </row>
    <row r="36" spans="1:49" x14ac:dyDescent="0.15">
      <c r="A36" s="44" t="s">
        <v>480</v>
      </c>
    </row>
    <row r="37" spans="1:49" x14ac:dyDescent="0.15">
      <c r="A37" s="44" t="s">
        <v>481</v>
      </c>
    </row>
    <row r="38" spans="1:49" x14ac:dyDescent="0.15">
      <c r="A38" s="44" t="s">
        <v>482</v>
      </c>
    </row>
    <row r="39" spans="1:49" x14ac:dyDescent="0.15">
      <c r="A39" s="38" t="s">
        <v>483</v>
      </c>
      <c r="B39" s="37" t="s">
        <v>541</v>
      </c>
      <c r="C39" s="4">
        <v>0</v>
      </c>
      <c r="D39" s="4">
        <v>-10</v>
      </c>
      <c r="E39" s="4">
        <v>0.9</v>
      </c>
      <c r="F39" s="4">
        <v>2.2000000000000002</v>
      </c>
      <c r="G39" s="4">
        <v>-0.1</v>
      </c>
      <c r="H39" s="6"/>
      <c r="I39" s="17" t="s">
        <v>448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>
        <f>VAR(C39:D39,D39:E39,E39:F39,"2")</f>
        <v>30.409999999999997</v>
      </c>
      <c r="S39" s="6" t="e" vm="5">
        <f>VAR(D39:E39,E39:F39,F39:G39,"")</f>
        <v>#VALUE!</v>
      </c>
      <c r="T39" s="6">
        <f>VAR(E39:F39,F39:G39,G39:H39,"29/02/1900")</f>
        <v>580.83500000000004</v>
      </c>
      <c r="U39" s="6" t="e">
        <f>VAR(G39:H39)</f>
        <v>#DIV/0!</v>
      </c>
      <c r="V39" s="6">
        <f>VAR(F39:H39,H39:I39,I39:J39)</f>
        <v>2.6450000000000005</v>
      </c>
      <c r="W39" s="6" t="e">
        <f>VAR(G39:H39)</f>
        <v>#DIV/0!</v>
      </c>
      <c r="X39" s="6">
        <f>VAR(I39,G39,E39)</f>
        <v>0.5</v>
      </c>
      <c r="Y39" s="6" t="e">
        <f>VAR(J39,G39)</f>
        <v>#DIV/0!</v>
      </c>
      <c r="Z39" s="6" t="e">
        <f>VAR(K39:L39)</f>
        <v>#VALUE!</v>
      </c>
      <c r="AA39" s="6" t="e">
        <f t="shared" ref="AA39:AF39" si="10">VAR(L39:M39)</f>
        <v>#N/A</v>
      </c>
      <c r="AB39" s="6" t="e">
        <f t="shared" si="10"/>
        <v>#DIV/0!</v>
      </c>
      <c r="AC39" s="6" t="e">
        <f t="shared" si="10"/>
        <v>#NAME?</v>
      </c>
      <c r="AD39" s="6" t="e">
        <f t="shared" si="10"/>
        <v>#NULL!</v>
      </c>
      <c r="AE39" s="6" t="e">
        <f t="shared" si="10"/>
        <v>#NUM!</v>
      </c>
      <c r="AF39" s="6" t="e">
        <f t="shared" si="10"/>
        <v>#REF!</v>
      </c>
      <c r="AG39" s="6">
        <f>VAR(F39:J39)</f>
        <v>2.6450000000000005</v>
      </c>
      <c r="AH39" s="6">
        <f t="array" ref="AH39:AM39">VAR(C39:J39)</f>
        <v>23.965000000000003</v>
      </c>
      <c r="AI39" s="6">
        <v>23.965000000000003</v>
      </c>
      <c r="AJ39" s="6">
        <v>23.965000000000003</v>
      </c>
      <c r="AK39" s="6">
        <v>23.965000000000003</v>
      </c>
      <c r="AL39" s="6">
        <v>23.965000000000003</v>
      </c>
      <c r="AM39" s="6">
        <v>23.965000000000003</v>
      </c>
      <c r="AN39" s="6" t="e">
        <f t="array" ref="AN39:AW39">VAR(J39:Q39)</f>
        <v>#VALUE!</v>
      </c>
      <c r="AO39" s="6" t="e">
        <v>#VALUE!</v>
      </c>
      <c r="AP39" s="6" t="e">
        <v>#VALUE!</v>
      </c>
      <c r="AQ39" s="6" t="e">
        <v>#VALUE!</v>
      </c>
      <c r="AR39" s="6" t="e">
        <v>#VALUE!</v>
      </c>
      <c r="AS39" s="6" t="e">
        <v>#VALUE!</v>
      </c>
      <c r="AT39" s="6" t="e">
        <v>#VALUE!</v>
      </c>
      <c r="AU39" s="6" t="e">
        <v>#VALUE!</v>
      </c>
      <c r="AV39" s="6" t="e">
        <v>#VALUE!</v>
      </c>
      <c r="AW39" s="4" t="e">
        <v>#VALUE!</v>
      </c>
    </row>
    <row r="40" spans="1:49" x14ac:dyDescent="0.15">
      <c r="A40" s="38" t="s">
        <v>484</v>
      </c>
      <c r="B40" s="37" t="s">
        <v>541</v>
      </c>
      <c r="C40" s="4">
        <v>0</v>
      </c>
      <c r="D40" s="4">
        <v>-10</v>
      </c>
      <c r="E40" s="4">
        <v>0.9</v>
      </c>
      <c r="F40" s="4">
        <v>2.2000000000000002</v>
      </c>
      <c r="G40" s="4">
        <v>-0.1</v>
      </c>
      <c r="H40" s="6"/>
      <c r="I40" s="17" t="s">
        <v>448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>
        <f>VARP(C40:D40,D40:E40,E40:F40,"2")</f>
        <v>26.065714285714282</v>
      </c>
      <c r="S40" s="6" t="e" vm="6">
        <f>VARP(D40:E40,E40:F40,F40:G40,"")</f>
        <v>#VALUE!</v>
      </c>
      <c r="T40" s="6">
        <f>VARP(E40:F40,F40:G40,G40:H40,"29/02/1900")</f>
        <v>484.02916666666675</v>
      </c>
      <c r="U40" s="6" t="e">
        <f>VARP(H40)</f>
        <v>#DIV/0!</v>
      </c>
      <c r="V40" s="6">
        <f>VARP(G40:H40,H40:I40,I40:J40)</f>
        <v>0</v>
      </c>
      <c r="W40" s="6">
        <f>VARP(G40:H40)</f>
        <v>0</v>
      </c>
      <c r="X40" s="6">
        <f>VARP(I40,G40)</f>
        <v>0</v>
      </c>
      <c r="Y40" s="6">
        <f>VARP(J40,G40)</f>
        <v>0</v>
      </c>
      <c r="Z40" s="6" t="e">
        <f>VARP(K40:L40)</f>
        <v>#VALUE!</v>
      </c>
      <c r="AA40" s="6" t="e">
        <f t="shared" ref="AA40:AF40" si="11">VARP(L40:M40)</f>
        <v>#N/A</v>
      </c>
      <c r="AB40" s="6" t="e">
        <f t="shared" si="11"/>
        <v>#DIV/0!</v>
      </c>
      <c r="AC40" s="6" t="e">
        <f t="shared" si="11"/>
        <v>#NAME?</v>
      </c>
      <c r="AD40" s="6" t="e">
        <f t="shared" si="11"/>
        <v>#NULL!</v>
      </c>
      <c r="AE40" s="6" t="e">
        <f t="shared" si="11"/>
        <v>#NUM!</v>
      </c>
      <c r="AF40" s="6" t="e">
        <f t="shared" si="11"/>
        <v>#REF!</v>
      </c>
      <c r="AG40" s="6">
        <f>VARP(F40:J40)</f>
        <v>1.3225000000000002</v>
      </c>
      <c r="AH40" s="6">
        <f t="array" ref="AH40:AM40">VARP(C40:J40)</f>
        <v>19.172000000000004</v>
      </c>
      <c r="AI40" s="6">
        <v>19.172000000000004</v>
      </c>
      <c r="AJ40" s="6">
        <v>19.172000000000004</v>
      </c>
      <c r="AK40" s="6">
        <v>19.172000000000004</v>
      </c>
      <c r="AL40" s="6">
        <v>19.172000000000004</v>
      </c>
      <c r="AM40" s="6">
        <v>19.172000000000004</v>
      </c>
      <c r="AN40" s="6" t="e">
        <f t="array" ref="AN40:AW40">VARP(J40:Q40)</f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6" t="e">
        <v>#VALUE!</v>
      </c>
      <c r="AW40" s="4" t="e">
        <v>#VALUE!</v>
      </c>
    </row>
    <row r="41" spans="1:49" x14ac:dyDescent="0.15">
      <c r="A41" s="44" t="s">
        <v>485</v>
      </c>
    </row>
    <row r="42" spans="1:49" x14ac:dyDescent="0.15">
      <c r="A42" s="44" t="s">
        <v>486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6A5-DE4E-184E-89F0-70BB75707264}">
  <sheetPr codeName="Sheet4"/>
  <dimension ref="A1:BK9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41" t="s">
        <v>568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569</v>
      </c>
      <c r="J4" s="6"/>
    </row>
    <row r="5" spans="1:63" x14ac:dyDescent="0.15">
      <c r="A5" s="41" t="s">
        <v>570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41" t="s">
        <v>571</v>
      </c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x14ac:dyDescent="0.15">
      <c r="A7" s="41" t="s">
        <v>572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573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574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</sheetData>
  <sortState xmlns:xlrd2="http://schemas.microsoft.com/office/spreadsheetml/2017/richdata2" ref="A3:A9">
    <sortCondition ref="A3:A9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493-55CD-D141-B410-0E940652F73D}">
  <sheetPr codeName="Sheet5"/>
  <dimension ref="A1:BK1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ht="11" customHeight="1" x14ac:dyDescent="0.2">
      <c r="A3" s="41" t="s">
        <v>575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ht="11" customHeight="1" x14ac:dyDescent="0.2">
      <c r="A4" s="41" t="s">
        <v>576</v>
      </c>
      <c r="B4" s="47"/>
      <c r="J4" s="6"/>
    </row>
    <row r="5" spans="1:63" ht="11" customHeight="1" x14ac:dyDescent="0.2">
      <c r="A5" s="41" t="s">
        <v>577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ht="11" customHeight="1" x14ac:dyDescent="0.2">
      <c r="A6" s="41" t="s">
        <v>578</v>
      </c>
      <c r="B6" s="47"/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ht="11" customHeight="1" x14ac:dyDescent="0.2">
      <c r="A7" s="41" t="s">
        <v>579</v>
      </c>
      <c r="B7" s="47"/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ht="11" customHeight="1" x14ac:dyDescent="0.2">
      <c r="A8" s="41" t="s">
        <v>580</v>
      </c>
      <c r="B8" s="47"/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1" customHeight="1" x14ac:dyDescent="0.2">
      <c r="A9" s="41" t="s">
        <v>581</v>
      </c>
      <c r="B9" s="47"/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ht="11" customHeight="1" x14ac:dyDescent="0.2">
      <c r="A10" s="41" t="s">
        <v>582</v>
      </c>
      <c r="B10" s="47"/>
    </row>
    <row r="11" spans="1:63" ht="11" customHeight="1" x14ac:dyDescent="0.2">
      <c r="A11" s="41" t="s">
        <v>583</v>
      </c>
      <c r="B11" s="47"/>
    </row>
    <row r="12" spans="1:63" ht="11" customHeight="1" x14ac:dyDescent="0.2">
      <c r="A12" s="41" t="s">
        <v>584</v>
      </c>
      <c r="B12" s="47"/>
    </row>
    <row r="13" spans="1:63" ht="11" customHeight="1" x14ac:dyDescent="0.2">
      <c r="A13" s="41" t="s">
        <v>585</v>
      </c>
      <c r="B13" s="47"/>
    </row>
    <row r="14" spans="1:63" ht="11" customHeight="1" x14ac:dyDescent="0.2">
      <c r="A14" s="41" t="s">
        <v>586</v>
      </c>
      <c r="B14" s="47"/>
    </row>
    <row r="15" spans="1:63" ht="11" customHeight="1" x14ac:dyDescent="0.15"/>
  </sheetData>
  <sortState xmlns:xlrd2="http://schemas.microsoft.com/office/spreadsheetml/2017/richdata2" ref="A3:A14">
    <sortCondition ref="A3:A14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sheetPr codeName="Sheet6"/>
  <dimension ref="A1:AW34"/>
  <sheetViews>
    <sheetView workbookViewId="0"/>
  </sheetViews>
  <sheetFormatPr baseColWidth="10" defaultColWidth="10.83203125" defaultRowHeight="11" x14ac:dyDescent="0.15"/>
  <cols>
    <col min="1" max="1" width="12" style="44" bestFit="1" customWidth="1"/>
    <col min="2" max="2" width="5.1640625" style="43" bestFit="1" customWidth="1"/>
    <col min="3" max="3" width="18.83203125" style="4" bestFit="1" customWidth="1"/>
    <col min="4" max="4" width="6.6640625" style="4" bestFit="1" customWidth="1"/>
    <col min="5" max="5" width="15" style="4" bestFit="1" customWidth="1"/>
    <col min="6" max="6" width="6" style="4" bestFit="1" customWidth="1"/>
    <col min="7" max="7" width="1.5" style="4" bestFit="1" customWidth="1"/>
    <col min="8" max="8" width="4.6640625" style="4" bestFit="1" customWidth="1"/>
    <col min="9" max="9" width="9.33203125" style="4" bestFit="1" customWidth="1"/>
    <col min="10" max="11" width="5.6640625" style="4" bestFit="1" customWidth="1"/>
    <col min="12" max="12" width="6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14" style="4" bestFit="1" customWidth="1"/>
    <col min="20" max="21" width="5.6640625" style="4" bestFit="1" customWidth="1"/>
    <col min="22" max="22" width="10.83203125" style="4" bestFit="1" customWidth="1"/>
    <col min="23" max="26" width="5.6640625" style="4" bestFit="1" customWidth="1"/>
    <col min="27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6" style="4" bestFit="1" customWidth="1"/>
    <col min="35" max="39" width="5.83203125" style="4" bestFit="1" customWidth="1"/>
    <col min="40" max="40" width="5.6640625" style="4" bestFit="1" customWidth="1"/>
    <col min="41" max="41" width="6" style="4" bestFit="1" customWidth="1"/>
    <col min="42" max="42" width="5.83203125" style="4" bestFit="1" customWidth="1"/>
    <col min="43" max="43" width="5.6640625" style="4" bestFit="1" customWidth="1"/>
    <col min="44" max="44" width="6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COUNTIF(B3:B275,"=DONE")/COUNTA(A3:A275)</f>
        <v>0.76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36" t="s">
        <v>415</v>
      </c>
      <c r="B3" s="37" t="s">
        <v>541</v>
      </c>
      <c r="C3" s="4">
        <v>1987</v>
      </c>
      <c r="D3" s="4">
        <v>8</v>
      </c>
      <c r="E3" s="4">
        <v>1</v>
      </c>
      <c r="F3" s="4">
        <v>0.7</v>
      </c>
      <c r="G3" s="4">
        <v>0</v>
      </c>
      <c r="H3" s="6"/>
      <c r="I3" s="17" t="s">
        <v>440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DATE(C3,D3,E3)</f>
        <v>31990</v>
      </c>
      <c r="S3" s="6">
        <f>DATE(C3,D3,F3)</f>
        <v>31989</v>
      </c>
      <c r="T3" s="6" t="e">
        <f>DATE(0.9,0.9,0.9)</f>
        <v>#NUM!</v>
      </c>
      <c r="U3" s="6">
        <f>DATE(0,1,0)</f>
        <v>0</v>
      </c>
      <c r="V3" s="6">
        <f>DATE(1,0,0)</f>
        <v>335</v>
      </c>
      <c r="W3" s="6">
        <f t="shared" ref="W3:AC3" si="0">DATE(C3,D3,H3)</f>
        <v>31989</v>
      </c>
      <c r="X3" s="6">
        <f t="shared" si="0"/>
        <v>2921</v>
      </c>
      <c r="Y3" s="6">
        <f t="shared" si="0"/>
        <v>336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>DATE(J3,O3,K3)</f>
        <v>#NULL!</v>
      </c>
      <c r="AE3" s="6" t="e">
        <f>DATE(C3,P3,L3)</f>
        <v>#NUM!</v>
      </c>
      <c r="AF3" s="6" t="e">
        <f>DATE(Q3,K3,M3)</f>
        <v>#REF!</v>
      </c>
      <c r="AG3" s="6">
        <f t="array" ref="AG3">DATE(C3,D3,E3:H3)</f>
        <v>31990</v>
      </c>
      <c r="AH3" s="6">
        <f t="array" ref="AH3:AK3">DATE(C3,D3,E3:G3)</f>
        <v>31990</v>
      </c>
      <c r="AI3" s="6">
        <v>31989</v>
      </c>
      <c r="AJ3" s="6">
        <v>31989</v>
      </c>
      <c r="AK3" s="6" t="e">
        <v>#N/A</v>
      </c>
      <c r="AL3" s="6">
        <f t="array" ref="AL3:AN3">DATE(C3:E3,H3,D3:F3)</f>
        <v>31754</v>
      </c>
      <c r="AM3" s="6">
        <v>2892</v>
      </c>
      <c r="AN3" s="6">
        <v>335</v>
      </c>
      <c r="AO3" s="6" t="e">
        <f t="array" ref="AO3:AW3">DATE(C3:I3,H3,K3:Q3)</f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6" t="e">
        <v>#N/A</v>
      </c>
      <c r="AW3" s="18" t="e">
        <v>#N/A</v>
      </c>
    </row>
    <row r="4" spans="1:49" x14ac:dyDescent="0.15">
      <c r="A4" s="36" t="s">
        <v>416</v>
      </c>
      <c r="B4" s="37" t="s">
        <v>541</v>
      </c>
      <c r="C4" s="4">
        <v>1987</v>
      </c>
      <c r="D4" s="4">
        <v>8</v>
      </c>
      <c r="E4" s="4">
        <v>1</v>
      </c>
      <c r="F4" s="4">
        <v>0.7</v>
      </c>
      <c r="G4" s="4">
        <v>0</v>
      </c>
      <c r="H4" s="6"/>
      <c r="I4" s="17" t="s">
        <v>440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DATEDIF(D4, C4,"YD")</f>
        <v>153</v>
      </c>
      <c r="S4" s="6">
        <f>DATEDIF(E4, D4,"Y")</f>
        <v>0</v>
      </c>
      <c r="T4" s="6">
        <f>DATEDIF(F4, E4,"D")</f>
        <v>1</v>
      </c>
      <c r="U4" s="6">
        <f>DATEDIF(G4, F4,"M")</f>
        <v>0</v>
      </c>
      <c r="V4" s="6">
        <f>DATEDIF(H4, G4,"YM")</f>
        <v>0</v>
      </c>
      <c r="W4" s="6" t="e">
        <f>DATEDIF(I4, H4,"YD")</f>
        <v>#NUM!</v>
      </c>
      <c r="X4" s="6" t="e">
        <f t="shared" ref="X4:AF4" si="1">DATEDIF(J4, I4,"YD")</f>
        <v>#NUM!</v>
      </c>
      <c r="Y4" s="6" t="e">
        <f t="shared" si="1"/>
        <v>#VALUE!</v>
      </c>
      <c r="Z4" s="6" t="e">
        <f>DATEDIF(G4, F4,L4)</f>
        <v>#N/A</v>
      </c>
      <c r="AA4" s="6" t="e">
        <f>DATEDIF(M4, L4,"YD")</f>
        <v>#DIV/0!</v>
      </c>
      <c r="AB4" s="6" t="e">
        <f>DATEDIF(H4, G4,"a")</f>
        <v>#NUM!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6" t="e">
        <f t="shared" si="1"/>
        <v>#REF!</v>
      </c>
      <c r="AG4" s="6">
        <f t="array" ref="AG4">DATEDIF(E4:F4,C4:D4, "D")</f>
        <v>1986</v>
      </c>
      <c r="AH4" s="6">
        <f t="array" ref="AH4:AW4">DATEDIF(E4:K4,C4:I4, "D")</f>
        <v>1986</v>
      </c>
      <c r="AI4" s="6">
        <v>8</v>
      </c>
      <c r="AJ4" s="6">
        <v>1</v>
      </c>
      <c r="AK4" s="6">
        <v>0</v>
      </c>
      <c r="AL4" s="6" t="e">
        <v>#NUM!</v>
      </c>
      <c r="AM4" s="6" t="e">
        <v>#NUM!</v>
      </c>
      <c r="AN4" s="6" t="e">
        <v>#VALUE!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4" t="e">
        <v>#N/A</v>
      </c>
    </row>
    <row r="5" spans="1:49" x14ac:dyDescent="0.15">
      <c r="A5" s="36" t="s">
        <v>417</v>
      </c>
      <c r="B5" s="37" t="s">
        <v>541</v>
      </c>
      <c r="C5" s="4">
        <v>1987</v>
      </c>
      <c r="D5" s="4">
        <v>8</v>
      </c>
      <c r="E5" s="4">
        <v>1</v>
      </c>
      <c r="F5" s="4">
        <v>0.7</v>
      </c>
      <c r="G5" s="4">
        <v>0</v>
      </c>
      <c r="H5" s="6"/>
      <c r="I5" s="17" t="s">
        <v>538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>DATEVALUE(C5)</f>
        <v>#VALUE!</v>
      </c>
      <c r="S5" s="6" t="e">
        <f t="shared" ref="S5:AF5" si="2">DATEVALUE(D5)</f>
        <v>#VALUE!</v>
      </c>
      <c r="T5" s="6" t="e">
        <f t="shared" si="2"/>
        <v>#VALUE!</v>
      </c>
      <c r="U5" s="6" t="e">
        <f t="shared" si="2"/>
        <v>#VALUE!</v>
      </c>
      <c r="V5" s="6" t="e">
        <f t="shared" si="2"/>
        <v>#VALUE!</v>
      </c>
      <c r="W5" s="6" t="e">
        <f>DATEVALUE(H5)</f>
        <v>#VALUE!</v>
      </c>
      <c r="X5" s="6">
        <f>DATEVALUE(I5)</f>
        <v>31778</v>
      </c>
      <c r="Y5" s="6" t="e">
        <f t="shared" si="2"/>
        <v>#VALUE!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 t="array" ref="AG5">DATEVALUE(I5:J5)</f>
        <v>31778</v>
      </c>
      <c r="AH5" s="6" t="e">
        <f t="array" ref="AH5:AW5">DATEVALUE(C5:Q5)</f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 t="e">
        <v>#VALUE!</v>
      </c>
      <c r="AN5" s="6">
        <v>31778</v>
      </c>
      <c r="AO5" s="6" t="e">
        <v>#VALUE!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6" t="s">
        <v>418</v>
      </c>
      <c r="B6" s="37" t="s">
        <v>541</v>
      </c>
      <c r="C6" s="4">
        <v>1987</v>
      </c>
      <c r="D6" s="4">
        <v>-1</v>
      </c>
      <c r="E6" s="4">
        <v>2958466</v>
      </c>
      <c r="F6" s="4">
        <v>0.7</v>
      </c>
      <c r="G6" s="4">
        <v>0</v>
      </c>
      <c r="H6" s="6"/>
      <c r="I6" s="17" t="s">
        <v>442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DAY(C6)</f>
        <v>9</v>
      </c>
      <c r="S6" s="6" t="e">
        <f t="shared" ref="S6:AF6" si="3">DAY(D6)</f>
        <v>#NUM!</v>
      </c>
      <c r="T6" s="6" t="e">
        <f t="shared" si="3"/>
        <v>#NUM!</v>
      </c>
      <c r="U6" s="6">
        <f>DAY(F6)</f>
        <v>0</v>
      </c>
      <c r="V6" s="6">
        <f t="shared" si="3"/>
        <v>0</v>
      </c>
      <c r="W6" s="6">
        <f t="shared" si="3"/>
        <v>0</v>
      </c>
      <c r="X6" s="6">
        <f t="shared" si="3"/>
        <v>22</v>
      </c>
      <c r="Y6" s="6">
        <f>DAY(J6)</f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DAY(I6:J6)</f>
        <v>22</v>
      </c>
      <c r="AH6" s="6">
        <f t="array" ref="AH6:AW6">DAY(C6:Q6)</f>
        <v>9</v>
      </c>
      <c r="AI6" s="6" t="e">
        <v>#NUM!</v>
      </c>
      <c r="AJ6" s="6" t="e">
        <v>#NUM!</v>
      </c>
      <c r="AK6" s="6">
        <v>0</v>
      </c>
      <c r="AL6" s="6">
        <v>0</v>
      </c>
      <c r="AM6" s="6">
        <v>0</v>
      </c>
      <c r="AN6" s="6">
        <v>22</v>
      </c>
      <c r="AO6" s="6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41" t="s">
        <v>419</v>
      </c>
      <c r="C7" s="18"/>
      <c r="R7" s="19"/>
      <c r="S7" s="19"/>
      <c r="T7" s="18"/>
    </row>
    <row r="8" spans="1:49" x14ac:dyDescent="0.15">
      <c r="A8" s="41" t="s">
        <v>420</v>
      </c>
      <c r="C8" s="19"/>
      <c r="D8" s="19"/>
    </row>
    <row r="9" spans="1:49" x14ac:dyDescent="0.15">
      <c r="A9" s="36" t="s">
        <v>421</v>
      </c>
      <c r="B9" s="37" t="s">
        <v>541</v>
      </c>
      <c r="C9" s="4">
        <v>1987</v>
      </c>
      <c r="D9" s="4">
        <v>8</v>
      </c>
      <c r="E9" s="4">
        <v>1</v>
      </c>
      <c r="F9" s="4">
        <v>0.7</v>
      </c>
      <c r="G9" s="4">
        <v>0</v>
      </c>
      <c r="H9" s="6"/>
      <c r="I9" s="17" t="s">
        <v>538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>EDATE(C9,D9)</f>
        <v>2232</v>
      </c>
      <c r="S9" s="4">
        <f>EDATE(D9,"2")</f>
        <v>68</v>
      </c>
      <c r="T9" s="4">
        <f>EDATE(E9,".55")</f>
        <v>1</v>
      </c>
      <c r="U9" s="4" t="e">
        <f>EDATE(J9,G9)</f>
        <v>#VALUE!</v>
      </c>
      <c r="V9" s="4">
        <f>EDATE(G9,H9)</f>
        <v>0</v>
      </c>
      <c r="W9" s="4">
        <f>EDATE(F9,I9)</f>
        <v>967223</v>
      </c>
      <c r="X9" s="4">
        <f>EDATE(I9,H9)</f>
        <v>31778</v>
      </c>
      <c r="Y9" s="4" t="e">
        <f>EDATE(I9,J9)</f>
        <v>#VALUE!</v>
      </c>
      <c r="Z9" s="4" t="e">
        <f t="shared" ref="Z9:AF9" si="4">EDATE(K9,L9)</f>
        <v>#VALUE!</v>
      </c>
      <c r="AA9" s="4" t="e">
        <f t="shared" si="4"/>
        <v>#N/A</v>
      </c>
      <c r="AB9" s="4" t="e">
        <f t="shared" si="4"/>
        <v>#DIV/0!</v>
      </c>
      <c r="AC9" s="4" t="e">
        <f t="shared" si="4"/>
        <v>#NAME?</v>
      </c>
      <c r="AD9" s="4" t="e">
        <f t="shared" si="4"/>
        <v>#NULL!</v>
      </c>
      <c r="AE9" s="4" t="e">
        <f>EDATE(P9,Q9)</f>
        <v>#NUM!</v>
      </c>
      <c r="AF9" s="4" t="e">
        <f t="shared" si="4"/>
        <v>#REF!</v>
      </c>
      <c r="AG9" s="4" t="e">
        <f t="array" ref="AG9">EDATE(I9,C9:G9)</f>
        <v>#VALUE!</v>
      </c>
      <c r="AH9" s="4" t="e">
        <f t="array" ref="AH9:AW9">EDATE(E9:I9,C9:G9)</f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6" t="s">
        <v>422</v>
      </c>
      <c r="B10" s="37" t="s">
        <v>541</v>
      </c>
      <c r="C10" s="4">
        <v>1987</v>
      </c>
      <c r="D10" s="4">
        <v>8</v>
      </c>
      <c r="E10" s="4">
        <v>1</v>
      </c>
      <c r="F10" s="4">
        <v>0.7</v>
      </c>
      <c r="G10" s="4">
        <v>0</v>
      </c>
      <c r="H10" s="6"/>
      <c r="I10" s="17" t="s">
        <v>538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>EOMONTH(C10,D10)</f>
        <v>2251</v>
      </c>
      <c r="S10" s="4">
        <f>EOMONTH(D10,"2")</f>
        <v>91</v>
      </c>
      <c r="T10" s="4">
        <f>EOMONTH(E10,".55")</f>
        <v>31</v>
      </c>
      <c r="U10" s="4" t="e">
        <f>EOMONTH(J10,G10)</f>
        <v>#VALUE!</v>
      </c>
      <c r="V10" s="4">
        <f>EOMONTH(G10,H10)</f>
        <v>31</v>
      </c>
      <c r="W10" s="4">
        <f>EOMONTH(F10,I10)</f>
        <v>967254</v>
      </c>
      <c r="X10" s="4">
        <f>EOMONTH(I10,H10)</f>
        <v>31808</v>
      </c>
      <c r="Y10" s="4" t="e">
        <f>EOMONTH(I10,J10)</f>
        <v>#VALUE!</v>
      </c>
      <c r="Z10" s="4" t="e">
        <f t="shared" ref="Z10:AF10" si="5">EOMONTH(K10,L10)</f>
        <v>#VALUE!</v>
      </c>
      <c r="AA10" s="4" t="e">
        <f t="shared" si="5"/>
        <v>#N/A</v>
      </c>
      <c r="AB10" s="4" t="e">
        <f t="shared" si="5"/>
        <v>#DIV/0!</v>
      </c>
      <c r="AC10" s="4" t="e">
        <f t="shared" si="5"/>
        <v>#NAME?</v>
      </c>
      <c r="AD10" s="4" t="e">
        <f t="shared" si="5"/>
        <v>#NULL!</v>
      </c>
      <c r="AE10" s="4" t="e">
        <f t="shared" si="5"/>
        <v>#NUM!</v>
      </c>
      <c r="AF10" s="4" t="e">
        <f t="shared" si="5"/>
        <v>#REF!</v>
      </c>
      <c r="AG10" s="4" t="e">
        <f t="array" ref="AG10">EOMONTH(I10,C10:G10)</f>
        <v>#VALUE!</v>
      </c>
      <c r="AH10" s="4" t="e">
        <f t="array" ref="AH10:AW10">EOMONTH(E10:I10,C10:G10)</f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  <c r="AW10" s="4" t="e">
        <v>#VALUE!</v>
      </c>
    </row>
    <row r="11" spans="1:49" x14ac:dyDescent="0.15">
      <c r="A11" s="36" t="s">
        <v>423</v>
      </c>
      <c r="B11" s="37" t="s">
        <v>541</v>
      </c>
      <c r="C11" s="4">
        <v>0.44</v>
      </c>
      <c r="D11" s="4">
        <v>-1</v>
      </c>
      <c r="E11" s="4">
        <v>0.33</v>
      </c>
      <c r="F11" s="4">
        <v>1.4</v>
      </c>
      <c r="G11" s="4">
        <v>0</v>
      </c>
      <c r="I11" s="20" t="s">
        <v>443</v>
      </c>
      <c r="J11" s="4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HOUR(C11)</f>
        <v>10</v>
      </c>
      <c r="S11" s="4" t="e">
        <f t="shared" ref="S11:AF11" si="6">HOUR(D11)</f>
        <v>#NUM!</v>
      </c>
      <c r="T11" s="4">
        <f t="shared" si="6"/>
        <v>7</v>
      </c>
      <c r="U11" s="4">
        <f>HOUR(F11)</f>
        <v>9</v>
      </c>
      <c r="V11" s="4">
        <f t="shared" si="6"/>
        <v>0</v>
      </c>
      <c r="W11" s="4">
        <f t="shared" si="6"/>
        <v>0</v>
      </c>
      <c r="X11" s="4">
        <f t="shared" si="6"/>
        <v>0</v>
      </c>
      <c r="Y11" s="4">
        <f t="shared" si="6"/>
        <v>0</v>
      </c>
      <c r="Z11" s="4" t="e">
        <f t="shared" si="6"/>
        <v>#VALUE!</v>
      </c>
      <c r="AA11" s="4" t="e">
        <f t="shared" si="6"/>
        <v>#N/A</v>
      </c>
      <c r="AB11" s="4" t="e">
        <f t="shared" si="6"/>
        <v>#DIV/0!</v>
      </c>
      <c r="AC11" s="4" t="e">
        <f t="shared" si="6"/>
        <v>#NAME?</v>
      </c>
      <c r="AD11" s="4" t="e">
        <f t="shared" si="6"/>
        <v>#NULL!</v>
      </c>
      <c r="AE11" s="4" t="e">
        <f t="shared" si="6"/>
        <v>#NUM!</v>
      </c>
      <c r="AF11" s="4" t="e">
        <f t="shared" si="6"/>
        <v>#REF!</v>
      </c>
      <c r="AG11" s="4">
        <f t="array" ref="AG11">HOUR(I6:J6)</f>
        <v>0</v>
      </c>
      <c r="AH11" s="6">
        <f t="array" ref="AH11:AW11">HOUR(C11:Q11)</f>
        <v>10</v>
      </c>
      <c r="AI11" s="6" t="e">
        <v>#NUM!</v>
      </c>
      <c r="AJ11" s="6">
        <v>7</v>
      </c>
      <c r="AK11" s="6">
        <v>9</v>
      </c>
      <c r="AL11" s="6">
        <v>0</v>
      </c>
      <c r="AM11" s="6">
        <v>0</v>
      </c>
      <c r="AN11" s="6">
        <v>0</v>
      </c>
      <c r="AO11" s="6">
        <v>0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6" t="s">
        <v>424</v>
      </c>
      <c r="B12" s="37" t="s">
        <v>541</v>
      </c>
      <c r="C12" s="4">
        <v>1987</v>
      </c>
      <c r="D12" s="4">
        <v>8</v>
      </c>
      <c r="E12" s="4">
        <v>1</v>
      </c>
      <c r="F12" s="4">
        <v>0.7</v>
      </c>
      <c r="G12" s="4">
        <v>0</v>
      </c>
      <c r="H12" s="6"/>
      <c r="I12" s="17" t="s">
        <v>539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_xlfn.ISOWEEKNUM(C12)</f>
        <v>23</v>
      </c>
      <c r="S12" s="4">
        <f t="shared" ref="S12:AE12" si="7">_xlfn.ISOWEEKNUM(D12)</f>
        <v>1</v>
      </c>
      <c r="T12" s="4">
        <f t="shared" si="7"/>
        <v>52</v>
      </c>
      <c r="U12" s="4">
        <f t="shared" si="7"/>
        <v>52</v>
      </c>
      <c r="V12" s="4">
        <f t="shared" si="7"/>
        <v>52</v>
      </c>
      <c r="W12" s="4">
        <f t="shared" si="7"/>
        <v>52</v>
      </c>
      <c r="X12" s="4">
        <f t="shared" si="7"/>
        <v>1</v>
      </c>
      <c r="Y12" s="4">
        <f>_xlfn.ISOWEEKNUM(J12)</f>
        <v>52</v>
      </c>
      <c r="Z12" s="4" t="e">
        <f t="shared" si="7"/>
        <v>#VALUE!</v>
      </c>
      <c r="AA12" s="4" t="e">
        <f t="shared" si="7"/>
        <v>#N/A</v>
      </c>
      <c r="AB12" s="4" t="e">
        <f t="shared" si="7"/>
        <v>#DIV/0!</v>
      </c>
      <c r="AC12" s="4" t="e">
        <f t="shared" si="7"/>
        <v>#NAME?</v>
      </c>
      <c r="AD12" s="4" t="e">
        <f t="shared" si="7"/>
        <v>#NULL!</v>
      </c>
      <c r="AE12" s="4" t="e">
        <f t="shared" si="7"/>
        <v>#NUM!</v>
      </c>
      <c r="AF12" s="4" t="e">
        <f>_xlfn.ISOWEEKNUM(Q12)</f>
        <v>#REF!</v>
      </c>
      <c r="AG12" s="4">
        <f t="array" ref="AG12">_xlfn.ISOWEEKNUM(C12:Q12)</f>
        <v>23</v>
      </c>
      <c r="AH12" s="4">
        <f t="array" ref="AH12:AW12">_xlfn.ISOWEEKNUM(C12:Q12)</f>
        <v>23</v>
      </c>
      <c r="AI12" s="4">
        <v>1</v>
      </c>
      <c r="AJ12" s="4">
        <v>52</v>
      </c>
      <c r="AK12" s="4">
        <v>52</v>
      </c>
      <c r="AL12" s="4">
        <v>52</v>
      </c>
      <c r="AM12" s="4">
        <v>52</v>
      </c>
      <c r="AN12" s="4">
        <v>1</v>
      </c>
      <c r="AO12" s="4">
        <v>52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  <c r="AV12" s="4" t="e">
        <v>#REF!</v>
      </c>
      <c r="AW12" s="4" t="e">
        <v>#N/A</v>
      </c>
    </row>
    <row r="13" spans="1:49" x14ac:dyDescent="0.15">
      <c r="A13" s="36" t="s">
        <v>425</v>
      </c>
      <c r="B13" s="37" t="s">
        <v>541</v>
      </c>
      <c r="C13" s="4">
        <v>0.44</v>
      </c>
      <c r="D13" s="4">
        <v>-1</v>
      </c>
      <c r="E13" s="4">
        <v>0.33</v>
      </c>
      <c r="F13" s="4">
        <v>1.4</v>
      </c>
      <c r="G13" s="4">
        <v>0</v>
      </c>
      <c r="I13" s="20" t="s">
        <v>443</v>
      </c>
      <c r="J13" s="4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MINUTE(C13)</f>
        <v>33</v>
      </c>
      <c r="S13" s="4" t="e">
        <f t="shared" ref="S13:AF13" si="8">MINUTE(D13)</f>
        <v>#NUM!</v>
      </c>
      <c r="T13" s="4">
        <f t="shared" si="8"/>
        <v>55</v>
      </c>
      <c r="U13" s="4">
        <f>MINUTE(F13)</f>
        <v>36</v>
      </c>
      <c r="V13" s="4">
        <f t="shared" si="8"/>
        <v>0</v>
      </c>
      <c r="W13" s="4">
        <f t="shared" si="8"/>
        <v>0</v>
      </c>
      <c r="X13" s="4">
        <f t="shared" si="8"/>
        <v>0</v>
      </c>
      <c r="Y13" s="4">
        <f t="shared" si="8"/>
        <v>0</v>
      </c>
      <c r="Z13" s="4" t="e">
        <f t="shared" si="8"/>
        <v>#VALUE!</v>
      </c>
      <c r="AA13" s="4" t="e">
        <f t="shared" si="8"/>
        <v>#N/A</v>
      </c>
      <c r="AB13" s="4" t="e">
        <f t="shared" si="8"/>
        <v>#DIV/0!</v>
      </c>
      <c r="AC13" s="4" t="e">
        <f t="shared" si="8"/>
        <v>#NAME?</v>
      </c>
      <c r="AD13" s="4" t="e">
        <f t="shared" si="8"/>
        <v>#NULL!</v>
      </c>
      <c r="AE13" s="4" t="e">
        <f t="shared" si="8"/>
        <v>#NUM!</v>
      </c>
      <c r="AF13" s="4" t="e">
        <f t="shared" si="8"/>
        <v>#REF!</v>
      </c>
      <c r="AG13" s="4">
        <f t="array" ref="AG13">MINUTE(I8:J8)</f>
        <v>0</v>
      </c>
      <c r="AH13" s="6">
        <f t="array" ref="AH13:AW13">MINUTE(C13:Q13)</f>
        <v>33</v>
      </c>
      <c r="AI13" s="6" t="e">
        <v>#NUM!</v>
      </c>
      <c r="AJ13" s="6">
        <v>55</v>
      </c>
      <c r="AK13" s="6">
        <v>36</v>
      </c>
      <c r="AL13" s="6">
        <v>0</v>
      </c>
      <c r="AM13" s="6">
        <v>0</v>
      </c>
      <c r="AN13" s="6">
        <v>0</v>
      </c>
      <c r="AO13" s="6">
        <v>0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6" t="s">
        <v>426</v>
      </c>
      <c r="B14" s="37" t="s">
        <v>541</v>
      </c>
      <c r="C14" s="4">
        <v>1987</v>
      </c>
      <c r="D14" s="4">
        <v>8</v>
      </c>
      <c r="E14" s="4">
        <v>1</v>
      </c>
      <c r="F14" s="4">
        <v>0.7</v>
      </c>
      <c r="G14" s="4">
        <v>0</v>
      </c>
      <c r="H14" s="6"/>
      <c r="I14" s="17" t="s">
        <v>442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>MONTH(C14)</f>
        <v>6</v>
      </c>
      <c r="S14" s="6">
        <f t="shared" ref="S14:AF14" si="9">MONTH(D14)</f>
        <v>1</v>
      </c>
      <c r="T14" s="6">
        <f t="shared" si="9"/>
        <v>1</v>
      </c>
      <c r="U14" s="6">
        <f>MONTH(F14)</f>
        <v>1</v>
      </c>
      <c r="V14" s="6">
        <f t="shared" si="9"/>
        <v>1</v>
      </c>
      <c r="W14" s="6">
        <f t="shared" si="9"/>
        <v>1</v>
      </c>
      <c r="X14" s="6">
        <f t="shared" si="9"/>
        <v>8</v>
      </c>
      <c r="Y14" s="6">
        <f t="shared" si="9"/>
        <v>1</v>
      </c>
      <c r="Z14" s="6" t="e">
        <f t="shared" si="9"/>
        <v>#VALUE!</v>
      </c>
      <c r="AA14" s="6" t="e">
        <f t="shared" si="9"/>
        <v>#N/A</v>
      </c>
      <c r="AB14" s="6" t="e">
        <f t="shared" si="9"/>
        <v>#DIV/0!</v>
      </c>
      <c r="AC14" s="6" t="e">
        <f t="shared" si="9"/>
        <v>#NAME?</v>
      </c>
      <c r="AD14" s="6" t="e">
        <f t="shared" si="9"/>
        <v>#NULL!</v>
      </c>
      <c r="AE14" s="6" t="e">
        <f t="shared" si="9"/>
        <v>#NUM!</v>
      </c>
      <c r="AF14" s="6" t="e">
        <f t="shared" si="9"/>
        <v>#REF!</v>
      </c>
      <c r="AG14" s="6">
        <f t="array" ref="AG14">MONTH(I6:J6)</f>
        <v>8</v>
      </c>
      <c r="AH14" s="6">
        <f t="array" ref="AH14:AW14">MONTH(C14:Q14)</f>
        <v>6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8</v>
      </c>
      <c r="AO14" s="6">
        <v>1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1" t="s">
        <v>427</v>
      </c>
    </row>
    <row r="16" spans="1:49" x14ac:dyDescent="0.15">
      <c r="A16" s="41" t="s">
        <v>428</v>
      </c>
    </row>
    <row r="17" spans="1:49" x14ac:dyDescent="0.15">
      <c r="A17" s="36" t="s">
        <v>429</v>
      </c>
      <c r="B17" s="37" t="s">
        <v>541</v>
      </c>
      <c r="W17" s="4">
        <f ca="1">IF(NOW(),1,0)</f>
        <v>1</v>
      </c>
    </row>
    <row r="18" spans="1:49" x14ac:dyDescent="0.15">
      <c r="A18" s="36" t="s">
        <v>430</v>
      </c>
      <c r="B18" s="37" t="s">
        <v>541</v>
      </c>
      <c r="C18" s="4">
        <v>0.44</v>
      </c>
      <c r="D18" s="4">
        <v>-1</v>
      </c>
      <c r="E18" s="4">
        <v>0.33</v>
      </c>
      <c r="F18" s="4">
        <v>1.4</v>
      </c>
      <c r="G18" s="4">
        <v>0</v>
      </c>
      <c r="I18" s="20" t="s">
        <v>443</v>
      </c>
      <c r="J18" s="4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>
        <f>SECOND(C18)</f>
        <v>36</v>
      </c>
      <c r="S18" s="4" t="e">
        <f t="shared" ref="S18:AF18" si="10">SECOND(D18)</f>
        <v>#NUM!</v>
      </c>
      <c r="T18" s="4">
        <f t="shared" si="10"/>
        <v>12</v>
      </c>
      <c r="U18" s="4">
        <f t="shared" si="10"/>
        <v>0</v>
      </c>
      <c r="V18" s="4">
        <f t="shared" si="10"/>
        <v>0</v>
      </c>
      <c r="W18" s="4">
        <f t="shared" si="10"/>
        <v>0</v>
      </c>
      <c r="X18" s="4">
        <f t="shared" si="10"/>
        <v>0</v>
      </c>
      <c r="Y18" s="4">
        <f t="shared" si="10"/>
        <v>0</v>
      </c>
      <c r="Z18" s="4" t="e">
        <f t="shared" si="10"/>
        <v>#VALUE!</v>
      </c>
      <c r="AA18" s="4" t="e">
        <f t="shared" si="10"/>
        <v>#N/A</v>
      </c>
      <c r="AB18" s="4" t="e">
        <f t="shared" si="10"/>
        <v>#DIV/0!</v>
      </c>
      <c r="AC18" s="4" t="e">
        <f t="shared" si="10"/>
        <v>#NAME?</v>
      </c>
      <c r="AD18" s="4" t="e">
        <f t="shared" si="10"/>
        <v>#NULL!</v>
      </c>
      <c r="AE18" s="4" t="e">
        <f t="shared" si="10"/>
        <v>#NUM!</v>
      </c>
      <c r="AF18" s="4" t="e">
        <f t="shared" si="10"/>
        <v>#REF!</v>
      </c>
      <c r="AG18" s="4">
        <f t="array" ref="AG18">SECOND(I13:J13)</f>
        <v>0</v>
      </c>
      <c r="AH18" s="6">
        <f t="array" ref="AH18:AW18">SECOND(C18:Q18)</f>
        <v>36</v>
      </c>
      <c r="AI18" s="6" t="e">
        <v>#NUM!</v>
      </c>
      <c r="AJ18" s="6">
        <v>12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6" t="s">
        <v>431</v>
      </c>
      <c r="B19" s="37" t="s">
        <v>541</v>
      </c>
      <c r="C19" s="4">
        <v>32767.99</v>
      </c>
      <c r="D19" s="4">
        <v>-1</v>
      </c>
      <c r="E19" s="4">
        <v>67</v>
      </c>
      <c r="F19" s="4">
        <v>0.7</v>
      </c>
      <c r="G19" s="4">
        <v>0</v>
      </c>
      <c r="H19" s="6"/>
      <c r="I19" s="17" t="s">
        <v>441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TIME(C19,D19,E19)</f>
        <v>0.29174768518510064</v>
      </c>
      <c r="S19" s="6">
        <f>TIME(C19,D19,F19)</f>
        <v>0.29097222222230812</v>
      </c>
      <c r="T19" s="6">
        <f>TIME(0.9,0.9,0.9)</f>
        <v>0</v>
      </c>
      <c r="U19" s="19">
        <f>TIME(0,1,0)</f>
        <v>6.9444444444444447E-4</v>
      </c>
      <c r="V19" s="6">
        <f>TIME(1,0,0)</f>
        <v>4.1666666666666664E-2</v>
      </c>
      <c r="W19" s="6">
        <f t="shared" ref="W19:AC19" si="11">TIME(C19,D19,H19)</f>
        <v>0.29097222222230812</v>
      </c>
      <c r="X19" s="6">
        <f t="shared" si="11"/>
        <v>5.5555555555555558E-3</v>
      </c>
      <c r="Y19" s="6">
        <f t="shared" si="11"/>
        <v>0.79167824074074078</v>
      </c>
      <c r="Z19" s="6" t="e">
        <f t="shared" si="11"/>
        <v>#VALUE!</v>
      </c>
      <c r="AA19" s="6" t="e">
        <f t="shared" si="11"/>
        <v>#N/A</v>
      </c>
      <c r="AB19" s="6" t="e">
        <f t="shared" si="11"/>
        <v>#DIV/0!</v>
      </c>
      <c r="AC19" s="6" t="e">
        <f t="shared" si="11"/>
        <v>#NAME?</v>
      </c>
      <c r="AD19" s="6" t="e">
        <f>TIME(J19,O19,K19)</f>
        <v>#NULL!</v>
      </c>
      <c r="AE19" s="6" t="e">
        <f>TIME(C19,P19,L19)</f>
        <v>#NUM!</v>
      </c>
      <c r="AF19" s="6" t="e">
        <f>TIME(Q19,K19,M19)</f>
        <v>#REF!</v>
      </c>
      <c r="AG19" s="6">
        <f t="array" ref="AG19">TIME(C19,D19,E19:H19)</f>
        <v>0.29174768518510064</v>
      </c>
      <c r="AH19" s="6">
        <f t="array" ref="AH19:AK19">TIME(C19,D19,E19:G19)</f>
        <v>0.29174768518510064</v>
      </c>
      <c r="AI19" s="6">
        <v>0.29097222222230812</v>
      </c>
      <c r="AJ19" s="6">
        <v>0.29097222222230812</v>
      </c>
      <c r="AK19" s="6" t="e">
        <v>#N/A</v>
      </c>
      <c r="AL19" s="6">
        <f t="array" ref="AL19:AN19">TIME(C19:E19,H19,D19:F19)</f>
        <v>0.29165509259269129</v>
      </c>
      <c r="AM19" s="6" t="e">
        <v>#NUM!</v>
      </c>
      <c r="AN19" s="6">
        <v>0.79166666666666652</v>
      </c>
      <c r="AO19" s="6" t="e">
        <f t="array" ref="AO19:AW19">TIME(C19:I19,H19,K19:Q19)</f>
        <v>#VALUE!</v>
      </c>
      <c r="AP19" s="6" t="e">
        <v>#N/A</v>
      </c>
      <c r="AQ19" s="6" t="e">
        <v>#DIV/0!</v>
      </c>
      <c r="AR19" s="6" t="e">
        <v>#NAME?</v>
      </c>
      <c r="AS19" s="6" t="e">
        <v>#NULL!</v>
      </c>
      <c r="AT19" s="6" t="e">
        <v>#NUM!</v>
      </c>
      <c r="AU19" s="6" t="e">
        <v>#REF!</v>
      </c>
      <c r="AV19" s="6" t="e">
        <v>#N/A</v>
      </c>
      <c r="AW19" s="18" t="e">
        <v>#N/A</v>
      </c>
    </row>
    <row r="20" spans="1:49" x14ac:dyDescent="0.15">
      <c r="A20" s="36" t="s">
        <v>432</v>
      </c>
      <c r="B20" s="37" t="s">
        <v>541</v>
      </c>
      <c r="C20" s="4">
        <v>1987</v>
      </c>
      <c r="D20" s="4">
        <v>8</v>
      </c>
      <c r="E20" s="4">
        <v>1</v>
      </c>
      <c r="F20" s="4">
        <v>0.7</v>
      </c>
      <c r="G20" s="4">
        <v>0</v>
      </c>
      <c r="H20" s="6"/>
      <c r="I20" s="17" t="s">
        <v>539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 t="e">
        <f>TIMEVALUE(C20)</f>
        <v>#VALUE!</v>
      </c>
      <c r="S20" s="6" t="e">
        <f t="shared" ref="S20:AF20" si="12">TIMEVALUE(D20)</f>
        <v>#VALUE!</v>
      </c>
      <c r="T20" s="6" t="e">
        <f t="shared" si="12"/>
        <v>#VALUE!</v>
      </c>
      <c r="U20" s="6" t="e">
        <f t="shared" si="12"/>
        <v>#VALUE!</v>
      </c>
      <c r="V20" s="6" t="e">
        <f t="shared" si="12"/>
        <v>#VALUE!</v>
      </c>
      <c r="W20" s="6" t="e">
        <f t="shared" si="12"/>
        <v>#VALUE!</v>
      </c>
      <c r="X20" s="6">
        <f>TIMEVALUE(I20)</f>
        <v>0.20833333333212067</v>
      </c>
      <c r="Y20" s="6" t="e">
        <f>TIMEVALUE(J20)</f>
        <v>#VALUE!</v>
      </c>
      <c r="Z20" s="6" t="e">
        <f t="shared" si="12"/>
        <v>#VALUE!</v>
      </c>
      <c r="AA20" s="6" t="e">
        <f t="shared" si="12"/>
        <v>#N/A</v>
      </c>
      <c r="AB20" s="6" t="e">
        <f t="shared" si="12"/>
        <v>#DIV/0!</v>
      </c>
      <c r="AC20" s="6" t="e">
        <f t="shared" si="12"/>
        <v>#NAME?</v>
      </c>
      <c r="AD20" s="6" t="e">
        <f t="shared" si="12"/>
        <v>#NULL!</v>
      </c>
      <c r="AE20" s="6" t="e">
        <f t="shared" si="12"/>
        <v>#NUM!</v>
      </c>
      <c r="AF20" s="6" t="e">
        <f t="shared" si="12"/>
        <v>#REF!</v>
      </c>
      <c r="AG20" s="6">
        <f t="array" ref="AG20">TIMEVALUE(I20:J20)</f>
        <v>0.20833333333212067</v>
      </c>
      <c r="AH20" s="6" t="e">
        <f t="array" ref="AH20:AW20">TIMEVALUE(C20:Q20)</f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  <c r="AN20" s="6">
        <v>0.20833333333212067</v>
      </c>
      <c r="AO20" s="6" t="e">
        <v>#VALUE!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6" t="s">
        <v>433</v>
      </c>
      <c r="B21" s="37" t="s">
        <v>541</v>
      </c>
      <c r="C21" s="18"/>
      <c r="W21" s="4">
        <f ca="1">IF(TODAY(),1,0)</f>
        <v>1</v>
      </c>
    </row>
    <row r="22" spans="1:49" x14ac:dyDescent="0.15">
      <c r="A22" s="36" t="s">
        <v>434</v>
      </c>
      <c r="B22" s="37" t="s">
        <v>541</v>
      </c>
      <c r="C22" s="4">
        <v>1987</v>
      </c>
      <c r="D22" s="4">
        <v>8</v>
      </c>
      <c r="E22" s="4">
        <v>1</v>
      </c>
      <c r="F22" s="4">
        <v>0.7</v>
      </c>
      <c r="G22" s="4">
        <v>0</v>
      </c>
      <c r="H22" s="6"/>
      <c r="I22" s="17" t="s">
        <v>539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WEEKDAY(C22)</f>
        <v>6</v>
      </c>
      <c r="S22" s="4">
        <f t="shared" ref="S22:Y22" si="13">WEEKDAY(D22)</f>
        <v>1</v>
      </c>
      <c r="T22" s="4">
        <f t="shared" si="13"/>
        <v>1</v>
      </c>
      <c r="U22" s="4">
        <f t="shared" si="13"/>
        <v>7</v>
      </c>
      <c r="V22" s="4">
        <f t="shared" si="13"/>
        <v>7</v>
      </c>
      <c r="W22" s="4">
        <f t="shared" si="13"/>
        <v>7</v>
      </c>
      <c r="X22" s="4">
        <f t="shared" si="13"/>
        <v>5</v>
      </c>
      <c r="Y22" s="4">
        <f t="shared" si="13"/>
        <v>1</v>
      </c>
      <c r="Z22" s="4" t="e">
        <f t="shared" ref="Z22:AF22" si="14">WEEKDAY(K22)</f>
        <v>#VALUE!</v>
      </c>
      <c r="AA22" s="4" t="e">
        <f t="shared" si="14"/>
        <v>#N/A</v>
      </c>
      <c r="AB22" s="4" t="e">
        <f t="shared" si="14"/>
        <v>#DIV/0!</v>
      </c>
      <c r="AC22" s="4" t="e">
        <f t="shared" si="14"/>
        <v>#NAME?</v>
      </c>
      <c r="AD22" s="4" t="e">
        <f t="shared" si="14"/>
        <v>#NULL!</v>
      </c>
      <c r="AE22" s="4" t="e">
        <f t="shared" si="14"/>
        <v>#NUM!</v>
      </c>
      <c r="AF22" s="4" t="e">
        <f t="shared" si="14"/>
        <v>#REF!</v>
      </c>
      <c r="AG22" s="4">
        <f t="array" ref="AG22">WEEKDAY(C22:Q22)</f>
        <v>6</v>
      </c>
      <c r="AH22" s="4">
        <f t="array" ref="AH22:AW22">WEEKDAY(C22:Q22)</f>
        <v>6</v>
      </c>
      <c r="AI22" s="4">
        <v>1</v>
      </c>
      <c r="AJ22" s="4">
        <v>1</v>
      </c>
      <c r="AK22" s="4">
        <v>7</v>
      </c>
      <c r="AL22" s="4">
        <v>7</v>
      </c>
      <c r="AM22" s="4">
        <v>7</v>
      </c>
      <c r="AN22" s="4">
        <v>5</v>
      </c>
      <c r="AO22" s="4">
        <v>1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6" t="s">
        <v>435</v>
      </c>
      <c r="B23" s="37" t="s">
        <v>541</v>
      </c>
      <c r="C23" s="4">
        <v>1987</v>
      </c>
      <c r="D23" s="4">
        <v>8</v>
      </c>
      <c r="E23" s="4">
        <v>1</v>
      </c>
      <c r="F23" s="4">
        <v>0.7</v>
      </c>
      <c r="G23" s="4">
        <v>0</v>
      </c>
      <c r="H23" s="6"/>
      <c r="I23" s="17" t="s">
        <v>539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WEEKNUM(C23,2)</f>
        <v>24</v>
      </c>
      <c r="S23" s="4">
        <f>WEEKNUM(D23,1)</f>
        <v>2</v>
      </c>
      <c r="T23" s="4">
        <f t="shared" ref="T23:AE23" si="15">WEEKNUM(E23,1)</f>
        <v>1</v>
      </c>
      <c r="U23" s="4">
        <f t="shared" si="15"/>
        <v>0</v>
      </c>
      <c r="V23" s="4">
        <f t="shared" si="15"/>
        <v>0</v>
      </c>
      <c r="W23" s="4">
        <f>WEEKNUM(H23,1)</f>
        <v>0</v>
      </c>
      <c r="X23" s="4">
        <f>WEEKNUM(I23,1)</f>
        <v>1</v>
      </c>
      <c r="Y23" s="4" t="e">
        <f>WEEKNUM(J23,1)</f>
        <v>#VALUE!</v>
      </c>
      <c r="Z23" s="4" t="e">
        <f t="shared" si="15"/>
        <v>#VALUE!</v>
      </c>
      <c r="AA23" s="4" t="e">
        <f t="shared" si="15"/>
        <v>#N/A</v>
      </c>
      <c r="AB23" s="4" t="e">
        <f t="shared" si="15"/>
        <v>#DIV/0!</v>
      </c>
      <c r="AC23" s="4" t="e">
        <f t="shared" si="15"/>
        <v>#NAME?</v>
      </c>
      <c r="AD23" s="4" t="e">
        <f t="shared" si="15"/>
        <v>#NULL!</v>
      </c>
      <c r="AE23" s="4" t="e">
        <f t="shared" si="15"/>
        <v>#NUM!</v>
      </c>
      <c r="AF23" s="4" t="e">
        <f>WEEKNUM(Q23,1)</f>
        <v>#REF!</v>
      </c>
      <c r="AG23" s="4" t="e">
        <f>WEEKNUM(C23:F23)</f>
        <v>#VALUE!</v>
      </c>
      <c r="AH23" s="4" t="e">
        <f t="array" ref="AH23:AW23">WEEKNUM(C23:J23,1)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41" t="s">
        <v>436</v>
      </c>
    </row>
    <row r="25" spans="1:49" x14ac:dyDescent="0.15">
      <c r="A25" s="41" t="s">
        <v>437</v>
      </c>
    </row>
    <row r="26" spans="1:49" x14ac:dyDescent="0.15">
      <c r="A26" s="36" t="s">
        <v>438</v>
      </c>
      <c r="B26" s="37" t="s">
        <v>541</v>
      </c>
      <c r="C26" s="4">
        <v>1987</v>
      </c>
      <c r="D26" s="4">
        <v>8</v>
      </c>
      <c r="E26" s="4">
        <v>1</v>
      </c>
      <c r="F26" s="4">
        <v>0.7</v>
      </c>
      <c r="G26" s="4">
        <v>0</v>
      </c>
      <c r="H26" s="6"/>
      <c r="I26" s="17" t="s">
        <v>442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YEAR(C26)</f>
        <v>1905</v>
      </c>
      <c r="S26" s="6">
        <f t="shared" ref="S26:AF26" si="16">YEAR(D26)</f>
        <v>1900</v>
      </c>
      <c r="T26" s="6">
        <f t="shared" si="16"/>
        <v>1900</v>
      </c>
      <c r="U26" s="6">
        <f t="shared" si="16"/>
        <v>1900</v>
      </c>
      <c r="V26" s="6">
        <f t="shared" si="16"/>
        <v>1900</v>
      </c>
      <c r="W26" s="6">
        <f t="shared" si="16"/>
        <v>1900</v>
      </c>
      <c r="X26" s="6">
        <f t="shared" si="16"/>
        <v>1901</v>
      </c>
      <c r="Y26" s="6">
        <f t="shared" si="16"/>
        <v>1900</v>
      </c>
      <c r="Z26" s="6" t="e">
        <f t="shared" si="16"/>
        <v>#VALUE!</v>
      </c>
      <c r="AA26" s="6" t="e">
        <f t="shared" si="16"/>
        <v>#N/A</v>
      </c>
      <c r="AB26" s="6" t="e">
        <f t="shared" si="16"/>
        <v>#DIV/0!</v>
      </c>
      <c r="AC26" s="6" t="e">
        <f t="shared" si="16"/>
        <v>#NAME?</v>
      </c>
      <c r="AD26" s="6" t="e">
        <f t="shared" si="16"/>
        <v>#NULL!</v>
      </c>
      <c r="AE26" s="6" t="e">
        <f t="shared" si="16"/>
        <v>#NUM!</v>
      </c>
      <c r="AF26" s="6" t="e">
        <f t="shared" si="16"/>
        <v>#REF!</v>
      </c>
      <c r="AG26" s="6">
        <f t="array" ref="AG26">YEAR(I26:J26)</f>
        <v>1901</v>
      </c>
      <c r="AH26" s="6">
        <f t="array" ref="AH26:AW26">YEAR(C26:Q26)</f>
        <v>1905</v>
      </c>
      <c r="AI26" s="6">
        <v>1900</v>
      </c>
      <c r="AJ26" s="6">
        <v>1900</v>
      </c>
      <c r="AK26" s="6">
        <v>1900</v>
      </c>
      <c r="AL26" s="6">
        <v>1900</v>
      </c>
      <c r="AM26" s="6">
        <v>1900</v>
      </c>
      <c r="AN26" s="6">
        <v>1901</v>
      </c>
      <c r="AO26" s="6">
        <v>1900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6" t="s">
        <v>439</v>
      </c>
      <c r="B27" s="37" t="s">
        <v>541</v>
      </c>
      <c r="C27" s="4">
        <v>1987</v>
      </c>
      <c r="D27" s="4">
        <v>1</v>
      </c>
      <c r="E27" s="4">
        <v>2.9</v>
      </c>
      <c r="F27" s="4">
        <v>3</v>
      </c>
      <c r="G27" s="4">
        <v>4</v>
      </c>
      <c r="I27" s="17" t="s">
        <v>539</v>
      </c>
      <c r="J27" s="4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YEARFRAC(C27,345,D27)</f>
        <v>4.4965769055225921</v>
      </c>
      <c r="S27" s="4">
        <f>YEARFRAC(D27,345,E27)</f>
        <v>0.9555555555555556</v>
      </c>
      <c r="T27" s="4">
        <f>YEARFRAC(E27,345,"3")</f>
        <v>0.9397260273972603</v>
      </c>
      <c r="U27" s="4" t="e">
        <f>YEARFRAC(F27,345,J27)</f>
        <v>#VALUE!</v>
      </c>
      <c r="V27" s="4">
        <f>YEARFRAC(G27,345,H27)</f>
        <v>0.93333333333333335</v>
      </c>
      <c r="W27" s="4" t="e">
        <f>YEARFRAC(H27,345,I27)</f>
        <v>#NUM!</v>
      </c>
      <c r="X27" s="4">
        <f>YEARFRAC(I27,345,G27)</f>
        <v>86.058333333333337</v>
      </c>
      <c r="Y27" s="4" t="e">
        <f>YEARFRAC(J27,345,D27)</f>
        <v>#VALUE!</v>
      </c>
      <c r="Z27" s="4" t="e">
        <f t="shared" ref="Z27:AF27" si="17">YEARFRAC(K27,345,L27)</f>
        <v>#N/A</v>
      </c>
      <c r="AA27" s="4" t="e">
        <f t="shared" si="17"/>
        <v>#DIV/0!</v>
      </c>
      <c r="AB27" s="4" t="e">
        <f t="shared" si="17"/>
        <v>#NAME?</v>
      </c>
      <c r="AC27" s="4" t="e">
        <f t="shared" si="17"/>
        <v>#NULL!</v>
      </c>
      <c r="AD27" s="4" t="e">
        <f t="shared" si="17"/>
        <v>#NUM!</v>
      </c>
      <c r="AE27" s="4" t="e">
        <f t="shared" si="17"/>
        <v>#REF!</v>
      </c>
      <c r="AF27" s="4" t="e">
        <f t="shared" si="17"/>
        <v>#REF!</v>
      </c>
      <c r="AG27" s="6" t="e">
        <f>YEARFRAC(C27:D27,E27:F27,D27:E27)</f>
        <v>#VALUE!</v>
      </c>
      <c r="AH27" s="4" t="e">
        <f t="array" ref="AH27:AW27">YEARFRAC(C27:E27,D27:F27,E27:G27)</f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</row>
    <row r="28" spans="1:49" x14ac:dyDescent="0.15">
      <c r="A28" s="41"/>
      <c r="E28" s="20"/>
    </row>
    <row r="29" spans="1:49" x14ac:dyDescent="0.15">
      <c r="A29" s="46"/>
      <c r="C29" s="18"/>
    </row>
    <row r="30" spans="1:49" x14ac:dyDescent="0.15">
      <c r="A30" s="41"/>
      <c r="C30" s="28"/>
      <c r="L30" s="25"/>
      <c r="N30" s="20"/>
      <c r="O30" s="20"/>
      <c r="P30" s="24"/>
    </row>
    <row r="31" spans="1:49" x14ac:dyDescent="0.15">
      <c r="A31" s="41"/>
      <c r="C31" s="18"/>
    </row>
    <row r="32" spans="1:49" ht="15" x14ac:dyDescent="0.2">
      <c r="C32" s="18"/>
      <c r="D32" s="18"/>
      <c r="E32" s="19"/>
      <c r="I32" s="26"/>
      <c r="J32" s="26"/>
    </row>
    <row r="33" spans="3:5" x14ac:dyDescent="0.15">
      <c r="C33" s="18"/>
      <c r="D33" s="18"/>
      <c r="E33" s="19"/>
    </row>
    <row r="34" spans="3:5" x14ac:dyDescent="0.15">
      <c r="C34" s="18"/>
      <c r="D34" s="18"/>
      <c r="E34" s="19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BK56"/>
  <sheetViews>
    <sheetView zoomScaleNormal="100" workbookViewId="0"/>
  </sheetViews>
  <sheetFormatPr baseColWidth="10" defaultColWidth="10.83203125" defaultRowHeight="11" x14ac:dyDescent="0.15"/>
  <cols>
    <col min="1" max="1" width="9" style="44" bestFit="1" customWidth="1"/>
    <col min="2" max="2" width="5.1640625" style="43" bestFit="1" customWidth="1"/>
    <col min="3" max="3" width="8.1640625" style="4" bestFit="1" customWidth="1"/>
    <col min="4" max="4" width="10.1640625" style="4" bestFit="1" customWidth="1"/>
    <col min="5" max="5" width="2.83203125" style="4" bestFit="1" customWidth="1"/>
    <col min="6" max="6" width="10.6640625" style="4" bestFit="1" customWidth="1"/>
    <col min="7" max="7" width="8.33203125" style="4" bestFit="1" customWidth="1"/>
    <col min="8" max="8" width="4.6640625" style="4" bestFit="1" customWidth="1"/>
    <col min="9" max="9" width="5.3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9.332031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10.6640625" style="4" bestFit="1" customWidth="1"/>
    <col min="20" max="20" width="4.83203125" style="4" bestFit="1" customWidth="1"/>
    <col min="21" max="22" width="7.6640625" style="4" bestFit="1" customWidth="1"/>
    <col min="23" max="23" width="4.6640625" style="4" bestFit="1" customWidth="1"/>
    <col min="24" max="24" width="9.83203125" style="4" bestFit="1" customWidth="1"/>
    <col min="25" max="26" width="5.6640625" style="4" bestFit="1" customWidth="1"/>
    <col min="27" max="27" width="3.6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42" width="5.6640625" style="4" bestFit="1" customWidth="1"/>
    <col min="43" max="43" width="3.6640625" style="4" bestFit="1" customWidth="1"/>
    <col min="44" max="44" width="5.1640625" style="4" bestFit="1" customWidth="1"/>
    <col min="45" max="45" width="5.6640625" style="4" bestFit="1" customWidth="1"/>
    <col min="46" max="47" width="4.83203125" style="4" bestFit="1" customWidth="1"/>
    <col min="48" max="48" width="4" style="4" bestFit="1" customWidth="1"/>
    <col min="49" max="49" width="3.6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COUNTIF(B3:B246,"=DONE")/COUNTA(A3:A246)</f>
        <v>0.22222222222222221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41" t="s">
        <v>356</v>
      </c>
    </row>
    <row r="4" spans="1:63" x14ac:dyDescent="0.15">
      <c r="A4" s="41" t="s">
        <v>357</v>
      </c>
    </row>
    <row r="5" spans="1:63" x14ac:dyDescent="0.15">
      <c r="A5" s="41" t="s">
        <v>358</v>
      </c>
    </row>
    <row r="6" spans="1:63" x14ac:dyDescent="0.15">
      <c r="A6" s="41" t="s">
        <v>359</v>
      </c>
    </row>
    <row r="7" spans="1:63" x14ac:dyDescent="0.15">
      <c r="A7" s="36" t="s">
        <v>360</v>
      </c>
      <c r="B7" s="37" t="s">
        <v>541</v>
      </c>
      <c r="C7" s="4">
        <v>0</v>
      </c>
      <c r="D7" s="4">
        <v>111111111</v>
      </c>
      <c r="E7" s="4">
        <v>2.2999999999999998</v>
      </c>
      <c r="F7" s="4">
        <v>1000000000</v>
      </c>
      <c r="G7" s="4">
        <v>-1</v>
      </c>
      <c r="H7" s="6"/>
      <c r="I7" s="6" t="s">
        <v>410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BIN2DEC(C7)</f>
        <v>0</v>
      </c>
      <c r="S7" s="6">
        <f t="shared" ref="S7:AF7" si="0">BIN2DEC(D7)</f>
        <v>511</v>
      </c>
      <c r="T7" s="6" t="e">
        <f t="shared" si="0"/>
        <v>#NUM!</v>
      </c>
      <c r="U7" s="6">
        <f t="shared" si="0"/>
        <v>-512</v>
      </c>
      <c r="V7" s="6" t="e">
        <f t="shared" si="0"/>
        <v>#NUM!</v>
      </c>
      <c r="W7" s="6">
        <f>BIN2DEC(H7)</f>
        <v>0</v>
      </c>
      <c r="X7" s="6" t="e">
        <f t="shared" si="0"/>
        <v>#NUM!</v>
      </c>
      <c r="Y7" s="6" t="e">
        <f t="shared" si="0"/>
        <v>#VALUE!</v>
      </c>
      <c r="Z7" s="6" t="e">
        <f t="shared" si="0"/>
        <v>#VALUE!</v>
      </c>
      <c r="AA7" s="6" t="e">
        <f t="shared" si="0"/>
        <v>#N/A</v>
      </c>
      <c r="AB7" s="6" t="e">
        <f t="shared" si="0"/>
        <v>#DIV/0!</v>
      </c>
      <c r="AC7" s="6" t="e">
        <f t="shared" si="0"/>
        <v>#NAME?</v>
      </c>
      <c r="AD7" s="6" t="e">
        <f t="shared" si="0"/>
        <v>#NULL!</v>
      </c>
      <c r="AE7" s="6" t="e">
        <f t="shared" si="0"/>
        <v>#NUM!</v>
      </c>
      <c r="AF7" s="6" t="e">
        <f t="shared" si="0"/>
        <v>#REF!</v>
      </c>
      <c r="AG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15">
      <c r="A8" s="36" t="s">
        <v>361</v>
      </c>
      <c r="B8" s="37" t="s">
        <v>541</v>
      </c>
      <c r="C8" s="4">
        <v>0</v>
      </c>
      <c r="D8" s="4">
        <v>111111111</v>
      </c>
      <c r="E8" s="4">
        <v>2.2999999999999998</v>
      </c>
      <c r="F8" s="4">
        <v>1000000000</v>
      </c>
      <c r="G8" s="4">
        <v>-1</v>
      </c>
      <c r="H8" s="6"/>
      <c r="I8" s="6" t="s">
        <v>410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str">
        <f>BIN2HEX(C8)</f>
        <v>0</v>
      </c>
      <c r="S8" s="6" t="str">
        <f t="shared" ref="S8:AF8" si="1">BIN2HEX(D8)</f>
        <v>1FF</v>
      </c>
      <c r="T8" s="6" t="e">
        <f t="shared" si="1"/>
        <v>#NUM!</v>
      </c>
      <c r="U8" s="6" t="str">
        <f t="shared" si="1"/>
        <v>FFFFFFFE00</v>
      </c>
      <c r="V8" s="6" t="e">
        <f t="shared" si="1"/>
        <v>#NUM!</v>
      </c>
      <c r="W8" s="6" t="e">
        <f>BIN2HEX(H8,0)</f>
        <v>#NUM!</v>
      </c>
      <c r="X8" s="6" t="e">
        <f t="shared" si="1"/>
        <v>#NUM!</v>
      </c>
      <c r="Y8" s="6" t="e">
        <f t="shared" si="1"/>
        <v>#VALUE!</v>
      </c>
      <c r="Z8" s="6" t="e">
        <f t="shared" si="1"/>
        <v>#VALUE!</v>
      </c>
      <c r="AA8" s="6" t="e">
        <f t="shared" si="1"/>
        <v>#N/A</v>
      </c>
      <c r="AB8" s="6" t="e">
        <f t="shared" si="1"/>
        <v>#DIV/0!</v>
      </c>
      <c r="AC8" s="6" t="e">
        <f t="shared" si="1"/>
        <v>#NAME?</v>
      </c>
      <c r="AD8" s="6" t="e">
        <f t="shared" si="1"/>
        <v>#NULL!</v>
      </c>
      <c r="AE8" s="6" t="e">
        <f t="shared" si="1"/>
        <v>#NUM!</v>
      </c>
      <c r="AF8" s="6" t="e">
        <f t="shared" si="1"/>
        <v>#REF!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63" x14ac:dyDescent="0.15">
      <c r="A9" s="36" t="s">
        <v>362</v>
      </c>
      <c r="B9" s="37" t="s">
        <v>541</v>
      </c>
      <c r="C9" s="4">
        <v>0</v>
      </c>
      <c r="D9" s="4">
        <v>111111111</v>
      </c>
      <c r="E9" s="4">
        <v>2.2999999999999998</v>
      </c>
      <c r="F9" s="4">
        <v>1000000000</v>
      </c>
      <c r="G9" s="4">
        <v>-1</v>
      </c>
      <c r="H9" s="6"/>
      <c r="I9" s="6" t="s">
        <v>410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>BIN2OCT(C9)</f>
        <v>0</v>
      </c>
      <c r="S9" s="6" t="str">
        <f t="shared" ref="S9:AF9" si="2">BIN2OCT(D9)</f>
        <v>777</v>
      </c>
      <c r="T9" s="6" t="e">
        <f t="shared" si="2"/>
        <v>#NUM!</v>
      </c>
      <c r="U9" s="6" t="str">
        <f t="shared" si="2"/>
        <v>7777777000</v>
      </c>
      <c r="V9" s="6" t="e">
        <f t="shared" si="2"/>
        <v>#NUM!</v>
      </c>
      <c r="W9" s="6" t="e">
        <f>BIN2OCT(H9,0)</f>
        <v>#NUM!</v>
      </c>
      <c r="X9" s="6" t="e">
        <f t="shared" si="2"/>
        <v>#NUM!</v>
      </c>
      <c r="Y9" s="6" t="e">
        <f t="shared" si="2"/>
        <v>#VALUE!</v>
      </c>
      <c r="Z9" s="6" t="e">
        <f t="shared" si="2"/>
        <v>#VALUE!</v>
      </c>
      <c r="AA9" s="6" t="e">
        <f t="shared" si="2"/>
        <v>#N/A</v>
      </c>
      <c r="AB9" s="6" t="e">
        <f t="shared" si="2"/>
        <v>#DIV/0!</v>
      </c>
      <c r="AC9" s="6" t="e">
        <f t="shared" si="2"/>
        <v>#NAME?</v>
      </c>
      <c r="AD9" s="6" t="e">
        <f t="shared" si="2"/>
        <v>#NULL!</v>
      </c>
      <c r="AE9" s="6" t="e">
        <f t="shared" si="2"/>
        <v>#NUM!</v>
      </c>
      <c r="AF9" s="6" t="e">
        <f t="shared" si="2"/>
        <v>#REF!</v>
      </c>
    </row>
    <row r="10" spans="1:63" x14ac:dyDescent="0.15">
      <c r="A10" s="41" t="s">
        <v>363</v>
      </c>
    </row>
    <row r="11" spans="1:63" x14ac:dyDescent="0.15">
      <c r="A11" s="41" t="s">
        <v>364</v>
      </c>
    </row>
    <row r="12" spans="1:63" x14ac:dyDescent="0.15">
      <c r="A12" s="41" t="s">
        <v>365</v>
      </c>
    </row>
    <row r="13" spans="1:63" x14ac:dyDescent="0.15">
      <c r="A13" s="41" t="s">
        <v>366</v>
      </c>
    </row>
    <row r="14" spans="1:63" x14ac:dyDescent="0.15">
      <c r="A14" s="41" t="s">
        <v>367</v>
      </c>
    </row>
    <row r="15" spans="1:63" x14ac:dyDescent="0.15">
      <c r="A15" s="41" t="s">
        <v>368</v>
      </c>
    </row>
    <row r="16" spans="1:63" x14ac:dyDescent="0.15">
      <c r="A16" s="41" t="s">
        <v>369</v>
      </c>
    </row>
    <row r="17" spans="1:48" x14ac:dyDescent="0.15">
      <c r="A17" s="36" t="s">
        <v>370</v>
      </c>
      <c r="B17" s="37" t="s">
        <v>541</v>
      </c>
      <c r="C17" s="4">
        <f>D17+1</f>
        <v>512.70000000000005</v>
      </c>
      <c r="D17" s="4">
        <v>511.7</v>
      </c>
      <c r="E17" s="4">
        <v>100</v>
      </c>
      <c r="F17" s="4">
        <f>-D17-1</f>
        <v>-512.70000000000005</v>
      </c>
      <c r="G17" s="4">
        <f>F17-1</f>
        <v>-513.70000000000005</v>
      </c>
      <c r="H17" s="6"/>
      <c r="I17" s="6" t="s">
        <v>410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e">
        <f>DEC2BIN(C17)</f>
        <v>#NUM!</v>
      </c>
      <c r="S17" s="6" t="str">
        <f t="shared" ref="S17:AF17" si="3">DEC2BIN(D17)</f>
        <v>111111111</v>
      </c>
      <c r="T17" s="6" t="e">
        <f>DEC2BIN(E17,1)</f>
        <v>#NUM!</v>
      </c>
      <c r="U17" s="6" t="str">
        <f t="shared" si="3"/>
        <v>1000000000</v>
      </c>
      <c r="V17" s="6" t="e">
        <f t="shared" si="3"/>
        <v>#NUM!</v>
      </c>
      <c r="W17" s="6" t="str">
        <f>DEC2BIN(H17,3)</f>
        <v>000</v>
      </c>
      <c r="X17" s="6" t="e">
        <f t="shared" si="3"/>
        <v>#VALUE!</v>
      </c>
      <c r="Y17" s="6" t="e">
        <f t="shared" si="3"/>
        <v>#VALUE!</v>
      </c>
      <c r="Z17" s="6" t="e">
        <f t="shared" si="3"/>
        <v>#VALUE!</v>
      </c>
      <c r="AA17" s="6" t="e">
        <f t="shared" si="3"/>
        <v>#N/A</v>
      </c>
      <c r="AB17" s="6" t="e">
        <f t="shared" si="3"/>
        <v>#DIV/0!</v>
      </c>
      <c r="AC17" s="6" t="e">
        <f t="shared" si="3"/>
        <v>#NAME?</v>
      </c>
      <c r="AD17" s="6" t="e">
        <f t="shared" si="3"/>
        <v>#NULL!</v>
      </c>
      <c r="AE17" s="6" t="e">
        <f t="shared" si="3"/>
        <v>#NUM!</v>
      </c>
      <c r="AF17" s="6" t="e">
        <f t="shared" si="3"/>
        <v>#REF!</v>
      </c>
    </row>
    <row r="18" spans="1:48" x14ac:dyDescent="0.15">
      <c r="A18" s="36" t="s">
        <v>371</v>
      </c>
      <c r="B18" s="37" t="s">
        <v>541</v>
      </c>
      <c r="C18" s="4">
        <f>D18+1</f>
        <v>549755813888.69995</v>
      </c>
      <c r="D18" s="4">
        <v>549755813887.70001</v>
      </c>
      <c r="E18" s="4">
        <v>100</v>
      </c>
      <c r="F18" s="4">
        <f>-D18-1</f>
        <v>-549755813888.69995</v>
      </c>
      <c r="G18" s="4">
        <f>F18-1</f>
        <v>-549755813889.69995</v>
      </c>
      <c r="H18" s="6"/>
      <c r="I18" s="6" t="s">
        <v>410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DEC2HEX(C18)</f>
        <v>#NUM!</v>
      </c>
      <c r="S18" s="6" t="str">
        <f t="shared" ref="S18:AF18" si="4">DEC2HEX(D18)</f>
        <v>7FFFFFFFFF</v>
      </c>
      <c r="T18" s="6" t="e">
        <f>DEC2HEX(E18,1)</f>
        <v>#NUM!</v>
      </c>
      <c r="U18" s="6" t="str">
        <f t="shared" si="4"/>
        <v>8000000000</v>
      </c>
      <c r="V18" s="6" t="e">
        <f>DEC2HEX(G18)</f>
        <v>#NUM!</v>
      </c>
      <c r="W18" s="6" t="str">
        <f>DEC2HEX(H18,1)</f>
        <v>0</v>
      </c>
      <c r="X18" s="6" t="e">
        <f t="shared" si="4"/>
        <v>#VALUE!</v>
      </c>
      <c r="Y18" s="6" t="e">
        <f t="shared" si="4"/>
        <v>#VALUE!</v>
      </c>
      <c r="Z18" s="6" t="e">
        <f t="shared" si="4"/>
        <v>#VALUE!</v>
      </c>
      <c r="AA18" s="6" t="e">
        <f t="shared" si="4"/>
        <v>#N/A</v>
      </c>
      <c r="AB18" s="6" t="e">
        <f t="shared" si="4"/>
        <v>#DIV/0!</v>
      </c>
      <c r="AC18" s="6" t="e">
        <f t="shared" si="4"/>
        <v>#NAME?</v>
      </c>
      <c r="AD18" s="6" t="e">
        <f t="shared" si="4"/>
        <v>#NULL!</v>
      </c>
      <c r="AE18" s="6" t="e">
        <f t="shared" si="4"/>
        <v>#NUM!</v>
      </c>
      <c r="AF18" s="6" t="e">
        <f t="shared" si="4"/>
        <v>#REF!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15">
      <c r="A19" s="36" t="s">
        <v>372</v>
      </c>
      <c r="B19" s="37" t="s">
        <v>541</v>
      </c>
      <c r="C19" s="4">
        <f>D19+1</f>
        <v>536870912.70000005</v>
      </c>
      <c r="D19" s="4">
        <v>536870911.69999999</v>
      </c>
      <c r="E19" s="4">
        <v>100</v>
      </c>
      <c r="F19" s="4">
        <f>-D19-1</f>
        <v>-536870912.70000005</v>
      </c>
      <c r="G19" s="4">
        <f>F19-1</f>
        <v>-536870913.70000005</v>
      </c>
      <c r="H19" s="6"/>
      <c r="I19" s="6" t="s">
        <v>410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DEC2OCT(C19)</f>
        <v>#NUM!</v>
      </c>
      <c r="S19" s="6" t="str">
        <f t="shared" ref="S19:AF19" si="5">DEC2OCT(D19)</f>
        <v>3777777777</v>
      </c>
      <c r="T19" s="6" t="e">
        <f>DEC2OCT(E19,1)</f>
        <v>#NUM!</v>
      </c>
      <c r="U19" s="6" t="str">
        <f t="shared" si="5"/>
        <v>4000000000</v>
      </c>
      <c r="V19" s="6" t="e">
        <f t="shared" si="5"/>
        <v>#NUM!</v>
      </c>
      <c r="W19" s="6" t="e">
        <f>DEC2OCT(H19,0)</f>
        <v>#NUM!</v>
      </c>
      <c r="X19" s="6" t="e">
        <f t="shared" si="5"/>
        <v>#VALUE!</v>
      </c>
      <c r="Y19" s="6" t="e">
        <f t="shared" si="5"/>
        <v>#VALUE!</v>
      </c>
      <c r="Z19" s="6" t="e">
        <f t="shared" si="5"/>
        <v>#VALUE!</v>
      </c>
      <c r="AA19" s="6" t="e">
        <f t="shared" si="5"/>
        <v>#N/A</v>
      </c>
      <c r="AB19" s="6" t="e">
        <f t="shared" si="5"/>
        <v>#DIV/0!</v>
      </c>
      <c r="AC19" s="6" t="e">
        <f t="shared" si="5"/>
        <v>#NAME?</v>
      </c>
      <c r="AD19" s="6" t="e">
        <f t="shared" si="5"/>
        <v>#NULL!</v>
      </c>
      <c r="AE19" s="6" t="e">
        <f t="shared" si="5"/>
        <v>#NUM!</v>
      </c>
      <c r="AF19" s="6" t="e">
        <f t="shared" si="5"/>
        <v>#REF!</v>
      </c>
    </row>
    <row r="20" spans="1:48" x14ac:dyDescent="0.15">
      <c r="A20" s="41" t="s">
        <v>373</v>
      </c>
    </row>
    <row r="21" spans="1:48" ht="15" x14ac:dyDescent="0.2">
      <c r="A21" s="41" t="s">
        <v>374</v>
      </c>
      <c r="M21" s="16"/>
    </row>
    <row r="22" spans="1:48" x14ac:dyDescent="0.15">
      <c r="A22" s="41" t="s">
        <v>375</v>
      </c>
    </row>
    <row r="23" spans="1:48" x14ac:dyDescent="0.15">
      <c r="A23" s="44" t="s">
        <v>376</v>
      </c>
    </row>
    <row r="24" spans="1:48" x14ac:dyDescent="0.15">
      <c r="A24" s="44" t="s">
        <v>377</v>
      </c>
    </row>
    <row r="25" spans="1:48" x14ac:dyDescent="0.15">
      <c r="A25" s="44" t="s">
        <v>378</v>
      </c>
    </row>
    <row r="26" spans="1:48" x14ac:dyDescent="0.15">
      <c r="A26" s="38" t="s">
        <v>379</v>
      </c>
      <c r="B26" s="37" t="s">
        <v>541</v>
      </c>
      <c r="C26" s="4">
        <v>0</v>
      </c>
      <c r="D26" s="4">
        <v>9999999999</v>
      </c>
      <c r="E26" s="4">
        <v>2.2999999999999998</v>
      </c>
      <c r="F26" s="4">
        <v>11111111111</v>
      </c>
      <c r="G26" s="4">
        <v>-1</v>
      </c>
      <c r="H26" s="6"/>
      <c r="I26" s="6" t="s">
        <v>410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str">
        <f>HEX2BIN(C26)</f>
        <v>0</v>
      </c>
      <c r="S26" s="6" t="e">
        <f>HEX2BIN(D26)</f>
        <v>#NUM!</v>
      </c>
      <c r="T26" s="6" t="e">
        <f>HEX2BIN(E26)</f>
        <v>#NUM!</v>
      </c>
      <c r="U26" s="6" t="e">
        <f t="shared" ref="U26:AF26" si="6">HEX2BIN(F26)</f>
        <v>#NUM!</v>
      </c>
      <c r="V26" s="6" t="e">
        <f t="shared" si="6"/>
        <v>#NUM!</v>
      </c>
      <c r="W26" s="6" t="str">
        <f t="shared" si="6"/>
        <v>0</v>
      </c>
      <c r="X26" s="6" t="str">
        <f>HEX2BIN(I26)</f>
        <v>1111111110</v>
      </c>
      <c r="Y26" s="6" t="e">
        <f t="shared" si="6"/>
        <v>#VALUE!</v>
      </c>
      <c r="Z26" s="6" t="e">
        <f t="shared" si="6"/>
        <v>#VALUE!</v>
      </c>
      <c r="AA26" s="6" t="e">
        <f t="shared" si="6"/>
        <v>#N/A</v>
      </c>
      <c r="AB26" s="6" t="e">
        <f t="shared" si="6"/>
        <v>#DIV/0!</v>
      </c>
      <c r="AC26" s="6" t="e">
        <f t="shared" si="6"/>
        <v>#NAME?</v>
      </c>
      <c r="AD26" s="6" t="e">
        <f t="shared" si="6"/>
        <v>#NULL!</v>
      </c>
      <c r="AE26" s="6" t="e">
        <f t="shared" si="6"/>
        <v>#NUM!</v>
      </c>
      <c r="AF26" s="6" t="e">
        <f t="shared" si="6"/>
        <v>#REF!</v>
      </c>
      <c r="AG26" s="8"/>
      <c r="AH26" s="6" t="e">
        <f t="array" ref="AH26:AO26">HEX2BIN(C26:J26)</f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  <c r="AO26" s="6" t="e">
        <v>#VALUE!</v>
      </c>
    </row>
    <row r="27" spans="1:48" x14ac:dyDescent="0.15">
      <c r="A27" s="38" t="s">
        <v>380</v>
      </c>
      <c r="B27" s="37" t="s">
        <v>541</v>
      </c>
      <c r="C27" s="4">
        <v>0</v>
      </c>
      <c r="D27" s="4">
        <v>9999999999</v>
      </c>
      <c r="E27" s="4">
        <v>2.2999999999999998</v>
      </c>
      <c r="F27" s="4">
        <v>11111111111</v>
      </c>
      <c r="G27" s="4">
        <v>-1</v>
      </c>
      <c r="H27" s="6"/>
      <c r="I27" s="6" t="s">
        <v>412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>HEX2DEC(C27)</f>
        <v>0</v>
      </c>
      <c r="S27" s="6">
        <f>HEX2DEC(D27)</f>
        <v>-439804651111</v>
      </c>
      <c r="T27" s="6" t="e">
        <f>HEX2DEC(E27)</f>
        <v>#NUM!</v>
      </c>
      <c r="U27" s="6" t="e">
        <f t="shared" ref="U27:AF27" si="7">HEX2DEC(F27)</f>
        <v>#NUM!</v>
      </c>
      <c r="V27" s="6" t="e">
        <f>HEX2DEC(G27)</f>
        <v>#NUM!</v>
      </c>
      <c r="W27" s="6">
        <f>HEX2DEC(H27)</f>
        <v>0</v>
      </c>
      <c r="X27" s="6">
        <f>HEX2DEC(I27)</f>
        <v>-68719476736</v>
      </c>
      <c r="Y27" s="6" t="e">
        <f>HEX2DEC(J27)</f>
        <v>#VALUE!</v>
      </c>
      <c r="Z27" s="6" t="e">
        <f t="shared" si="7"/>
        <v>#VALUE!</v>
      </c>
      <c r="AA27" s="6" t="e">
        <f t="shared" si="7"/>
        <v>#N/A</v>
      </c>
      <c r="AB27" s="6" t="e">
        <f t="shared" si="7"/>
        <v>#DIV/0!</v>
      </c>
      <c r="AC27" s="6" t="e">
        <f t="shared" si="7"/>
        <v>#NAME?</v>
      </c>
      <c r="AD27" s="6" t="e">
        <f t="shared" si="7"/>
        <v>#NULL!</v>
      </c>
      <c r="AE27" s="6" t="e">
        <f t="shared" si="7"/>
        <v>#NUM!</v>
      </c>
      <c r="AF27" s="6" t="e">
        <f t="shared" si="7"/>
        <v>#REF!</v>
      </c>
      <c r="AG27" s="8"/>
      <c r="AH27" s="6" t="e">
        <f t="array" ref="AH27:AO27">HEX2DEC(C27:J27)</f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 t="e">
        <v>#VALUE!</v>
      </c>
      <c r="AP27" s="6"/>
      <c r="AQ27" s="6"/>
      <c r="AR27" s="6"/>
      <c r="AS27" s="6"/>
      <c r="AT27" s="6"/>
      <c r="AU27" s="6"/>
      <c r="AV27" s="6"/>
    </row>
    <row r="28" spans="1:48" x14ac:dyDescent="0.15">
      <c r="A28" s="38" t="s">
        <v>381</v>
      </c>
      <c r="B28" s="37" t="s">
        <v>541</v>
      </c>
      <c r="C28" s="4">
        <v>0</v>
      </c>
      <c r="D28" s="4">
        <v>9999999999</v>
      </c>
      <c r="E28" s="4">
        <v>2.2999999999999998</v>
      </c>
      <c r="F28" s="4">
        <v>11111111111</v>
      </c>
      <c r="G28" s="4">
        <v>-1</v>
      </c>
      <c r="H28" s="6"/>
      <c r="I28" s="6" t="s">
        <v>410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str">
        <f>HEX2OCT(C28)</f>
        <v>0</v>
      </c>
      <c r="S28" s="6" t="e">
        <f t="shared" ref="S28:AF28" si="8">HEX2OCT(D28)</f>
        <v>#NUM!</v>
      </c>
      <c r="T28" s="6" t="e">
        <f t="shared" si="8"/>
        <v>#NUM!</v>
      </c>
      <c r="U28" s="6" t="e">
        <f t="shared" si="8"/>
        <v>#NUM!</v>
      </c>
      <c r="V28" s="6" t="e">
        <f t="shared" si="8"/>
        <v>#NUM!</v>
      </c>
      <c r="W28" s="6" t="str">
        <f t="shared" si="8"/>
        <v>0</v>
      </c>
      <c r="X28" s="6" t="str">
        <f>HEX2OCT(I28)</f>
        <v>7777777776</v>
      </c>
      <c r="Y28" s="6" t="e">
        <f t="shared" si="8"/>
        <v>#VALUE!</v>
      </c>
      <c r="Z28" s="6" t="e">
        <f t="shared" si="8"/>
        <v>#VALUE!</v>
      </c>
      <c r="AA28" s="6" t="e">
        <f t="shared" si="8"/>
        <v>#N/A</v>
      </c>
      <c r="AB28" s="6" t="e">
        <f t="shared" si="8"/>
        <v>#DIV/0!</v>
      </c>
      <c r="AC28" s="6" t="e">
        <f t="shared" si="8"/>
        <v>#NAME?</v>
      </c>
      <c r="AD28" s="6" t="e">
        <f t="shared" si="8"/>
        <v>#NULL!</v>
      </c>
      <c r="AE28" s="6" t="e">
        <f t="shared" si="8"/>
        <v>#NUM!</v>
      </c>
      <c r="AF28" s="6" t="e">
        <f t="shared" si="8"/>
        <v>#REF!</v>
      </c>
      <c r="AG28" s="8"/>
      <c r="AH28" s="6" t="e">
        <f t="array" ref="AH28:AO28">HEX2OCT(C28:J28)</f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  <c r="AO28" s="6" t="e">
        <v>#VALUE!</v>
      </c>
    </row>
    <row r="29" spans="1:48" x14ac:dyDescent="0.15">
      <c r="A29" s="44" t="s">
        <v>382</v>
      </c>
    </row>
    <row r="30" spans="1:48" x14ac:dyDescent="0.15">
      <c r="A30" s="44" t="s">
        <v>383</v>
      </c>
    </row>
    <row r="31" spans="1:48" x14ac:dyDescent="0.15">
      <c r="A31" s="44" t="s">
        <v>384</v>
      </c>
    </row>
    <row r="32" spans="1:48" x14ac:dyDescent="0.15">
      <c r="A32" s="44" t="s">
        <v>385</v>
      </c>
    </row>
    <row r="33" spans="1:1" x14ac:dyDescent="0.15">
      <c r="A33" s="44" t="s">
        <v>386</v>
      </c>
    </row>
    <row r="34" spans="1:1" x14ac:dyDescent="0.15">
      <c r="A34" s="44" t="s">
        <v>387</v>
      </c>
    </row>
    <row r="35" spans="1:1" x14ac:dyDescent="0.15">
      <c r="A35" s="44" t="s">
        <v>388</v>
      </c>
    </row>
    <row r="36" spans="1:1" x14ac:dyDescent="0.15">
      <c r="A36" s="44" t="s">
        <v>389</v>
      </c>
    </row>
    <row r="37" spans="1:1" x14ac:dyDescent="0.15">
      <c r="A37" s="44" t="s">
        <v>390</v>
      </c>
    </row>
    <row r="38" spans="1:1" x14ac:dyDescent="0.15">
      <c r="A38" s="44" t="s">
        <v>391</v>
      </c>
    </row>
    <row r="39" spans="1:1" x14ac:dyDescent="0.15">
      <c r="A39" s="44" t="s">
        <v>392</v>
      </c>
    </row>
    <row r="40" spans="1:1" x14ac:dyDescent="0.15">
      <c r="A40" s="44" t="s">
        <v>393</v>
      </c>
    </row>
    <row r="41" spans="1:1" x14ac:dyDescent="0.15">
      <c r="A41" s="44" t="s">
        <v>394</v>
      </c>
    </row>
    <row r="42" spans="1:1" x14ac:dyDescent="0.15">
      <c r="A42" s="44" t="s">
        <v>395</v>
      </c>
    </row>
    <row r="43" spans="1:1" x14ac:dyDescent="0.15">
      <c r="A43" s="44" t="s">
        <v>396</v>
      </c>
    </row>
    <row r="44" spans="1:1" x14ac:dyDescent="0.15">
      <c r="A44" s="44" t="s">
        <v>397</v>
      </c>
    </row>
    <row r="45" spans="1:1" x14ac:dyDescent="0.15">
      <c r="A45" s="44" t="s">
        <v>398</v>
      </c>
    </row>
    <row r="46" spans="1:1" x14ac:dyDescent="0.15">
      <c r="A46" s="44" t="s">
        <v>399</v>
      </c>
    </row>
    <row r="47" spans="1:1" x14ac:dyDescent="0.15">
      <c r="A47" s="44" t="s">
        <v>400</v>
      </c>
    </row>
    <row r="48" spans="1:1" x14ac:dyDescent="0.15">
      <c r="A48" s="44" t="s">
        <v>401</v>
      </c>
    </row>
    <row r="49" spans="1:32" x14ac:dyDescent="0.15">
      <c r="A49" s="44" t="s">
        <v>402</v>
      </c>
    </row>
    <row r="50" spans="1:32" x14ac:dyDescent="0.15">
      <c r="A50" s="44" t="s">
        <v>403</v>
      </c>
    </row>
    <row r="51" spans="1:32" x14ac:dyDescent="0.15">
      <c r="A51" s="44" t="s">
        <v>404</v>
      </c>
    </row>
    <row r="52" spans="1:32" x14ac:dyDescent="0.15">
      <c r="A52" s="44" t="s">
        <v>405</v>
      </c>
    </row>
    <row r="53" spans="1:32" x14ac:dyDescent="0.15">
      <c r="A53" s="44" t="s">
        <v>406</v>
      </c>
    </row>
    <row r="54" spans="1:32" x14ac:dyDescent="0.15">
      <c r="A54" s="38" t="s">
        <v>407</v>
      </c>
      <c r="B54" s="37" t="s">
        <v>541</v>
      </c>
      <c r="C54" s="4">
        <v>0</v>
      </c>
      <c r="D54" s="4">
        <v>7777777777</v>
      </c>
      <c r="E54" s="4">
        <v>2.2999999999999998</v>
      </c>
      <c r="F54" s="4">
        <v>11111111111</v>
      </c>
      <c r="G54" s="4">
        <v>-1</v>
      </c>
      <c r="H54" s="6"/>
      <c r="I54" s="6" t="s">
        <v>411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 t="str">
        <f>OCT2BIN(C54)</f>
        <v>0</v>
      </c>
      <c r="S54" s="6" t="str">
        <f t="shared" ref="S54:AF54" si="9">OCT2BIN(D54)</f>
        <v>1111111111</v>
      </c>
      <c r="T54" s="6" t="e">
        <f t="shared" si="9"/>
        <v>#NUM!</v>
      </c>
      <c r="U54" s="6" t="e">
        <f t="shared" si="9"/>
        <v>#NUM!</v>
      </c>
      <c r="V54" s="6" t="e">
        <f t="shared" si="9"/>
        <v>#NUM!</v>
      </c>
      <c r="W54" s="6" t="str">
        <f t="shared" si="9"/>
        <v>0</v>
      </c>
      <c r="X54" s="6" t="e">
        <f t="shared" si="9"/>
        <v>#NUM!</v>
      </c>
      <c r="Y54" s="6" t="e">
        <f t="shared" si="9"/>
        <v>#VALUE!</v>
      </c>
      <c r="Z54" s="6" t="e">
        <f t="shared" si="9"/>
        <v>#VALUE!</v>
      </c>
      <c r="AA54" s="6" t="e">
        <f t="shared" si="9"/>
        <v>#N/A</v>
      </c>
      <c r="AB54" s="6" t="e">
        <f t="shared" si="9"/>
        <v>#DIV/0!</v>
      </c>
      <c r="AC54" s="6" t="e">
        <f t="shared" si="9"/>
        <v>#NAME?</v>
      </c>
      <c r="AD54" s="6" t="e">
        <f t="shared" si="9"/>
        <v>#NULL!</v>
      </c>
      <c r="AE54" s="6" t="e">
        <f t="shared" si="9"/>
        <v>#NUM!</v>
      </c>
      <c r="AF54" s="6" t="e">
        <f t="shared" si="9"/>
        <v>#REF!</v>
      </c>
    </row>
    <row r="55" spans="1:32" x14ac:dyDescent="0.15">
      <c r="A55" s="38" t="s">
        <v>408</v>
      </c>
      <c r="B55" s="37" t="s">
        <v>541</v>
      </c>
      <c r="C55" s="4">
        <v>0</v>
      </c>
      <c r="D55" s="4">
        <v>7777777777</v>
      </c>
      <c r="E55" s="4">
        <v>2.2999999999999998</v>
      </c>
      <c r="F55" s="4">
        <v>11111111111</v>
      </c>
      <c r="G55" s="4">
        <v>-1</v>
      </c>
      <c r="H55" s="6"/>
      <c r="I55" s="6" t="s">
        <v>411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6">
        <f>OCT2DEC(C55)</f>
        <v>0</v>
      </c>
      <c r="S55" s="6">
        <f t="shared" ref="S55:AF55" si="10">OCT2DEC(D55)</f>
        <v>-1</v>
      </c>
      <c r="T55" s="6" t="e">
        <f t="shared" si="10"/>
        <v>#NUM!</v>
      </c>
      <c r="U55" s="6" t="e">
        <f t="shared" si="10"/>
        <v>#NUM!</v>
      </c>
      <c r="V55" s="6" t="e">
        <f t="shared" si="10"/>
        <v>#NUM!</v>
      </c>
      <c r="W55" s="6">
        <f t="shared" si="10"/>
        <v>0</v>
      </c>
      <c r="X55" s="6" t="e">
        <f t="shared" si="10"/>
        <v>#NUM!</v>
      </c>
      <c r="Y55" s="6" t="e">
        <f t="shared" si="10"/>
        <v>#VALUE!</v>
      </c>
      <c r="Z55" s="6" t="e">
        <f t="shared" si="10"/>
        <v>#VALUE!</v>
      </c>
      <c r="AA55" s="6" t="e">
        <f t="shared" si="10"/>
        <v>#N/A</v>
      </c>
      <c r="AB55" s="6" t="e">
        <f t="shared" si="10"/>
        <v>#DIV/0!</v>
      </c>
      <c r="AC55" s="6" t="e">
        <f t="shared" si="10"/>
        <v>#NAME?</v>
      </c>
      <c r="AD55" s="6" t="e">
        <f t="shared" si="10"/>
        <v>#NULL!</v>
      </c>
      <c r="AE55" s="6" t="e">
        <f t="shared" si="10"/>
        <v>#NUM!</v>
      </c>
      <c r="AF55" s="6" t="e">
        <f t="shared" si="10"/>
        <v>#REF!</v>
      </c>
    </row>
    <row r="56" spans="1:32" x14ac:dyDescent="0.15">
      <c r="A56" s="38" t="s">
        <v>409</v>
      </c>
      <c r="B56" s="37" t="s">
        <v>541</v>
      </c>
      <c r="C56" s="4">
        <v>0</v>
      </c>
      <c r="D56" s="4">
        <v>7777777777</v>
      </c>
      <c r="E56" s="4">
        <v>2.2999999999999998</v>
      </c>
      <c r="F56" s="4">
        <v>11111111111</v>
      </c>
      <c r="G56" s="4">
        <v>-1</v>
      </c>
      <c r="H56" s="6"/>
      <c r="I56" s="6" t="s">
        <v>411</v>
      </c>
      <c r="J56" s="6" t="b">
        <v>1</v>
      </c>
      <c r="K56" s="6" t="e">
        <f>#VALUE!</f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 t="str">
        <f>OCT2HEX(C56)</f>
        <v>0</v>
      </c>
      <c r="S56" s="6" t="str">
        <f t="shared" ref="S56:AF56" si="11">OCT2HEX(D56)</f>
        <v>FFFFFFFFFF</v>
      </c>
      <c r="T56" s="6" t="e">
        <f t="shared" si="11"/>
        <v>#NUM!</v>
      </c>
      <c r="U56" s="6" t="e">
        <f t="shared" si="11"/>
        <v>#NUM!</v>
      </c>
      <c r="V56" s="6" t="e">
        <f t="shared" si="11"/>
        <v>#NUM!</v>
      </c>
      <c r="W56" s="6" t="str">
        <f t="shared" si="11"/>
        <v>0</v>
      </c>
      <c r="X56" s="6" t="e">
        <f t="shared" si="11"/>
        <v>#NUM!</v>
      </c>
      <c r="Y56" s="6" t="e">
        <f t="shared" si="11"/>
        <v>#VALUE!</v>
      </c>
      <c r="Z56" s="6" t="e">
        <f t="shared" si="11"/>
        <v>#VALUE!</v>
      </c>
      <c r="AA56" s="6" t="e">
        <f t="shared" si="11"/>
        <v>#N/A</v>
      </c>
      <c r="AB56" s="6" t="e">
        <f t="shared" si="11"/>
        <v>#DIV/0!</v>
      </c>
      <c r="AC56" s="6" t="e">
        <f t="shared" si="11"/>
        <v>#NAME?</v>
      </c>
      <c r="AD56" s="6" t="e">
        <f t="shared" si="11"/>
        <v>#NULL!</v>
      </c>
      <c r="AE56" s="6" t="e">
        <f t="shared" si="11"/>
        <v>#NUM!</v>
      </c>
      <c r="AF56" s="6" t="e">
        <f t="shared" si="11"/>
        <v>#REF!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AW59"/>
  <sheetViews>
    <sheetView topLeftCell="A3" zoomScaleNormal="100" workbookViewId="0">
      <selection activeCell="A29" sqref="A29"/>
    </sheetView>
  </sheetViews>
  <sheetFormatPr baseColWidth="10" defaultColWidth="10.83203125" defaultRowHeight="11" x14ac:dyDescent="0.15"/>
  <cols>
    <col min="1" max="1" width="8.33203125" style="44" bestFit="1" customWidth="1"/>
    <col min="2" max="2" width="5.1640625" style="43" bestFit="1" customWidth="1"/>
    <col min="3" max="3" width="3.1640625" style="4" bestFit="1" customWidth="1"/>
    <col min="4" max="5" width="2.1640625" style="4" bestFit="1" customWidth="1"/>
    <col min="6" max="6" width="4.83203125" style="4" bestFit="1" customWidth="1"/>
    <col min="7" max="7" width="2.83203125" style="4" bestFit="1" customWidth="1"/>
    <col min="8" max="8" width="4.6640625" style="4" bestFit="1" customWidth="1"/>
    <col min="9" max="9" width="4.83203125" style="4" bestFit="1" customWidth="1"/>
    <col min="10" max="10" width="3.83203125" style="4" bestFit="1" customWidth="1"/>
    <col min="11" max="11" width="3.6640625" style="4" bestFit="1" customWidth="1"/>
    <col min="12" max="12" width="5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3" width="8.5" style="4" bestFit="1" customWidth="1"/>
    <col min="24" max="24" width="8.1640625" style="4" bestFit="1" customWidth="1"/>
    <col min="25" max="25" width="8.5" style="4" bestFit="1" customWidth="1"/>
    <col min="26" max="29" width="5.6640625" style="4" bestFit="1" customWidth="1"/>
    <col min="30" max="31" width="7.5" style="4" bestFit="1" customWidth="1"/>
    <col min="32" max="32" width="5.6640625" style="4" bestFit="1" customWidth="1"/>
    <col min="33" max="33" width="9.83203125" style="4" bestFit="1" customWidth="1"/>
    <col min="34" max="35" width="8.5" style="4" bestFit="1" customWidth="1"/>
    <col min="36" max="36" width="8.1640625" style="4" bestFit="1" customWidth="1"/>
    <col min="37" max="38" width="8.5" style="4" bestFit="1" customWidth="1"/>
    <col min="39" max="49" width="8.1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COUNTIF(B3:B245,"=DONE")/COUNTA(A3:A245)</f>
        <v>0.21818181818181817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41" t="s">
        <v>226</v>
      </c>
    </row>
    <row r="4" spans="1:49" x14ac:dyDescent="0.15">
      <c r="A4" s="41" t="s">
        <v>227</v>
      </c>
    </row>
    <row r="5" spans="1:49" x14ac:dyDescent="0.15">
      <c r="A5" s="41" t="s">
        <v>228</v>
      </c>
    </row>
    <row r="6" spans="1:49" x14ac:dyDescent="0.15">
      <c r="A6" s="41" t="s">
        <v>229</v>
      </c>
      <c r="M6" s="29"/>
      <c r="N6" s="29"/>
      <c r="O6" s="29"/>
      <c r="P6" s="29"/>
      <c r="Q6" s="29"/>
    </row>
    <row r="7" spans="1:49" x14ac:dyDescent="0.15">
      <c r="A7" s="41" t="s">
        <v>230</v>
      </c>
      <c r="M7" s="29"/>
      <c r="N7" s="29"/>
      <c r="O7" s="29"/>
      <c r="P7" s="29"/>
      <c r="Q7" s="29"/>
      <c r="AR7" s="29"/>
      <c r="AS7" s="29"/>
      <c r="AT7" s="29"/>
      <c r="AU7" s="29"/>
      <c r="AV7" s="29"/>
    </row>
    <row r="8" spans="1:49" x14ac:dyDescent="0.15">
      <c r="A8" s="41" t="s">
        <v>231</v>
      </c>
      <c r="M8" s="29"/>
      <c r="N8" s="29"/>
      <c r="O8" s="29"/>
      <c r="P8" s="29"/>
      <c r="Q8" s="29"/>
    </row>
    <row r="9" spans="1:49" x14ac:dyDescent="0.15">
      <c r="A9" s="41" t="s">
        <v>232</v>
      </c>
    </row>
    <row r="10" spans="1:49" x14ac:dyDescent="0.15">
      <c r="A10" s="41" t="s">
        <v>233</v>
      </c>
    </row>
    <row r="11" spans="1:49" x14ac:dyDescent="0.15">
      <c r="A11" s="41" t="s">
        <v>234</v>
      </c>
    </row>
    <row r="12" spans="1:49" ht="15" x14ac:dyDescent="0.2">
      <c r="A12" s="41" t="s">
        <v>235</v>
      </c>
      <c r="S12" s="26"/>
    </row>
    <row r="13" spans="1:49" x14ac:dyDescent="0.15">
      <c r="A13" s="36" t="s">
        <v>236</v>
      </c>
      <c r="B13" s="37" t="s">
        <v>541</v>
      </c>
      <c r="C13" s="4">
        <v>3.2</v>
      </c>
      <c r="D13" s="4">
        <v>6</v>
      </c>
      <c r="E13" s="4">
        <v>7</v>
      </c>
      <c r="F13" s="4">
        <v>4</v>
      </c>
      <c r="G13" s="4">
        <v>9</v>
      </c>
      <c r="I13" s="4" t="s">
        <v>32</v>
      </c>
      <c r="J13" s="4" t="b">
        <v>1</v>
      </c>
      <c r="K13" s="4" t="e">
        <v>#N/A</v>
      </c>
      <c r="L13" s="4" t="e">
        <f>#VALUE!</f>
        <v>#VALUE!</v>
      </c>
      <c r="M13" s="29" t="e">
        <v>#DIV/0!</v>
      </c>
      <c r="N13" s="29" t="e">
        <v>#NAME?</v>
      </c>
      <c r="O13" s="29" t="e">
        <v>#NULL!</v>
      </c>
      <c r="P13" s="29" t="e">
        <v>#NUM!</v>
      </c>
      <c r="Q13" s="29" t="e">
        <v>#REF!</v>
      </c>
      <c r="R13" s="4">
        <f>CUMIPMT(C13,5.5,125000,3,5,1)</f>
        <v>-271489.3412240473</v>
      </c>
      <c r="S13" s="4">
        <f t="shared" ref="S13:AF13" si="0">CUMIPMT(D13,5.5,125000,3,5,1)</f>
        <v>-314705.96055955993</v>
      </c>
      <c r="T13" s="4">
        <f t="shared" si="0"/>
        <v>-322614.99874980171</v>
      </c>
      <c r="U13" s="4">
        <f t="shared" si="0"/>
        <v>-288950.45405447436</v>
      </c>
      <c r="V13" s="4">
        <f t="shared" si="0"/>
        <v>-333552.16055641056</v>
      </c>
      <c r="W13" s="4" t="e">
        <f>CUMIPMT(H13,5.5,125000,3,5,1)</f>
        <v>#NUM!</v>
      </c>
      <c r="X13" s="4" t="e">
        <f>CUMIPMT(I13,5.5,125000,3,5,1)</f>
        <v>#VALUE!</v>
      </c>
      <c r="Y13" s="4" t="e">
        <f t="shared" si="0"/>
        <v>#VALUE!</v>
      </c>
      <c r="Z13" s="4" t="e">
        <f t="shared" si="0"/>
        <v>#N/A</v>
      </c>
      <c r="AA13" s="4" t="e">
        <f t="shared" si="0"/>
        <v>#VALUE!</v>
      </c>
      <c r="AB13" s="4" t="e">
        <f t="shared" si="0"/>
        <v>#DIV/0!</v>
      </c>
      <c r="AC13" s="4" t="e">
        <f t="shared" si="0"/>
        <v>#NAME?</v>
      </c>
      <c r="AD13" s="4" t="e">
        <f t="shared" si="0"/>
        <v>#NULL!</v>
      </c>
      <c r="AE13" s="4" t="e">
        <f t="shared" si="0"/>
        <v>#NUM!</v>
      </c>
      <c r="AF13" s="4" t="e">
        <f t="shared" si="0"/>
        <v>#REF!</v>
      </c>
      <c r="AG13" s="4" t="e">
        <f t="array" ref="AG13">CUMIPMT(C13:Q13,5.5,125000,3,5,1)</f>
        <v>#VALUE!</v>
      </c>
      <c r="AH13" s="4" t="e">
        <f t="array" ref="AH13:AW13">CUMIPMT(C13:G13,5.5,125000,3,5,1)</f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  <c r="AW13" s="4" t="e">
        <v>#VALUE!</v>
      </c>
    </row>
    <row r="14" spans="1:49" x14ac:dyDescent="0.15">
      <c r="A14" s="41" t="s">
        <v>237</v>
      </c>
      <c r="R14" s="20"/>
    </row>
    <row r="15" spans="1:49" x14ac:dyDescent="0.15">
      <c r="A15" s="41" t="s">
        <v>238</v>
      </c>
      <c r="R15" s="20"/>
    </row>
    <row r="16" spans="1:49" x14ac:dyDescent="0.15">
      <c r="A16" s="41" t="s">
        <v>239</v>
      </c>
      <c r="R16" s="20"/>
    </row>
    <row r="17" spans="1:49" x14ac:dyDescent="0.15">
      <c r="A17" s="41" t="s">
        <v>240</v>
      </c>
      <c r="R17" s="20"/>
    </row>
    <row r="18" spans="1:49" x14ac:dyDescent="0.15">
      <c r="A18" s="41" t="s">
        <v>241</v>
      </c>
      <c r="R18" s="20"/>
    </row>
    <row r="19" spans="1:49" x14ac:dyDescent="0.15">
      <c r="A19" s="41" t="s">
        <v>242</v>
      </c>
      <c r="R19" s="20"/>
    </row>
    <row r="20" spans="1:49" x14ac:dyDescent="0.15">
      <c r="A20" s="41" t="s">
        <v>243</v>
      </c>
      <c r="R20" s="20"/>
    </row>
    <row r="21" spans="1:49" x14ac:dyDescent="0.15">
      <c r="A21" s="41" t="s">
        <v>244</v>
      </c>
    </row>
    <row r="22" spans="1:49" x14ac:dyDescent="0.15">
      <c r="A22" s="36" t="s">
        <v>245</v>
      </c>
      <c r="B22" s="37" t="s">
        <v>541</v>
      </c>
      <c r="C22" s="4">
        <v>3.2</v>
      </c>
      <c r="D22" s="4">
        <v>6</v>
      </c>
      <c r="E22" s="4">
        <v>7</v>
      </c>
      <c r="F22" s="4">
        <v>4</v>
      </c>
      <c r="G22" s="4">
        <v>9</v>
      </c>
      <c r="I22" s="4" t="s">
        <v>32</v>
      </c>
      <c r="J22" s="4" t="b">
        <v>1</v>
      </c>
      <c r="K22" s="4" t="e">
        <v>#N/A</v>
      </c>
      <c r="L22" s="4" t="e">
        <f>#VALUE!</f>
        <v>#VALUE!</v>
      </c>
      <c r="M22" s="29" t="e">
        <v>#DIV/0!</v>
      </c>
      <c r="N22" s="29" t="e">
        <v>#NAME?</v>
      </c>
      <c r="O22" s="29" t="e">
        <v>#NULL!</v>
      </c>
      <c r="P22" s="29" t="e">
        <v>#NUM!</v>
      </c>
      <c r="Q22" s="29" t="e">
        <v>#REF!</v>
      </c>
      <c r="R22" s="4">
        <f>FV(C22, -D22, E22)</f>
        <v>2.1871014779833633</v>
      </c>
      <c r="S22" s="4">
        <f t="shared" ref="S22:AE22" si="1">FV(D22, -E22, F22)</f>
        <v>0.66666585715621407</v>
      </c>
      <c r="T22" s="4">
        <f t="shared" si="1"/>
        <v>1.285400390625</v>
      </c>
      <c r="U22" s="4">
        <f t="shared" si="1"/>
        <v>0</v>
      </c>
      <c r="V22" s="4" t="e" vm="7">
        <f t="shared" si="1"/>
        <v>#VALUE!</v>
      </c>
      <c r="W22" s="4" t="e" vm="7">
        <f t="shared" si="1"/>
        <v>#VALUE!</v>
      </c>
      <c r="X22" s="4" t="e" vm="7">
        <f>FV(I22, -J22, K22)</f>
        <v>#VALUE!</v>
      </c>
      <c r="Y22" s="4" t="e">
        <f t="shared" si="1"/>
        <v>#N/A</v>
      </c>
      <c r="Z22" s="4" t="e">
        <f t="shared" si="1"/>
        <v>#N/A</v>
      </c>
      <c r="AA22" s="4" t="e">
        <f t="shared" si="1"/>
        <v>#VALUE!</v>
      </c>
      <c r="AB22" s="4" t="e">
        <f t="shared" si="1"/>
        <v>#DIV/0!</v>
      </c>
      <c r="AC22" s="4" t="e">
        <f t="shared" si="1"/>
        <v>#NAME?</v>
      </c>
      <c r="AD22" s="4" t="e">
        <f t="shared" si="1"/>
        <v>#NULL!</v>
      </c>
      <c r="AE22" s="4" t="e">
        <f t="shared" si="1"/>
        <v>#NUM!</v>
      </c>
      <c r="AF22" s="4" t="e">
        <f>FV(Q22, -R22, S22)</f>
        <v>#REF!</v>
      </c>
      <c r="AG22" s="4">
        <f t="array" ref="AG22">FV(C22:G22, 10, 5.6)</f>
        <v>-2989032.9212936191</v>
      </c>
      <c r="AH22" s="4">
        <f t="array" ref="AH22:AW22">FV(C22:G22, 3, 2)</f>
        <v>-45.68</v>
      </c>
      <c r="AI22" s="4">
        <v>-114</v>
      </c>
      <c r="AJ22" s="4">
        <v>-146</v>
      </c>
      <c r="AK22" s="4">
        <v>-62</v>
      </c>
      <c r="AL22" s="4">
        <v>-222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  <c r="AW22" s="4" t="e">
        <v>#N/A</v>
      </c>
    </row>
    <row r="23" spans="1:49" x14ac:dyDescent="0.15">
      <c r="A23" s="41" t="s">
        <v>246</v>
      </c>
      <c r="R23" s="20"/>
    </row>
    <row r="24" spans="1:49" x14ac:dyDescent="0.15">
      <c r="A24" s="41" t="s">
        <v>247</v>
      </c>
    </row>
    <row r="25" spans="1:49" x14ac:dyDescent="0.15">
      <c r="A25" s="36" t="s">
        <v>248</v>
      </c>
      <c r="B25" s="37" t="s">
        <v>541</v>
      </c>
      <c r="C25" s="4">
        <v>3</v>
      </c>
      <c r="D25" s="4">
        <v>6</v>
      </c>
      <c r="E25" s="4">
        <v>7</v>
      </c>
      <c r="F25" s="4">
        <v>4</v>
      </c>
      <c r="G25" s="4">
        <v>9</v>
      </c>
      <c r="I25" s="4" t="s">
        <v>32</v>
      </c>
      <c r="J25" s="4" t="b">
        <v>1</v>
      </c>
      <c r="K25" s="4" t="e">
        <v>#N/A</v>
      </c>
      <c r="L25" s="4" t="e">
        <f>#VALUE!</f>
        <v>#VALUE!</v>
      </c>
      <c r="M25" s="29" t="e">
        <v>#DIV/0!</v>
      </c>
      <c r="N25" s="29" t="e">
        <v>#NAME?</v>
      </c>
      <c r="O25" s="29" t="e">
        <v>#NULL!</v>
      </c>
      <c r="P25" s="29" t="e">
        <v>#NUM!</v>
      </c>
      <c r="Q25" s="29" t="e">
        <v>#REF!</v>
      </c>
      <c r="R25" s="4">
        <f>IPMT(C25/12, 1, 3*12, 8000)</f>
        <v>-2000</v>
      </c>
      <c r="S25" s="4">
        <f t="shared" ref="S25:AE25" si="2">IPMT(D25/12, 1, 3*12, 8000)</f>
        <v>-4000</v>
      </c>
      <c r="T25" s="4">
        <f t="shared" si="2"/>
        <v>-4666.666666666667</v>
      </c>
      <c r="U25" s="4">
        <f t="shared" si="2"/>
        <v>-2666.6666666666665</v>
      </c>
      <c r="V25" s="4">
        <f t="shared" si="2"/>
        <v>-6000</v>
      </c>
      <c r="W25" s="4">
        <f t="shared" si="2"/>
        <v>0</v>
      </c>
      <c r="X25" s="4" t="e" vm="8">
        <f t="shared" si="2"/>
        <v>#VALUE!</v>
      </c>
      <c r="Y25" s="4">
        <f t="shared" si="2"/>
        <v>-666.66666666666652</v>
      </c>
      <c r="Z25" s="4" t="e">
        <f t="shared" si="2"/>
        <v>#N/A</v>
      </c>
      <c r="AA25" s="4" t="e">
        <f t="shared" si="2"/>
        <v>#VALUE!</v>
      </c>
      <c r="AB25" s="4" t="e">
        <f t="shared" si="2"/>
        <v>#DIV/0!</v>
      </c>
      <c r="AC25" s="4" t="e">
        <f t="shared" si="2"/>
        <v>#NAME?</v>
      </c>
      <c r="AD25" s="4" t="e">
        <f t="shared" si="2"/>
        <v>#NULL!</v>
      </c>
      <c r="AE25" s="4" t="e">
        <f t="shared" si="2"/>
        <v>#NUM!</v>
      </c>
      <c r="AF25" s="4" t="e">
        <f>IPMT(Q25/12, 1, 3*12, 8000)</f>
        <v>#REF!</v>
      </c>
      <c r="AG25" s="4">
        <f t="array" ref="AG25">IPMT(C25:G25, 1, 3*12, 8000)</f>
        <v>-24000</v>
      </c>
      <c r="AH25" s="4">
        <f t="array" ref="AH25:AW25">IPMT(C25:G25, 1, 3*12, 8000)</f>
        <v>-24000</v>
      </c>
      <c r="AI25" s="4">
        <v>-48000</v>
      </c>
      <c r="AJ25" s="4">
        <v>-56000</v>
      </c>
      <c r="AK25" s="4">
        <v>-32000</v>
      </c>
      <c r="AL25" s="4">
        <v>-72000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  <c r="AW25" s="4" t="e">
        <v>#N/A</v>
      </c>
    </row>
    <row r="26" spans="1:49" x14ac:dyDescent="0.15">
      <c r="A26" s="67" t="s">
        <v>249</v>
      </c>
      <c r="B26" s="68" t="s">
        <v>541</v>
      </c>
      <c r="C26" s="4">
        <v>3</v>
      </c>
      <c r="D26" s="4">
        <v>6</v>
      </c>
      <c r="E26" s="4">
        <v>7</v>
      </c>
      <c r="F26" s="4">
        <v>4</v>
      </c>
      <c r="G26" s="4">
        <v>9</v>
      </c>
      <c r="I26" s="4" t="s">
        <v>32</v>
      </c>
      <c r="J26" s="4" t="b">
        <v>1</v>
      </c>
      <c r="K26" s="4" t="e">
        <v>#N/A</v>
      </c>
      <c r="L26" s="4" t="e">
        <f>#VALUE!</f>
        <v>#VALUE!</v>
      </c>
      <c r="M26" s="29" t="e">
        <v>#DIV/0!</v>
      </c>
      <c r="N26" s="29" t="e">
        <v>#NAME?</v>
      </c>
      <c r="O26" s="29" t="e">
        <v>#NULL!</v>
      </c>
      <c r="P26" s="29" t="e">
        <v>#NUM!</v>
      </c>
      <c r="Q26" s="29" t="e">
        <v>#REF!</v>
      </c>
      <c r="R26" s="4" t="e">
        <f>IRR({7,2,-1,4,-3;7,2,-1,4,4},C26)</f>
        <v>#NUM!</v>
      </c>
      <c r="S26" s="4" t="e">
        <f>IRR({7,2,-1,4,-3;7,2,-1,4,4},D26)</f>
        <v>#NUM!</v>
      </c>
      <c r="T26" s="4">
        <f>IRR({-7,2,1,4,-3;-7,2,-1,4,4},E26)</f>
        <v>-2.1126011550541612E-2</v>
      </c>
      <c r="U26" s="4">
        <f>IRR({-7,2,-1,4,-3,7,2,1,4},F26)</f>
        <v>0.18158629375365587</v>
      </c>
      <c r="V26" s="4">
        <f>IRR(C27:E27,G26)</f>
        <v>18.999999999999982</v>
      </c>
      <c r="W26" s="4" t="e">
        <f>IRR(D27:F27,H26)</f>
        <v>#NUM!</v>
      </c>
      <c r="X26" s="4" t="e" vm="9">
        <f>IRR(E27:G27,I26)</f>
        <v>#VALUE!</v>
      </c>
      <c r="Y26" s="4" t="e">
        <f>IRR(F27:H27,J26)</f>
        <v>#NUM!</v>
      </c>
      <c r="Z26" s="4" t="e">
        <f>IRR({-7,2,-1,4,-3;7,2,-1,4,#N/A})</f>
        <v>#VALUE!</v>
      </c>
      <c r="AA26" s="4" t="e">
        <f>IRR({-7,2,-1,4,-3;7,2,-1,4,#VALUE!})</f>
        <v>#VALUE!</v>
      </c>
      <c r="AB26" s="4" t="e">
        <f>IRR({-7,2,-1,4,-3;7,2,-1,4,#DIV/0!})</f>
        <v>#VALUE!</v>
      </c>
      <c r="AC26" s="4" t="e">
        <f>IRR({-7,2,-1,4,-3;7,2,-1,4,#NAME?})</f>
        <v>#VALUE!</v>
      </c>
      <c r="AD26" s="4" t="e">
        <f>IRR({-7,2,-1,4,-3;7,2,-1,4,#NULL!})</f>
        <v>#VALUE!</v>
      </c>
      <c r="AE26" s="4" t="e">
        <f>IRR({-7,2,-1,4,-3;7,2,-1,4,#NUM!})</f>
        <v>#VALUE!</v>
      </c>
      <c r="AF26" s="4" t="e">
        <f>IRR({-7,2,-1,4,-3;7,2,-1,4,#REF!})</f>
        <v>#VALUE!</v>
      </c>
      <c r="AG26" s="4">
        <f t="array" ref="AG26">IRR({-7,2,-1,4,-3;7,2,-1,4,4},C54:E54)</f>
        <v>0.19086464188385843</v>
      </c>
      <c r="AH26" s="4">
        <f t="array" ref="AH26:AW26">IRR({-7,2,-1,4,-3;7,2,-1,4,4},C26:G26)</f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>
        <v>0.19086464188385688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  <c r="AW26" s="4" t="e">
        <v>#N/A</v>
      </c>
    </row>
    <row r="27" spans="1:49" x14ac:dyDescent="0.15">
      <c r="A27" s="67"/>
      <c r="B27" s="68"/>
      <c r="C27" s="4">
        <v>-0.1</v>
      </c>
      <c r="D27" s="4">
        <v>2</v>
      </c>
      <c r="E27" s="4">
        <v>0</v>
      </c>
      <c r="F27" s="4">
        <v>4</v>
      </c>
      <c r="G27" s="4">
        <v>5</v>
      </c>
      <c r="I27" s="4" t="s">
        <v>32</v>
      </c>
      <c r="J27" s="4" t="b">
        <v>1</v>
      </c>
      <c r="K27" s="4" t="e">
        <v>#N/A</v>
      </c>
      <c r="L27" s="4" t="e">
        <f>#VALUE!</f>
        <v>#VALUE!</v>
      </c>
      <c r="M27" s="29" t="e">
        <v>#DIV/0!</v>
      </c>
      <c r="N27" s="29" t="e">
        <v>#NAME?</v>
      </c>
      <c r="O27" s="29" t="e">
        <v>#NULL!</v>
      </c>
      <c r="P27" s="29" t="e">
        <v>#NUM!</v>
      </c>
      <c r="Q27" s="29" t="e">
        <v>#REF!</v>
      </c>
      <c r="R27" s="4">
        <f>IRR({-7,2,-1,4,-3;7,2,-1,4,4})</f>
        <v>0.19086464188385688</v>
      </c>
      <c r="S27" s="4" t="e">
        <f>IRR({7,2,-1,4,-3;7,2,-1,4,4},D27)</f>
        <v>#NUM!</v>
      </c>
      <c r="T27" s="4">
        <f>IRR({-7,2,1,4,-3;-7,2,-1,4,4},E27)</f>
        <v>-2.1126011550582802E-2</v>
      </c>
      <c r="U27" s="4">
        <f>IRR({-7,2,-1,4,-3,7,2,1,4},F27)</f>
        <v>0.18158629375365587</v>
      </c>
      <c r="V27" s="4">
        <f>IRR(C27:G27,G27)</f>
        <v>19.105109618637595</v>
      </c>
      <c r="W27" s="4">
        <f>IRR(C27:H27)</f>
        <v>19.105109618587242</v>
      </c>
      <c r="X27" s="4">
        <f>IRR(C27:I27)</f>
        <v>19.105109618587242</v>
      </c>
      <c r="Y27" s="4">
        <f>IRR(C27:J27)</f>
        <v>19.105109618587242</v>
      </c>
      <c r="Z27" s="4" t="e">
        <f>IRR(C27:K27)</f>
        <v>#VALUE!</v>
      </c>
      <c r="AA27" s="4" t="e">
        <f>IRR({-7,2,-1,4,-3,7,2,1,3},K27)</f>
        <v>#N/A</v>
      </c>
      <c r="AB27" s="4" t="e">
        <f>IRR({-7,2,-1,4,-3,7,2,1,3},M27)</f>
        <v>#DIV/0!</v>
      </c>
      <c r="AC27" s="4" t="e">
        <f>IRR({-7,2,-1,4,-3,7,2,1,3},N27)</f>
        <v>#NAME?</v>
      </c>
      <c r="AD27" s="4" t="e">
        <f>IRR({-7,2,-1,4,-3,7,2,1,3},O27)</f>
        <v>#NULL!</v>
      </c>
      <c r="AE27" s="4" t="e">
        <f>IRR({-7,2,-1,4,-3,7,2,1,3},P27)</f>
        <v>#NUM!</v>
      </c>
      <c r="AF27" s="4" t="e">
        <f>IRR({-7,2,-1,4,-3,7,2,1,3},Q27)</f>
        <v>#REF!</v>
      </c>
      <c r="AG27" s="4" t="e">
        <f t="array" ref="AG27">IRR(D27:G27)</f>
        <v>#NUM!</v>
      </c>
      <c r="AH27" s="4">
        <f t="array" ref="AH27:AW27">IRR(C27:G27,C27:Q27)</f>
        <v>19.105109618635709</v>
      </c>
      <c r="AI27" s="4">
        <v>19.105109618617355</v>
      </c>
      <c r="AJ27" s="4">
        <v>19.105109618638089</v>
      </c>
      <c r="AK27" s="4">
        <v>19.105109618596039</v>
      </c>
      <c r="AL27" s="4">
        <v>19.105109618637595</v>
      </c>
      <c r="AM27" s="4">
        <v>19.105109618638089</v>
      </c>
      <c r="AN27" s="4" t="e" vm="9">
        <v>#VALUE!</v>
      </c>
      <c r="AO27" s="4">
        <v>19.105109618608335</v>
      </c>
      <c r="AP27" s="4" t="e">
        <v>#N/A</v>
      </c>
      <c r="AQ27" s="4" t="e">
        <v>#VALUE!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41" t="s">
        <v>250</v>
      </c>
    </row>
    <row r="29" spans="1:49" x14ac:dyDescent="0.15">
      <c r="A29" s="41" t="s">
        <v>251</v>
      </c>
    </row>
    <row r="30" spans="1:49" x14ac:dyDescent="0.15">
      <c r="A30" s="41" t="s">
        <v>252</v>
      </c>
    </row>
    <row r="31" spans="1:49" x14ac:dyDescent="0.15">
      <c r="A31" s="41" t="s">
        <v>253</v>
      </c>
    </row>
    <row r="32" spans="1:49" x14ac:dyDescent="0.15">
      <c r="A32" s="36" t="s">
        <v>254</v>
      </c>
      <c r="B32" s="37" t="s">
        <v>541</v>
      </c>
      <c r="C32" s="4">
        <v>-0.1</v>
      </c>
      <c r="D32" s="4">
        <v>2</v>
      </c>
      <c r="E32" s="4">
        <v>0</v>
      </c>
      <c r="F32" s="4">
        <v>4</v>
      </c>
      <c r="G32" s="4">
        <v>5</v>
      </c>
      <c r="I32" s="4" t="s">
        <v>32</v>
      </c>
      <c r="J32" s="4" t="b">
        <v>1</v>
      </c>
      <c r="K32" s="4" t="e">
        <v>#N/A</v>
      </c>
      <c r="L32" s="4" t="e">
        <f>#VALUE!</f>
        <v>#VALUE!</v>
      </c>
      <c r="M32" s="29" t="e">
        <v>#DIV/0!</v>
      </c>
      <c r="N32" s="29" t="e">
        <v>#NAME?</v>
      </c>
      <c r="O32" s="29" t="e">
        <v>#NULL!</v>
      </c>
      <c r="P32" s="29" t="e">
        <v>#NUM!</v>
      </c>
      <c r="Q32" s="29" t="e">
        <v>#REF!</v>
      </c>
      <c r="R32" s="4">
        <f>NPER(C32/12,D32,E32,10000,1)</f>
        <v>-449.50748859693709</v>
      </c>
      <c r="S32" s="4" t="e">
        <f>NPER(D32/12,E32,F32,10000,1)</f>
        <v>#NUM!</v>
      </c>
      <c r="T32" s="4">
        <f>NPER(E32/12,F32*1000,G32)</f>
        <v>-1.25E-3</v>
      </c>
      <c r="U32" s="4">
        <f>NPER(F32/12,H32,C32,10000,1)</f>
        <v>40.019613898255479</v>
      </c>
      <c r="V32" s="4" t="e" vm="10">
        <f t="shared" ref="V32:AF32" si="3">NPER(G32/12,H32,I32,10000,1)</f>
        <v>#VALUE!</v>
      </c>
      <c r="W32" s="4" t="e" vm="10">
        <f t="shared" si="3"/>
        <v>#VALUE!</v>
      </c>
      <c r="X32" s="4" t="e" vm="11">
        <f t="shared" si="3"/>
        <v>#VALUE!</v>
      </c>
      <c r="Y32" s="4" t="e">
        <f t="shared" si="3"/>
        <v>#N/A</v>
      </c>
      <c r="Z32" s="4" t="e">
        <f t="shared" si="3"/>
        <v>#N/A</v>
      </c>
      <c r="AA32" s="4" t="e">
        <f t="shared" si="3"/>
        <v>#VALUE!</v>
      </c>
      <c r="AB32" s="4" t="e">
        <f t="shared" si="3"/>
        <v>#DIV/0!</v>
      </c>
      <c r="AC32" s="4" t="e">
        <f t="shared" si="3"/>
        <v>#NAME?</v>
      </c>
      <c r="AD32" s="4" t="e">
        <f t="shared" si="3"/>
        <v>#NULL!</v>
      </c>
      <c r="AE32" s="4" t="e">
        <f t="shared" si="3"/>
        <v>#NUM!</v>
      </c>
      <c r="AF32" s="4" t="e">
        <f t="shared" si="3"/>
        <v>#REF!</v>
      </c>
      <c r="AG32" s="4">
        <f t="array" ref="AG32">NPER(C32:Q32,D32,E32,10000,1)</f>
        <v>-60.001291342880876</v>
      </c>
      <c r="AH32" s="4">
        <f t="array" ref="AH32:AW32">NPER(C32:Q32,D32,E32,10000,1)</f>
        <v>-60.001291342880876</v>
      </c>
      <c r="AI32" s="4" t="e">
        <v>#NUM!</v>
      </c>
      <c r="AJ32" s="4">
        <v>-5000</v>
      </c>
      <c r="AK32" s="4" t="e">
        <v>#NUM!</v>
      </c>
      <c r="AL32" s="4" t="e">
        <v>#NUM!</v>
      </c>
      <c r="AM32" s="4">
        <v>-5000</v>
      </c>
      <c r="AN32" s="4" t="e" vm="10">
        <v>#VALUE!</v>
      </c>
      <c r="AO32" s="4" t="e">
        <v>#NUM!</v>
      </c>
      <c r="AP32" s="4" t="e">
        <v>#N/A</v>
      </c>
      <c r="AQ32" s="4" t="e">
        <v>#VALUE!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6" t="s">
        <v>255</v>
      </c>
      <c r="B33" s="37" t="s">
        <v>541</v>
      </c>
      <c r="C33" s="4">
        <v>-0.1</v>
      </c>
      <c r="D33" s="4">
        <v>2</v>
      </c>
      <c r="E33" s="4">
        <v>0</v>
      </c>
      <c r="F33" s="4">
        <v>4</v>
      </c>
      <c r="G33" s="4">
        <v>5</v>
      </c>
      <c r="I33" s="4" t="s">
        <v>32</v>
      </c>
      <c r="J33" s="4" t="b">
        <v>1</v>
      </c>
      <c r="K33" s="4" t="e">
        <v>#N/A</v>
      </c>
      <c r="L33" s="4" t="e">
        <f>#VALUE!</f>
        <v>#VALUE!</v>
      </c>
      <c r="M33" s="29" t="e">
        <v>#DIV/0!</v>
      </c>
      <c r="N33" s="29" t="e">
        <v>#NAME?</v>
      </c>
      <c r="O33" s="29" t="e">
        <v>#NULL!</v>
      </c>
      <c r="P33" s="29" t="e">
        <v>#NUM!</v>
      </c>
      <c r="Q33" s="29" t="e">
        <v>#REF!</v>
      </c>
      <c r="R33" s="4">
        <f t="shared" ref="R33:Y33" si="4">NPV(C33,C33:G33)</f>
        <v>16.922200206608068</v>
      </c>
      <c r="S33" s="4">
        <f t="shared" si="4"/>
        <v>0.87654320987654322</v>
      </c>
      <c r="T33" s="4">
        <f t="shared" si="4"/>
        <v>9</v>
      </c>
      <c r="U33" s="4">
        <f t="shared" si="4"/>
        <v>1</v>
      </c>
      <c r="V33" s="4" t="e">
        <f t="shared" si="4"/>
        <v>#N/A</v>
      </c>
      <c r="W33" s="4" t="e">
        <f t="shared" si="4"/>
        <v>#N/A</v>
      </c>
      <c r="X33" s="4" t="e" vm="12">
        <f>NPV(I33,I33:M33)</f>
        <v>#VALUE!</v>
      </c>
      <c r="Y33" s="4" t="e">
        <f t="shared" si="4"/>
        <v>#N/A</v>
      </c>
      <c r="Z33" s="4" t="e">
        <f t="shared" ref="Z33:AE33" si="5">NPV(K33,K33:O33)</f>
        <v>#N/A</v>
      </c>
      <c r="AA33" s="4" t="e">
        <f>NPV(L33,L33:P33)</f>
        <v>#VALUE!</v>
      </c>
      <c r="AB33" s="4" t="e">
        <f t="shared" si="5"/>
        <v>#DIV/0!</v>
      </c>
      <c r="AC33" s="4" t="e">
        <f t="shared" si="5"/>
        <v>#NAME?</v>
      </c>
      <c r="AD33" s="4" t="e">
        <f t="shared" si="5"/>
        <v>#NULL!</v>
      </c>
      <c r="AE33" s="4" t="e">
        <f t="shared" si="5"/>
        <v>#NUM!</v>
      </c>
      <c r="AF33" s="4" t="e">
        <f>NPV(Q33,Q33:U33)</f>
        <v>#REF!</v>
      </c>
      <c r="AG33" s="4">
        <f t="array" ref="AG33">NPV(C33:G33,C33:G33)</f>
        <v>16.922200206608068</v>
      </c>
      <c r="AH33" s="4">
        <f t="array" ref="AH33:AW33">NPV(C33:Q33,C33:G33)</f>
        <v>16.922200206608068</v>
      </c>
      <c r="AI33" s="4">
        <v>0.25884773662551441</v>
      </c>
      <c r="AJ33" s="4">
        <v>10.9</v>
      </c>
      <c r="AK33" s="4">
        <v>6.8000000000000019E-2</v>
      </c>
      <c r="AL33" s="4">
        <v>4.2618312757201647E-2</v>
      </c>
      <c r="AM33" s="4">
        <v>10.9</v>
      </c>
      <c r="AN33" s="4" t="e" vm="12">
        <v>#VALUE!</v>
      </c>
      <c r="AO33" s="4">
        <v>0.85624999999999996</v>
      </c>
      <c r="AP33" s="4" t="e">
        <v>#N/A</v>
      </c>
      <c r="AQ33" s="4" t="e">
        <v>#VALUE!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41" t="s">
        <v>256</v>
      </c>
    </row>
    <row r="35" spans="1:49" x14ac:dyDescent="0.15">
      <c r="A35" s="41" t="s">
        <v>257</v>
      </c>
    </row>
    <row r="36" spans="1:49" x14ac:dyDescent="0.15">
      <c r="A36" s="41" t="s">
        <v>258</v>
      </c>
    </row>
    <row r="37" spans="1:49" x14ac:dyDescent="0.15">
      <c r="A37" s="41" t="s">
        <v>259</v>
      </c>
    </row>
    <row r="38" spans="1:49" x14ac:dyDescent="0.15">
      <c r="A38" s="41" t="s">
        <v>260</v>
      </c>
    </row>
    <row r="39" spans="1:49" x14ac:dyDescent="0.15">
      <c r="A39" s="36" t="s">
        <v>261</v>
      </c>
      <c r="B39" s="37" t="s">
        <v>541</v>
      </c>
      <c r="C39" s="4">
        <v>-0.1</v>
      </c>
      <c r="D39" s="4">
        <v>2</v>
      </c>
      <c r="E39" s="4">
        <v>0</v>
      </c>
      <c r="F39" s="4">
        <v>4</v>
      </c>
      <c r="G39" s="4">
        <v>5</v>
      </c>
      <c r="I39" s="4" t="s">
        <v>32</v>
      </c>
      <c r="J39" s="4" t="b">
        <v>1</v>
      </c>
      <c r="K39" s="4" t="e">
        <v>#N/A</v>
      </c>
      <c r="L39" s="4" t="e">
        <f>#VALUE!</f>
        <v>#VALUE!</v>
      </c>
      <c r="M39" s="29" t="e">
        <v>#DIV/0!</v>
      </c>
      <c r="N39" s="29" t="e">
        <v>#NAME?</v>
      </c>
      <c r="O39" s="29" t="e">
        <v>#NULL!</v>
      </c>
      <c r="P39" s="29" t="e">
        <v>#NUM!</v>
      </c>
      <c r="Q39" s="29" t="e">
        <v>#REF!</v>
      </c>
      <c r="R39" s="4">
        <f>PMT(C39/12,D39,E39,10000,1)</f>
        <v>-5063.1131113533274</v>
      </c>
      <c r="S39" s="4" t="e">
        <f>PMT(D39/12,E39,F39,10000,1)</f>
        <v>#NUM!</v>
      </c>
      <c r="T39" s="4">
        <f t="shared" ref="T39:AF39" si="6">PMT(E39/12,F39,G39,10000,1)</f>
        <v>-2501.25</v>
      </c>
      <c r="U39" s="4">
        <f t="shared" si="6"/>
        <v>-777.84891165172849</v>
      </c>
      <c r="V39" s="4" t="e" vm="13">
        <f t="shared" si="6"/>
        <v>#VALUE!</v>
      </c>
      <c r="W39" s="4" t="e" vm="13">
        <f t="shared" si="6"/>
        <v>#VALUE!</v>
      </c>
      <c r="X39" s="4" t="e" vm="14">
        <f t="shared" si="6"/>
        <v>#VALUE!</v>
      </c>
      <c r="Y39" s="4" t="e">
        <f t="shared" si="6"/>
        <v>#N/A</v>
      </c>
      <c r="Z39" s="4" t="e">
        <f t="shared" si="6"/>
        <v>#N/A</v>
      </c>
      <c r="AA39" s="4" t="e">
        <f t="shared" si="6"/>
        <v>#VALUE!</v>
      </c>
      <c r="AB39" s="4" t="e">
        <f t="shared" si="6"/>
        <v>#DIV/0!</v>
      </c>
      <c r="AC39" s="4" t="e">
        <f t="shared" si="6"/>
        <v>#NAME?</v>
      </c>
      <c r="AD39" s="4" t="e">
        <f t="shared" si="6"/>
        <v>#NULL!</v>
      </c>
      <c r="AE39" s="4" t="e">
        <f t="shared" si="6"/>
        <v>#NUM!</v>
      </c>
      <c r="AF39" s="4" t="e">
        <f t="shared" si="6"/>
        <v>#REF!</v>
      </c>
      <c r="AG39" s="4">
        <f t="array" ref="AG39">PMT(C39/12,D39,E39,F39:G39,1)</f>
        <v>-2.0252452445413311</v>
      </c>
      <c r="AH39" s="4">
        <f t="array" ref="AH39:AW39">PMT(C39/12,D39:E39,E39:F39,F39:G39,1)</f>
        <v>-2.0252452445413311</v>
      </c>
      <c r="AI39" s="4" t="e">
        <v>#NUM!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6" t="s">
        <v>262</v>
      </c>
      <c r="B40" s="37" t="s">
        <v>541</v>
      </c>
      <c r="C40" s="4">
        <v>-0.1</v>
      </c>
      <c r="D40" s="4">
        <v>2</v>
      </c>
      <c r="E40" s="4">
        <v>1</v>
      </c>
      <c r="F40" s="4">
        <v>4</v>
      </c>
      <c r="G40" s="4">
        <v>5</v>
      </c>
      <c r="I40" s="4" t="s">
        <v>32</v>
      </c>
      <c r="J40" s="4" t="b">
        <v>1</v>
      </c>
      <c r="K40" s="4" t="e">
        <v>#N/A</v>
      </c>
      <c r="L40" s="4" t="e">
        <f>#VALUE!</f>
        <v>#VALUE!</v>
      </c>
      <c r="M40" s="29" t="e">
        <v>#DIV/0!</v>
      </c>
      <c r="N40" s="29" t="e">
        <v>#NAME?</v>
      </c>
      <c r="O40" s="29" t="e">
        <v>#NULL!</v>
      </c>
      <c r="P40" s="29" t="e">
        <v>#NUM!</v>
      </c>
      <c r="Q40" s="29" t="e">
        <v>#REF!</v>
      </c>
      <c r="R40" s="4">
        <f>PPMT(C40,"3","33","10000","1")</f>
        <v>-835.9133596022948</v>
      </c>
      <c r="S40" s="4">
        <f t="shared" ref="S40:AF40" si="7">PPMT(D40,"3","33","10000","1")</f>
        <v>-3.2382809621291993E-11</v>
      </c>
      <c r="T40" s="4">
        <f t="shared" si="7"/>
        <v>-4.6570785349068514E-6</v>
      </c>
      <c r="U40" s="4">
        <f t="shared" si="7"/>
        <v>-8.5907935854592492E-18</v>
      </c>
      <c r="V40" s="4">
        <f t="shared" si="7"/>
        <v>-3.7698552037230904E-20</v>
      </c>
      <c r="W40" s="4">
        <f t="shared" si="7"/>
        <v>-303.06060606060606</v>
      </c>
      <c r="X40" s="4" t="e" vm="15">
        <f t="shared" si="7"/>
        <v>#VALUE!</v>
      </c>
      <c r="Y40" s="4">
        <f t="shared" si="7"/>
        <v>-4.6570785349068514E-6</v>
      </c>
      <c r="Z40" s="4" t="e">
        <f>PPMT(K40,"3","33","10000","1")</f>
        <v>#N/A</v>
      </c>
      <c r="AA40" s="4" t="e">
        <f t="shared" si="7"/>
        <v>#VALUE!</v>
      </c>
      <c r="AB40" s="4" t="e">
        <f t="shared" si="7"/>
        <v>#DIV/0!</v>
      </c>
      <c r="AC40" s="4" t="e">
        <f t="shared" si="7"/>
        <v>#NAME?</v>
      </c>
      <c r="AD40" s="4" t="e">
        <f t="shared" si="7"/>
        <v>#NULL!</v>
      </c>
      <c r="AE40" s="4" t="e">
        <f t="shared" si="7"/>
        <v>#NUM!</v>
      </c>
      <c r="AF40" s="4" t="e">
        <f t="shared" si="7"/>
        <v>#REF!</v>
      </c>
      <c r="AG40" s="4" t="e">
        <f t="array" ref="AG40">PPMT(C40/12,D40,E40,F40:G40,1)</f>
        <v>#NUM!</v>
      </c>
      <c r="AH40" s="4" t="e">
        <f t="array" ref="AH40:AW40">PPMT(C40/12,D40:E40,E40:F40,F40:G40)</f>
        <v>#NUM!</v>
      </c>
      <c r="AI40" s="4">
        <v>-1.265733959422386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41" t="s">
        <v>263</v>
      </c>
    </row>
    <row r="42" spans="1:49" x14ac:dyDescent="0.15">
      <c r="A42" s="41" t="s">
        <v>264</v>
      </c>
    </row>
    <row r="43" spans="1:49" x14ac:dyDescent="0.15">
      <c r="A43" s="41" t="s">
        <v>265</v>
      </c>
    </row>
    <row r="44" spans="1:49" x14ac:dyDescent="0.15">
      <c r="A44" s="36" t="s">
        <v>266</v>
      </c>
      <c r="B44" s="37" t="s">
        <v>541</v>
      </c>
      <c r="C44" s="4">
        <v>-0.1</v>
      </c>
      <c r="D44" s="4">
        <v>2</v>
      </c>
      <c r="E44" s="4">
        <v>0</v>
      </c>
      <c r="F44" s="4">
        <v>4</v>
      </c>
      <c r="G44" s="4">
        <v>5</v>
      </c>
      <c r="I44" s="4" t="s">
        <v>32</v>
      </c>
      <c r="J44" s="4" t="b">
        <v>1</v>
      </c>
      <c r="K44" s="4" t="e">
        <v>#N/A</v>
      </c>
      <c r="L44" s="4" t="e">
        <f>#VALUE!</f>
        <v>#VALUE!</v>
      </c>
      <c r="M44" s="29" t="e">
        <v>#DIV/0!</v>
      </c>
      <c r="N44" s="29" t="e">
        <v>#NAME?</v>
      </c>
      <c r="O44" s="29" t="e">
        <v>#NULL!</v>
      </c>
      <c r="P44" s="29" t="e">
        <v>#NUM!</v>
      </c>
      <c r="Q44" s="29" t="e">
        <v>#REF!</v>
      </c>
      <c r="R44" s="4">
        <f>PV(C44,3, 22)</f>
        <v>-81.783264746227673</v>
      </c>
      <c r="S44" s="4">
        <f t="shared" ref="S44:AF44" si="8">PV(D44,3, 22)</f>
        <v>-10.592592592592593</v>
      </c>
      <c r="T44" s="4">
        <f t="shared" si="8"/>
        <v>-66</v>
      </c>
      <c r="U44" s="4">
        <f t="shared" si="8"/>
        <v>-5.4560000000000004</v>
      </c>
      <c r="V44" s="4">
        <f t="shared" si="8"/>
        <v>-4.3796296296296298</v>
      </c>
      <c r="W44" s="4">
        <f t="shared" si="8"/>
        <v>-66</v>
      </c>
      <c r="X44" s="4" t="e" vm="16">
        <f t="shared" si="8"/>
        <v>#VALUE!</v>
      </c>
      <c r="Y44" s="4">
        <f t="shared" si="8"/>
        <v>-19.25</v>
      </c>
      <c r="Z44" s="4" t="e">
        <f t="shared" si="8"/>
        <v>#N/A</v>
      </c>
      <c r="AA44" s="4" t="e">
        <f t="shared" si="8"/>
        <v>#VALUE!</v>
      </c>
      <c r="AB44" s="4" t="e">
        <f t="shared" si="8"/>
        <v>#DIV/0!</v>
      </c>
      <c r="AC44" s="4" t="e">
        <f t="shared" si="8"/>
        <v>#NAME?</v>
      </c>
      <c r="AD44" s="4" t="e">
        <f t="shared" si="8"/>
        <v>#NULL!</v>
      </c>
      <c r="AE44" s="4" t="e">
        <f t="shared" si="8"/>
        <v>#NUM!</v>
      </c>
      <c r="AF44" s="4" t="e">
        <f t="shared" si="8"/>
        <v>#REF!</v>
      </c>
      <c r="AG44" s="4">
        <f t="array" ref="AG44">PV(C44:G44,3, 22)</f>
        <v>-81.783264746227673</v>
      </c>
      <c r="AH44" s="4">
        <f t="array" ref="AH44:AW44">PV(C44:G44,3, 22)</f>
        <v>-81.783264746227673</v>
      </c>
      <c r="AI44" s="4">
        <v>-10.592592592592593</v>
      </c>
      <c r="AJ44" s="4">
        <v>-66</v>
      </c>
      <c r="AK44" s="4">
        <v>-5.4560000000000004</v>
      </c>
      <c r="AL44" s="4">
        <v>-4.3796296296296298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  <c r="AW44" s="4" t="e">
        <v>#N/A</v>
      </c>
    </row>
    <row r="45" spans="1:49" x14ac:dyDescent="0.15">
      <c r="A45" s="36" t="s">
        <v>267</v>
      </c>
      <c r="B45" s="37" t="s">
        <v>541</v>
      </c>
      <c r="C45" s="4">
        <v>-0.1</v>
      </c>
      <c r="D45" s="4">
        <v>2</v>
      </c>
      <c r="E45" s="4">
        <v>0</v>
      </c>
      <c r="F45" s="4">
        <v>4</v>
      </c>
      <c r="G45" s="4">
        <v>5</v>
      </c>
      <c r="I45" s="4" t="s">
        <v>32</v>
      </c>
      <c r="J45" s="4" t="b">
        <v>1</v>
      </c>
      <c r="K45" s="4" t="e">
        <v>#N/A</v>
      </c>
      <c r="L45" s="4" t="e">
        <f>#VALUE!</f>
        <v>#VALUE!</v>
      </c>
      <c r="M45" s="29" t="e">
        <v>#DIV/0!</v>
      </c>
      <c r="N45" s="29" t="e">
        <v>#NAME?</v>
      </c>
      <c r="O45" s="29" t="e">
        <v>#NULL!</v>
      </c>
      <c r="P45" s="29" t="e">
        <v>#NUM!</v>
      </c>
      <c r="Q45" s="29" t="e">
        <v>#REF!</v>
      </c>
      <c r="R45" s="4" t="e">
        <f>RATE(C45,-388, 22000)</f>
        <v>#NUM!</v>
      </c>
      <c r="S45" s="4">
        <f t="shared" ref="S45:AF45" si="9">RATE(D45,-388, 22000)</f>
        <v>-0.85808740069204448</v>
      </c>
      <c r="T45" s="4" t="e">
        <f t="shared" si="9"/>
        <v>#NUM!</v>
      </c>
      <c r="U45" s="4">
        <f t="shared" si="9"/>
        <v>-0.58668028478913636</v>
      </c>
      <c r="V45" s="4">
        <f t="shared" si="9"/>
        <v>-0.48911548311486908</v>
      </c>
      <c r="W45" s="4" t="e">
        <f t="shared" si="9"/>
        <v>#NUM!</v>
      </c>
      <c r="X45" s="4" t="e" vm="17">
        <f t="shared" si="9"/>
        <v>#VALUE!</v>
      </c>
      <c r="Y45" s="4">
        <f>RATE(J45,-388, 22000)</f>
        <v>-0.98236363636363633</v>
      </c>
      <c r="Z45" s="4" t="e">
        <f t="shared" si="9"/>
        <v>#N/A</v>
      </c>
      <c r="AA45" s="4" t="e">
        <f t="shared" si="9"/>
        <v>#VALUE!</v>
      </c>
      <c r="AB45" s="4" t="e">
        <f t="shared" si="9"/>
        <v>#DIV/0!</v>
      </c>
      <c r="AC45" s="4" t="e">
        <f t="shared" si="9"/>
        <v>#NAME?</v>
      </c>
      <c r="AD45" s="4" t="e">
        <f t="shared" si="9"/>
        <v>#NULL!</v>
      </c>
      <c r="AE45" s="4" t="e">
        <f t="shared" si="9"/>
        <v>#NUM!</v>
      </c>
      <c r="AF45" s="4" t="e">
        <f t="shared" si="9"/>
        <v>#REF!</v>
      </c>
      <c r="AG45" s="4" t="e">
        <f t="array" ref="AG45">RATE(C45:G45,-388, 22000)</f>
        <v>#NUM!</v>
      </c>
      <c r="AH45" s="4" t="e">
        <f t="array" ref="AH45:AW45">RATE(C45:G45,-388, 22000)</f>
        <v>#NUM!</v>
      </c>
      <c r="AI45" s="4">
        <v>-0.85808740069204448</v>
      </c>
      <c r="AJ45" s="4" t="e">
        <v>#NUM!</v>
      </c>
      <c r="AK45" s="4">
        <v>-0.58668028478913636</v>
      </c>
      <c r="AL45" s="4">
        <v>-0.48911548311486908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  <c r="AW45" s="4" t="e">
        <v>#N/A</v>
      </c>
    </row>
    <row r="46" spans="1:49" x14ac:dyDescent="0.15">
      <c r="A46" s="41" t="s">
        <v>268</v>
      </c>
    </row>
    <row r="47" spans="1:49" x14ac:dyDescent="0.15">
      <c r="A47" s="41" t="s">
        <v>269</v>
      </c>
    </row>
    <row r="48" spans="1:49" x14ac:dyDescent="0.15">
      <c r="A48" s="41" t="s">
        <v>270</v>
      </c>
    </row>
    <row r="49" spans="1:49" x14ac:dyDescent="0.15">
      <c r="A49" s="41" t="s">
        <v>271</v>
      </c>
    </row>
    <row r="50" spans="1:49" x14ac:dyDescent="0.15">
      <c r="A50" s="41" t="s">
        <v>272</v>
      </c>
    </row>
    <row r="51" spans="1:49" x14ac:dyDescent="0.15">
      <c r="A51" s="41" t="s">
        <v>273</v>
      </c>
    </row>
    <row r="52" spans="1:49" x14ac:dyDescent="0.15">
      <c r="A52" s="41" t="s">
        <v>274</v>
      </c>
    </row>
    <row r="53" spans="1:49" x14ac:dyDescent="0.15">
      <c r="A53" s="41" t="s">
        <v>275</v>
      </c>
    </row>
    <row r="54" spans="1:49" x14ac:dyDescent="0.15">
      <c r="A54" s="67" t="s">
        <v>276</v>
      </c>
      <c r="B54" s="68" t="s">
        <v>541</v>
      </c>
      <c r="C54" s="4">
        <v>1</v>
      </c>
      <c r="D54" s="4">
        <v>99</v>
      </c>
      <c r="E54" s="4">
        <v>55</v>
      </c>
      <c r="F54" s="4">
        <v>4</v>
      </c>
      <c r="G54" s="20">
        <v>9</v>
      </c>
      <c r="I54" s="4">
        <v>32015</v>
      </c>
      <c r="J54" s="4" t="b">
        <v>1</v>
      </c>
      <c r="K54" s="4" t="e">
        <v>#N/A</v>
      </c>
      <c r="L54" s="4" t="e">
        <f>#VALUE!</f>
        <v>#VALUE!</v>
      </c>
      <c r="M54" s="29" t="e">
        <v>#DIV/0!</v>
      </c>
      <c r="N54" s="29" t="e">
        <v>#NAME?</v>
      </c>
      <c r="O54" s="29" t="e">
        <v>#NULL!</v>
      </c>
      <c r="P54" s="29" t="e">
        <v>#NUM!</v>
      </c>
      <c r="Q54" s="29" t="e">
        <v>#REF!</v>
      </c>
      <c r="R54" s="4">
        <f>XIRR(C55:G55,C54:G54,C54)</f>
        <v>0.59931974858045578</v>
      </c>
      <c r="S54" s="4" t="e">
        <f>XIRR(C56,$C$55:$G$55,$C$54:$G$54)</f>
        <v>#VALUE!</v>
      </c>
      <c r="T54" s="4" t="e">
        <f>XIRR(D55:H55,D54:H54)</f>
        <v>#NUM!</v>
      </c>
      <c r="U54" s="4" t="e">
        <f>XIRR({-10,#N/A,1,2,7},{3,#REF!,7,4,9})</f>
        <v>#REF!</v>
      </c>
      <c r="V54" s="4" t="e">
        <f>XIRR({-10,#N/A,1,2,7},{3,#VALUE!,7,4,9},#REF!)</f>
        <v>#REF!</v>
      </c>
      <c r="W54" s="4" t="e">
        <f>XIRR($C$55:$G$55,$C$54:$G$54,I56)</f>
        <v>#VALUE!</v>
      </c>
      <c r="X54" s="4">
        <f>XIRR($C$55:$G$55,$C$54:$G$54,"26/08/1987")</f>
        <v>0.59931975404310833</v>
      </c>
      <c r="Y54" s="4" t="e">
        <f>XIRR($C$55:$G$55,$C$54:$G$54,TRUE)</f>
        <v>#VALUE!</v>
      </c>
      <c r="Z54" s="4" t="e">
        <f>XIRR($C$55:$G$55,$C$54:$G$54,TRUE)</f>
        <v>#VALUE!</v>
      </c>
      <c r="AA54" s="4" t="e">
        <f>XIRR($C$55:$G$55,$C$54:$G$54,#N/A)</f>
        <v>#N/A</v>
      </c>
      <c r="AB54" s="4" t="e">
        <f>XIRR($C$55:$G$55,$C$54:$G$54,#VALUE!)</f>
        <v>#VALUE!</v>
      </c>
      <c r="AC54" s="4" t="e">
        <f>XIRR($C$55:$G$55,$C$54:$G$54,#DIV/0!)</f>
        <v>#DIV/0!</v>
      </c>
      <c r="AD54" s="4">
        <f>XIRR($C$55:H$55,$C$54:H$54)</f>
        <v>0.59931975007057214</v>
      </c>
      <c r="AE54" s="4">
        <f>XIRR($C$55:I$55,$C$54:I$54)</f>
        <v>0.59931975007057214</v>
      </c>
      <c r="AF54" s="4" t="e">
        <f>XIRR($C$55:J$55,$C$54:J$54)</f>
        <v>#VALUE!</v>
      </c>
      <c r="AG54" s="4" t="e">
        <f>XIRR($C$55:J$55,$C$54:J$54)</f>
        <v>#VALUE!</v>
      </c>
      <c r="AH54" s="4">
        <f t="array" ref="AH54:AW54">XIRR($C$55:$G$55,$C$54:$G$54,D55)</f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  <c r="AW54" s="4">
        <v>0.59931974858045578</v>
      </c>
    </row>
    <row r="55" spans="1:49" x14ac:dyDescent="0.15">
      <c r="A55" s="67"/>
      <c r="B55" s="68"/>
      <c r="C55" s="4">
        <v>-10</v>
      </c>
      <c r="D55" s="4">
        <v>1</v>
      </c>
      <c r="E55" s="4">
        <v>5</v>
      </c>
      <c r="F55" s="4">
        <v>1E-4</v>
      </c>
      <c r="G55" s="4">
        <v>4.5</v>
      </c>
      <c r="I55" s="20" t="s">
        <v>445</v>
      </c>
      <c r="J55" s="4" t="b">
        <v>1</v>
      </c>
      <c r="K55" s="4" t="e">
        <v>#N/A</v>
      </c>
      <c r="L55" s="4" t="e">
        <f>#VALUE!</f>
        <v>#VALUE!</v>
      </c>
      <c r="M55" s="29" t="e">
        <v>#DIV/0!</v>
      </c>
      <c r="N55" s="29" t="e">
        <v>#NAME?</v>
      </c>
      <c r="O55" s="29" t="e">
        <v>#NULL!</v>
      </c>
      <c r="P55" s="29" t="e">
        <v>#NUM!</v>
      </c>
      <c r="Q55" s="29" t="e">
        <v>#REF!</v>
      </c>
      <c r="R55" s="4" t="e">
        <f>XIRR(C54:G54,C55:G55,D55)</f>
        <v>#NUM!</v>
      </c>
      <c r="S55" s="4" t="e">
        <f>XIRR($C$55:$G$55,$C$54:$G$54,-0.1)</f>
        <v>#NUM!</v>
      </c>
      <c r="T55" s="4">
        <f>XIRR($C$55:$G$55,$C$54:$G$54,D55)</f>
        <v>0.59931974858045578</v>
      </c>
      <c r="U55" s="4">
        <f>XIRR($C$55:$G$55,$C$54:$G$54,E56)</f>
        <v>0.59931975585937503</v>
      </c>
      <c r="V55" s="4">
        <f>XIRR($C$55:$G$55,$C$54:$G$54,F56)</f>
        <v>0.59931974858045578</v>
      </c>
      <c r="W55" s="4">
        <f>XIRR($C$55:$G$55,$C$54:$G$54,H56)</f>
        <v>0.59931975585937503</v>
      </c>
      <c r="X55" s="4">
        <f>XIRR($C$55:$G$55,$C$54:$G$54,I55)</f>
        <v>0.59931974858045578</v>
      </c>
      <c r="Y55" s="4" t="e">
        <f>XIRR($C$55:$G$55,$C$54:$G$54,J56)</f>
        <v>#VALUE!</v>
      </c>
      <c r="Z55" s="4" t="e">
        <f t="shared" ref="Z55:AE55" si="10">XIRR($C$55:$G$55,$C$54:$G$54,K56)</f>
        <v>#N/A</v>
      </c>
      <c r="AA55" s="4" t="e">
        <f t="shared" si="10"/>
        <v>#VALUE!</v>
      </c>
      <c r="AB55" s="4" t="e">
        <f t="shared" si="10"/>
        <v>#DIV/0!</v>
      </c>
      <c r="AC55" s="4" t="e">
        <f t="shared" si="10"/>
        <v>#NAME?</v>
      </c>
      <c r="AD55" s="4" t="e">
        <f t="shared" si="10"/>
        <v>#NULL!</v>
      </c>
      <c r="AE55" s="4" t="e">
        <f t="shared" si="10"/>
        <v>#NUM!</v>
      </c>
      <c r="AF55" s="4" t="e">
        <f>XIRR($C$55:$G$55,$C$54:$G$54,Q56)</f>
        <v>#REF!</v>
      </c>
      <c r="AG55" s="4" t="e">
        <f>XIRR($C$55:$G$55,$C$54:$G$54,D56:Q56)</f>
        <v>#VALUE!</v>
      </c>
      <c r="AH55" s="4" t="e">
        <f t="array" ref="AH55:AW55">XIRR($C$55:$G$55,$C$54:$G$54,C56:Q56)</f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  <c r="AW55" s="4" t="e">
        <v>#VALUE!</v>
      </c>
    </row>
    <row r="56" spans="1:49" x14ac:dyDescent="0.15">
      <c r="A56" s="36" t="s">
        <v>277</v>
      </c>
      <c r="B56" s="37" t="s">
        <v>541</v>
      </c>
      <c r="C56" s="4">
        <v>-0.1</v>
      </c>
      <c r="D56" s="4">
        <v>2</v>
      </c>
      <c r="E56" s="4">
        <v>0</v>
      </c>
      <c r="F56" s="4">
        <v>4</v>
      </c>
      <c r="G56" s="4">
        <v>5</v>
      </c>
      <c r="I56" s="4" t="s">
        <v>32</v>
      </c>
      <c r="J56" s="4" t="b">
        <v>1</v>
      </c>
      <c r="K56" s="4" t="e">
        <v>#N/A</v>
      </c>
      <c r="L56" s="4" t="e">
        <f>#VALUE!</f>
        <v>#VALUE!</v>
      </c>
      <c r="M56" s="29" t="e">
        <v>#DIV/0!</v>
      </c>
      <c r="N56" s="29" t="e">
        <v>#NAME?</v>
      </c>
      <c r="O56" s="29" t="e">
        <v>#NULL!</v>
      </c>
      <c r="P56" s="29" t="e">
        <v>#NUM!</v>
      </c>
      <c r="Q56" s="29" t="e">
        <v>#REF!</v>
      </c>
      <c r="R56" s="4">
        <f>XNPV(R54,C55:G55,C54:G54)</f>
        <v>4.5941641602098571E-9</v>
      </c>
      <c r="S56" s="4" t="e">
        <f t="shared" ref="S56:AA56" si="11">XNPV(C56,$C$55:$G$55,$C$54:$G$54)</f>
        <v>#NUM!</v>
      </c>
      <c r="T56" s="4">
        <f t="shared" si="11"/>
        <v>-0.61247484329765634</v>
      </c>
      <c r="U56" s="4" t="e">
        <f t="shared" si="11"/>
        <v>#NUM!</v>
      </c>
      <c r="V56" s="4">
        <f t="shared" si="11"/>
        <v>-1.0661583524424625</v>
      </c>
      <c r="W56" s="4">
        <f t="shared" si="11"/>
        <v>-1.2193650514728072</v>
      </c>
      <c r="X56" s="4" t="e">
        <f t="shared" si="11"/>
        <v>#NUM!</v>
      </c>
      <c r="Y56" s="4" t="e">
        <f t="shared" si="11"/>
        <v>#VALUE!</v>
      </c>
      <c r="Z56" s="4" t="e">
        <f t="shared" si="11"/>
        <v>#VALUE!</v>
      </c>
      <c r="AA56" s="4" t="e">
        <f t="shared" si="11"/>
        <v>#N/A</v>
      </c>
      <c r="AB56" s="4" t="e">
        <f>XNPV(L56,$C$55:$G$55,$C$54:$G$54)</f>
        <v>#VALUE!</v>
      </c>
      <c r="AC56" s="4" t="e">
        <f>XNPV(M56,$C$55:$G$55,$C$54:$G$54)</f>
        <v>#DIV/0!</v>
      </c>
      <c r="AD56" s="4" t="e">
        <f>XNPV(N56,$C$55:$G$55,$C$54:$G$54)</f>
        <v>#NAME?</v>
      </c>
      <c r="AE56" s="4" t="e">
        <f>XNPV(O56,$C$55:$G$55,$C$54:$G$54)</f>
        <v>#NULL!</v>
      </c>
      <c r="AF56" s="4" t="e">
        <f>XNPV(P56,$C$55:$G$55,$C$54:$G$54)</f>
        <v>#NUM!</v>
      </c>
      <c r="AG56" s="4" t="e">
        <f>XNPV(D56:E56,$C$55:$G$55,$C$54:$G$54)</f>
        <v>#VALUE!</v>
      </c>
      <c r="AH56" s="4" t="e">
        <f t="array" ref="AH56:AW56">XNPV(D56:Q56,$C$55:$G$55,$C$54:$G$54)</f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  <c r="AW56" s="4" t="e">
        <v>#VALUE!</v>
      </c>
    </row>
    <row r="57" spans="1:49" x14ac:dyDescent="0.15">
      <c r="A57" s="41" t="s">
        <v>278</v>
      </c>
    </row>
    <row r="58" spans="1:49" x14ac:dyDescent="0.15">
      <c r="A58" s="41" t="s">
        <v>279</v>
      </c>
    </row>
    <row r="59" spans="1:49" x14ac:dyDescent="0.15">
      <c r="A59" s="41" t="s">
        <v>280</v>
      </c>
    </row>
  </sheetData>
  <mergeCells count="11">
    <mergeCell ref="A54:A55"/>
    <mergeCell ref="A26:A27"/>
    <mergeCell ref="C1:Q1"/>
    <mergeCell ref="R1:AW1"/>
    <mergeCell ref="C2:G2"/>
    <mergeCell ref="K2:Q2"/>
    <mergeCell ref="R2:V2"/>
    <mergeCell ref="Z2:AF2"/>
    <mergeCell ref="AH2:AW2"/>
    <mergeCell ref="B54:B55"/>
    <mergeCell ref="B26:B2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W24"/>
  <sheetViews>
    <sheetView zoomScaleNormal="100" workbookViewId="0">
      <selection activeCell="A17" sqref="A17"/>
    </sheetView>
  </sheetViews>
  <sheetFormatPr baseColWidth="10" defaultColWidth="10.83203125" defaultRowHeight="11" x14ac:dyDescent="0.15"/>
  <cols>
    <col min="1" max="1" width="7.33203125" style="44" bestFit="1" customWidth="1"/>
    <col min="2" max="2" width="5.1640625" style="43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15.5" style="4" bestFit="1" customWidth="1"/>
    <col min="10" max="10" width="3.6640625" style="4" bestFit="1" customWidth="1"/>
    <col min="11" max="11" width="7.832031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2" width="4.1640625" style="4" bestFit="1" customWidth="1"/>
    <col min="23" max="23" width="4.6640625" style="4" bestFit="1" customWidth="1"/>
    <col min="24" max="26" width="5.6640625" style="4" bestFit="1" customWidth="1"/>
    <col min="27" max="27" width="4.1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.1640625" style="4" bestFit="1" customWidth="1"/>
    <col min="33" max="33" width="9.83203125" style="4" bestFit="1" customWidth="1"/>
    <col min="34" max="34" width="5.83203125" style="4" bestFit="1" customWidth="1"/>
    <col min="35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COUNTIF(B3:B278,"=DONE")/COUNTA(A3:A278)</f>
        <v>0.5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ht="11" customHeight="1" x14ac:dyDescent="0.2">
      <c r="A3" s="41" t="s">
        <v>208</v>
      </c>
      <c r="I3" s="35"/>
      <c r="K3" s="28"/>
      <c r="M3" s="34"/>
    </row>
    <row r="4" spans="1:49" x14ac:dyDescent="0.15">
      <c r="A4" s="41" t="s">
        <v>209</v>
      </c>
    </row>
    <row r="5" spans="1:49" x14ac:dyDescent="0.15">
      <c r="A5" s="41" t="s">
        <v>210</v>
      </c>
    </row>
    <row r="6" spans="1:49" x14ac:dyDescent="0.15">
      <c r="A6" s="36" t="s">
        <v>211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b">
        <f>ISBLANK(C6)</f>
        <v>0</v>
      </c>
      <c r="S6" s="6" t="b">
        <f t="shared" ref="S6:AF6" si="0">ISBLANK(D6)</f>
        <v>0</v>
      </c>
      <c r="T6" s="6" t="b">
        <f t="shared" si="0"/>
        <v>0</v>
      </c>
      <c r="U6" s="6" t="b">
        <f t="shared" si="0"/>
        <v>0</v>
      </c>
      <c r="V6" s="6" t="b">
        <f t="shared" si="0"/>
        <v>0</v>
      </c>
      <c r="W6" s="6" t="b">
        <f t="shared" si="0"/>
        <v>1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shared" si="0"/>
        <v>0</v>
      </c>
      <c r="AG6" s="6" t="b">
        <f t="array" ref="AG6">ISBLANK(C6:Q6)</f>
        <v>0</v>
      </c>
      <c r="AH6" s="6" t="b">
        <f t="array" ref="AH6">ISBLANK(H6:Q6)</f>
        <v>1</v>
      </c>
      <c r="AI6" s="4" t="b">
        <f t="array" ref="AI6:AW6">ISBLANK(D6:Q6)</f>
        <v>0</v>
      </c>
      <c r="AJ6" s="4" t="b">
        <v>0</v>
      </c>
      <c r="AK6" s="4" t="b">
        <v>0</v>
      </c>
      <c r="AL6" s="4" t="b">
        <v>0</v>
      </c>
      <c r="AM6" s="4" t="b">
        <v>1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49" x14ac:dyDescent="0.15">
      <c r="A7" s="38" t="s">
        <v>36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 t="shared" ref="R7:AF7" si="1">ISERR(C7)</f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0</v>
      </c>
      <c r="Z7" s="6" t="b">
        <f t="shared" si="1"/>
        <v>1</v>
      </c>
      <c r="AA7" s="6" t="b">
        <f t="shared" si="1"/>
        <v>0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shared" si="1"/>
        <v>1</v>
      </c>
      <c r="AG7" s="6" t="b">
        <f t="array" ref="AG7">ISERR(C7:E7)</f>
        <v>0</v>
      </c>
      <c r="AH7" s="6" t="b">
        <f t="array" ref="AH7:AW7">ISERR(C7:Q7)</f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1</v>
      </c>
      <c r="AS7" s="6" t="b">
        <v>1</v>
      </c>
      <c r="AT7" s="6" t="b">
        <v>1</v>
      </c>
      <c r="AU7" s="6" t="b">
        <v>1</v>
      </c>
      <c r="AV7" s="6" t="b">
        <v>1</v>
      </c>
      <c r="AW7" s="4" t="b">
        <v>0</v>
      </c>
    </row>
    <row r="8" spans="1:49" x14ac:dyDescent="0.15">
      <c r="A8" s="38" t="s">
        <v>37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 t="shared" ref="R8:AF8" si="2">ISERROR(C8)</f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0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shared" si="2"/>
        <v>1</v>
      </c>
      <c r="AG8" s="6" t="b">
        <f t="array" ref="AG8">ISERR(C8:E8)</f>
        <v>0</v>
      </c>
      <c r="AH8" s="6" t="b">
        <f t="array" ref="AH8:AW8">ISERROR(C8:Q8)</f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4" t="b">
        <v>1</v>
      </c>
    </row>
    <row r="9" spans="1:49" x14ac:dyDescent="0.15">
      <c r="A9" s="36" t="s">
        <v>212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17" t="s">
        <v>489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b">
        <f>ISEVEN(C9)</f>
        <v>1</v>
      </c>
      <c r="S9" s="6" t="b">
        <f t="shared" ref="S9:AF9" si="3">ISEVEN(D9)</f>
        <v>0</v>
      </c>
      <c r="T9" s="6" t="b">
        <f>ISEVEN(E9)</f>
        <v>1</v>
      </c>
      <c r="U9" s="6" t="b">
        <f t="shared" si="3"/>
        <v>1</v>
      </c>
      <c r="V9" s="6" t="b">
        <f t="shared" si="3"/>
        <v>0</v>
      </c>
      <c r="W9" s="6" t="b">
        <f>ISEVEN(H9)</f>
        <v>1</v>
      </c>
      <c r="X9" s="6" t="b">
        <f>ISEVEN(I9)</f>
        <v>0</v>
      </c>
      <c r="Y9" s="6" t="e">
        <f t="shared" si="3"/>
        <v>#VALUE!</v>
      </c>
      <c r="Z9" s="6" t="e">
        <f t="shared" si="3"/>
        <v>#VALUE!</v>
      </c>
      <c r="AA9" s="6" t="e">
        <f t="shared" si="3"/>
        <v>#N/A</v>
      </c>
      <c r="AB9" s="6" t="e">
        <f>ISEVEN(M9)</f>
        <v>#DIV/0!</v>
      </c>
      <c r="AC9" s="6" t="e">
        <f t="shared" si="3"/>
        <v>#NAME?</v>
      </c>
      <c r="AD9" s="6" t="e">
        <f t="shared" si="3"/>
        <v>#NULL!</v>
      </c>
      <c r="AE9" s="6" t="e">
        <f t="shared" si="3"/>
        <v>#NUM!</v>
      </c>
      <c r="AF9" s="6" t="e">
        <f t="shared" si="3"/>
        <v>#REF!</v>
      </c>
      <c r="AG9" s="4" t="e">
        <f>ISEVEN(C9:Q9)</f>
        <v>#VALUE!</v>
      </c>
      <c r="AH9" s="4" t="e">
        <f t="array" ref="AH9:AJ9">ISEVEN(C9:Q9)</f>
        <v>#VALUE!</v>
      </c>
      <c r="AI9" s="4" t="e">
        <v>#VALUE!</v>
      </c>
      <c r="AJ9" s="4" t="e">
        <v>#VALUE!</v>
      </c>
      <c r="AK9" s="4" t="e">
        <f t="array" ref="AK9:AN9">ISEVEN(C9:G9)</f>
        <v>#VALUE!</v>
      </c>
      <c r="AL9" s="4" t="e">
        <v>#VALUE!</v>
      </c>
      <c r="AM9" s="4" t="e">
        <v>#VALUE!</v>
      </c>
      <c r="AN9" s="4" t="e">
        <v>#VALUE!</v>
      </c>
      <c r="AO9" s="4" t="e">
        <f t="array" ref="AO9:AW9">ISEVEN(M9:Q9)</f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41" t="s">
        <v>213</v>
      </c>
      <c r="H10" s="6"/>
      <c r="I10" s="17"/>
      <c r="J10" s="6"/>
      <c r="K10" s="6"/>
      <c r="L10" s="6"/>
      <c r="M10" s="7"/>
      <c r="N10" s="7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49" x14ac:dyDescent="0.15">
      <c r="A11" s="36" t="s">
        <v>214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17" t="s">
        <v>489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ISLOGICAL(C11)</f>
        <v>0</v>
      </c>
      <c r="S11" s="6" t="b">
        <f t="shared" ref="S11:AF11" si="4">ISLOGICAL(D11)</f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0</v>
      </c>
      <c r="Y11" s="6" t="b">
        <f t="shared" si="4"/>
        <v>1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6" t="b">
        <f t="shared" si="4"/>
        <v>0</v>
      </c>
      <c r="AG11" s="4" t="b">
        <f t="array" ref="AG11">ISLOGICAL(J11:Q11)</f>
        <v>1</v>
      </c>
      <c r="AH11" s="4" t="b">
        <f t="array" ref="AH11:AJ11">ISLOGICAL(C11:Q11)</f>
        <v>0</v>
      </c>
      <c r="AI11" s="4" t="b">
        <v>0</v>
      </c>
      <c r="AJ11" s="4" t="b">
        <v>0</v>
      </c>
      <c r="AK11" s="4" t="b">
        <f t="array" ref="AK11:AN11">ISLOGICAL(H11:L11)</f>
        <v>0</v>
      </c>
      <c r="AL11" s="4" t="b">
        <v>0</v>
      </c>
      <c r="AM11" s="4" t="b">
        <v>1</v>
      </c>
      <c r="AN11" s="4" t="b">
        <v>0</v>
      </c>
      <c r="AO11" s="4" t="b">
        <f t="array" ref="AO11:AW11">ISLOGICAL(M11:Q11)</f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</row>
    <row r="12" spans="1:49" x14ac:dyDescent="0.15">
      <c r="A12" s="36" t="s">
        <v>215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ISNA(C12)</f>
        <v>0</v>
      </c>
      <c r="S12" s="6" t="b">
        <f t="shared" ref="S12:AF12" si="5">ISNA(D12)</f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0</v>
      </c>
      <c r="AA12" s="6" t="b">
        <f t="shared" si="5"/>
        <v>1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shared" si="5"/>
        <v>0</v>
      </c>
      <c r="AG12" s="6" t="b">
        <f t="array" ref="AG12">ISNA(C12:E12)</f>
        <v>0</v>
      </c>
      <c r="AH12" s="6" t="b">
        <f t="array" ref="AH12:AW12">ISNA(C12:Q12)</f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1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4" t="b">
        <v>1</v>
      </c>
    </row>
    <row r="13" spans="1:49" x14ac:dyDescent="0.15">
      <c r="A13" s="36" t="s">
        <v>216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17" t="s">
        <v>489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ISNONTEXT(C13)</f>
        <v>1</v>
      </c>
      <c r="S13" s="6" t="b">
        <f t="shared" ref="S13:AF13" si="6">ISNONTEXT(D13)</f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1</v>
      </c>
      <c r="X13" s="6" t="b">
        <f t="shared" si="6"/>
        <v>0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6" t="b">
        <f t="shared" si="6"/>
        <v>1</v>
      </c>
      <c r="AG13" s="4" t="b">
        <f t="array" ref="AG13">ISNONTEXT(I13:Q13)</f>
        <v>0</v>
      </c>
      <c r="AH13" s="4" t="b">
        <f t="array" ref="AH13:AJ13">ISNONTEXT(C13:Q13)</f>
        <v>1</v>
      </c>
      <c r="AI13" s="4" t="b">
        <v>1</v>
      </c>
      <c r="AJ13" s="4" t="b">
        <v>1</v>
      </c>
      <c r="AK13" s="4" t="b">
        <f t="array" ref="AK13:AN13">ISNONTEXT(F13:J13)</f>
        <v>1</v>
      </c>
      <c r="AL13" s="4" t="b">
        <v>1</v>
      </c>
      <c r="AM13" s="4" t="b">
        <v>1</v>
      </c>
      <c r="AN13" s="4" t="b">
        <v>0</v>
      </c>
      <c r="AO13" s="4" t="b">
        <f t="array" ref="AO13:AW13">ISNONTEXT(M13:Q13)</f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  <c r="AW13" s="4" t="b">
        <v>1</v>
      </c>
    </row>
    <row r="14" spans="1:49" x14ac:dyDescent="0.15">
      <c r="A14" s="36" t="s">
        <v>217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b">
        <f>ISNUMBER(C14)</f>
        <v>1</v>
      </c>
      <c r="S14" s="4" t="b">
        <f t="shared" ref="S14:AF14" si="7">ISNUMBER(D14)</f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1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shared" si="7"/>
        <v>0</v>
      </c>
      <c r="AG14" s="4" t="b">
        <f t="array" ref="AG14">ISNUMBER(C14:Q14)</f>
        <v>1</v>
      </c>
      <c r="AH14" s="4" t="b">
        <f t="array" ref="AH14:AW14">ISNUMBER(C14:P14)</f>
        <v>1</v>
      </c>
      <c r="AI14" s="4" t="b">
        <v>1</v>
      </c>
      <c r="AJ14" s="4" t="b">
        <v>1</v>
      </c>
      <c r="AK14" s="4" t="b">
        <v>1</v>
      </c>
      <c r="AL14" s="4" t="b">
        <v>1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</row>
    <row r="15" spans="1:49" x14ac:dyDescent="0.15">
      <c r="A15" s="36" t="s">
        <v>218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17" t="s">
        <v>489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ISODD(C15)</f>
        <v>0</v>
      </c>
      <c r="S15" s="6" t="b">
        <f t="shared" ref="S15:AF15" si="8">ISODD(D15)</f>
        <v>1</v>
      </c>
      <c r="T15" s="6" t="b">
        <f>ISODD(E15)</f>
        <v>0</v>
      </c>
      <c r="U15" s="6" t="b">
        <f t="shared" si="8"/>
        <v>0</v>
      </c>
      <c r="V15" s="6" t="b">
        <f t="shared" si="8"/>
        <v>1</v>
      </c>
      <c r="W15" s="6" t="b">
        <f t="shared" si="8"/>
        <v>0</v>
      </c>
      <c r="X15" s="6" t="b">
        <f t="shared" si="8"/>
        <v>1</v>
      </c>
      <c r="Y15" s="6" t="e">
        <f t="shared" si="8"/>
        <v>#VALUE!</v>
      </c>
      <c r="Z15" s="6" t="e">
        <f t="shared" si="8"/>
        <v>#VALUE!</v>
      </c>
      <c r="AA15" s="6" t="e">
        <f t="shared" si="8"/>
        <v>#N/A</v>
      </c>
      <c r="AB15" s="6" t="e">
        <f t="shared" si="8"/>
        <v>#DIV/0!</v>
      </c>
      <c r="AC15" s="6" t="e">
        <f t="shared" si="8"/>
        <v>#NAME?</v>
      </c>
      <c r="AD15" s="6" t="e">
        <f t="shared" si="8"/>
        <v>#NULL!</v>
      </c>
      <c r="AE15" s="6" t="e">
        <f t="shared" si="8"/>
        <v>#NUM!</v>
      </c>
      <c r="AF15" s="6" t="e">
        <f t="shared" si="8"/>
        <v>#REF!</v>
      </c>
      <c r="AG15" s="4" t="e">
        <f>ISODD(C15:Q15)</f>
        <v>#VALUE!</v>
      </c>
      <c r="AH15" s="4" t="e">
        <f t="array" ref="AH15:AJ15">ISODD(C15:Q15)</f>
        <v>#VALUE!</v>
      </c>
      <c r="AI15" s="4" t="e">
        <v>#VALUE!</v>
      </c>
      <c r="AJ15" s="4" t="e">
        <v>#VALUE!</v>
      </c>
      <c r="AK15" s="4" t="e">
        <f t="array" ref="AK15:AN15">ISODD(C15:G15)</f>
        <v>#VALUE!</v>
      </c>
      <c r="AL15" s="4" t="e">
        <v>#VALUE!</v>
      </c>
      <c r="AM15" s="4" t="e">
        <v>#VALUE!</v>
      </c>
      <c r="AN15" s="4" t="e">
        <v>#VALUE!</v>
      </c>
      <c r="AO15" s="4" t="e">
        <f t="array" ref="AO15:AW15">ISODD(M15:Q15)</f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49" x14ac:dyDescent="0.15">
      <c r="A16" s="41" t="s">
        <v>522</v>
      </c>
      <c r="H16" s="6"/>
      <c r="I16" s="17"/>
      <c r="J16" s="6"/>
      <c r="K16" s="6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49" x14ac:dyDescent="0.15">
      <c r="A17" s="41" t="s">
        <v>219</v>
      </c>
      <c r="C17" s="11"/>
      <c r="D17" s="11"/>
      <c r="E17" s="11"/>
      <c r="F17" s="11"/>
      <c r="G17" s="11"/>
      <c r="H17" s="30"/>
      <c r="I17" s="3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49" x14ac:dyDescent="0.15">
      <c r="A18" s="36" t="s">
        <v>220</v>
      </c>
      <c r="B18" s="37" t="s">
        <v>541</v>
      </c>
      <c r="C18" s="4">
        <v>0</v>
      </c>
      <c r="D18" s="4">
        <v>1</v>
      </c>
      <c r="E18" s="4">
        <v>2.2999999999999998</v>
      </c>
      <c r="F18" s="4">
        <v>10</v>
      </c>
      <c r="G18" s="4">
        <v>-1</v>
      </c>
      <c r="H18" s="6"/>
      <c r="I18" s="17" t="s">
        <v>489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b">
        <f>ISTEXT(C18)</f>
        <v>0</v>
      </c>
      <c r="S18" s="6" t="b">
        <f t="shared" ref="S18:AF18" si="9">ISTEXT(D18)</f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0</v>
      </c>
      <c r="X18" s="6" t="b">
        <f t="shared" si="9"/>
        <v>1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6" t="b">
        <f t="shared" si="9"/>
        <v>0</v>
      </c>
      <c r="AG18" s="4" t="b">
        <f t="array" ref="AG18">ISTEXT(I18:Q18)</f>
        <v>1</v>
      </c>
      <c r="AH18" s="4" t="b">
        <f t="array" ref="AH18:AJ18">ISTEXT(C18:Q18)</f>
        <v>0</v>
      </c>
      <c r="AI18" s="4" t="b">
        <v>0</v>
      </c>
      <c r="AJ18" s="4" t="b">
        <v>0</v>
      </c>
      <c r="AK18" s="4" t="b">
        <f t="array" ref="AK18:AN18">ISTEXT(F18:J18)</f>
        <v>0</v>
      </c>
      <c r="AL18" s="4" t="b">
        <v>0</v>
      </c>
      <c r="AM18" s="4" t="b">
        <v>0</v>
      </c>
      <c r="AN18" s="4" t="b">
        <v>1</v>
      </c>
      <c r="AO18" s="4" t="b">
        <f t="array" ref="AO18:AW18">ISTEXT(M18:Q18)</f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</row>
    <row r="19" spans="1:49" x14ac:dyDescent="0.15">
      <c r="A19" s="41" t="s">
        <v>221</v>
      </c>
    </row>
    <row r="20" spans="1:49" x14ac:dyDescent="0.15">
      <c r="A20" s="36" t="s">
        <v>222</v>
      </c>
      <c r="B20" s="37" t="s">
        <v>541</v>
      </c>
      <c r="W20" s="4" t="e">
        <f>NA()</f>
        <v>#N/A</v>
      </c>
      <c r="AH20" s="4" t="e">
        <f t="array" ref="AH20:AW20">NA()</f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  <c r="AW20" s="4" t="e">
        <v>#N/A</v>
      </c>
    </row>
    <row r="21" spans="1:49" x14ac:dyDescent="0.15">
      <c r="A21" s="41" t="s">
        <v>223</v>
      </c>
    </row>
    <row r="22" spans="1:49" x14ac:dyDescent="0.15">
      <c r="A22" s="41" t="s">
        <v>224</v>
      </c>
    </row>
    <row r="23" spans="1:49" x14ac:dyDescent="0.15">
      <c r="A23" s="41" t="s">
        <v>563</v>
      </c>
    </row>
    <row r="24" spans="1:49" x14ac:dyDescent="0.15">
      <c r="A24" s="41" t="s">
        <v>225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K25"/>
  <sheetViews>
    <sheetView zoomScaleNormal="100" workbookViewId="0"/>
  </sheetViews>
  <sheetFormatPr baseColWidth="10" defaultColWidth="10.83203125" defaultRowHeight="11" x14ac:dyDescent="0.15"/>
  <cols>
    <col min="1" max="1" width="8.6640625" style="44" bestFit="1" customWidth="1"/>
    <col min="2" max="2" width="5.1640625" style="43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20" width="4.1640625" style="4" bestFit="1" customWidth="1"/>
    <col min="21" max="22" width="3.66406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4" width="6.1640625" style="4" bestFit="1" customWidth="1"/>
    <col min="35" max="35" width="5.83203125" style="4" bestFit="1" customWidth="1"/>
    <col min="36" max="36" width="6" style="4" bestFit="1" customWidth="1"/>
    <col min="37" max="37" width="5.83203125" style="4" bestFit="1" customWidth="1"/>
    <col min="38" max="38" width="4.33203125" style="4" bestFit="1" customWidth="1"/>
    <col min="39" max="39" width="5.6640625" style="4" bestFit="1" customWidth="1"/>
    <col min="40" max="40" width="6.33203125" style="4" bestFit="1" customWidth="1"/>
    <col min="41" max="41" width="4.33203125" style="4" bestFit="1" customWidth="1"/>
    <col min="42" max="42" width="6" style="4" bestFit="1" customWidth="1"/>
    <col min="43" max="43" width="4.1640625" style="4" bestFit="1" customWidth="1"/>
    <col min="44" max="46" width="5.83203125" style="4" bestFit="1" customWidth="1"/>
    <col min="47" max="47" width="5.1640625" style="4" bestFit="1" customWidth="1"/>
    <col min="48" max="48" width="5.6640625" style="4" bestFit="1" customWidth="1"/>
    <col min="49" max="49" width="4.3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COUNTIF(B3:B276,"=DONE")/COUNTA(A3:A276)</f>
        <v>0.57894736842105265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36" t="s">
        <v>566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0</v>
      </c>
      <c r="G3" s="4">
        <v>-1</v>
      </c>
      <c r="H3" s="17"/>
      <c r="I3" s="17" t="s">
        <v>414</v>
      </c>
      <c r="J3" s="6" t="b">
        <f>FALSE</f>
        <v>0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b">
        <f t="shared" ref="R3:AF3" si="0">AND(C3,TRUE)</f>
        <v>0</v>
      </c>
      <c r="S3" s="4" t="b">
        <f t="shared" si="0"/>
        <v>1</v>
      </c>
      <c r="T3" s="4" t="b">
        <f t="shared" si="0"/>
        <v>1</v>
      </c>
      <c r="U3" s="4" t="b">
        <f t="shared" si="0"/>
        <v>0</v>
      </c>
      <c r="V3" s="4" t="b">
        <f t="shared" si="0"/>
        <v>1</v>
      </c>
      <c r="W3" s="4" t="b">
        <f t="shared" si="0"/>
        <v>1</v>
      </c>
      <c r="X3" s="4" t="b">
        <f t="shared" si="0"/>
        <v>1</v>
      </c>
      <c r="Y3" s="4" t="b">
        <f t="shared" si="0"/>
        <v>0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b">
        <f>AND(C3:D3,C3)</f>
        <v>0</v>
      </c>
      <c r="AH3" s="4" t="e">
        <f t="array" ref="AH3:AI3">AND(FALSE,C3:Q3)</f>
        <v>#VALUE!</v>
      </c>
      <c r="AI3" s="4" t="e">
        <v>#VALUE!</v>
      </c>
      <c r="AJ3" s="4" t="e">
        <f t="array" ref="AJ3:AK3">AND(C3:P3,D3:Q3)</f>
        <v>#VALUE!</v>
      </c>
      <c r="AK3" s="4" t="e">
        <v>#VALUE!</v>
      </c>
      <c r="AL3" s="4" t="b">
        <f t="array" ref="AL3:AN3">AND(C3:D3,C3)</f>
        <v>0</v>
      </c>
      <c r="AM3" s="4" t="b">
        <v>0</v>
      </c>
      <c r="AN3" s="4" t="b">
        <v>0</v>
      </c>
      <c r="AO3" s="4" t="b">
        <f>AND(F3,C3)</f>
        <v>0</v>
      </c>
      <c r="AP3" s="4" t="e">
        <f>AND(TRUE,"0",#REF!)</f>
        <v>#REF!</v>
      </c>
      <c r="AQ3" s="4" t="e">
        <f>AND(TRUE,#REF!,"0")</f>
        <v>#REF!</v>
      </c>
      <c r="AR3" s="4" t="e">
        <f>AND(H3:I3)</f>
        <v>#VALUE!</v>
      </c>
      <c r="AS3" s="4" t="e">
        <f>AND(TRUE,"ciao",#REF!,"0")</f>
        <v>#REF!</v>
      </c>
      <c r="AT3" s="4" t="b">
        <f>AND(TRUE,"0")</f>
        <v>1</v>
      </c>
    </row>
    <row r="4" spans="1:63" x14ac:dyDescent="0.15">
      <c r="A4" s="41" t="s">
        <v>514</v>
      </c>
      <c r="H4" s="17"/>
      <c r="I4" s="17"/>
      <c r="J4" s="6"/>
      <c r="K4" s="6"/>
      <c r="L4" s="6"/>
      <c r="M4" s="7"/>
      <c r="N4" s="7"/>
      <c r="O4" s="7"/>
      <c r="P4" s="7"/>
      <c r="Q4" s="7"/>
    </row>
    <row r="5" spans="1:63" x14ac:dyDescent="0.15">
      <c r="A5" s="41" t="s">
        <v>515</v>
      </c>
      <c r="H5" s="17"/>
      <c r="I5" s="17"/>
      <c r="J5" s="6"/>
      <c r="K5" s="6"/>
      <c r="L5" s="6"/>
      <c r="M5" s="7"/>
      <c r="N5" s="7"/>
      <c r="O5" s="7"/>
      <c r="P5" s="7"/>
      <c r="Q5" s="7"/>
    </row>
    <row r="6" spans="1:63" x14ac:dyDescent="0.15">
      <c r="A6" s="50" t="s">
        <v>601</v>
      </c>
      <c r="B6" s="37" t="s">
        <v>541</v>
      </c>
      <c r="J6" s="6" t="b">
        <f>FALSE</f>
        <v>0</v>
      </c>
      <c r="W6" s="4" t="b">
        <f>FALSE()</f>
        <v>0</v>
      </c>
      <c r="AH6" s="4" t="b">
        <f t="array" ref="AH6:AO6">FALSE()</f>
        <v>0</v>
      </c>
      <c r="AI6" s="4" t="b">
        <v>0</v>
      </c>
      <c r="AJ6" s="4" t="b">
        <v>0</v>
      </c>
      <c r="AK6" s="4" t="b">
        <v>0</v>
      </c>
      <c r="AL6" s="4" t="b">
        <v>0</v>
      </c>
      <c r="AM6" s="4" t="b">
        <v>0</v>
      </c>
      <c r="AN6" s="4" t="b">
        <v>0</v>
      </c>
      <c r="AO6" s="4" t="b">
        <v>0</v>
      </c>
      <c r="AP6" s="4" t="b">
        <f t="array" ref="AP6:AW6">FALSE</f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63" x14ac:dyDescent="0.15">
      <c r="A7" s="36" t="s">
        <v>590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>IF(C7,1)</f>
        <v>0</v>
      </c>
      <c r="S7" s="6">
        <f>IF(D7,1)</f>
        <v>1</v>
      </c>
      <c r="T7" s="6" t="b">
        <f>IF(E7=1,1)</f>
        <v>0</v>
      </c>
      <c r="U7" s="6">
        <f>IF(F7,1)</f>
        <v>1</v>
      </c>
      <c r="V7" s="6">
        <f>IF(G7,1)</f>
        <v>1</v>
      </c>
      <c r="W7" s="6">
        <f>IF(H7,1,2)</f>
        <v>2</v>
      </c>
      <c r="X7" s="6" t="e" vm="18">
        <f t="shared" ref="X7:AF7" si="1">IF(I7,1)</f>
        <v>#VALUE!</v>
      </c>
      <c r="Y7" s="6">
        <f t="shared" si="1"/>
        <v>1</v>
      </c>
      <c r="Z7" s="6" t="e">
        <f t="shared" si="1"/>
        <v>#VALUE!</v>
      </c>
      <c r="AA7" s="6" t="e">
        <f t="shared" si="1"/>
        <v>#N/A</v>
      </c>
      <c r="AB7" s="6" t="e">
        <f t="shared" si="1"/>
        <v>#DIV/0!</v>
      </c>
      <c r="AC7" s="6" t="e">
        <f t="shared" si="1"/>
        <v>#NAME?</v>
      </c>
      <c r="AD7" s="6" t="e">
        <f t="shared" si="1"/>
        <v>#NULL!</v>
      </c>
      <c r="AE7" s="6" t="e">
        <f t="shared" si="1"/>
        <v>#NUM!</v>
      </c>
      <c r="AF7" s="6" t="e">
        <f t="shared" si="1"/>
        <v>#REF!</v>
      </c>
      <c r="AG7" s="6" t="b">
        <f t="array" ref="AG7">IF(C7:G7,1)</f>
        <v>0</v>
      </c>
      <c r="AH7" s="6" t="b">
        <f t="array" ref="AH7:AI7">IF(C7:D7,D7:E7)</f>
        <v>0</v>
      </c>
      <c r="AI7" s="6">
        <v>2.2999999999999998</v>
      </c>
      <c r="AJ7" s="6">
        <f t="array" ref="AJ7:AK7">IF(C7:D7,2,D7:E7)</f>
        <v>1</v>
      </c>
      <c r="AK7" s="6">
        <v>2</v>
      </c>
      <c r="AL7" s="6">
        <f t="array" ref="AL7:AM7">IF(C7:D7,D7:E7,F7:G7)</f>
        <v>10</v>
      </c>
      <c r="AM7" s="6">
        <v>2.2999999999999998</v>
      </c>
      <c r="AN7" s="6" t="e" vm="19">
        <f t="array" ref="AN7:AP7">IF(I7:K7,D7:F7,F7:H7)</f>
        <v>#VALUE!</v>
      </c>
      <c r="AO7" s="6">
        <v>2.2999999999999998</v>
      </c>
      <c r="AP7" s="6" t="e">
        <v>#VALUE!</v>
      </c>
      <c r="AQ7" s="6">
        <f t="array" ref="AQ7:AS7">IF(C7:E7,D7:F7,E7:G7)</f>
        <v>2.2999999999999998</v>
      </c>
      <c r="AR7" s="6">
        <v>2.2999999999999998</v>
      </c>
      <c r="AS7" s="6">
        <v>10</v>
      </c>
      <c r="AT7" s="6" t="b">
        <f t="array" ref="AT7:AW7">IF(C7:D7,D7:E7)</f>
        <v>0</v>
      </c>
      <c r="AU7" s="6">
        <v>2.2999999999999998</v>
      </c>
      <c r="AV7" s="6" t="e">
        <v>#N/A</v>
      </c>
      <c r="AW7" s="4" t="e">
        <v>#N/A</v>
      </c>
    </row>
    <row r="8" spans="1:63" x14ac:dyDescent="0.15">
      <c r="A8" s="36" t="s">
        <v>591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>
        <f t="shared" ref="R8:AF8" si="2">IFERROR(C8,D8)</f>
        <v>0</v>
      </c>
      <c r="S8" s="4">
        <f t="shared" si="2"/>
        <v>1</v>
      </c>
      <c r="T8" s="4">
        <f t="shared" si="2"/>
        <v>2.2999999999999998</v>
      </c>
      <c r="U8" s="4">
        <f t="shared" si="2"/>
        <v>10</v>
      </c>
      <c r="V8" s="4">
        <f t="shared" si="2"/>
        <v>-1</v>
      </c>
      <c r="W8" s="4">
        <f t="shared" si="2"/>
        <v>0</v>
      </c>
      <c r="X8" s="4" t="str">
        <f t="shared" si="2"/>
        <v>ciao</v>
      </c>
      <c r="Y8" s="4" t="b">
        <f t="shared" si="2"/>
        <v>1</v>
      </c>
      <c r="Z8" s="4" t="e">
        <f t="shared" si="2"/>
        <v>#N/A</v>
      </c>
      <c r="AA8" s="4" t="e">
        <f t="shared" si="2"/>
        <v>#DIV/0!</v>
      </c>
      <c r="AB8" s="4" t="e">
        <f t="shared" si="2"/>
        <v>#NAME?</v>
      </c>
      <c r="AC8" s="4" t="e">
        <f t="shared" si="2"/>
        <v>#NULL!</v>
      </c>
      <c r="AD8" s="4" t="e">
        <f t="shared" si="2"/>
        <v>#NUM!</v>
      </c>
      <c r="AE8" s="4" t="e">
        <f t="shared" si="2"/>
        <v>#REF!</v>
      </c>
      <c r="AF8" s="4">
        <f t="shared" si="2"/>
        <v>0</v>
      </c>
      <c r="AG8" s="4">
        <f t="array" ref="AG8">IFERROR(D8:E8,U8)</f>
        <v>1</v>
      </c>
      <c r="AH8" s="4" t="str">
        <f t="array" ref="AH8:AI8">IFERROR(K8:L8,I8:J8)</f>
        <v>ciao</v>
      </c>
      <c r="AI8" s="4" t="b">
        <v>1</v>
      </c>
      <c r="AJ8" s="4">
        <f t="array" ref="AJ8:AK8">IFERROR(D8:E8,R8)</f>
        <v>1</v>
      </c>
      <c r="AK8" s="4">
        <v>2.2999999999999998</v>
      </c>
      <c r="AL8" s="4">
        <f t="array" ref="AL8:AW8">IFERROR(G8:Q8,R8)</f>
        <v>-1</v>
      </c>
      <c r="AM8" s="4">
        <v>0</v>
      </c>
      <c r="AN8" s="4" t="str">
        <v>ciao</v>
      </c>
      <c r="AO8" s="4" t="b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 t="e">
        <v>#N/A</v>
      </c>
    </row>
    <row r="9" spans="1:63" x14ac:dyDescent="0.15">
      <c r="A9" s="36" t="s">
        <v>592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3">_xlfn.IFNA(C9,D9)</f>
        <v>0</v>
      </c>
      <c r="S9" s="4">
        <f t="shared" si="3"/>
        <v>1</v>
      </c>
      <c r="T9" s="4">
        <f t="shared" si="3"/>
        <v>2.2999999999999998</v>
      </c>
      <c r="U9" s="4">
        <f t="shared" si="3"/>
        <v>10</v>
      </c>
      <c r="V9" s="4">
        <f t="shared" si="3"/>
        <v>-1</v>
      </c>
      <c r="W9" s="4">
        <f t="shared" si="3"/>
        <v>0</v>
      </c>
      <c r="X9" s="4" t="str">
        <f t="shared" si="3"/>
        <v>ciao</v>
      </c>
      <c r="Y9" s="4" t="b">
        <f t="shared" si="3"/>
        <v>1</v>
      </c>
      <c r="Z9" s="4" t="e">
        <f t="shared" si="3"/>
        <v>#VALUE!</v>
      </c>
      <c r="AA9" s="4" t="e">
        <f t="shared" si="3"/>
        <v>#DIV/0!</v>
      </c>
      <c r="AB9" s="4" t="e">
        <f t="shared" si="3"/>
        <v>#DIV/0!</v>
      </c>
      <c r="AC9" s="4" t="e">
        <f t="shared" si="3"/>
        <v>#NAME?</v>
      </c>
      <c r="AD9" s="4" t="e">
        <f t="shared" si="3"/>
        <v>#NULL!</v>
      </c>
      <c r="AE9" s="4" t="e">
        <f t="shared" si="3"/>
        <v>#NUM!</v>
      </c>
      <c r="AF9" s="4" t="e">
        <f t="shared" si="3"/>
        <v>#REF!</v>
      </c>
      <c r="AG9" s="4">
        <f t="array" ref="AG9">_xlfn.IFNA(E9:F9,R9)</f>
        <v>2.2999999999999998</v>
      </c>
      <c r="AH9" s="4" t="e">
        <f t="array" ref="AH9:AI9">_xlfn.IFNA(K9:L9,I9:J9)</f>
        <v>#VALUE!</v>
      </c>
      <c r="AI9" s="4" t="b">
        <v>1</v>
      </c>
      <c r="AJ9" s="4">
        <f t="array" ref="AJ9:AK9">_xlfn.IFNA(D9:E9,R9)</f>
        <v>1</v>
      </c>
      <c r="AK9" s="4">
        <v>2.2999999999999998</v>
      </c>
      <c r="AL9" s="4">
        <f t="array" ref="AL9:AW9">_xlfn.IFNA(G9:Q9,R9)</f>
        <v>-1</v>
      </c>
      <c r="AM9" s="4">
        <v>0</v>
      </c>
      <c r="AN9" s="4" t="str">
        <v>ciao</v>
      </c>
      <c r="AO9" s="4" t="b">
        <v>1</v>
      </c>
      <c r="AP9" s="4" t="e">
        <v>#VALUE!</v>
      </c>
      <c r="AQ9" s="4">
        <v>0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6" t="s">
        <v>593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0</v>
      </c>
      <c r="G10" s="4">
        <v>-1</v>
      </c>
      <c r="H10" s="6"/>
      <c r="I10" s="17" t="s">
        <v>414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cm="1">
        <f t="array" ref="R10">_xlfn.IFS(C10,D10,E10,F10)</f>
        <v>0</v>
      </c>
      <c r="S10" s="4" cm="1">
        <f t="array" ref="S10">_xlfn.IFS(D10,E10,F10,G10)</f>
        <v>2.2999999999999998</v>
      </c>
      <c r="T10" s="4" cm="1">
        <f t="array" ref="T10">_xlfn.IFS(E10,F10,G10,H10)</f>
        <v>0</v>
      </c>
      <c r="U10" s="4" t="e" cm="1">
        <f t="array" ref="U10">_xlfn.IFS(F10,G10,H10,I10)</f>
        <v>#N/A</v>
      </c>
      <c r="V10" s="4" cm="1">
        <f t="array" ref="V10">_xlfn.IFS(G10,H10,I10,J10)</f>
        <v>0</v>
      </c>
      <c r="W10" s="4" t="e" cm="1">
        <f t="array" ref="W10">_xlfn.IFS(H10,I10,J10,K10)</f>
        <v>#VALUE!</v>
      </c>
      <c r="X10" s="4" t="e" cm="1">
        <f t="array" ref="X10">_xlfn.IFS(I10,J10,K10,L10)</f>
        <v>#VALUE!</v>
      </c>
      <c r="Y10" s="4" t="e" cm="1">
        <f t="array" ref="Y10">_xlfn.IFS(J10,K10,L10,M10)</f>
        <v>#VALUE!</v>
      </c>
      <c r="Z10" s="4" t="e" cm="1">
        <f t="array" ref="Z10">_xlfn.IFS(K10,L10,M10,N10)</f>
        <v>#VALUE!</v>
      </c>
      <c r="AA10" s="4" t="e" cm="1">
        <f t="array" ref="AA10">_xlfn.IFS(L10,M10,N10,O10)</f>
        <v>#N/A</v>
      </c>
      <c r="AB10" s="4" t="e" cm="1">
        <f t="array" ref="AB10">_xlfn.IFS(M10,N10,O10,P10)</f>
        <v>#DIV/0!</v>
      </c>
      <c r="AC10" s="4" t="e" cm="1">
        <f t="array" ref="AC10">_xlfn.IFS(N10,O10,P10,Q10)</f>
        <v>#NAME?</v>
      </c>
      <c r="AD10" s="4" t="e" cm="1">
        <f t="array" ref="AD10">_xlfn.IFS(O10,P10,Q10,R10)</f>
        <v>#NULL!</v>
      </c>
      <c r="AE10" s="4" t="e" cm="1">
        <f t="array" ref="AE10">_xlfn.IFS(P10,Q10,R10,S10)</f>
        <v>#NUM!</v>
      </c>
      <c r="AF10" s="4" t="e" cm="1">
        <f t="array" ref="AF10">_xlfn.IFS(Q10,R10,S10,T10)</f>
        <v>#REF!</v>
      </c>
      <c r="AG10" s="4">
        <f t="array" ref="AG10">_xlfn.IFS(C10:D10,J10,E10:F10,G10)</f>
        <v>-1</v>
      </c>
      <c r="AH10" s="4">
        <f t="array" ref="AH10:AI10">_xlfn.IFS(C10:D10,J10,E10:F10,G10)</f>
        <v>-1</v>
      </c>
      <c r="AI10" s="4" t="b">
        <v>1</v>
      </c>
      <c r="AJ10" s="4">
        <f t="array" ref="AJ10:AL10">_xlfn.IFS(C10:D10,I10:J10,E10:F10,D10:E10)</f>
        <v>1</v>
      </c>
      <c r="AK10" s="4" t="b">
        <v>1</v>
      </c>
      <c r="AL10" s="4" t="e">
        <v>#N/A</v>
      </c>
      <c r="AM10" s="4">
        <f t="array" ref="AM10">_xlfn.IFS(C10,I10:J10,E10,D10:E10)</f>
        <v>1</v>
      </c>
      <c r="AN10" s="4">
        <f t="array" ref="AN10:AO10">_xlfn.IFS(C10,I10:J10,E10,D10:E10)</f>
        <v>1</v>
      </c>
      <c r="AO10" s="4">
        <v>2.2999999999999998</v>
      </c>
      <c r="AP10" s="4">
        <f t="array" ref="AP10:AS10">_xlfn.IFS(C10,I10:J10,E10,G10:H10)</f>
        <v>-1</v>
      </c>
      <c r="AQ10" s="4">
        <v>0</v>
      </c>
      <c r="AR10" s="4" t="e">
        <v>#N/A</v>
      </c>
      <c r="AS10" s="4" t="e">
        <v>#N/A</v>
      </c>
      <c r="AT10" s="4" t="e">
        <f t="array" ref="AT10:AW10">_xlfn.IFS(I10:L10,G10:J10,E10,M10:P10)</f>
        <v>#VALUE!</v>
      </c>
      <c r="AU10" s="4">
        <v>0</v>
      </c>
      <c r="AV10" s="4" t="e">
        <v>#VALUE!</v>
      </c>
      <c r="AW10" s="4" t="e">
        <v>#N/A</v>
      </c>
    </row>
    <row r="11" spans="1:63" x14ac:dyDescent="0.15">
      <c r="A11" s="41" t="s">
        <v>523</v>
      </c>
      <c r="H11" s="6"/>
      <c r="I11" s="17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505</v>
      </c>
      <c r="H12" s="6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524</v>
      </c>
      <c r="H13" s="6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525</v>
      </c>
      <c r="H14" s="6"/>
      <c r="I14" s="17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6" t="s">
        <v>595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0</v>
      </c>
      <c r="G15" s="4">
        <v>-1</v>
      </c>
      <c r="H15" s="6"/>
      <c r="I15" s="17" t="s">
        <v>414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b">
        <f t="shared" ref="R15:AF15" si="4">NOT(C15)</f>
        <v>1</v>
      </c>
      <c r="S15" s="4" t="b">
        <f t="shared" si="4"/>
        <v>0</v>
      </c>
      <c r="T15" s="4" t="b">
        <f t="shared" si="4"/>
        <v>0</v>
      </c>
      <c r="U15" s="4" t="b">
        <f t="shared" si="4"/>
        <v>1</v>
      </c>
      <c r="V15" s="4" t="b">
        <f t="shared" si="4"/>
        <v>0</v>
      </c>
      <c r="W15" s="4" t="b">
        <f t="shared" si="4"/>
        <v>1</v>
      </c>
      <c r="X15" s="4" t="e" vm="20">
        <f t="shared" si="4"/>
        <v>#VALUE!</v>
      </c>
      <c r="Y15" s="4" t="b">
        <f t="shared" si="4"/>
        <v>0</v>
      </c>
      <c r="Z15" s="4" t="e">
        <f t="shared" si="4"/>
        <v>#VALUE!</v>
      </c>
      <c r="AA15" s="4" t="e">
        <f t="shared" si="4"/>
        <v>#N/A</v>
      </c>
      <c r="AB15" s="4" t="e">
        <f t="shared" si="4"/>
        <v>#DIV/0!</v>
      </c>
      <c r="AC15" s="4" t="e">
        <f t="shared" si="4"/>
        <v>#NAME?</v>
      </c>
      <c r="AD15" s="4" t="e">
        <f t="shared" si="4"/>
        <v>#NULL!</v>
      </c>
      <c r="AE15" s="4" t="e">
        <f t="shared" si="4"/>
        <v>#NUM!</v>
      </c>
      <c r="AF15" s="4" t="e">
        <f t="shared" si="4"/>
        <v>#REF!</v>
      </c>
      <c r="AG15" s="4" t="b">
        <f t="array" ref="AG15">NOT(C15:G15)</f>
        <v>1</v>
      </c>
      <c r="AH15" s="4" t="b">
        <f t="array" ref="AH15:AW15">NOT(C15:Q15)</f>
        <v>1</v>
      </c>
      <c r="AI15" s="4" t="b">
        <v>0</v>
      </c>
      <c r="AJ15" s="4" t="b">
        <v>0</v>
      </c>
      <c r="AK15" s="4" t="b">
        <v>1</v>
      </c>
      <c r="AL15" s="4" t="b">
        <v>0</v>
      </c>
      <c r="AM15" s="4" t="b">
        <v>1</v>
      </c>
      <c r="AN15" s="4" t="e" vm="20">
        <v>#VALUE!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#REF!</v>
      </c>
      <c r="AW15" s="4" t="e">
        <v>#N/A</v>
      </c>
    </row>
    <row r="16" spans="1:63" x14ac:dyDescent="0.15">
      <c r="A16" s="36" t="s">
        <v>596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b">
        <f t="shared" ref="R16:AF16" si="5">OR(C16,FALSE)</f>
        <v>0</v>
      </c>
      <c r="S16" s="4" t="b">
        <f t="shared" si="5"/>
        <v>1</v>
      </c>
      <c r="T16" s="4" t="b">
        <f t="shared" si="5"/>
        <v>1</v>
      </c>
      <c r="U16" s="4" t="b">
        <f t="shared" si="5"/>
        <v>0</v>
      </c>
      <c r="V16" s="4" t="b">
        <f t="shared" si="5"/>
        <v>1</v>
      </c>
      <c r="W16" s="4" t="b">
        <f t="shared" si="5"/>
        <v>0</v>
      </c>
      <c r="X16" s="4" t="b">
        <f t="shared" si="5"/>
        <v>0</v>
      </c>
      <c r="Y16" s="4" t="b">
        <f t="shared" si="5"/>
        <v>1</v>
      </c>
      <c r="Z16" s="4" t="e">
        <f t="shared" si="5"/>
        <v>#VALUE!</v>
      </c>
      <c r="AA16" s="4" t="e">
        <f t="shared" si="5"/>
        <v>#N/A</v>
      </c>
      <c r="AB16" s="4" t="e">
        <f t="shared" si="5"/>
        <v>#DIV/0!</v>
      </c>
      <c r="AC16" s="4" t="e">
        <f t="shared" si="5"/>
        <v>#NAME?</v>
      </c>
      <c r="AD16" s="4" t="e">
        <f t="shared" si="5"/>
        <v>#NULL!</v>
      </c>
      <c r="AE16" s="4" t="e">
        <f t="shared" si="5"/>
        <v>#NUM!</v>
      </c>
      <c r="AF16" s="4" t="e">
        <f t="shared" si="5"/>
        <v>#REF!</v>
      </c>
      <c r="AG16" s="4" t="b">
        <f>OR(C16:D16,C16)</f>
        <v>1</v>
      </c>
      <c r="AH16" s="4" t="e">
        <f t="array" ref="AH16:AI16">OR(FALSE,C16:Q16)</f>
        <v>#VALUE!</v>
      </c>
      <c r="AI16" s="4" t="e">
        <v>#VALUE!</v>
      </c>
      <c r="AJ16" s="4" t="e">
        <f t="array" ref="AJ16:AK16">OR(C16:P16,D16:Q16)</f>
        <v>#VALUE!</v>
      </c>
      <c r="AK16" s="4" t="e">
        <v>#VALUE!</v>
      </c>
      <c r="AL16" s="4" t="b">
        <f t="array" ref="AL16:AN16">OR(C16:D16,C16)</f>
        <v>1</v>
      </c>
      <c r="AM16" s="4" t="b">
        <v>1</v>
      </c>
      <c r="AN16" s="4" t="b">
        <v>1</v>
      </c>
      <c r="AO16" s="4" t="b">
        <f>OR(F16,C16)</f>
        <v>0</v>
      </c>
      <c r="AP16" s="4" t="e">
        <f>OR(TRUE,"0",#REF!)</f>
        <v>#REF!</v>
      </c>
      <c r="AQ16" s="4" t="e">
        <f>OR(TRUE,#REF!,"0")</f>
        <v>#REF!</v>
      </c>
      <c r="AR16" s="4" t="e">
        <f>OR(H16:I16)</f>
        <v>#VALUE!</v>
      </c>
    </row>
    <row r="17" spans="1:49" x14ac:dyDescent="0.15">
      <c r="A17" s="41" t="s">
        <v>526</v>
      </c>
      <c r="H17" s="6"/>
      <c r="I17" s="6"/>
      <c r="J17" s="6"/>
      <c r="K17" s="6"/>
      <c r="L17" s="6"/>
      <c r="M17" s="7"/>
      <c r="N17" s="7"/>
      <c r="O17" s="7"/>
      <c r="P17" s="7"/>
      <c r="Q17" s="7"/>
    </row>
    <row r="18" spans="1:49" x14ac:dyDescent="0.15">
      <c r="A18" s="41" t="s">
        <v>527</v>
      </c>
      <c r="H18" s="6"/>
      <c r="I18" s="6"/>
      <c r="J18" s="6"/>
      <c r="K18" s="6"/>
      <c r="L18" s="6"/>
      <c r="M18" s="7"/>
      <c r="N18" s="7"/>
      <c r="O18" s="7"/>
      <c r="P18" s="7"/>
      <c r="Q18" s="7"/>
    </row>
    <row r="19" spans="1:49" x14ac:dyDescent="0.15">
      <c r="A19" s="36" t="s">
        <v>598</v>
      </c>
      <c r="B19" s="37" t="s">
        <v>541</v>
      </c>
      <c r="C19" s="4">
        <v>0</v>
      </c>
      <c r="D19" s="4">
        <v>2</v>
      </c>
      <c r="E19" s="4">
        <v>2.2999999999999998</v>
      </c>
      <c r="F19" s="4">
        <v>10</v>
      </c>
      <c r="G19" s="4">
        <v>-1</v>
      </c>
      <c r="H19" s="6"/>
      <c r="I19" s="6" t="s">
        <v>32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4" cm="1">
        <f t="array" ref="R19">_xlfn.SWITCH(C19,2,0,1,3,TRUE,2,1,1,-1,6,2.3,5,,3,"ciao",99,7)</f>
        <v>3</v>
      </c>
      <c r="S19" s="4" cm="1">
        <f t="array" ref="S19">_xlfn.SWITCH(D19,2,0,1,3,TRUE,2,1,1,-1,6,2.3,5,,3,"ciao",99,7)</f>
        <v>0</v>
      </c>
      <c r="T19" s="4" cm="1">
        <f t="array" ref="T19">_xlfn.SWITCH(E19,2,0,1,3,TRUE,2,1,1,-1,6,2.3,5,,3,"ciao",99,7)</f>
        <v>5</v>
      </c>
      <c r="U19" s="4" cm="1">
        <f t="array" ref="U19">_xlfn.SWITCH(F19,2,0,1,3,TRUE,2,1,1,-1,6,2.3,5,,3,"ciao",99,7)</f>
        <v>7</v>
      </c>
      <c r="V19" s="4" cm="1">
        <f t="array" ref="V19">_xlfn.SWITCH(G19,2,0,1,3,TRUE,2,1,1,-1,6,2.3,5,,3,"ciao",99,7)</f>
        <v>6</v>
      </c>
      <c r="W19" s="4" cm="1">
        <f t="array" ref="W19">_xlfn.SWITCH(H19,2,0,1,3,TRUE,2,1,1,-1,6,2.3,5,,3,"ciao",99,7)</f>
        <v>3</v>
      </c>
      <c r="X19" s="4" cm="1">
        <f t="array" ref="X19">_xlfn.SWITCH(I19,2,0,1,3,TRUE,2,1,1,-1,6,2.3,5,,3,"ciao",99,7)</f>
        <v>99</v>
      </c>
      <c r="Y19" s="4" cm="1">
        <f t="array" ref="Y19">_xlfn.SWITCH(J19,2,0,1,3,TRUE,2,1,1,-1,6,2.3,5,,3,"ciao",99,7)</f>
        <v>2</v>
      </c>
      <c r="Z19" s="4" t="e" cm="1">
        <f t="array" ref="Z19">_xlfn.SWITCH(K19,2,0,1,3,TRUE,2,1,1,-1,6,2.3,5,,3,"ciao",99,7)</f>
        <v>#VALUE!</v>
      </c>
      <c r="AA19" s="4" t="e" cm="1">
        <f t="array" ref="AA19">_xlfn.SWITCH(L19,2,0,1,3,TRUE,2,1,1,-1,6,2.3,5,,3,"ciao",99,7)</f>
        <v>#N/A</v>
      </c>
      <c r="AB19" s="4" t="e" cm="1">
        <f t="array" ref="AB19">_xlfn.SWITCH(M19,2,0,1,3,TRUE,2,1,1,-1,6,2.3,5,,3,"ciao",99,7)</f>
        <v>#DIV/0!</v>
      </c>
      <c r="AC19" s="4" t="e" cm="1">
        <f t="array" ref="AC19">_xlfn.SWITCH(N19,2,0,1,3,TRUE,2,1,1,-1,6,2.3,5,,3,"ciao",99,7)</f>
        <v>#NAME?</v>
      </c>
      <c r="AD19" s="4" t="e" cm="1">
        <f t="array" ref="AD19">_xlfn.SWITCH(O19,2,0,1,3,TRUE,2,1,1,-1,6,2.3,5,,3,"ciao",99,7)</f>
        <v>#NULL!</v>
      </c>
      <c r="AE19" s="4" t="e" cm="1">
        <f t="array" ref="AE19">_xlfn.SWITCH(P19,2,0,1,3,TRUE,2,1,1,-1,6,2.3,5,,3,"ciao",99,7)</f>
        <v>#NUM!</v>
      </c>
      <c r="AF19" s="4" t="e" cm="1">
        <f t="array" ref="AF19">_xlfn.SWITCH(Q19,2,0,1,3,TRUE,2,1,1,-1,6,2.3,5,,3,"ciao",99,7)</f>
        <v>#REF!</v>
      </c>
      <c r="AG19" s="4">
        <f t="array" ref="AG19">_xlfn.SWITCH(C19:G19,2,0,1,3,TRUE,2,1,1,-1,6,2.3,5,,3,"ciao",99,7)</f>
        <v>3</v>
      </c>
      <c r="AH19" s="4">
        <f t="array" ref="AH19:AW19">_xlfn.SWITCH(C19:Q19,2,0,1,3,TRUE,2,1,1,-1,6,2.3,5,,3,"ciao",99,7)</f>
        <v>3</v>
      </c>
      <c r="AI19" s="4">
        <v>0</v>
      </c>
      <c r="AJ19" s="4">
        <v>5</v>
      </c>
      <c r="AK19" s="4">
        <v>7</v>
      </c>
      <c r="AL19" s="4">
        <v>6</v>
      </c>
      <c r="AM19" s="4">
        <v>3</v>
      </c>
      <c r="AN19" s="4">
        <v>99</v>
      </c>
      <c r="AO19" s="4">
        <v>2</v>
      </c>
      <c r="AP19" s="4" t="e">
        <v>#VALUE!</v>
      </c>
      <c r="AQ19" s="4" t="e">
        <v>#N/A</v>
      </c>
      <c r="AR19" s="4" t="e">
        <v>#DIV/0!</v>
      </c>
      <c r="AS19" s="4" t="e">
        <v>#NAME?</v>
      </c>
      <c r="AT19" s="4" t="e">
        <v>#NULL!</v>
      </c>
      <c r="AU19" s="4" t="e">
        <v>#NUM!</v>
      </c>
      <c r="AV19" s="4" t="e">
        <v>#REF!</v>
      </c>
      <c r="AW19" s="4" t="e">
        <v>#N/A</v>
      </c>
    </row>
    <row r="20" spans="1:49" x14ac:dyDescent="0.15">
      <c r="A20" s="50" t="s">
        <v>602</v>
      </c>
      <c r="B20" s="37" t="s">
        <v>541</v>
      </c>
      <c r="J20" s="6" t="b">
        <v>1</v>
      </c>
      <c r="W20" s="4" t="b">
        <f>TRUE()</f>
        <v>1</v>
      </c>
      <c r="AH20" s="4" t="b">
        <f t="array" ref="AH20:AO20">TRUE()</f>
        <v>1</v>
      </c>
      <c r="AI20" s="4" t="b">
        <v>1</v>
      </c>
      <c r="AJ20" s="4" t="b">
        <v>1</v>
      </c>
      <c r="AK20" s="4" t="b">
        <v>1</v>
      </c>
      <c r="AL20" s="4" t="b">
        <v>1</v>
      </c>
      <c r="AM20" s="4" t="b">
        <v>1</v>
      </c>
      <c r="AN20" s="4" t="b">
        <v>1</v>
      </c>
      <c r="AO20" s="4" t="b">
        <v>1</v>
      </c>
      <c r="AP20" s="4" t="b">
        <f t="array" ref="AP20:AW20">TRUE</f>
        <v>1</v>
      </c>
      <c r="AQ20" s="4" t="b">
        <v>1</v>
      </c>
      <c r="AR20" s="4" t="b">
        <v>1</v>
      </c>
      <c r="AS20" s="4" t="b">
        <v>1</v>
      </c>
      <c r="AT20" s="4" t="b">
        <v>1</v>
      </c>
      <c r="AU20" s="4" t="b">
        <v>1</v>
      </c>
      <c r="AV20" s="4" t="b">
        <v>1</v>
      </c>
      <c r="AW20" s="4" t="b">
        <v>1</v>
      </c>
    </row>
    <row r="21" spans="1:49" x14ac:dyDescent="0.15">
      <c r="A21" s="36" t="s">
        <v>600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b">
        <f>_xlfn.XOR(C21,FALSE)</f>
        <v>0</v>
      </c>
      <c r="S21" s="4" t="b">
        <f t="shared" ref="S21:AF21" si="6">_xlfn.XOR(D21,FALSE)</f>
        <v>1</v>
      </c>
      <c r="T21" s="4" t="b">
        <f t="shared" si="6"/>
        <v>1</v>
      </c>
      <c r="U21" s="4" t="b">
        <f t="shared" si="6"/>
        <v>0</v>
      </c>
      <c r="V21" s="4" t="b">
        <f t="shared" si="6"/>
        <v>1</v>
      </c>
      <c r="W21" s="4" t="b">
        <f t="shared" si="6"/>
        <v>0</v>
      </c>
      <c r="X21" s="4" t="b">
        <f t="shared" si="6"/>
        <v>0</v>
      </c>
      <c r="Y21" s="4" t="b">
        <f t="shared" si="6"/>
        <v>1</v>
      </c>
      <c r="Z21" s="4" t="e">
        <f t="shared" si="6"/>
        <v>#VALUE!</v>
      </c>
      <c r="AA21" s="4" t="e">
        <f t="shared" si="6"/>
        <v>#N/A</v>
      </c>
      <c r="AB21" s="4" t="e">
        <f t="shared" si="6"/>
        <v>#DIV/0!</v>
      </c>
      <c r="AC21" s="4" t="e">
        <f t="shared" si="6"/>
        <v>#NAME?</v>
      </c>
      <c r="AD21" s="4" t="e">
        <f t="shared" si="6"/>
        <v>#NULL!</v>
      </c>
      <c r="AE21" s="4" t="e">
        <f t="shared" si="6"/>
        <v>#NUM!</v>
      </c>
      <c r="AF21" s="4" t="e">
        <f t="shared" si="6"/>
        <v>#REF!</v>
      </c>
      <c r="AG21" s="4" t="b">
        <f>_xlfn.XOR(C21:E21,C21)</f>
        <v>0</v>
      </c>
      <c r="AH21" s="4" t="e">
        <f t="array" ref="AH21:AI21">_xlfn.XOR(FALSE,C21:Q21)</f>
        <v>#VALUE!</v>
      </c>
      <c r="AI21" s="4" t="e">
        <v>#VALUE!</v>
      </c>
      <c r="AJ21" s="4" t="e">
        <f t="array" ref="AJ21:AK21">_xlfn.XOR(C21:P21,D21:Q21)</f>
        <v>#VALUE!</v>
      </c>
      <c r="AK21" s="4" t="e">
        <v>#VALUE!</v>
      </c>
      <c r="AL21" s="4" t="b">
        <f t="array" ref="AL21:AN21">_xlfn.XOR(C21:D21,C21)</f>
        <v>1</v>
      </c>
      <c r="AM21" s="4" t="b">
        <v>1</v>
      </c>
      <c r="AN21" s="4" t="b">
        <v>1</v>
      </c>
      <c r="AO21" s="4" t="b">
        <f>_xlfn.XOR(F21,C21)</f>
        <v>0</v>
      </c>
      <c r="AP21" s="4" t="e">
        <f>_xlfn.XOR(TRUE,"0",#REF!)</f>
        <v>#REF!</v>
      </c>
      <c r="AQ21" s="4" t="e">
        <f>_xlfn.XOR(TRUE,#REF!,"0")</f>
        <v>#REF!</v>
      </c>
      <c r="AR21" s="4" t="e">
        <f>_xlfn.XOR(H21:I21)</f>
        <v>#VALUE!</v>
      </c>
      <c r="AS21" s="4" t="b">
        <f>_xlfn.XOR(C21:E21)</f>
        <v>0</v>
      </c>
      <c r="AT21" s="4" t="b">
        <f>_xlfn.XOR(C21:D21,F21)</f>
        <v>1</v>
      </c>
    </row>
    <row r="22" spans="1:49" x14ac:dyDescent="0.15">
      <c r="A22" s="41"/>
    </row>
    <row r="23" spans="1:49" x14ac:dyDescent="0.15">
      <c r="A23" s="41"/>
    </row>
    <row r="24" spans="1:49" x14ac:dyDescent="0.15">
      <c r="A24" s="41"/>
    </row>
    <row r="25" spans="1:49" x14ac:dyDescent="0.15">
      <c r="A25" s="41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BK87"/>
  <sheetViews>
    <sheetView tabSelected="1" zoomScaleNormal="100" workbookViewId="0">
      <selection activeCell="U58" sqref="U58"/>
    </sheetView>
  </sheetViews>
  <sheetFormatPr baseColWidth="10" defaultColWidth="10.83203125" defaultRowHeight="11" x14ac:dyDescent="0.15"/>
  <cols>
    <col min="1" max="1" width="13.5" style="44" bestFit="1" customWidth="1"/>
    <col min="2" max="2" width="5.1640625" style="43" bestFit="1" customWidth="1"/>
    <col min="3" max="3" width="3.1640625" style="4" bestFit="1" customWidth="1"/>
    <col min="4" max="4" width="2.83203125" style="4" bestFit="1" customWidth="1"/>
    <col min="5" max="5" width="1.5" style="4" bestFit="1" customWidth="1"/>
    <col min="6" max="6" width="4.6640625" style="4" bestFit="1" customWidth="1"/>
    <col min="7" max="8" width="5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9" width="5.6640625" style="4" bestFit="1" customWidth="1"/>
    <col min="20" max="20" width="9.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6" width="3.6640625" style="4" bestFit="1" customWidth="1"/>
    <col min="37" max="37" width="4" style="4" bestFit="1" customWidth="1"/>
    <col min="38" max="41" width="5.6640625" style="4" bestFit="1" customWidth="1"/>
    <col min="42" max="42" width="5.83203125" style="4" bestFit="1" customWidth="1"/>
    <col min="43" max="43" width="5.1640625" style="4" bestFit="1" customWidth="1"/>
    <col min="44" max="44" width="5.6640625" style="4" bestFit="1" customWidth="1"/>
    <col min="45" max="45" width="5.83203125" style="4" bestFit="1" customWidth="1"/>
    <col min="46" max="46" width="4.83203125" style="4" bestFit="1" customWidth="1"/>
    <col min="47" max="47" width="5" style="4" bestFit="1" customWidth="1"/>
    <col min="48" max="48" width="4.1640625" style="4" bestFit="1" customWidth="1"/>
    <col min="49" max="49" width="3.8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COUNTIF(B3:B268,"=DONE")/COUNTA(A3:A268)</f>
        <v>0.25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36" t="s">
        <v>320</v>
      </c>
      <c r="B3" s="37" t="s">
        <v>541</v>
      </c>
      <c r="C3" s="13">
        <v>-2</v>
      </c>
      <c r="D3" s="13">
        <v>1.1000000000000001</v>
      </c>
      <c r="E3" s="13">
        <v>3</v>
      </c>
      <c r="F3" s="13">
        <v>4</v>
      </c>
      <c r="G3" s="13">
        <v>4.0999999999999996</v>
      </c>
      <c r="H3" s="14"/>
      <c r="I3" s="14" t="s">
        <v>339</v>
      </c>
      <c r="J3" s="14" t="b">
        <v>1</v>
      </c>
      <c r="K3" s="14" t="e">
        <f>#VALUE!</f>
        <v>#VALUE!</v>
      </c>
      <c r="L3" s="14" t="e">
        <v>#N/A</v>
      </c>
      <c r="M3" s="15" t="e">
        <v>#DIV/0!</v>
      </c>
      <c r="N3" s="15" t="e">
        <v>#NAME?</v>
      </c>
      <c r="O3" s="15" t="e">
        <v>#NULL!</v>
      </c>
      <c r="P3" s="15" t="e">
        <v>#NUM!</v>
      </c>
      <c r="Q3" s="15" t="e">
        <v>#REF!</v>
      </c>
      <c r="R3" s="4" t="e">
        <f>ADDRESS(C3,D3,E3,F3,G3)</f>
        <v>#VALUE!</v>
      </c>
      <c r="S3" s="4" t="str">
        <f>ADDRESS(D3,E3,F3,G3,H3)</f>
        <v>!C1</v>
      </c>
      <c r="T3" s="4" t="str">
        <f>ADDRESS(E3,F3,G3,H3,I3)</f>
        <v>'*b?u*'!R[3]C[4]</v>
      </c>
      <c r="U3" s="4" t="e" vm="21">
        <f t="shared" ref="U3:AF3" si="0">ADDRESS(F3,G3,H3,I3,J3)</f>
        <v>#VALUE!</v>
      </c>
      <c r="V3" s="4" t="e" vm="22">
        <f t="shared" si="0"/>
        <v>#VALUE!</v>
      </c>
      <c r="W3" s="4" t="e" vm="22">
        <f t="shared" si="0"/>
        <v>#VALUE!</v>
      </c>
      <c r="X3" s="4" t="e" vm="22">
        <f t="shared" si="0"/>
        <v>#VALUE!</v>
      </c>
      <c r="Y3" s="4" t="e">
        <f t="shared" si="0"/>
        <v>#VALUE!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str">
        <f t="array" ref="AG3">ADDRESS(D3:Q3,E3,F3,G3,H3)</f>
        <v>!C1</v>
      </c>
      <c r="AH3" s="4" t="str">
        <f t="array" ref="AH3:AW3">ADDRESS(D3:Q3,E3,F3,G3,H3)</f>
        <v>!C1</v>
      </c>
      <c r="AI3" s="4" t="str">
        <v>!C3</v>
      </c>
      <c r="AJ3" s="4" t="str">
        <v>!C4</v>
      </c>
      <c r="AK3" s="4" t="str">
        <v>!C4</v>
      </c>
      <c r="AL3" s="4" t="e">
        <v>#VALUE!</v>
      </c>
      <c r="AM3" s="4" t="e" vm="22">
        <v>#VALUE!</v>
      </c>
      <c r="AN3" s="4" t="str">
        <v>!C1</v>
      </c>
      <c r="AO3" s="4" t="e">
        <v>#VALUE!</v>
      </c>
      <c r="AP3" s="4" t="e">
        <v>#N/A</v>
      </c>
      <c r="AQ3" s="4" t="e">
        <v>#DIV/0!</v>
      </c>
      <c r="AR3" s="4" t="e">
        <v>#NAME?</v>
      </c>
      <c r="AS3" s="4" t="e">
        <v>#NULL!</v>
      </c>
      <c r="AT3" s="4" t="e">
        <v>#NUM!</v>
      </c>
      <c r="AU3" s="4" t="e">
        <v>#REF!</v>
      </c>
      <c r="AV3" s="4" t="e">
        <v>#N/A</v>
      </c>
      <c r="AW3" s="4" t="e">
        <v>#N/A</v>
      </c>
    </row>
    <row r="4" spans="1:63" x14ac:dyDescent="0.15">
      <c r="A4" s="41" t="s">
        <v>321</v>
      </c>
    </row>
    <row r="5" spans="1:63" x14ac:dyDescent="0.15">
      <c r="A5" s="41" t="s">
        <v>322</v>
      </c>
      <c r="T5" s="4">
        <f>3229 -726</f>
        <v>2503</v>
      </c>
    </row>
    <row r="6" spans="1:63" s="41" customFormat="1" x14ac:dyDescent="0.2">
      <c r="A6" s="41" t="s">
        <v>516</v>
      </c>
    </row>
    <row r="7" spans="1:63" s="41" customFormat="1" x14ac:dyDescent="0.2">
      <c r="A7" s="41" t="s">
        <v>517</v>
      </c>
    </row>
    <row r="8" spans="1:63" x14ac:dyDescent="0.15">
      <c r="A8" s="67" t="s">
        <v>323</v>
      </c>
      <c r="B8" s="68" t="s">
        <v>541</v>
      </c>
      <c r="C8" s="13">
        <v>-2</v>
      </c>
      <c r="D8" s="13">
        <v>1.1000000000000001</v>
      </c>
      <c r="E8" s="13">
        <v>3</v>
      </c>
      <c r="F8" s="13">
        <v>4</v>
      </c>
      <c r="G8" s="13">
        <v>4.0999999999999996</v>
      </c>
      <c r="H8" s="14"/>
      <c r="I8" s="14" t="s">
        <v>339</v>
      </c>
      <c r="J8" s="14" t="b">
        <v>1</v>
      </c>
      <c r="K8" s="14" t="e">
        <f>#VALUE!</f>
        <v>#VALUE!</v>
      </c>
      <c r="L8" s="14" t="e">
        <v>#N/A</v>
      </c>
      <c r="M8" s="15" t="e">
        <v>#DIV/0!</v>
      </c>
      <c r="N8" s="15" t="e">
        <v>#NAME?</v>
      </c>
      <c r="O8" s="15" t="e">
        <v>#NULL!</v>
      </c>
      <c r="P8" s="15" t="e">
        <v>#NUM!</v>
      </c>
      <c r="Q8" s="15" t="e">
        <v>#REF!</v>
      </c>
      <c r="R8" s="6">
        <f>COLUMN(C8)</f>
        <v>3</v>
      </c>
      <c r="S8" s="6">
        <f t="shared" ref="S8:AF8" si="1">COLUMN(D8)</f>
        <v>4</v>
      </c>
      <c r="T8" s="6">
        <f t="shared" si="1"/>
        <v>5</v>
      </c>
      <c r="U8" s="6">
        <f t="shared" si="1"/>
        <v>6</v>
      </c>
      <c r="V8" s="6">
        <f t="shared" si="1"/>
        <v>7</v>
      </c>
      <c r="W8" s="6">
        <f>COLUMN()</f>
        <v>23</v>
      </c>
      <c r="X8" s="6">
        <f t="shared" si="1"/>
        <v>9</v>
      </c>
      <c r="Y8" s="6">
        <f t="shared" si="1"/>
        <v>10</v>
      </c>
      <c r="Z8" s="6">
        <f t="shared" si="1"/>
        <v>11</v>
      </c>
      <c r="AA8" s="6">
        <f t="shared" si="1"/>
        <v>12</v>
      </c>
      <c r="AB8" s="6">
        <f t="shared" si="1"/>
        <v>13</v>
      </c>
      <c r="AC8" s="6">
        <f t="shared" si="1"/>
        <v>14</v>
      </c>
      <c r="AD8" s="6">
        <f t="shared" si="1"/>
        <v>15</v>
      </c>
      <c r="AE8" s="6">
        <f t="shared" si="1"/>
        <v>16</v>
      </c>
      <c r="AF8" s="6">
        <f t="shared" si="1"/>
        <v>17</v>
      </c>
      <c r="AG8" s="4">
        <f t="array" ref="AG8">COLUMN(C10:E10:G9:I10 E9:F9)</f>
        <v>5</v>
      </c>
      <c r="AH8" s="4">
        <f t="array" ref="AH8:AJ10">COLUMN(AC8:AD8)</f>
        <v>29</v>
      </c>
      <c r="AI8" s="4">
        <v>30</v>
      </c>
      <c r="AJ8" s="4" t="e">
        <v>#N/A</v>
      </c>
      <c r="AK8" s="4">
        <f t="array" ref="AK8:AM10">COLUMN(AC8:AC9)</f>
        <v>29</v>
      </c>
      <c r="AL8" s="4">
        <v>29</v>
      </c>
      <c r="AM8" s="4">
        <v>29</v>
      </c>
      <c r="AN8" s="4">
        <f t="array" ref="AN8:AP10">COLUMN(AC8:AD9)</f>
        <v>29</v>
      </c>
      <c r="AO8" s="4">
        <v>30</v>
      </c>
      <c r="AP8" s="4" t="e">
        <v>#N/A</v>
      </c>
      <c r="AQ8" s="4">
        <f t="array" ref="AQ8:AS10">COLUMN(AC8:AE10 AD9:AF10)</f>
        <v>30</v>
      </c>
      <c r="AR8" s="4">
        <v>31</v>
      </c>
      <c r="AS8" s="4" t="e">
        <v>#N/A</v>
      </c>
      <c r="AT8" s="4">
        <f t="array" ref="AT8:AW10">COLUMN(Z8:AA9:AF8:AF9 AB9:AD10)</f>
        <v>28</v>
      </c>
      <c r="AU8" s="4">
        <v>29</v>
      </c>
      <c r="AV8" s="4">
        <v>30</v>
      </c>
      <c r="AW8" s="4" t="e">
        <v>#N/A</v>
      </c>
    </row>
    <row r="9" spans="1:63" x14ac:dyDescent="0.15">
      <c r="A9" s="67"/>
      <c r="B9" s="68"/>
      <c r="C9" s="13"/>
      <c r="D9" s="13"/>
      <c r="E9" s="13"/>
      <c r="F9" s="13"/>
      <c r="G9" s="13"/>
      <c r="H9" s="14"/>
      <c r="I9" s="14"/>
      <c r="J9" s="14"/>
      <c r="K9" s="14"/>
      <c r="L9" s="14"/>
      <c r="M9" s="15"/>
      <c r="N9" s="15"/>
      <c r="O9" s="15"/>
      <c r="P9" s="15"/>
      <c r="Q9" s="15"/>
      <c r="R9" s="6">
        <f>COLUMN(C9)</f>
        <v>3</v>
      </c>
      <c r="S9" s="6">
        <f t="shared" ref="S9:V10" si="2">COLUMN(D9)</f>
        <v>4</v>
      </c>
      <c r="T9" s="6">
        <f t="shared" si="2"/>
        <v>5</v>
      </c>
      <c r="U9" s="6">
        <f t="shared" si="2"/>
        <v>6</v>
      </c>
      <c r="V9" s="6">
        <f t="shared" si="2"/>
        <v>7</v>
      </c>
      <c r="W9" s="6">
        <f>COLUMN()</f>
        <v>23</v>
      </c>
      <c r="X9" s="6">
        <f t="shared" ref="X9:AF10" si="3">COLUMN(I9)</f>
        <v>9</v>
      </c>
      <c r="Y9" s="6">
        <f t="shared" si="3"/>
        <v>10</v>
      </c>
      <c r="Z9" s="6">
        <f t="shared" si="3"/>
        <v>11</v>
      </c>
      <c r="AA9" s="6">
        <f t="shared" si="3"/>
        <v>12</v>
      </c>
      <c r="AB9" s="6">
        <f t="shared" si="3"/>
        <v>13</v>
      </c>
      <c r="AC9" s="6">
        <f t="shared" si="3"/>
        <v>14</v>
      </c>
      <c r="AD9" s="6">
        <f t="shared" si="3"/>
        <v>15</v>
      </c>
      <c r="AE9" s="6">
        <f t="shared" si="3"/>
        <v>16</v>
      </c>
      <c r="AF9" s="6">
        <f t="shared" si="3"/>
        <v>17</v>
      </c>
      <c r="AG9" s="4" t="e">
        <f t="array" ref="AG9">COLUMN(C8:E9 F8:H9)</f>
        <v>#NULL!</v>
      </c>
      <c r="AH9" s="4">
        <v>29</v>
      </c>
      <c r="AI9" s="4">
        <v>30</v>
      </c>
      <c r="AJ9" s="4" t="e">
        <v>#N/A</v>
      </c>
      <c r="AK9" s="4">
        <v>29</v>
      </c>
      <c r="AL9" s="4">
        <v>29</v>
      </c>
      <c r="AM9" s="4">
        <v>29</v>
      </c>
      <c r="AN9" s="4">
        <v>29</v>
      </c>
      <c r="AO9" s="4">
        <v>30</v>
      </c>
      <c r="AP9" s="4" t="e">
        <v>#N/A</v>
      </c>
      <c r="AQ9" s="4">
        <v>30</v>
      </c>
      <c r="AR9" s="4">
        <v>31</v>
      </c>
      <c r="AS9" s="4" t="e">
        <v>#N/A</v>
      </c>
      <c r="AT9" s="4">
        <v>28</v>
      </c>
      <c r="AU9" s="4">
        <v>29</v>
      </c>
      <c r="AV9" s="4">
        <v>30</v>
      </c>
      <c r="AW9" s="4" t="e">
        <v>#N/A</v>
      </c>
    </row>
    <row r="10" spans="1:63" x14ac:dyDescent="0.15">
      <c r="A10" s="67"/>
      <c r="B10" s="68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6">
        <f>COLUMN(C10)</f>
        <v>3</v>
      </c>
      <c r="S10" s="6">
        <f t="shared" si="2"/>
        <v>4</v>
      </c>
      <c r="T10" s="6">
        <f t="shared" si="2"/>
        <v>5</v>
      </c>
      <c r="U10" s="6">
        <f t="shared" si="2"/>
        <v>6</v>
      </c>
      <c r="V10" s="6">
        <f t="shared" si="2"/>
        <v>7</v>
      </c>
      <c r="W10" s="6">
        <f>COLUMN()</f>
        <v>23</v>
      </c>
      <c r="X10" s="6">
        <f t="shared" si="3"/>
        <v>9</v>
      </c>
      <c r="Y10" s="6">
        <f t="shared" si="3"/>
        <v>10</v>
      </c>
      <c r="Z10" s="6">
        <f t="shared" si="3"/>
        <v>11</v>
      </c>
      <c r="AA10" s="6">
        <f t="shared" si="3"/>
        <v>12</v>
      </c>
      <c r="AB10" s="6">
        <f t="shared" si="3"/>
        <v>13</v>
      </c>
      <c r="AC10" s="6">
        <f t="shared" si="3"/>
        <v>14</v>
      </c>
      <c r="AD10" s="6">
        <f t="shared" si="3"/>
        <v>15</v>
      </c>
      <c r="AE10" s="6">
        <f t="shared" si="3"/>
        <v>16</v>
      </c>
      <c r="AF10" s="6">
        <f t="shared" si="3"/>
        <v>17</v>
      </c>
      <c r="AG10" s="4">
        <f t="array" ref="AG10">COLUMN(C8:E9 D9:F9)</f>
        <v>4</v>
      </c>
      <c r="AH10" s="4">
        <v>29</v>
      </c>
      <c r="AI10" s="4">
        <v>30</v>
      </c>
      <c r="AJ10" s="4" t="e">
        <v>#N/A</v>
      </c>
      <c r="AK10" s="4">
        <v>29</v>
      </c>
      <c r="AL10" s="4">
        <v>29</v>
      </c>
      <c r="AM10" s="4">
        <v>29</v>
      </c>
      <c r="AN10" s="4">
        <v>29</v>
      </c>
      <c r="AO10" s="4">
        <v>30</v>
      </c>
      <c r="AP10" s="4" t="e">
        <v>#N/A</v>
      </c>
      <c r="AQ10" s="4">
        <v>30</v>
      </c>
      <c r="AR10" s="4">
        <v>31</v>
      </c>
      <c r="AS10" s="4" t="e">
        <v>#N/A</v>
      </c>
      <c r="AT10" s="4">
        <v>28</v>
      </c>
      <c r="AU10" s="4">
        <v>29</v>
      </c>
      <c r="AV10" s="4">
        <v>30</v>
      </c>
      <c r="AW10" s="4" t="e">
        <v>#N/A</v>
      </c>
    </row>
    <row r="11" spans="1:63" x14ac:dyDescent="0.15">
      <c r="A11" s="41" t="s">
        <v>324</v>
      </c>
      <c r="H11" s="6"/>
      <c r="I11" s="6"/>
      <c r="J11" s="6"/>
      <c r="K11" s="6"/>
      <c r="L11" s="6"/>
      <c r="M11" s="7"/>
      <c r="N11" s="7"/>
      <c r="O11" s="7"/>
      <c r="P11" s="7"/>
      <c r="Q11" s="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15">
      <c r="A12" s="41" t="s">
        <v>518</v>
      </c>
      <c r="H12" s="17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519</v>
      </c>
      <c r="H13" s="17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36" t="s">
        <v>495</v>
      </c>
      <c r="B14" s="37" t="s">
        <v>541</v>
      </c>
      <c r="C14" s="13">
        <v>-1.1000000000000001</v>
      </c>
      <c r="D14" s="13">
        <v>2.1</v>
      </c>
      <c r="E14" s="13">
        <v>3</v>
      </c>
      <c r="F14" s="13">
        <v>4</v>
      </c>
      <c r="G14" s="13">
        <v>4.0999999999999996</v>
      </c>
      <c r="H14" s="14"/>
      <c r="I14" s="14" t="s">
        <v>338</v>
      </c>
      <c r="J14" s="14" t="b">
        <v>1</v>
      </c>
      <c r="K14" s="14" t="e">
        <f>#VALUE!</f>
        <v>#VALUE!</v>
      </c>
      <c r="L14" s="14" t="e">
        <v>#N/A</v>
      </c>
      <c r="M14" s="15" t="e">
        <v>#DIV/0!</v>
      </c>
      <c r="N14" s="15" t="e">
        <v>#NAME?</v>
      </c>
      <c r="O14" s="15" t="e">
        <v>#NULL!</v>
      </c>
      <c r="P14" s="15" t="e">
        <v>#NUM!</v>
      </c>
      <c r="Q14" s="15" t="e">
        <v>#REF!</v>
      </c>
      <c r="R14" s="6" cm="1">
        <f t="array" ref="R14:S14">_xlfn._xlws.FILTER($C$14:$D$14,C14:D14)</f>
        <v>-1.1000000000000001</v>
      </c>
      <c r="S14" s="6">
        <v>2.1</v>
      </c>
      <c r="T14" s="6" cm="1">
        <f t="array" ref="T14:U14">_xlfn._xlws.FILTER($C$14:$D$14,E14:F14)</f>
        <v>-1.1000000000000001</v>
      </c>
      <c r="U14" s="6">
        <v>2.1</v>
      </c>
      <c r="V14" s="6" cm="1">
        <f t="array" ref="V14">_xlfn._xlws.FILTER($C$14:$D$14,G14:H14)</f>
        <v>-1.1000000000000001</v>
      </c>
      <c r="W14" s="6" t="e" cm="1" vm="23">
        <f t="array" ref="W14">_xlfn._xlws.FILTER($C$14:$D$14,H14)</f>
        <v>#VALUE!</v>
      </c>
      <c r="X14" s="6" t="e" cm="1">
        <f t="array" ref="X14">_xlfn._xlws.FILTER($C$14:$D$14,H14:I14)</f>
        <v>#VALUE!</v>
      </c>
      <c r="Y14" s="6" cm="1">
        <f t="array" ref="Y14:Z14">_xlfn._xlws.FILTER($C$14:$D$14,J14)</f>
        <v>-1.1000000000000001</v>
      </c>
      <c r="Z14" s="4">
        <v>2.1</v>
      </c>
      <c r="AA14" s="6" t="e" cm="1">
        <f t="array" ref="AA14">_xlfn._xlws.FILTER($C$14:$D$14,L14:M14)</f>
        <v>#N/A</v>
      </c>
      <c r="AB14" s="6" t="e" cm="1">
        <f t="array" ref="AB14">_xlfn._xlws.FILTER($C$14:$D$14,M14:N14)</f>
        <v>#DIV/0!</v>
      </c>
      <c r="AC14" s="6" t="e" cm="1">
        <f t="array" ref="AC14">_xlfn._xlws.FILTER($C$14:$D$14,N14:O14)</f>
        <v>#NAME?</v>
      </c>
      <c r="AD14" s="6" t="e" cm="1">
        <f t="array" ref="AD14">_xlfn._xlws.FILTER($C$14:$D$14,O14:P14)</f>
        <v>#NULL!</v>
      </c>
      <c r="AE14" s="6" t="e" cm="1">
        <f t="array" ref="AE14">_xlfn._xlws.FILTER($C$14:$D$14,P14:Q14)</f>
        <v>#NUM!</v>
      </c>
      <c r="AF14" s="6" t="e" cm="1">
        <f t="array" ref="AF14">_xlfn._xlws.FILTER($C$14:$D$14,Q14:R14)</f>
        <v>#REF!</v>
      </c>
      <c r="AG14" s="6">
        <f t="array" ref="AG14">_xlfn._xlws.FILTER($C$14:$D$14,F14:G14)</f>
        <v>-1.1000000000000001</v>
      </c>
      <c r="AH14" s="4">
        <f t="array" ref="AH14:AJ14">_xlfn._xlws.FILTER($C$14:$E$14,F14:H14)</f>
        <v>-1.1000000000000001</v>
      </c>
      <c r="AI14" s="4">
        <v>2.1</v>
      </c>
      <c r="AJ14" s="4" t="e">
        <v>#N/A</v>
      </c>
      <c r="AK14" s="4">
        <f t="array" ref="AK14:AW14">_xlfn._xlws.FILTER($C$14:$D$14,F14:G14)</f>
        <v>-1.1000000000000001</v>
      </c>
      <c r="AL14" s="4">
        <v>2.1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6" t="e">
        <v>#N/A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15">
      <c r="A15" s="41" t="s">
        <v>325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63" x14ac:dyDescent="0.15">
      <c r="A16" s="41" t="s">
        <v>326</v>
      </c>
    </row>
    <row r="17" spans="1:49" x14ac:dyDescent="0.15">
      <c r="A17" s="41" t="s">
        <v>557</v>
      </c>
    </row>
    <row r="18" spans="1:49" x14ac:dyDescent="0.15">
      <c r="A18" s="67" t="s">
        <v>327</v>
      </c>
      <c r="B18" s="68" t="s">
        <v>541</v>
      </c>
      <c r="C18" s="13">
        <v>-1.1000000000000001</v>
      </c>
      <c r="D18" s="13">
        <v>2.1</v>
      </c>
      <c r="E18" s="13">
        <v>3</v>
      </c>
      <c r="F18" s="13">
        <v>4</v>
      </c>
      <c r="G18" s="13">
        <v>4.0999999999999996</v>
      </c>
      <c r="H18" s="14"/>
      <c r="I18" s="14" t="s">
        <v>338</v>
      </c>
      <c r="J18" s="14" t="b">
        <v>1</v>
      </c>
      <c r="K18" s="14" t="e">
        <f>#VALUE!</f>
        <v>#VALUE!</v>
      </c>
      <c r="L18" s="14" t="e">
        <v>#N/A</v>
      </c>
      <c r="M18" s="15" t="e">
        <v>#DIV/0!</v>
      </c>
      <c r="N18" s="15" t="e">
        <v>#NAME?</v>
      </c>
      <c r="O18" s="15" t="e">
        <v>#NULL!</v>
      </c>
      <c r="P18" s="15" t="e">
        <v>#NUM!</v>
      </c>
      <c r="Q18" s="15" t="e">
        <v>#REF!</v>
      </c>
      <c r="R18" s="4">
        <f>HLOOKUP(C18,{-1.1,2.1,3.1,4.1;5,6,7,8},2,0)</f>
        <v>5</v>
      </c>
      <c r="S18" s="4">
        <f>HLOOKUP(D18,{-1.1,2.1,3.1,4.1;5,6,7,8},2,0)</f>
        <v>6</v>
      </c>
      <c r="T18" s="4" t="e">
        <f>HLOOKUP(E18,{-1.1,2.1,3.1,4.1;5,6,7,8},2,0)</f>
        <v>#N/A</v>
      </c>
      <c r="U18" s="4" t="e">
        <f>HLOOKUP(F18,{-1.1,2.1,3.1,4.1;5,6,7,8},2,0)</f>
        <v>#N/A</v>
      </c>
      <c r="V18" s="4">
        <f>HLOOKUP(G18,{-1.1,2.1,3.1,4.1;5,6,7,8},2,0)</f>
        <v>8</v>
      </c>
      <c r="W18" s="4" t="e">
        <f>HLOOKUP(H18,{-1.1,2.1,3.1,4.1;5,6,7,8},2,0)</f>
        <v>#N/A</v>
      </c>
      <c r="X18" s="4" t="e">
        <f>HLOOKUP(I18,{-1.1,2.1,3.1,4.1;5,6,7,8},2,0)</f>
        <v>#N/A</v>
      </c>
      <c r="Y18" s="4" t="e">
        <f>HLOOKUP(J18,{-1.1,2.1,3.1,4.1;5,6,7,8},2,0)</f>
        <v>#N/A</v>
      </c>
      <c r="Z18" s="4" t="e">
        <f>HLOOKUP(K18,{-1.1,2.1,3.1,4.1;5,6,7,8},2,0)</f>
        <v>#VALUE!</v>
      </c>
      <c r="AA18" s="4" t="e">
        <f>HLOOKUP(L18,{-1.1,2.1,3.1,4.1;5,6,7,8},2,0)</f>
        <v>#N/A</v>
      </c>
      <c r="AB18" s="4" t="e">
        <f>HLOOKUP(M18,{-1.1,2.1,3.1,4.1;5,6,7,8},2,0)</f>
        <v>#DIV/0!</v>
      </c>
      <c r="AC18" s="4" t="e">
        <f>HLOOKUP(N18,{-1.1,2.1,3.1,4.1;5,6,7,8},2,0)</f>
        <v>#NAME?</v>
      </c>
      <c r="AD18" s="4" t="e">
        <f>HLOOKUP(O18,{-1.1,2.1,3.1,4.1;5,6,7,8},2,0)</f>
        <v>#NULL!</v>
      </c>
      <c r="AE18" s="4" t="e">
        <f>HLOOKUP(P18,{-1.1,2.1,3.1,4.1;5,6,7,8},2,0)</f>
        <v>#NUM!</v>
      </c>
      <c r="AF18" s="4" t="e">
        <f>HLOOKUP(Q18,{-1.1,2.1,3.1,4.1;5,6,7,8},2,0)</f>
        <v>#REF!</v>
      </c>
      <c r="AH18" s="4">
        <f t="array" ref="AH18:AW18">HLOOKUP(C18:Q18,{-1.1,2.1,3.1,4.1;5,6,7,8},{2,1},0)</f>
        <v>5</v>
      </c>
      <c r="AI18" s="4">
        <v>6</v>
      </c>
      <c r="AJ18" s="4" t="e">
        <v>#N/A</v>
      </c>
      <c r="AK18" s="4" t="e">
        <v>#N/A</v>
      </c>
      <c r="AL18" s="4">
        <v>8</v>
      </c>
      <c r="AM18" s="4" t="e">
        <v>#N/A</v>
      </c>
      <c r="AN18" s="4" t="e">
        <v>#N/A</v>
      </c>
      <c r="AO18" s="4" t="e">
        <v>#N/A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67"/>
      <c r="B19" s="68"/>
      <c r="C19" s="13">
        <v>-1.1000000000000001</v>
      </c>
      <c r="D19" s="13">
        <v>2.1</v>
      </c>
      <c r="E19" s="13">
        <v>3</v>
      </c>
      <c r="F19" s="13">
        <v>4</v>
      </c>
      <c r="G19" s="13">
        <v>4.0999999999999996</v>
      </c>
      <c r="H19" s="14"/>
      <c r="I19" s="14" t="s">
        <v>338</v>
      </c>
      <c r="J19" s="14" t="b">
        <v>1</v>
      </c>
      <c r="K19" s="14" t="e">
        <f>#VALUE!</f>
        <v>#VALUE!</v>
      </c>
      <c r="L19" s="14" t="e">
        <v>#N/A</v>
      </c>
      <c r="M19" s="15" t="e">
        <v>#DIV/0!</v>
      </c>
      <c r="N19" s="15" t="e">
        <v>#NAME?</v>
      </c>
      <c r="O19" s="15" t="e">
        <v>#NULL!</v>
      </c>
      <c r="P19" s="15" t="e">
        <v>#NUM!</v>
      </c>
      <c r="Q19" s="15" t="e">
        <v>#REF!</v>
      </c>
      <c r="R19" s="4">
        <f>HLOOKUP(C19,{-1.1,2.1,3.1,4.1;5,6,7,8},2,-2)</f>
        <v>5</v>
      </c>
      <c r="S19" s="4">
        <f>HLOOKUP(D19,{-1.1,2.1,3.1,4.1;5,6,7,8},2,-2)</f>
        <v>6</v>
      </c>
      <c r="T19" s="4">
        <f>HLOOKUP(E19,{-1.1,2.1,3.1,4.1;5,6,7,8},2,-2)</f>
        <v>6</v>
      </c>
      <c r="U19" s="4">
        <f>HLOOKUP(F19,{-1.1,2.1,3.1,4.1;5,6,7,8},2,-2)</f>
        <v>7</v>
      </c>
      <c r="V19" s="4">
        <f>HLOOKUP(G19,{-1.1,2.1,3.1,4.1;5,6,7,8},2,-2)</f>
        <v>8</v>
      </c>
      <c r="W19" s="4">
        <f>HLOOKUP(H19,{-1.1,2.1,3.1,4.1;5,6,7,8},2,-2)</f>
        <v>5</v>
      </c>
      <c r="X19" s="4" t="e">
        <f>HLOOKUP(I19,{-1.1,2.1,3.1,4.1;5,6,7,8},2,-2)</f>
        <v>#N/A</v>
      </c>
      <c r="Y19" s="4" t="e">
        <f>HLOOKUP(J19,{-1.1,2.1,3.1,4.1;5,6,7,8},2,-2)</f>
        <v>#N/A</v>
      </c>
      <c r="Z19" s="4" t="e">
        <f>HLOOKUP(K19,{-1.1,2.1,3.1,4.1;5,6,7,8},2,-2)</f>
        <v>#VALUE!</v>
      </c>
      <c r="AA19" s="4" t="e">
        <f>HLOOKUP(L19,{-1.1,2.1,3.1,4.1;5,6,7,8},2,-2)</f>
        <v>#N/A</v>
      </c>
      <c r="AB19" s="4" t="e">
        <f>HLOOKUP(M19,{-1.1,2.1,3.1,4.1;5,6,7,8},2,-2)</f>
        <v>#DIV/0!</v>
      </c>
      <c r="AC19" s="4" t="e">
        <f>HLOOKUP(N19,{-1.1,2.1,3.1,4.1;5,6,7,8},2,-2)</f>
        <v>#NAME?</v>
      </c>
      <c r="AD19" s="4" t="e">
        <f>HLOOKUP(O19,{-1.1,2.1,3.1,4.1;5,6,7,8},2,-2)</f>
        <v>#NULL!</v>
      </c>
      <c r="AE19" s="4" t="e">
        <f>HLOOKUP(P19,{-1.1,2.1,3.1,4.1;5,6,7,8},2,-2)</f>
        <v>#NUM!</v>
      </c>
      <c r="AF19" s="4" t="e">
        <f>HLOOKUP(Q19,{-1.1,2.1,3.1,4.1;5,6,7,8},2,-2)</f>
        <v>#REF!</v>
      </c>
    </row>
    <row r="20" spans="1:49" x14ac:dyDescent="0.15">
      <c r="A20" s="67"/>
      <c r="B20" s="68"/>
      <c r="C20" s="13">
        <v>-1.1000000000000001</v>
      </c>
      <c r="D20" s="13">
        <v>2.1</v>
      </c>
      <c r="E20" s="13">
        <v>3</v>
      </c>
      <c r="F20" s="13">
        <v>4</v>
      </c>
      <c r="G20" s="13">
        <v>4.0999999999999996</v>
      </c>
      <c r="H20" s="14"/>
      <c r="I20" s="14" t="s">
        <v>338</v>
      </c>
      <c r="J20" s="14" t="b">
        <v>1</v>
      </c>
      <c r="K20" s="14" t="e">
        <f>#VALUE!</f>
        <v>#VALUE!</v>
      </c>
      <c r="L20" s="14" t="e">
        <v>#N/A</v>
      </c>
      <c r="M20" s="15" t="e">
        <v>#DIV/0!</v>
      </c>
      <c r="N20" s="15" t="e">
        <v>#NAME?</v>
      </c>
      <c r="O20" s="15" t="e">
        <v>#NULL!</v>
      </c>
      <c r="P20" s="15" t="e">
        <v>#NUM!</v>
      </c>
      <c r="Q20" s="15" t="e">
        <v>#REF!</v>
      </c>
      <c r="R20" s="4">
        <f>HLOOKUP(C20,{-1.1,2.1,3.1,4.1;5,6,7,8},{2,3},-2)</f>
        <v>5</v>
      </c>
      <c r="S20" s="4">
        <f>HLOOKUP(D20,{-1.1,2.1,3.1,4.1;5,6,7,8},2,-2)</f>
        <v>6</v>
      </c>
      <c r="T20" s="4">
        <f>HLOOKUP(E20,{-1.1,2.1,3.1,4.1;5,6,7,8},2,-2)</f>
        <v>6</v>
      </c>
      <c r="U20" s="4">
        <f>HLOOKUP(F20,{-1.1,2.1,3.1,4.1;5,6,7,8},2,-2)</f>
        <v>7</v>
      </c>
      <c r="V20" s="4">
        <f>HLOOKUP(G20,{-1.1,2.1,3.1,4.1;5,6,7,8},2,-2)</f>
        <v>8</v>
      </c>
      <c r="W20" s="4">
        <f>HLOOKUP(H20,{-1.1,2.1,3.1,4.1;5,6,7,8},2,-2)</f>
        <v>5</v>
      </c>
      <c r="X20" s="4" t="e">
        <f>HLOOKUP(I20,{-1.1,2.1,3.1,4.1;5,6,7,8},2,-2)</f>
        <v>#N/A</v>
      </c>
      <c r="Y20" s="4" t="e">
        <f>HLOOKUP(J20,{-1.1,2.1,3.1,4.1;5,6,7,8},2,-2)</f>
        <v>#N/A</v>
      </c>
      <c r="Z20" s="4" t="e">
        <f>HLOOKUP(K20,{-1.1,2.1,3.1,4.1;5,6,7,8},2,-2)</f>
        <v>#VALUE!</v>
      </c>
      <c r="AA20" s="4" t="e">
        <f>HLOOKUP(L20,{-1.1,2.1,3.1,4.1;5,6,7,8},2,-2)</f>
        <v>#N/A</v>
      </c>
      <c r="AB20" s="4" t="e">
        <f>HLOOKUP(M20,{-1.1,2.1,3.1,4.1;5,6,7,8},2,-2)</f>
        <v>#DIV/0!</v>
      </c>
      <c r="AC20" s="4" t="e">
        <f>HLOOKUP(N20,{-1.1,2.1,3.1,4.1;5,6,7,8},2,-2)</f>
        <v>#NAME?</v>
      </c>
      <c r="AD20" s="4" t="e">
        <f>HLOOKUP(O20,{-1.1,2.1,3.1,4.1;5,6,7,8},2,-2)</f>
        <v>#NULL!</v>
      </c>
      <c r="AE20" s="4" t="e">
        <f>HLOOKUP(P20,{-1.1,2.1,3.1,4.1;5,6,7,8},2,-2)</f>
        <v>#NUM!</v>
      </c>
      <c r="AF20" s="4" t="e">
        <f>HLOOKUP(Q20,{-1.1,2.1,3.1,4.1;5,6,7,8},2,-2)</f>
        <v>#REF!</v>
      </c>
    </row>
    <row r="21" spans="1:49" x14ac:dyDescent="0.15">
      <c r="A21" s="41" t="s">
        <v>520</v>
      </c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5"/>
      <c r="N21" s="15"/>
      <c r="O21" s="15"/>
      <c r="P21" s="15"/>
      <c r="Q21" s="15"/>
    </row>
    <row r="22" spans="1:49" x14ac:dyDescent="0.15">
      <c r="A22" s="41" t="s">
        <v>328</v>
      </c>
    </row>
    <row r="23" spans="1:49" x14ac:dyDescent="0.15">
      <c r="A23" s="41" t="s">
        <v>521</v>
      </c>
    </row>
    <row r="24" spans="1:49" x14ac:dyDescent="0.15">
      <c r="A24" s="67" t="s">
        <v>329</v>
      </c>
      <c r="B24" s="68" t="s">
        <v>541</v>
      </c>
      <c r="C24" s="13">
        <v>-1.1000000000000001</v>
      </c>
      <c r="D24" s="13">
        <v>2.1</v>
      </c>
      <c r="E24" s="13">
        <v>3</v>
      </c>
      <c r="F24" s="13">
        <v>4</v>
      </c>
      <c r="G24" s="13">
        <v>4.0999999999999996</v>
      </c>
      <c r="H24" s="14"/>
      <c r="I24" s="14" t="s">
        <v>338</v>
      </c>
      <c r="J24" s="14" t="b">
        <v>1</v>
      </c>
      <c r="K24" s="14" t="e">
        <f>#VALUE!</f>
        <v>#VALUE!</v>
      </c>
      <c r="L24" s="14" t="e">
        <v>#N/A</v>
      </c>
      <c r="M24" s="15" t="e">
        <v>#DIV/0!</v>
      </c>
      <c r="N24" s="15" t="e">
        <v>#NAME?</v>
      </c>
      <c r="O24" s="15" t="e">
        <v>#NULL!</v>
      </c>
      <c r="P24" s="15" t="e">
        <v>#NUM!</v>
      </c>
      <c r="Q24" s="15" t="e">
        <v>#REF!</v>
      </c>
      <c r="R24" s="4">
        <f>INDEX(C24:E25,1,2)</f>
        <v>2.1</v>
      </c>
      <c r="S24" s="4">
        <f>INDEX(D24:F24,1,2)</f>
        <v>3</v>
      </c>
      <c r="T24" s="4" t="e">
        <f>INDEX(E24:E26,1,2)</f>
        <v>#REF!</v>
      </c>
      <c r="U24" s="4" t="e">
        <f>INDEX(F24:H25,1,5)</f>
        <v>#REF!</v>
      </c>
      <c r="V24" s="4">
        <f>INDEX(G24:I25,1,2)</f>
        <v>0</v>
      </c>
      <c r="W24" s="4" t="str">
        <f t="shared" ref="W24:AF24" si="4">INDEX(H24:J25,1,2)</f>
        <v>b</v>
      </c>
      <c r="X24" s="4" t="b">
        <f t="shared" si="4"/>
        <v>1</v>
      </c>
      <c r="Y24" s="4" t="e">
        <f t="shared" si="4"/>
        <v>#VALUE!</v>
      </c>
      <c r="Z24" s="4" t="e">
        <f t="shared" si="4"/>
        <v>#N/A</v>
      </c>
      <c r="AA24" s="4" t="e">
        <f t="shared" si="4"/>
        <v>#DIV/0!</v>
      </c>
      <c r="AB24" s="4" t="e">
        <f t="shared" si="4"/>
        <v>#NAME?</v>
      </c>
      <c r="AC24" s="4" t="e">
        <f t="shared" si="4"/>
        <v>#NULL!</v>
      </c>
      <c r="AD24" s="4" t="e">
        <f t="shared" si="4"/>
        <v>#NUM!</v>
      </c>
      <c r="AE24" s="4" t="e">
        <f t="shared" si="4"/>
        <v>#REF!</v>
      </c>
      <c r="AF24" s="4">
        <f t="shared" si="4"/>
        <v>2.1</v>
      </c>
      <c r="AH24" s="4">
        <f t="array" ref="AH24:AH25">INDEX(C24:H26,E25:E26,1)</f>
        <v>-2</v>
      </c>
      <c r="AI24" s="4">
        <f t="array" ref="AI24:AJ24">INDEX(C24:E25,2,3)</f>
        <v>2</v>
      </c>
      <c r="AJ24" s="4">
        <v>2</v>
      </c>
      <c r="AK24" s="4" t="e">
        <f t="array" ref="AK24:AL26">INDEX({2,3;4,5},E24:E26)</f>
        <v>#REF!</v>
      </c>
      <c r="AL24" s="4" t="e">
        <v>#REF!</v>
      </c>
      <c r="AM24" s="4">
        <f t="array" ref="AM24:AN24">INDEX({2,3;4,5},2)</f>
        <v>4</v>
      </c>
      <c r="AN24" s="4">
        <v>5</v>
      </c>
      <c r="AO24" s="4">
        <f t="array" ref="AO24:AP25">INDEX({2,3;4,5},{1,2})</f>
        <v>2</v>
      </c>
      <c r="AP24" s="4">
        <v>4</v>
      </c>
      <c r="AQ24" s="4" t="e">
        <f t="array" ref="AQ24:AR26">INDEX((C24:C26,D24:D26),1,1,E24:E26)</f>
        <v>#REF!</v>
      </c>
      <c r="AR24" s="4" t="e">
        <v>#REF!</v>
      </c>
      <c r="AS24" s="4" t="e">
        <f t="array" ref="AS24:AS26">INDEX((C24:C26,D24:D26),E24:E26,1,E24:E26)</f>
        <v>#REF!</v>
      </c>
      <c r="AT24" s="4" t="e">
        <f t="array" ref="AT24:AU26">INDEX((C24:C25,D24:D25),1,1,E24:E25)</f>
        <v>#REF!</v>
      </c>
      <c r="AU24" s="4" t="e">
        <v>#REF!</v>
      </c>
    </row>
    <row r="25" spans="1:49" x14ac:dyDescent="0.15">
      <c r="A25" s="67"/>
      <c r="B25" s="68"/>
      <c r="C25" s="13">
        <v>-2</v>
      </c>
      <c r="D25" s="13">
        <v>1.1000000000000001</v>
      </c>
      <c r="E25" s="13">
        <v>2</v>
      </c>
      <c r="F25" s="13">
        <v>3</v>
      </c>
      <c r="G25" s="13">
        <v>3.1</v>
      </c>
      <c r="H25" s="14"/>
      <c r="I25" s="14" t="s">
        <v>411</v>
      </c>
      <c r="J25" s="14" t="b">
        <v>0</v>
      </c>
      <c r="K25" s="14" t="e">
        <f>#VALUE!</f>
        <v>#VALUE!</v>
      </c>
      <c r="L25" s="14" t="e">
        <v>#N/A</v>
      </c>
      <c r="M25" s="15" t="e">
        <v>#DIV/0!</v>
      </c>
      <c r="N25" s="15" t="e">
        <v>#NAME?</v>
      </c>
      <c r="O25" s="15" t="e">
        <v>#NULL!</v>
      </c>
      <c r="P25" s="15" t="e">
        <v>#NUM!</v>
      </c>
      <c r="Q25" s="15" t="e">
        <v>#REF!</v>
      </c>
      <c r="R25" s="4" t="e">
        <f>INDEX(C24:E25,2)</f>
        <v>#REF!</v>
      </c>
      <c r="S25" s="4">
        <f>INDEX(D24:F24,2)</f>
        <v>3</v>
      </c>
      <c r="T25" s="4">
        <f>INDEX(E24:E26,2)</f>
        <v>2</v>
      </c>
      <c r="U25" s="4" t="e">
        <f>INDEX({2,3,4},4)</f>
        <v>#REF!</v>
      </c>
      <c r="V25" s="4">
        <f>INDEX({2,3,4},1)</f>
        <v>2</v>
      </c>
      <c r="W25" s="4">
        <f>INDEX({2,3,4},1,1)</f>
        <v>2</v>
      </c>
      <c r="X25" s="4" t="e">
        <f>INDEX({2,3,4},2,1)</f>
        <v>#REF!</v>
      </c>
      <c r="Y25" s="4">
        <f>INDEX({2,3,4},2)</f>
        <v>3</v>
      </c>
      <c r="Z25" s="4">
        <f t="array" ref="Z25:AA25">INDEX({2,3;4,5},2)</f>
        <v>4</v>
      </c>
      <c r="AA25" s="4">
        <v>5</v>
      </c>
      <c r="AH25" s="4">
        <v>-1.1000000000000001</v>
      </c>
      <c r="AK25" s="4">
        <v>4</v>
      </c>
      <c r="AL25" s="4">
        <v>4</v>
      </c>
      <c r="AO25" s="4">
        <v>2</v>
      </c>
      <c r="AP25" s="4">
        <v>4</v>
      </c>
      <c r="AQ25" s="4">
        <v>2.1</v>
      </c>
      <c r="AR25" s="4">
        <v>2.1</v>
      </c>
      <c r="AS25" s="4">
        <v>1.1000000000000001</v>
      </c>
      <c r="AT25" s="4">
        <v>2.1</v>
      </c>
      <c r="AU25" s="4">
        <v>2.1</v>
      </c>
    </row>
    <row r="26" spans="1:49" x14ac:dyDescent="0.15">
      <c r="A26" s="67"/>
      <c r="B26" s="68"/>
      <c r="C26" s="13">
        <v>-2.9</v>
      </c>
      <c r="D26" s="13">
        <v>0.1</v>
      </c>
      <c r="E26" s="13">
        <v>1</v>
      </c>
      <c r="F26" s="13">
        <v>4</v>
      </c>
      <c r="G26" s="13">
        <v>2.1</v>
      </c>
      <c r="H26" s="14"/>
      <c r="I26" s="14" t="s">
        <v>413</v>
      </c>
      <c r="J26" s="14" t="b">
        <v>1</v>
      </c>
      <c r="K26" s="14" t="e">
        <f>#VALUE!</f>
        <v>#VALUE!</v>
      </c>
      <c r="L26" s="14" t="e">
        <v>#N/A</v>
      </c>
      <c r="M26" s="15" t="e">
        <v>#DIV/0!</v>
      </c>
      <c r="N26" s="15" t="e">
        <v>#NAME?</v>
      </c>
      <c r="O26" s="15" t="e">
        <v>#NULL!</v>
      </c>
      <c r="P26" s="15" t="e">
        <v>#NUM!</v>
      </c>
      <c r="Q26" s="15" t="e">
        <v>#REF!</v>
      </c>
      <c r="R26" s="4" t="e">
        <f>INDEX(C24:E25,-1)</f>
        <v>#VALUE!</v>
      </c>
      <c r="Z26" s="4" t="e">
        <f>INDEX({2,3,4,5},L26,K26)</f>
        <v>#N/A</v>
      </c>
      <c r="AA26" s="4" t="e">
        <f>INDEX({2,3,4,5},L26)</f>
        <v>#N/A</v>
      </c>
      <c r="AB26" s="4" t="e">
        <f>INDEX({2,3,4,5},1,1,N26)</f>
        <v>#NAME?</v>
      </c>
      <c r="AC26" s="4" t="e">
        <f>INDEX({2,3,4,5},N26)</f>
        <v>#NAME?</v>
      </c>
      <c r="AD26" s="4" t="e">
        <f>INDEX({2,3,4,5},O26)</f>
        <v>#NULL!</v>
      </c>
      <c r="AE26" s="4" t="e">
        <f>INDEX({2,3,4,5},P26)</f>
        <v>#NUM!</v>
      </c>
      <c r="AF26" s="4" t="e">
        <f>INDEX({2,3,4,5},Q26)</f>
        <v>#REF!</v>
      </c>
      <c r="AK26" s="4">
        <v>2</v>
      </c>
      <c r="AL26" s="4">
        <v>2</v>
      </c>
      <c r="AN26" s="4">
        <f t="array" ref="AN26:AO26">INDEX({2,3;4,5},{1})</f>
        <v>2</v>
      </c>
      <c r="AO26" s="4">
        <v>2</v>
      </c>
      <c r="AQ26" s="4">
        <v>-1.1000000000000001</v>
      </c>
      <c r="AR26" s="4">
        <v>-1.1000000000000001</v>
      </c>
      <c r="AS26" s="4">
        <v>-1.1000000000000001</v>
      </c>
      <c r="AT26" s="4" t="e">
        <v>#N/A</v>
      </c>
      <c r="AU26" s="4" t="e">
        <v>#N/A</v>
      </c>
    </row>
    <row r="27" spans="1:49" x14ac:dyDescent="0.15">
      <c r="A27" s="41" t="s">
        <v>330</v>
      </c>
      <c r="R27" s="6"/>
    </row>
    <row r="28" spans="1:49" x14ac:dyDescent="0.15">
      <c r="A28" s="67" t="s">
        <v>331</v>
      </c>
      <c r="B28" s="68" t="s">
        <v>541</v>
      </c>
      <c r="C28" s="13">
        <v>-1.1000000000000001</v>
      </c>
      <c r="D28" s="13">
        <v>2.1</v>
      </c>
      <c r="E28" s="13">
        <v>3</v>
      </c>
      <c r="F28" s="13">
        <v>4</v>
      </c>
      <c r="G28" s="13">
        <v>4.0999999999999996</v>
      </c>
      <c r="H28" s="14"/>
      <c r="I28" s="14" t="s">
        <v>338</v>
      </c>
      <c r="J28" s="14" t="b">
        <v>1</v>
      </c>
      <c r="K28" s="14" t="e">
        <f>#VALUE!</f>
        <v>#VALUE!</v>
      </c>
      <c r="L28" s="14" t="e">
        <v>#N/A</v>
      </c>
      <c r="M28" s="15" t="e">
        <v>#DIV/0!</v>
      </c>
      <c r="N28" s="15" t="e">
        <v>#NAME?</v>
      </c>
      <c r="O28" s="15" t="e">
        <v>#NULL!</v>
      </c>
      <c r="P28" s="15" t="e">
        <v>#NUM!</v>
      </c>
      <c r="Q28" s="15" t="e">
        <v>#REF!</v>
      </c>
      <c r="R28" s="6" t="e">
        <f>LOOKUP(-2,{-1.1,2.1,3.1,4.1})</f>
        <v>#N/A</v>
      </c>
      <c r="S28" s="6">
        <f>LOOKUP(2,{-1.1,2.1,3.1,4.1})</f>
        <v>-1.1000000000000001</v>
      </c>
      <c r="T28" s="6">
        <f>LOOKUP(E28,{-1.1,2.1,3.1,4.1})</f>
        <v>2.1</v>
      </c>
      <c r="U28" s="6">
        <f>LOOKUP(F28,{-1.1,2.1,3.1,4.1})</f>
        <v>3.1</v>
      </c>
      <c r="V28" s="6">
        <f>LOOKUP(G28,{-1.1,2.1,3.1,4.1})</f>
        <v>4.0999999999999996</v>
      </c>
      <c r="W28" s="6">
        <f>LOOKUP(20,{-1.1,2.1,3.1,4.1})</f>
        <v>4.0999999999999996</v>
      </c>
      <c r="X28" s="6" t="e">
        <f>LOOKUP(I28,{-1.1,2.1,3.1,4.1})</f>
        <v>#N/A</v>
      </c>
      <c r="Y28" s="6" t="e">
        <f>LOOKUP(J28,{-1.1,2.1,3.1,4.1})</f>
        <v>#N/A</v>
      </c>
      <c r="Z28" s="6" t="e">
        <f>LOOKUP(K28,{-1.1,2.1,3.1,4.1},{"L","ML","MR","R"})</f>
        <v>#VALUE!</v>
      </c>
      <c r="AA28" s="6" t="e">
        <f>LOOKUP(L28,{-1.1,2.1,3.1,4.1},{"L","ML","MR","R"})</f>
        <v>#N/A</v>
      </c>
      <c r="AB28" s="6" t="e">
        <f>LOOKUP(M28,{-1.1,2.1,3.1,4.1},{"L","ML","MR","R"})</f>
        <v>#DIV/0!</v>
      </c>
      <c r="AC28" s="6" t="e">
        <f>LOOKUP(N28,{-1.1,2.1,3.1,4.1},{"L","ML","MR","R"})</f>
        <v>#NAME?</v>
      </c>
      <c r="AD28" s="6" t="e">
        <f>LOOKUP(O28,{-1.1,2.1,3.1,4.1},{"L","ML","MR","R"})</f>
        <v>#NULL!</v>
      </c>
      <c r="AE28" s="6" t="e">
        <f>LOOKUP(P28,{-1.1,2.1,3.1,4.1},{"L","ML","MR","R"})</f>
        <v>#NUM!</v>
      </c>
      <c r="AF28" s="6" t="e">
        <f>LOOKUP(Q28,{-1.1,2.1,3.1,4.1},{"L","ML","MR","R"})</f>
        <v>#REF!</v>
      </c>
      <c r="AG28" s="6" t="str">
        <f>LOOKUP(20,{-1.1,2.1,3.1,4.1},{"L","ML","MR","R"})</f>
        <v>R</v>
      </c>
      <c r="AH28" s="6" t="str">
        <f t="array" ref="AH28:AW28">LOOKUP(C28:Q28,{-1.1,2.1,3.1,4.1},{"L","ML","MR","R"})</f>
        <v>L</v>
      </c>
      <c r="AI28" s="6" t="str">
        <v>ML</v>
      </c>
      <c r="AJ28" s="6" t="str">
        <v>ML</v>
      </c>
      <c r="AK28" s="6" t="str">
        <v>MR</v>
      </c>
      <c r="AL28" s="6" t="str">
        <v>R</v>
      </c>
      <c r="AM28" s="6" t="str">
        <v>L</v>
      </c>
      <c r="AN28" s="6" t="e">
        <v>#N/A</v>
      </c>
      <c r="AO28" s="6" t="e">
        <v>#N/A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67"/>
      <c r="B29" s="68"/>
      <c r="C29" s="13"/>
      <c r="D29" s="13"/>
      <c r="E29" s="13"/>
      <c r="F29" s="13"/>
      <c r="G29" s="13"/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6" t="e">
        <f>LOOKUP(-2,{"a",2.1,"b",4.1})</f>
        <v>#N/A</v>
      </c>
      <c r="S29" s="6" t="e">
        <f>LOOKUP(2,{"a",2.1,"b",4.1})</f>
        <v>#N/A</v>
      </c>
      <c r="T29" s="6">
        <f>LOOKUP(E28,{"a",2.1,"b",4.1})</f>
        <v>2.1</v>
      </c>
      <c r="U29" s="6">
        <f>LOOKUP(F28,{"a",2.1,"b",4.1})</f>
        <v>2.1</v>
      </c>
      <c r="V29" s="6">
        <f>LOOKUP(G28,{"a",2.1,"b",4.1})</f>
        <v>4.0999999999999996</v>
      </c>
      <c r="W29" s="6" t="e">
        <f>LOOKUP(H28,{"a",2.1,"b",4.1})</f>
        <v>#N/A</v>
      </c>
      <c r="X29" s="6" t="str">
        <f>LOOKUP(I28,{"a",2.1,"b",4.1})</f>
        <v>b</v>
      </c>
      <c r="Y29" s="6" t="e">
        <f>LOOKUP(J28,{"a",2.1,"b",4.1})</f>
        <v>#N/A</v>
      </c>
      <c r="Z29" s="6" t="e">
        <f>LOOKUP(K28,{"a",2.1,"b",4.1})</f>
        <v>#VALUE!</v>
      </c>
      <c r="AA29" s="6" t="e">
        <f>LOOKUP(L28,{"a",2.1,"b",4.1})</f>
        <v>#N/A</v>
      </c>
      <c r="AB29" s="6" t="e">
        <f>LOOKUP(M28,{"a",2.1,"b",4.1})</f>
        <v>#DIV/0!</v>
      </c>
      <c r="AC29" s="6" t="e">
        <f>LOOKUP(N28,{"a",2.1,"b",4.1})</f>
        <v>#NAME?</v>
      </c>
      <c r="AD29" s="6" t="e">
        <f>LOOKUP(O28,{"a",2.1,"b",4.1})</f>
        <v>#NULL!</v>
      </c>
      <c r="AE29" s="6" t="e">
        <f>LOOKUP(P28,{"a",2.1,"b",4.1})</f>
        <v>#NUM!</v>
      </c>
      <c r="AF29" s="6" t="e">
        <f>LOOKUP(Q28,{"a",2.1,"b",4.1})</f>
        <v>#REF!</v>
      </c>
      <c r="AG29" s="6" t="str">
        <f>LOOKUP(20,{"a",2.1,"b",4.1},{"L","ML","MR","R"})</f>
        <v>R</v>
      </c>
      <c r="AH29" s="6" t="e">
        <f t="array" ref="AH29:AW29">LOOKUP(C28:Q28,{"a",2.1,"b",4.1},{"L","ML","MR","R"})</f>
        <v>#N/A</v>
      </c>
      <c r="AI29" s="4" t="str">
        <v>ML</v>
      </c>
      <c r="AJ29" s="4" t="str">
        <v>ML</v>
      </c>
      <c r="AK29" s="4" t="str">
        <v>ML</v>
      </c>
      <c r="AL29" s="4" t="str">
        <v>R</v>
      </c>
      <c r="AM29" s="4" t="e">
        <v>#N/A</v>
      </c>
      <c r="AN29" s="4" t="str">
        <v>MR</v>
      </c>
      <c r="AO29" s="4" t="e">
        <v>#N/A</v>
      </c>
      <c r="AP29" s="4" t="e">
        <v>#VALUE!</v>
      </c>
      <c r="AQ29" s="4" t="e">
        <v>#N/A</v>
      </c>
      <c r="AR29" s="4" t="e">
        <v>#DIV/0!</v>
      </c>
      <c r="AS29" s="4" t="e">
        <v>#NAME?</v>
      </c>
      <c r="AT29" s="4" t="e">
        <v>#NULL!</v>
      </c>
      <c r="AU29" s="4" t="e">
        <v>#NUM!</v>
      </c>
      <c r="AV29" s="4" t="e">
        <v>#REF!</v>
      </c>
      <c r="AW29" s="4" t="e">
        <v>#N/A</v>
      </c>
    </row>
    <row r="30" spans="1:49" x14ac:dyDescent="0.15">
      <c r="A30" s="67"/>
      <c r="B30" s="68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5"/>
      <c r="N30" s="15"/>
      <c r="O30" s="15"/>
      <c r="P30" s="15"/>
      <c r="Q30" s="15"/>
      <c r="R30" s="6" t="e">
        <f>LOOKUP(-2,{FALSE,2.1,TRUE,4.1})</f>
        <v>#N/A</v>
      </c>
      <c r="S30" s="6" t="e">
        <f>LOOKUP(2,{FALSE,2.1,TRUE,4.1})</f>
        <v>#N/A</v>
      </c>
      <c r="T30" s="6">
        <f>LOOKUP(E28,{FALSE,2.1,TRUE,4.1})</f>
        <v>2.1</v>
      </c>
      <c r="U30" s="6">
        <f>LOOKUP(F28,{FALSE,2.1,TRUE,4.1})</f>
        <v>2.1</v>
      </c>
      <c r="V30" s="6">
        <f>LOOKUP(G28,{FALSE,2.1,TRUE,4.1})</f>
        <v>4.0999999999999996</v>
      </c>
      <c r="W30" s="6" t="e">
        <f>LOOKUP(H28,{FALSE,2.1,TRUE,4.1})</f>
        <v>#N/A</v>
      </c>
      <c r="X30" s="6" t="e">
        <f>LOOKUP(I28,{FALSE,2.1,TRUE,4.1})</f>
        <v>#N/A</v>
      </c>
      <c r="Y30" s="6" t="b">
        <f>LOOKUP(J28,{FALSE,2.1,TRUE,4.1})</f>
        <v>1</v>
      </c>
      <c r="Z30" s="6" t="e">
        <f>LOOKUP(K28,{FALSE,2.1,TRUE,4.1})</f>
        <v>#VALUE!</v>
      </c>
      <c r="AA30" s="6" t="e">
        <f>LOOKUP(L28,{FALSE,2.1,TRUE,4.1})</f>
        <v>#N/A</v>
      </c>
      <c r="AB30" s="6" t="e">
        <f>LOOKUP(M28,{FALSE,2.1,TRUE,4.1})</f>
        <v>#DIV/0!</v>
      </c>
      <c r="AC30" s="6" t="e">
        <f>LOOKUP(N28,{FALSE,2.1,TRUE,4.1})</f>
        <v>#NAME?</v>
      </c>
      <c r="AD30" s="6" t="e">
        <f>LOOKUP(O28,{FALSE,2.1,TRUE,4.1})</f>
        <v>#NULL!</v>
      </c>
      <c r="AE30" s="6" t="e">
        <f>LOOKUP(P28,{FALSE,2.1,TRUE,4.1})</f>
        <v>#NUM!</v>
      </c>
      <c r="AF30" s="6" t="e">
        <f>LOOKUP(Q28,{FALSE,2.1,TRUE,4.1})</f>
        <v>#REF!</v>
      </c>
      <c r="AG30" s="6" t="str">
        <f>LOOKUP(20,{FALSE,2.1,TRUE,4.1},{"L","ML","MR","R"})</f>
        <v>R</v>
      </c>
      <c r="AH30" s="6" t="e">
        <f t="array" ref="AH30:AW30">LOOKUP(C28:Q28,{FALSE,2.1,TRUE,4.1},{"L","ML","MR","R"})</f>
        <v>#N/A</v>
      </c>
      <c r="AI30" s="4" t="str">
        <v>ML</v>
      </c>
      <c r="AJ30" s="4" t="str">
        <v>ML</v>
      </c>
      <c r="AK30" s="4" t="str">
        <v>ML</v>
      </c>
      <c r="AL30" s="4" t="str">
        <v>R</v>
      </c>
      <c r="AM30" s="4" t="e">
        <v>#N/A</v>
      </c>
      <c r="AN30" s="4" t="e">
        <v>#N/A</v>
      </c>
      <c r="AO30" s="4" t="str">
        <v>MR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x14ac:dyDescent="0.15">
      <c r="A31" s="67"/>
      <c r="B31" s="68"/>
      <c r="C31" s="13"/>
      <c r="D31" s="13"/>
      <c r="E31" s="13"/>
      <c r="F31" s="13"/>
      <c r="G31" s="13"/>
      <c r="H31" s="14"/>
      <c r="I31" s="14"/>
      <c r="J31" s="14"/>
      <c r="K31" s="14"/>
      <c r="L31" s="14"/>
      <c r="M31" s="15"/>
      <c r="N31" s="15"/>
      <c r="O31" s="15"/>
      <c r="P31" s="15"/>
      <c r="Q31" s="15"/>
      <c r="R31" s="6" t="e">
        <f>LOOKUP(-2,{4.1,2.1,3.1,1.1})</f>
        <v>#N/A</v>
      </c>
      <c r="S31" s="6" t="e">
        <f>LOOKUP(2,{4.1,2.1,3.1,1.1})</f>
        <v>#N/A</v>
      </c>
      <c r="T31" s="6">
        <f>LOOKUP(E28,{4.1,2.1,3.1,1.1})</f>
        <v>2.1</v>
      </c>
      <c r="U31" s="6">
        <f>LOOKUP(F28,{4.1,2.1,3.1,1.1})</f>
        <v>1.1000000000000001</v>
      </c>
      <c r="V31" s="6">
        <f>LOOKUP(G28,{4.1,2.1,3.1,1.1})</f>
        <v>1.1000000000000001</v>
      </c>
      <c r="W31" s="6" t="e">
        <f>LOOKUP(H28,{4.1,2.1,3.1,1.1})</f>
        <v>#N/A</v>
      </c>
      <c r="X31" s="6" t="e">
        <f>LOOKUP(I28,{4.1,2.1,3.1,1.1})</f>
        <v>#N/A</v>
      </c>
      <c r="Y31" s="6" t="e">
        <f>LOOKUP(J28,{4.1,2.1,3.1,1.1})</f>
        <v>#N/A</v>
      </c>
      <c r="Z31" s="6" t="e">
        <f>LOOKUP(K28,{4.1,2.1,3.1,1.1})</f>
        <v>#VALUE!</v>
      </c>
      <c r="AA31" s="6" t="e">
        <f>LOOKUP(L28,{4.1,2.1,3.1,1.1})</f>
        <v>#N/A</v>
      </c>
      <c r="AB31" s="6" t="e">
        <f>LOOKUP(M28,{4.1,2.1,3.1,1.1})</f>
        <v>#DIV/0!</v>
      </c>
      <c r="AC31" s="6" t="e">
        <f>LOOKUP(N28,{4.1,2.1,3.1,1.1})</f>
        <v>#NAME?</v>
      </c>
      <c r="AD31" s="6" t="e">
        <f>LOOKUP(O28,{4.1,2.1,3.1,1.1})</f>
        <v>#NULL!</v>
      </c>
      <c r="AE31" s="6" t="e">
        <f>LOOKUP(P28,{4.1,2.1,3.1,1.1})</f>
        <v>#NUM!</v>
      </c>
      <c r="AF31" s="6" t="e">
        <f>LOOKUP(Q28,{4.1,2.1,3.1,1.1})</f>
        <v>#REF!</v>
      </c>
      <c r="AG31" s="6" t="str">
        <f>LOOKUP(20,{4.1,2.1,3.1,1.1},{"L","ML","MR","R"})</f>
        <v>R</v>
      </c>
      <c r="AH31" s="6" t="e">
        <f t="array" ref="AH31:AW31">LOOKUP(C28:Q28,{4.1,2.1,3.1,1.1},{"L","ML","MR","R"})</f>
        <v>#N/A</v>
      </c>
      <c r="AI31" s="4" t="str">
        <v>ML</v>
      </c>
      <c r="AJ31" s="4" t="str">
        <v>ML</v>
      </c>
      <c r="AK31" s="4" t="str">
        <v>R</v>
      </c>
      <c r="AL31" s="4" t="str">
        <v>R</v>
      </c>
      <c r="AM31" s="4" t="e">
        <v>#N/A</v>
      </c>
      <c r="AN31" s="4" t="e">
        <v>#N/A</v>
      </c>
      <c r="AO31" s="4" t="e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67"/>
      <c r="B32" s="68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5"/>
      <c r="N32" s="15"/>
      <c r="O32" s="15"/>
      <c r="P32" s="15"/>
      <c r="Q32" s="15"/>
      <c r="R32" s="6" t="e">
        <f>LOOKUP(-2,{"b",4.1,"a",1.1})</f>
        <v>#N/A</v>
      </c>
      <c r="S32" s="6" t="e">
        <f>LOOKUP(2,{"b",4.1,"a",1.1})</f>
        <v>#N/A</v>
      </c>
      <c r="T32" s="6" t="e">
        <f>LOOKUP(E28,{"b",4.1,"a",1.1})</f>
        <v>#N/A</v>
      </c>
      <c r="U32" s="6" t="e">
        <f>LOOKUP(F28,{"b",4.1,"a",1.1})</f>
        <v>#N/A</v>
      </c>
      <c r="V32" s="6">
        <f>LOOKUP(G28,{"b",4.1,"a",1.1})</f>
        <v>4.0999999999999996</v>
      </c>
      <c r="W32" s="6" t="e">
        <f>LOOKUP(H28,{"b",4.1,"a",1.1})</f>
        <v>#N/A</v>
      </c>
      <c r="X32" s="6" t="str">
        <f>LOOKUP(I28,{"b",4.1,"a",1.1})</f>
        <v>a</v>
      </c>
      <c r="Y32" s="6" t="e">
        <f>LOOKUP(J28,{"b",4.1,"a",1.1})</f>
        <v>#N/A</v>
      </c>
      <c r="Z32" s="6" t="e">
        <f>LOOKUP(K28,{"b",4.1,"a",1.1})</f>
        <v>#VALUE!</v>
      </c>
      <c r="AA32" s="6" t="e">
        <f>LOOKUP(L28,{"b",4.1,"a",1.1})</f>
        <v>#N/A</v>
      </c>
      <c r="AB32" s="6" t="e">
        <f>LOOKUP(M28,{"b",4.1,"a",1.1})</f>
        <v>#DIV/0!</v>
      </c>
      <c r="AC32" s="6" t="e">
        <f>LOOKUP(N28,{"b",4.1,"a",1.1})</f>
        <v>#NAME?</v>
      </c>
      <c r="AD32" s="6" t="e">
        <f>LOOKUP(O28,{"b",4.1,"a",1.1})</f>
        <v>#NULL!</v>
      </c>
      <c r="AE32" s="6" t="e">
        <f>LOOKUP(P28,{"b",4.1,"a",1.1})</f>
        <v>#NUM!</v>
      </c>
      <c r="AF32" s="6" t="e">
        <f>LOOKUP(Q28,{"b",4.1,"a",1.1})</f>
        <v>#REF!</v>
      </c>
      <c r="AG32" s="6" t="str">
        <f>LOOKUP(20,{"b",4.1,"a",1.1},{"L","ML","MR","R"})</f>
        <v>R</v>
      </c>
      <c r="AH32" s="6" t="e">
        <f t="array" ref="AH32:AW32">LOOKUP(C28:Q28,{"b",4.1,"a",1.1},{"L","ML","MR","R"})</f>
        <v>#N/A</v>
      </c>
      <c r="AI32" s="4" t="e">
        <v>#N/A</v>
      </c>
      <c r="AJ32" s="4" t="e">
        <v>#N/A</v>
      </c>
      <c r="AK32" s="4" t="e">
        <v>#N/A</v>
      </c>
      <c r="AL32" s="4" t="str">
        <v>ML</v>
      </c>
      <c r="AM32" s="4" t="e">
        <v>#N/A</v>
      </c>
      <c r="AN32" s="4" t="str">
        <v>MR</v>
      </c>
      <c r="AO32" s="4" t="e">
        <v>#N/A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67"/>
      <c r="B33" s="68"/>
      <c r="C33" s="13"/>
      <c r="D33" s="13"/>
      <c r="E33" s="13"/>
      <c r="F33" s="13"/>
      <c r="G33" s="13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6" t="e">
        <f>LOOKUP(-2,{"",4.1,"a",1.1})</f>
        <v>#N/A</v>
      </c>
      <c r="S33" s="6" t="e">
        <f>LOOKUP(2,{"",4.1,"a",1.1})</f>
        <v>#N/A</v>
      </c>
      <c r="T33" s="6" t="e">
        <f>LOOKUP(E28,{"",4.1,"a",1.1})</f>
        <v>#N/A</v>
      </c>
      <c r="U33" s="6" t="e">
        <f>LOOKUP(F28,{"",4.1,"a",1.1})</f>
        <v>#N/A</v>
      </c>
      <c r="V33" s="6">
        <f>LOOKUP(G28,{"",4.1,"a",1.1})</f>
        <v>4.0999999999999996</v>
      </c>
      <c r="W33" s="6" t="e">
        <f>LOOKUP(H28,{"",4.1,"a",1.1})</f>
        <v>#N/A</v>
      </c>
      <c r="X33" s="6" t="str">
        <f>LOOKUP(I28,{"",4.1,"a",1.1})</f>
        <v>a</v>
      </c>
      <c r="Y33" s="6" t="e">
        <f>LOOKUP(J28,{"",4.1,"a",1.1})</f>
        <v>#N/A</v>
      </c>
      <c r="Z33" s="6" t="e">
        <f>LOOKUP(K28,{"",4.1,"a",1.1})</f>
        <v>#VALUE!</v>
      </c>
      <c r="AA33" s="6" t="e">
        <f>LOOKUP(L28,{"",4.1,"a",1.1})</f>
        <v>#N/A</v>
      </c>
      <c r="AB33" s="6" t="e">
        <f>LOOKUP(M28,{"",4.1,"a",1.1})</f>
        <v>#DIV/0!</v>
      </c>
      <c r="AC33" s="6" t="e">
        <f>LOOKUP(N28,{"",4.1,"a",1.1})</f>
        <v>#NAME?</v>
      </c>
      <c r="AD33" s="6" t="e">
        <f>LOOKUP(O28,{"",4.1,"a",1.1})</f>
        <v>#NULL!</v>
      </c>
      <c r="AE33" s="6" t="e">
        <f>LOOKUP(P28,{"",4.1,"a",1.1})</f>
        <v>#NUM!</v>
      </c>
      <c r="AF33" s="6" t="e">
        <f>LOOKUP(Q28,{"",4.1,"a",1.1})</f>
        <v>#REF!</v>
      </c>
      <c r="AG33" s="6" t="str">
        <f>LOOKUP(20,{"",4.1,"a",1.1},{"L","ML","MR","R"})</f>
        <v>R</v>
      </c>
      <c r="AH33" s="6" t="e">
        <f t="array" ref="AH33:AW33">LOOKUP(C28:Q28,{"",4.1,"a",1.1},{"L","ML","MR","R"})</f>
        <v>#N/A</v>
      </c>
      <c r="AI33" s="4" t="e">
        <v>#N/A</v>
      </c>
      <c r="AJ33" s="4" t="e">
        <v>#N/A</v>
      </c>
      <c r="AK33" s="4" t="e">
        <v>#N/A</v>
      </c>
      <c r="AL33" s="4" t="str">
        <v>ML</v>
      </c>
      <c r="AM33" s="4" t="e">
        <v>#N/A</v>
      </c>
      <c r="AN33" s="4" t="str">
        <v>MR</v>
      </c>
      <c r="AO33" s="4" t="e">
        <v>#N/A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67"/>
      <c r="B34" s="68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5"/>
      <c r="N34" s="15"/>
      <c r="O34" s="15"/>
      <c r="P34" s="15"/>
      <c r="Q34" s="15"/>
      <c r="R34" s="6" t="e">
        <f>LOOKUP(-2,{TRUE,4.1,FALSE,1.1})</f>
        <v>#N/A</v>
      </c>
      <c r="S34" s="6" t="e">
        <f>LOOKUP(2,{TRUE,4.1,FALSE,1.1})</f>
        <v>#N/A</v>
      </c>
      <c r="T34" s="6" t="e">
        <f>LOOKUP(E28,{TRUE,4.1,FALSE,1.1})</f>
        <v>#N/A</v>
      </c>
      <c r="U34" s="6" t="e">
        <f>LOOKUP(F28,{TRUE,4.1,FALSE,1.1})</f>
        <v>#N/A</v>
      </c>
      <c r="V34" s="6">
        <f>LOOKUP(G28,{TRUE,4.1,FALSE,1.1})</f>
        <v>4.0999999999999996</v>
      </c>
      <c r="W34" s="6" t="e">
        <f>LOOKUP(H28,{TRUE,4.1,FALSE,1.1})</f>
        <v>#N/A</v>
      </c>
      <c r="X34" s="6" t="e">
        <f>LOOKUP(I28,{TRUE,4.1,FALSE,1.1})</f>
        <v>#N/A</v>
      </c>
      <c r="Y34" s="6" t="b">
        <f>LOOKUP(J28,{TRUE,4.1,FALSE,1.1})</f>
        <v>0</v>
      </c>
      <c r="Z34" s="6" t="e">
        <f>LOOKUP(K28,{TRUE,4.1,FALSE,1.1})</f>
        <v>#VALUE!</v>
      </c>
      <c r="AA34" s="6" t="e">
        <f>LOOKUP(L28,{TRUE,4.1,FALSE,1.1})</f>
        <v>#N/A</v>
      </c>
      <c r="AB34" s="6" t="e">
        <f>LOOKUP(M28,{TRUE,4.1,FALSE,1.1})</f>
        <v>#DIV/0!</v>
      </c>
      <c r="AC34" s="6" t="e">
        <f>LOOKUP(N28,{TRUE,4.1,FALSE,1.1})</f>
        <v>#NAME?</v>
      </c>
      <c r="AD34" s="6" t="e">
        <f>LOOKUP(O28,{TRUE,4.1,FALSE,1.1})</f>
        <v>#NULL!</v>
      </c>
      <c r="AE34" s="6" t="e">
        <f>LOOKUP(P28,{TRUE,4.1,FALSE,1.1})</f>
        <v>#NUM!</v>
      </c>
      <c r="AF34" s="6" t="e">
        <f>LOOKUP(Q28,{TRUE,4.1,FALSE,1.1})</f>
        <v>#REF!</v>
      </c>
      <c r="AG34" s="6" t="str">
        <f>LOOKUP(20,{TRUE,4.1,FALSE,1.1},{"L","ML","MR","R"})</f>
        <v>R</v>
      </c>
      <c r="AH34" s="6" t="e">
        <f t="array" ref="AH34:AW34">LOOKUP(C28:Q28,{TRUE,4.1,FALSE,1.1},{"L","ML","MR","R"})</f>
        <v>#N/A</v>
      </c>
      <c r="AI34" s="4" t="e">
        <v>#N/A</v>
      </c>
      <c r="AJ34" s="4" t="e">
        <v>#N/A</v>
      </c>
      <c r="AK34" s="4" t="e">
        <v>#N/A</v>
      </c>
      <c r="AL34" s="4" t="str">
        <v>ML</v>
      </c>
      <c r="AM34" s="4" t="e">
        <v>#N/A</v>
      </c>
      <c r="AN34" s="4" t="e">
        <v>#N/A</v>
      </c>
      <c r="AO34" s="4" t="str">
        <v>MR</v>
      </c>
      <c r="AP34" s="4" t="e">
        <v>#VALUE!</v>
      </c>
      <c r="AQ34" s="4" t="e">
        <v>#N/A</v>
      </c>
      <c r="AR34" s="4" t="e">
        <v>#DIV/0!</v>
      </c>
      <c r="AS34" s="4" t="e">
        <v>#NAME?</v>
      </c>
      <c r="AT34" s="4" t="e">
        <v>#NULL!</v>
      </c>
      <c r="AU34" s="4" t="e">
        <v>#NUM!</v>
      </c>
      <c r="AV34" s="4" t="e">
        <v>#REF!</v>
      </c>
      <c r="AW34" s="4" t="e">
        <v>#N/A</v>
      </c>
    </row>
    <row r="35" spans="1:49" x14ac:dyDescent="0.15">
      <c r="A35" s="67"/>
      <c r="B35" s="68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5"/>
      <c r="N35" s="15"/>
      <c r="O35" s="15"/>
      <c r="P35" s="15"/>
      <c r="Q35" s="15"/>
      <c r="R35" s="6" t="e">
        <f>LOOKUP(-2,{TRUE,4.1,FALSE,"b"})</f>
        <v>#N/A</v>
      </c>
      <c r="S35" s="6" t="e">
        <f>LOOKUP(2,{TRUE,4.1,FALSE,"b"})</f>
        <v>#N/A</v>
      </c>
      <c r="T35" s="6" t="e">
        <f>LOOKUP(E28,{TRUE,4.1,FALSE,"b"})</f>
        <v>#N/A</v>
      </c>
      <c r="U35" s="6" t="e">
        <f>LOOKUP(F28,{TRUE,4.1,FALSE,"b"})</f>
        <v>#N/A</v>
      </c>
      <c r="V35" s="6">
        <f>LOOKUP(G28,{TRUE,4.1,FALSE,"b"})</f>
        <v>4.0999999999999996</v>
      </c>
      <c r="W35" s="6" t="e">
        <f>LOOKUP(H28,{TRUE,4.1,FALSE,"b"})</f>
        <v>#N/A</v>
      </c>
      <c r="X35" s="6" t="str">
        <f>LOOKUP(I28,{TRUE,4.1,FALSE,"b"})</f>
        <v>b</v>
      </c>
      <c r="Y35" s="6" t="b">
        <f>LOOKUP(J28,{TRUE,4.1,FALSE,"b"})</f>
        <v>0</v>
      </c>
      <c r="Z35" s="6" t="e">
        <f>LOOKUP(K28,{TRUE,4.1,FALSE,"b"})</f>
        <v>#VALUE!</v>
      </c>
      <c r="AA35" s="6" t="e">
        <f>LOOKUP(L28,{TRUE,4.1,FALSE,"b"})</f>
        <v>#N/A</v>
      </c>
      <c r="AB35" s="6" t="e">
        <f>LOOKUP(M28,{TRUE,4.1,FALSE,"b"})</f>
        <v>#DIV/0!</v>
      </c>
      <c r="AC35" s="6" t="e">
        <f>LOOKUP(N28,{TRUE,4.1,FALSE,"b"})</f>
        <v>#NAME?</v>
      </c>
      <c r="AD35" s="6" t="e">
        <f>LOOKUP(O28,{TRUE,4.1,FALSE,"b"})</f>
        <v>#NULL!</v>
      </c>
      <c r="AE35" s="6" t="e">
        <f>LOOKUP(P28,{TRUE,4.1,FALSE,"b"})</f>
        <v>#NUM!</v>
      </c>
      <c r="AF35" s="6" t="e">
        <f>LOOKUP(Q28,{TRUE,4.1,FALSE,"b"})</f>
        <v>#REF!</v>
      </c>
      <c r="AG35" s="6" t="str">
        <f>LOOKUP(20,{TRUE,4.1,FALSE,"b"},{"L","ML","MR","R"})</f>
        <v>ML</v>
      </c>
      <c r="AH35" s="6" t="e">
        <f t="array" ref="AH35:AW35">LOOKUP(C28:Q28,{TRUE,4.1,FALSE,"b"},{"L","ML","MR","R"})</f>
        <v>#N/A</v>
      </c>
      <c r="AI35" s="4" t="e">
        <v>#N/A</v>
      </c>
      <c r="AJ35" s="4" t="e">
        <v>#N/A</v>
      </c>
      <c r="AK35" s="4" t="e">
        <v>#N/A</v>
      </c>
      <c r="AL35" s="4" t="str">
        <v>ML</v>
      </c>
      <c r="AM35" s="4" t="e">
        <v>#N/A</v>
      </c>
      <c r="AN35" s="4" t="str">
        <v>R</v>
      </c>
      <c r="AO35" s="4" t="str">
        <v>MR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67"/>
      <c r="B36" s="68"/>
      <c r="C36" s="6"/>
      <c r="D36" s="6"/>
      <c r="E36" s="6"/>
      <c r="F36" s="6"/>
      <c r="G36" s="6"/>
      <c r="I36" s="14"/>
      <c r="J36" s="14"/>
      <c r="K36" s="14"/>
      <c r="L36" s="14"/>
      <c r="M36" s="15"/>
      <c r="N36" s="15"/>
      <c r="O36" s="15"/>
      <c r="P36" s="15"/>
      <c r="Q36" s="15"/>
      <c r="R36" s="6" t="e">
        <f>LOOKUP(-2,{TRUE,FALSE,"a","b"})</f>
        <v>#N/A</v>
      </c>
      <c r="S36" s="6" t="e">
        <f>LOOKUP(2,{TRUE,FALSE,"a","b"})</f>
        <v>#N/A</v>
      </c>
      <c r="T36" s="6" t="e">
        <f>LOOKUP(E28,{TRUE,FALSE,"a","b"})</f>
        <v>#N/A</v>
      </c>
      <c r="U36" s="6" t="e">
        <f>LOOKUP(F28,{TRUE,FALSE,"a","b"})</f>
        <v>#N/A</v>
      </c>
      <c r="V36" s="6" t="e">
        <f>LOOKUP(G28,{TRUE,FALSE,"a","b"})</f>
        <v>#N/A</v>
      </c>
      <c r="W36" s="6" t="e">
        <f>LOOKUP(H28,{TRUE,FALSE,"a","b"})</f>
        <v>#N/A</v>
      </c>
      <c r="X36" s="6" t="str">
        <f>LOOKUP(I28,{TRUE,FALSE,"a","b"})</f>
        <v>b</v>
      </c>
      <c r="Y36" s="6" t="b">
        <f>LOOKUP(J28,{TRUE,FALSE,"a","b"})</f>
        <v>0</v>
      </c>
      <c r="Z36" s="6" t="e">
        <f>LOOKUP(K28,{TRUE,FALSE,"a","b"})</f>
        <v>#VALUE!</v>
      </c>
      <c r="AA36" s="6" t="e">
        <f>LOOKUP(L28,{TRUE,FALSE,"a","b"})</f>
        <v>#N/A</v>
      </c>
      <c r="AB36" s="6" t="e">
        <f>LOOKUP(M28,{TRUE,FALSE,"a","b"})</f>
        <v>#DIV/0!</v>
      </c>
      <c r="AC36" s="6" t="e">
        <f>LOOKUP(N28,{TRUE,FALSE,"a","b"})</f>
        <v>#NAME?</v>
      </c>
      <c r="AD36" s="6" t="e">
        <f>LOOKUP(O28,{TRUE,FALSE,"a","b"})</f>
        <v>#NULL!</v>
      </c>
      <c r="AE36" s="6" t="e">
        <f>LOOKUP(P28,{TRUE,FALSE,"a","b"})</f>
        <v>#NUM!</v>
      </c>
      <c r="AF36" s="6" t="e">
        <f>LOOKUP(Q28,{TRUE,FALSE,"a","b"})</f>
        <v>#REF!</v>
      </c>
      <c r="AG36" s="6" t="e">
        <f>LOOKUP(20,{TRUE,FALSE,"a","b"},{"L","ML","MR","R"})</f>
        <v>#N/A</v>
      </c>
      <c r="AH36" s="6" t="e">
        <f t="array" ref="AH36:AW36">LOOKUP(C28:Q28,{TRUE,FALSE,"a","b"},{"L","ML","MR","R"})</f>
        <v>#N/A</v>
      </c>
      <c r="AI36" s="4" t="e">
        <v>#N/A</v>
      </c>
      <c r="AJ36" s="4" t="e">
        <v>#N/A</v>
      </c>
      <c r="AK36" s="4" t="e">
        <v>#N/A</v>
      </c>
      <c r="AL36" s="4" t="e">
        <v>#N/A</v>
      </c>
      <c r="AM36" s="4" t="e">
        <v>#N/A</v>
      </c>
      <c r="AN36" s="4" t="str">
        <v>R</v>
      </c>
      <c r="AO36" s="4" t="str">
        <v>ML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67" t="s">
        <v>550</v>
      </c>
      <c r="B37" s="68" t="s">
        <v>541</v>
      </c>
      <c r="C37" s="13">
        <v>-2</v>
      </c>
      <c r="D37" s="13">
        <v>1.1000000000000001</v>
      </c>
      <c r="E37" s="13">
        <v>3</v>
      </c>
      <c r="F37" s="13">
        <v>4</v>
      </c>
      <c r="G37" s="13">
        <v>4.0999999999999996</v>
      </c>
      <c r="H37" s="14"/>
      <c r="I37" s="14" t="s">
        <v>339</v>
      </c>
      <c r="J37" s="14" t="b">
        <v>1</v>
      </c>
      <c r="K37" s="14" t="e">
        <f>#VALUE!</f>
        <v>#VALUE!</v>
      </c>
      <c r="L37" s="14" t="e">
        <v>#N/A</v>
      </c>
      <c r="M37" s="15" t="e">
        <v>#DIV/0!</v>
      </c>
      <c r="N37" s="15" t="e">
        <v>#NAME?</v>
      </c>
      <c r="O37" s="15" t="e">
        <v>#NULL!</v>
      </c>
      <c r="P37" s="15" t="e">
        <v>#NUM!</v>
      </c>
      <c r="Q37" s="15" t="e">
        <v>#REF!</v>
      </c>
      <c r="R37" s="6" t="e">
        <f>MATCH(C37,{-1.1,2.1,3.1,4.1})</f>
        <v>#N/A</v>
      </c>
      <c r="S37" s="6">
        <f>MATCH(D37,{-1.1,2.1,3.1,4.1})</f>
        <v>1</v>
      </c>
      <c r="T37" s="6">
        <f>MATCH(E37,{-1.1,2.1,3.1,4.1})</f>
        <v>2</v>
      </c>
      <c r="U37" s="6">
        <f>MATCH(F37,{-1.1,2.1,3.1,4.1})</f>
        <v>3</v>
      </c>
      <c r="V37" s="6">
        <f>MATCH(G37,{-1.1,2.1,3.1,4.1})</f>
        <v>4</v>
      </c>
      <c r="W37" s="6">
        <f>MATCH(H37,{-1.1,2.1,3.1,4.1})</f>
        <v>1</v>
      </c>
      <c r="X37" s="6" t="e">
        <f>MATCH(I37,{-1.1,2.1,3.1,4.1})</f>
        <v>#N/A</v>
      </c>
      <c r="Y37" s="6" t="e">
        <f>MATCH(J37,{-1.1,2.1,3.1,4.1})</f>
        <v>#N/A</v>
      </c>
      <c r="Z37" s="6" t="e">
        <f>MATCH(K37,{-1.1,2.1,3.1,4.1})</f>
        <v>#VALUE!</v>
      </c>
      <c r="AA37" s="6" t="e">
        <f>MATCH(L37,{-1.1,2.1,3.1,4.1})</f>
        <v>#N/A</v>
      </c>
      <c r="AB37" s="6" t="e">
        <f>MATCH(M37,{-1.1,2.1,3.1,4.1})</f>
        <v>#DIV/0!</v>
      </c>
      <c r="AC37" s="6" t="e">
        <f>MATCH(N37,{-1.1,2.1,3.1,4.1})</f>
        <v>#NAME?</v>
      </c>
      <c r="AD37" s="6" t="e">
        <f>MATCH(O37,{-1.1,2.1,3.1,4.1})</f>
        <v>#NULL!</v>
      </c>
      <c r="AE37" s="6" t="e">
        <f>MATCH(P37,{-1.1,2.1,3.1,4.1})</f>
        <v>#NUM!</v>
      </c>
      <c r="AF37" s="6" t="e">
        <f>MATCH(Q37,{-1.1,2.1,3.1,4.1})</f>
        <v>#REF!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9" x14ac:dyDescent="0.15">
      <c r="A38" s="67"/>
      <c r="B38" s="68"/>
      <c r="C38" s="13">
        <v>-2</v>
      </c>
      <c r="D38" s="13">
        <v>1.1000000000000001</v>
      </c>
      <c r="E38" s="13">
        <v>3</v>
      </c>
      <c r="F38" s="13">
        <v>4</v>
      </c>
      <c r="G38" s="13">
        <v>4.0999999999999996</v>
      </c>
      <c r="H38" s="14"/>
      <c r="I38" s="14" t="s">
        <v>339</v>
      </c>
      <c r="J38" s="14" t="b">
        <v>1</v>
      </c>
      <c r="K38" s="14" t="e">
        <f>#VALUE!</f>
        <v>#VALUE!</v>
      </c>
      <c r="L38" s="14" t="e">
        <v>#N/A</v>
      </c>
      <c r="M38" s="15" t="e">
        <v>#DIV/0!</v>
      </c>
      <c r="N38" s="15" t="e">
        <v>#NAME?</v>
      </c>
      <c r="O38" s="15" t="e">
        <v>#NULL!</v>
      </c>
      <c r="P38" s="15" t="e">
        <v>#NUM!</v>
      </c>
      <c r="Q38" s="15" t="e">
        <v>#REF!</v>
      </c>
      <c r="R38" s="6" t="e">
        <f>MATCH(C38,{"a",2.1,"c bau c",4.1})</f>
        <v>#N/A</v>
      </c>
      <c r="S38" s="6" t="e">
        <f>MATCH(D38,{"a",2.1,"c bau c",4.1})</f>
        <v>#N/A</v>
      </c>
      <c r="T38" s="6">
        <f>MATCH(E38,{"a",2.1,"c bau c",4.1})</f>
        <v>2</v>
      </c>
      <c r="U38" s="6">
        <f>MATCH(F38,{"a",2.1,"c bau c",4.1})</f>
        <v>2</v>
      </c>
      <c r="V38" s="6">
        <f>MATCH(G38,{"a",2.1,"c bau c",4.1})</f>
        <v>4</v>
      </c>
      <c r="W38" s="6" t="e">
        <f>MATCH(H38,{"a",2.1,"c bau c",4.1})</f>
        <v>#N/A</v>
      </c>
      <c r="X38" s="6" t="e">
        <f>MATCH(I38,{"a",2.1,"c bau c",4.1})</f>
        <v>#N/A</v>
      </c>
      <c r="Y38" s="6" t="e">
        <f>MATCH(J38,{"a",2.1,"c bau c",4.1})</f>
        <v>#N/A</v>
      </c>
      <c r="Z38" s="6" t="e">
        <f>MATCH(K38,{"a",2.1,"c bau c",4.1})</f>
        <v>#VALUE!</v>
      </c>
      <c r="AA38" s="6" t="e">
        <f>MATCH(L38,{"a",2.1,"c bau c",4.1})</f>
        <v>#N/A</v>
      </c>
      <c r="AB38" s="6" t="e">
        <f>MATCH(M38,{"a",2.1,"c bau c",4.1})</f>
        <v>#DIV/0!</v>
      </c>
      <c r="AC38" s="6" t="e">
        <f>MATCH(N38,{"a",2.1,"c bau c",4.1})</f>
        <v>#NAME?</v>
      </c>
      <c r="AD38" s="6" t="e">
        <f>MATCH(O38,{"a",2.1,"c bau c",4.1})</f>
        <v>#NULL!</v>
      </c>
      <c r="AE38" s="6" t="e">
        <f>MATCH(P38,{"a",2.1,"c bau c",4.1})</f>
        <v>#NUM!</v>
      </c>
      <c r="AF38" s="6" t="e">
        <f>MATCH(Q38,{"a",2.1,"c bau c",4.1})</f>
        <v>#REF!</v>
      </c>
      <c r="AG38" s="6"/>
      <c r="AH38" s="6"/>
    </row>
    <row r="39" spans="1:49" x14ac:dyDescent="0.15">
      <c r="A39" s="67"/>
      <c r="B39" s="68"/>
      <c r="C39" s="13">
        <v>-2</v>
      </c>
      <c r="D39" s="13">
        <v>1.1000000000000001</v>
      </c>
      <c r="E39" s="13">
        <v>3</v>
      </c>
      <c r="F39" s="13">
        <v>4</v>
      </c>
      <c r="G39" s="13">
        <v>4.0999999999999996</v>
      </c>
      <c r="H39" s="14"/>
      <c r="I39" s="14" t="s">
        <v>339</v>
      </c>
      <c r="J39" s="14" t="b">
        <v>1</v>
      </c>
      <c r="K39" s="14" t="e">
        <f>#VALUE!</f>
        <v>#VALUE!</v>
      </c>
      <c r="L39" s="14" t="e">
        <v>#N/A</v>
      </c>
      <c r="M39" s="15" t="e">
        <v>#DIV/0!</v>
      </c>
      <c r="N39" s="15" t="e">
        <v>#NAME?</v>
      </c>
      <c r="O39" s="15" t="e">
        <v>#NULL!</v>
      </c>
      <c r="P39" s="15" t="e">
        <v>#NUM!</v>
      </c>
      <c r="Q39" s="15" t="e">
        <v>#REF!</v>
      </c>
      <c r="R39" s="6" t="e">
        <f>MATCH(C39,{FALSE,2.1,TRUE,4.1})</f>
        <v>#N/A</v>
      </c>
      <c r="S39" s="6" t="e">
        <f>MATCH(D39,{FALSE,2.1,TRUE,4.1})</f>
        <v>#N/A</v>
      </c>
      <c r="T39" s="6">
        <f>MATCH(E39,{FALSE,2.1,TRUE,4.1})</f>
        <v>2</v>
      </c>
      <c r="U39" s="6">
        <f>MATCH(F39,{FALSE,2.1,TRUE,4.1})</f>
        <v>2</v>
      </c>
      <c r="V39" s="6">
        <f>MATCH(G39,{FALSE,2.1,TRUE,4.1})</f>
        <v>4</v>
      </c>
      <c r="W39" s="6" t="e">
        <f>MATCH(H39,{FALSE,2.1,TRUE,4.1})</f>
        <v>#N/A</v>
      </c>
      <c r="X39" s="6" t="e">
        <f>MATCH(I39,{FALSE,2.1,TRUE,4.1})</f>
        <v>#N/A</v>
      </c>
      <c r="Y39" s="6">
        <f>MATCH(J39,{FALSE,2.1,TRUE,4.1})</f>
        <v>3</v>
      </c>
      <c r="Z39" s="6" t="e">
        <f>MATCH(K39,{FALSE,2.1,TRUE,4.1})</f>
        <v>#VALUE!</v>
      </c>
      <c r="AA39" s="6" t="e">
        <f>MATCH(L39,{FALSE,2.1,TRUE,4.1})</f>
        <v>#N/A</v>
      </c>
      <c r="AB39" s="6" t="e">
        <f>MATCH(M39,{FALSE,2.1,TRUE,4.1})</f>
        <v>#DIV/0!</v>
      </c>
      <c r="AC39" s="6" t="e">
        <f>MATCH(N39,{FALSE,2.1,TRUE,4.1})</f>
        <v>#NAME?</v>
      </c>
      <c r="AD39" s="6" t="e">
        <f>MATCH(O39,{FALSE,2.1,TRUE,4.1})</f>
        <v>#NULL!</v>
      </c>
      <c r="AE39" s="6" t="e">
        <f>MATCH(P39,{FALSE,2.1,TRUE,4.1})</f>
        <v>#NUM!</v>
      </c>
      <c r="AF39" s="6" t="e">
        <f>MATCH(Q39,{FALSE,2.1,TRUE,4.1})</f>
        <v>#REF!</v>
      </c>
      <c r="AG39" s="6"/>
      <c r="AH39" s="6"/>
    </row>
    <row r="40" spans="1:49" x14ac:dyDescent="0.15">
      <c r="A40" s="67"/>
      <c r="B40" s="68"/>
      <c r="C40" s="13">
        <v>-2</v>
      </c>
      <c r="D40" s="13">
        <v>1.1000000000000001</v>
      </c>
      <c r="E40" s="13">
        <v>3</v>
      </c>
      <c r="F40" s="13">
        <v>4</v>
      </c>
      <c r="G40" s="13">
        <v>4.0999999999999996</v>
      </c>
      <c r="H40" s="14"/>
      <c r="I40" s="14" t="s">
        <v>339</v>
      </c>
      <c r="J40" s="14" t="b">
        <v>1</v>
      </c>
      <c r="K40" s="14" t="e">
        <f>#VALUE!</f>
        <v>#VALUE!</v>
      </c>
      <c r="L40" s="14" t="e">
        <v>#N/A</v>
      </c>
      <c r="M40" s="15" t="e">
        <v>#DIV/0!</v>
      </c>
      <c r="N40" s="15" t="e">
        <v>#NAME?</v>
      </c>
      <c r="O40" s="15" t="e">
        <v>#NULL!</v>
      </c>
      <c r="P40" s="15" t="e">
        <v>#NUM!</v>
      </c>
      <c r="Q40" s="15" t="e">
        <v>#REF!</v>
      </c>
      <c r="R40" s="6" t="e">
        <f>MATCH(C40,{4.1,3.1,2.1,1.1})</f>
        <v>#N/A</v>
      </c>
      <c r="S40" s="6" t="e">
        <f>MATCH(D40,{4.1,3.1,2.1,1.1})</f>
        <v>#N/A</v>
      </c>
      <c r="T40" s="6" t="e">
        <f>MATCH(E40,{4.1,3.1,2.1,1.1})</f>
        <v>#N/A</v>
      </c>
      <c r="U40" s="6">
        <f>MATCH(F40,{4.1,3.1,2.1,1.1})</f>
        <v>4</v>
      </c>
      <c r="V40" s="6">
        <f>MATCH(G40,{4.1,3.1,2.1,1.1})</f>
        <v>4</v>
      </c>
      <c r="W40" s="6" t="e">
        <f>MATCH(H40,{4.1,3.1,2.1,1.1})</f>
        <v>#N/A</v>
      </c>
      <c r="X40" s="6" t="e">
        <f>MATCH(I40,{4.1,3.1,2.1,1.1})</f>
        <v>#N/A</v>
      </c>
      <c r="Y40" s="6" t="e">
        <f>MATCH(J40,{4.1,3.1,2.1,1.1})</f>
        <v>#N/A</v>
      </c>
      <c r="Z40" s="6" t="e">
        <f>MATCH(K40,{4.1,3.1,2.1,1.1})</f>
        <v>#VALUE!</v>
      </c>
      <c r="AA40" s="6" t="e">
        <f>MATCH(L40,{4.1,3.1,2.1,1.1})</f>
        <v>#N/A</v>
      </c>
      <c r="AB40" s="6" t="e">
        <f>MATCH(M40,{4.1,3.1,2.1,1.1})</f>
        <v>#DIV/0!</v>
      </c>
      <c r="AC40" s="6" t="e">
        <f>MATCH(N40,{4.1,3.1,2.1,1.1})</f>
        <v>#NAME?</v>
      </c>
      <c r="AD40" s="6" t="e">
        <f>MATCH(O40,{4.1,3.1,2.1,1.1})</f>
        <v>#NULL!</v>
      </c>
      <c r="AE40" s="6" t="e">
        <f>MATCH(P40,{4.1,3.1,2.1,1.1})</f>
        <v>#NUM!</v>
      </c>
      <c r="AF40" s="6" t="e">
        <f>MATCH(Q40,{4.1,3.1,2.1,1.1})</f>
        <v>#REF!</v>
      </c>
      <c r="AG40" s="6"/>
      <c r="AH40" s="6"/>
    </row>
    <row r="41" spans="1:49" x14ac:dyDescent="0.15">
      <c r="A41" s="67"/>
      <c r="B41" s="68"/>
      <c r="C41" s="13">
        <v>-2</v>
      </c>
      <c r="D41" s="13">
        <v>1.1000000000000001</v>
      </c>
      <c r="E41" s="13">
        <v>3</v>
      </c>
      <c r="F41" s="13">
        <v>4</v>
      </c>
      <c r="G41" s="13">
        <v>4.0999999999999996</v>
      </c>
      <c r="H41" s="14"/>
      <c r="I41" s="14" t="s">
        <v>339</v>
      </c>
      <c r="J41" s="14" t="b">
        <v>1</v>
      </c>
      <c r="K41" s="14" t="e">
        <f>#VALUE!</f>
        <v>#VALUE!</v>
      </c>
      <c r="L41" s="14" t="e">
        <v>#N/A</v>
      </c>
      <c r="M41" s="15" t="e">
        <v>#DIV/0!</v>
      </c>
      <c r="N41" s="15" t="e">
        <v>#NAME?</v>
      </c>
      <c r="O41" s="15" t="e">
        <v>#NULL!</v>
      </c>
      <c r="P41" s="15" t="e">
        <v>#NUM!</v>
      </c>
      <c r="Q41" s="15" t="e">
        <v>#REF!</v>
      </c>
      <c r="R41" s="6" t="e">
        <f>MATCH(C41,{"c bau c",4.1,"a",1.1})</f>
        <v>#N/A</v>
      </c>
      <c r="S41" s="6" t="e">
        <f>MATCH(D41,{"c bau c",4.1,"a",1.1})</f>
        <v>#N/A</v>
      </c>
      <c r="T41" s="6" t="e">
        <f>MATCH(E41,{"c bau c",4.1,"a",1.1})</f>
        <v>#N/A</v>
      </c>
      <c r="U41" s="6" t="e">
        <f>MATCH(F41,{"c bau c",4.1,"a",1.1})</f>
        <v>#N/A</v>
      </c>
      <c r="V41" s="6">
        <f>MATCH(G41,{"c bau c",4.1,"a",1.1})</f>
        <v>2</v>
      </c>
      <c r="W41" s="6" t="e">
        <f>MATCH(H41,{"c bau c",4.1,"a",1.1})</f>
        <v>#N/A</v>
      </c>
      <c r="X41" s="6" t="e">
        <f>MATCH(I41,{"c bau c",4.1,"a",1.1})</f>
        <v>#N/A</v>
      </c>
      <c r="Y41" s="6" t="e">
        <f>MATCH(J41,{"c bau c",4.1,"a",1.1})</f>
        <v>#N/A</v>
      </c>
      <c r="Z41" s="6" t="e">
        <f>MATCH(K41,{"c bau c",4.1,"a",1.1})</f>
        <v>#VALUE!</v>
      </c>
      <c r="AA41" s="6" t="e">
        <f>MATCH(L41,{"c bau c",4.1,"a",1.1})</f>
        <v>#N/A</v>
      </c>
      <c r="AB41" s="6" t="e">
        <f>MATCH(M41,{"c bau c",4.1,"a",1.1})</f>
        <v>#DIV/0!</v>
      </c>
      <c r="AC41" s="6" t="e">
        <f>MATCH(N41,{"c bau c",4.1,"a",1.1})</f>
        <v>#NAME?</v>
      </c>
      <c r="AD41" s="6" t="e">
        <f>MATCH(O41,{"c bau c",4.1,"a",1.1})</f>
        <v>#NULL!</v>
      </c>
      <c r="AE41" s="6" t="e">
        <f>MATCH(P41,{"c bau c",4.1,"a",1.1})</f>
        <v>#NUM!</v>
      </c>
      <c r="AF41" s="6" t="e">
        <f>MATCH(Q41,{"c bau c",4.1,"a",1.1})</f>
        <v>#REF!</v>
      </c>
      <c r="AG41" s="6"/>
      <c r="AH41" s="6"/>
    </row>
    <row r="42" spans="1:49" x14ac:dyDescent="0.15">
      <c r="A42" s="67"/>
      <c r="B42" s="68"/>
      <c r="C42" s="13">
        <v>-2</v>
      </c>
      <c r="D42" s="13">
        <v>1.1000000000000001</v>
      </c>
      <c r="E42" s="13">
        <v>3</v>
      </c>
      <c r="F42" s="13">
        <v>4</v>
      </c>
      <c r="G42" s="13">
        <v>4.0999999999999996</v>
      </c>
      <c r="H42" s="14"/>
      <c r="I42" s="14" t="s">
        <v>339</v>
      </c>
      <c r="J42" s="14" t="b">
        <v>1</v>
      </c>
      <c r="K42" s="14" t="e">
        <f>#VALUE!</f>
        <v>#VALUE!</v>
      </c>
      <c r="L42" s="14" t="e">
        <v>#N/A</v>
      </c>
      <c r="M42" s="15" t="e">
        <v>#DIV/0!</v>
      </c>
      <c r="N42" s="15" t="e">
        <v>#NAME?</v>
      </c>
      <c r="O42" s="15" t="e">
        <v>#NULL!</v>
      </c>
      <c r="P42" s="15" t="e">
        <v>#NUM!</v>
      </c>
      <c r="Q42" s="15" t="e">
        <v>#REF!</v>
      </c>
      <c r="R42" s="6" t="e">
        <f>MATCH(C42,{"",4.1,"a",1.1})</f>
        <v>#N/A</v>
      </c>
      <c r="S42" s="6" t="e">
        <f>MATCH(D42,{"",4.1,"a",1.1})</f>
        <v>#N/A</v>
      </c>
      <c r="T42" s="6" t="e">
        <f>MATCH(E42,{"",4.1,"a",1.1})</f>
        <v>#N/A</v>
      </c>
      <c r="U42" s="6" t="e">
        <f>MATCH(F42,{"",4.1,"a",1.1})</f>
        <v>#N/A</v>
      </c>
      <c r="V42" s="6">
        <f>MATCH(G42,{"",4.1,"a",1.1})</f>
        <v>2</v>
      </c>
      <c r="W42" s="6" t="e">
        <f>MATCH(H42,{"",4.1,"a",1.1})</f>
        <v>#N/A</v>
      </c>
      <c r="X42" s="6">
        <f>MATCH(I42,{"",4.1,"a",1.1})</f>
        <v>1</v>
      </c>
      <c r="Y42" s="6" t="e">
        <f>MATCH(J42,{"",4.1,"a",1.1})</f>
        <v>#N/A</v>
      </c>
      <c r="Z42" s="6" t="e">
        <f>MATCH(K42,{"",4.1,"a",1.1})</f>
        <v>#VALUE!</v>
      </c>
      <c r="AA42" s="6" t="e">
        <f>MATCH(L42,{"",4.1,"a",1.1})</f>
        <v>#N/A</v>
      </c>
      <c r="AB42" s="6" t="e">
        <f>MATCH(M42,{"",4.1,"a",1.1})</f>
        <v>#DIV/0!</v>
      </c>
      <c r="AC42" s="6" t="e">
        <f>MATCH(N42,{"",4.1,"a",1.1})</f>
        <v>#NAME?</v>
      </c>
      <c r="AD42" s="6" t="e">
        <f>MATCH(O42,{"",4.1,"a",1.1})</f>
        <v>#NULL!</v>
      </c>
      <c r="AE42" s="6" t="e">
        <f>MATCH(P42,{"",4.1,"a",1.1})</f>
        <v>#NUM!</v>
      </c>
      <c r="AF42" s="6" t="e">
        <f>MATCH(Q42,{"",4.1,"a",1.1})</f>
        <v>#REF!</v>
      </c>
      <c r="AG42" s="6"/>
      <c r="AH42" s="6"/>
    </row>
    <row r="43" spans="1:49" x14ac:dyDescent="0.15">
      <c r="A43" s="67"/>
      <c r="B43" s="68"/>
      <c r="C43" s="13">
        <v>-2</v>
      </c>
      <c r="D43" s="13">
        <v>1.1000000000000001</v>
      </c>
      <c r="E43" s="13">
        <v>3</v>
      </c>
      <c r="F43" s="13">
        <v>4</v>
      </c>
      <c r="G43" s="13">
        <v>4.0999999999999996</v>
      </c>
      <c r="H43" s="14"/>
      <c r="I43" s="14" t="s">
        <v>339</v>
      </c>
      <c r="J43" s="14" t="b">
        <v>1</v>
      </c>
      <c r="K43" s="14" t="e">
        <f>#VALUE!</f>
        <v>#VALUE!</v>
      </c>
      <c r="L43" s="14" t="e">
        <v>#N/A</v>
      </c>
      <c r="M43" s="15" t="e">
        <v>#DIV/0!</v>
      </c>
      <c r="N43" s="15" t="e">
        <v>#NAME?</v>
      </c>
      <c r="O43" s="15" t="e">
        <v>#NULL!</v>
      </c>
      <c r="P43" s="15" t="e">
        <v>#NUM!</v>
      </c>
      <c r="Q43" s="15" t="e">
        <v>#REF!</v>
      </c>
      <c r="R43" s="6" t="e">
        <f>MATCH(C43,{TRUE,4.1,FALSE,1.1})</f>
        <v>#N/A</v>
      </c>
      <c r="S43" s="6" t="e">
        <f>MATCH(D43,{TRUE,4.1,FALSE,1.1})</f>
        <v>#N/A</v>
      </c>
      <c r="T43" s="6" t="e">
        <f>MATCH(E43,{TRUE,4.1,FALSE,1.1})</f>
        <v>#N/A</v>
      </c>
      <c r="U43" s="6" t="e">
        <f>MATCH(F43,{TRUE,4.1,FALSE,1.1})</f>
        <v>#N/A</v>
      </c>
      <c r="V43" s="6">
        <f>MATCH(G43,{TRUE,4.1,FALSE,1.1})</f>
        <v>2</v>
      </c>
      <c r="W43" s="6" t="e">
        <f>MATCH(H43,{TRUE,4.1,FALSE,1.1})</f>
        <v>#N/A</v>
      </c>
      <c r="X43" s="6" t="e">
        <f>MATCH(I43,{TRUE,4.1,FALSE,1.1})</f>
        <v>#N/A</v>
      </c>
      <c r="Y43" s="6">
        <f>MATCH(J43,{TRUE,4.1,FALSE,1.1})</f>
        <v>3</v>
      </c>
      <c r="Z43" s="6" t="e">
        <f>MATCH(K43,{TRUE,4.1,FALSE,1.1})</f>
        <v>#VALUE!</v>
      </c>
      <c r="AA43" s="6" t="e">
        <f>MATCH(L43,{TRUE,4.1,FALSE,1.1})</f>
        <v>#N/A</v>
      </c>
      <c r="AB43" s="6" t="e">
        <f>MATCH(M43,{TRUE,4.1,FALSE,1.1})</f>
        <v>#DIV/0!</v>
      </c>
      <c r="AC43" s="6" t="e">
        <f>MATCH(N43,{TRUE,4.1,FALSE,1.1})</f>
        <v>#NAME?</v>
      </c>
      <c r="AD43" s="6" t="e">
        <f>MATCH(O43,{TRUE,4.1,FALSE,1.1})</f>
        <v>#NULL!</v>
      </c>
      <c r="AE43" s="6" t="e">
        <f>MATCH(P43,{TRUE,4.1,FALSE,1.1})</f>
        <v>#NUM!</v>
      </c>
      <c r="AF43" s="6" t="e">
        <f>MATCH(Q43,{TRUE,4.1,FALSE,1.1})</f>
        <v>#REF!</v>
      </c>
      <c r="AG43" s="6"/>
      <c r="AH43" s="6"/>
    </row>
    <row r="44" spans="1:49" x14ac:dyDescent="0.15">
      <c r="A44" s="67"/>
      <c r="B44" s="68"/>
      <c r="C44" s="13">
        <v>-2</v>
      </c>
      <c r="D44" s="13">
        <v>1.1000000000000001</v>
      </c>
      <c r="E44" s="13">
        <v>3</v>
      </c>
      <c r="F44" s="13">
        <v>4</v>
      </c>
      <c r="G44" s="13">
        <v>4.0999999999999996</v>
      </c>
      <c r="H44" s="14"/>
      <c r="I44" s="14" t="s">
        <v>339</v>
      </c>
      <c r="J44" s="14" t="b">
        <v>1</v>
      </c>
      <c r="K44" s="14" t="e">
        <f>#VALUE!</f>
        <v>#VALUE!</v>
      </c>
      <c r="L44" s="14" t="e">
        <v>#N/A</v>
      </c>
      <c r="M44" s="15" t="e">
        <v>#DIV/0!</v>
      </c>
      <c r="N44" s="15" t="e">
        <v>#NAME?</v>
      </c>
      <c r="O44" s="15" t="e">
        <v>#NULL!</v>
      </c>
      <c r="P44" s="15" t="e">
        <v>#NUM!</v>
      </c>
      <c r="Q44" s="15" t="e">
        <v>#REF!</v>
      </c>
      <c r="R44" s="6" t="e">
        <f>MATCH(C44,{TRUE,4.1,FALSE,"c bau c"})</f>
        <v>#N/A</v>
      </c>
      <c r="S44" s="6" t="e">
        <f>MATCH(D44,{TRUE,4.1,FALSE,"c bau c"})</f>
        <v>#N/A</v>
      </c>
      <c r="T44" s="6" t="e">
        <f>MATCH(E44,{TRUE,4.1,FALSE,"c bau c"})</f>
        <v>#N/A</v>
      </c>
      <c r="U44" s="6" t="e">
        <f>MATCH(F44,{TRUE,4.1,FALSE,"c bau c"})</f>
        <v>#N/A</v>
      </c>
      <c r="V44" s="6">
        <f>MATCH(G44,{TRUE,4.1,FALSE,"c bau c"})</f>
        <v>2</v>
      </c>
      <c r="W44" s="6" t="e">
        <f>MATCH(H44,{TRUE,4.1,FALSE,"c bau c"})</f>
        <v>#N/A</v>
      </c>
      <c r="X44" s="6" t="e">
        <f>MATCH(I44,{TRUE,4.1,FALSE,"c bau c"})</f>
        <v>#N/A</v>
      </c>
      <c r="Y44" s="6">
        <f>MATCH(J44,{TRUE,4.1,FALSE,"c bau c"})</f>
        <v>3</v>
      </c>
      <c r="Z44" s="6" t="e">
        <f>MATCH(K44,{TRUE,4.1,FALSE,"c bau c"})</f>
        <v>#VALUE!</v>
      </c>
      <c r="AA44" s="6" t="e">
        <f>MATCH(L44,{TRUE,4.1,FALSE,"c bau c"})</f>
        <v>#N/A</v>
      </c>
      <c r="AB44" s="6" t="e">
        <f>MATCH(M44,{TRUE,4.1,FALSE,"c bau c"})</f>
        <v>#DIV/0!</v>
      </c>
      <c r="AC44" s="6" t="e">
        <f>MATCH(N44,{TRUE,4.1,FALSE,"c bau c"})</f>
        <v>#NAME?</v>
      </c>
      <c r="AD44" s="6" t="e">
        <f>MATCH(O44,{TRUE,4.1,FALSE,"c bau c"})</f>
        <v>#NULL!</v>
      </c>
      <c r="AE44" s="6" t="e">
        <f>MATCH(P44,{TRUE,4.1,FALSE,"c bau c"})</f>
        <v>#NUM!</v>
      </c>
      <c r="AF44" s="6" t="e">
        <f>MATCH(Q44,{TRUE,4.1,FALSE,"c bau c"})</f>
        <v>#REF!</v>
      </c>
      <c r="AG44" s="6"/>
      <c r="AH44" s="6"/>
    </row>
    <row r="45" spans="1:49" x14ac:dyDescent="0.15">
      <c r="A45" s="67"/>
      <c r="B45" s="68"/>
      <c r="C45" s="13">
        <v>-2</v>
      </c>
      <c r="D45" s="13">
        <v>1.1000000000000001</v>
      </c>
      <c r="E45" s="13">
        <v>3</v>
      </c>
      <c r="F45" s="13">
        <v>4</v>
      </c>
      <c r="G45" s="13">
        <v>4.0999999999999996</v>
      </c>
      <c r="H45" s="14"/>
      <c r="I45" s="14" t="s">
        <v>339</v>
      </c>
      <c r="J45" s="14" t="b">
        <v>1</v>
      </c>
      <c r="K45" s="14" t="e">
        <f>#VALUE!</f>
        <v>#VALUE!</v>
      </c>
      <c r="L45" s="14" t="e">
        <v>#N/A</v>
      </c>
      <c r="M45" s="15" t="e">
        <v>#DIV/0!</v>
      </c>
      <c r="N45" s="15" t="e">
        <v>#NAME?</v>
      </c>
      <c r="O45" s="15" t="e">
        <v>#NULL!</v>
      </c>
      <c r="P45" s="15" t="e">
        <v>#NUM!</v>
      </c>
      <c r="Q45" s="15" t="e">
        <v>#REF!</v>
      </c>
      <c r="R45" s="6" t="e">
        <f>MATCH(C45,{TRUE,FALSE,"a","c bau c"})</f>
        <v>#N/A</v>
      </c>
      <c r="S45" s="6" t="e">
        <f>MATCH(D45,{TRUE,FALSE,"a","c bau c"})</f>
        <v>#N/A</v>
      </c>
      <c r="T45" s="6" t="e">
        <f>MATCH(E45,{TRUE,FALSE,"a","c bau c"})</f>
        <v>#N/A</v>
      </c>
      <c r="U45" s="6" t="e">
        <f>MATCH(F45,{TRUE,FALSE,"a","c bau c"})</f>
        <v>#N/A</v>
      </c>
      <c r="V45" s="6" t="e">
        <f>MATCH(G45,{TRUE,FALSE,"a","c bau c"})</f>
        <v>#N/A</v>
      </c>
      <c r="W45" s="6" t="e">
        <f>MATCH(H45,{TRUE,FALSE,"a","c bau c"})</f>
        <v>#N/A</v>
      </c>
      <c r="X45" s="6" t="e">
        <f>MATCH(I45,{TRUE,FALSE,"a","c bau c"})</f>
        <v>#N/A</v>
      </c>
      <c r="Y45" s="6">
        <f>MATCH(J45,{TRUE,FALSE,"a","c bau c"})</f>
        <v>2</v>
      </c>
      <c r="Z45" s="6" t="e">
        <f>MATCH(K45,{TRUE,FALSE,"a","c bau c"})</f>
        <v>#VALUE!</v>
      </c>
      <c r="AA45" s="6" t="e">
        <f>MATCH(L45,{TRUE,FALSE,"a","c bau c"})</f>
        <v>#N/A</v>
      </c>
      <c r="AB45" s="6" t="e">
        <f>MATCH(M45,{TRUE,FALSE,"a","c bau c"})</f>
        <v>#DIV/0!</v>
      </c>
      <c r="AC45" s="6" t="e">
        <f>MATCH(N45,{TRUE,FALSE,"a","c bau c"})</f>
        <v>#NAME?</v>
      </c>
      <c r="AD45" s="6" t="e">
        <f>MATCH(O45,{TRUE,FALSE,"a","c bau c"})</f>
        <v>#NULL!</v>
      </c>
      <c r="AE45" s="6" t="e">
        <f>MATCH(P45,{TRUE,FALSE,"a","c bau c"})</f>
        <v>#NUM!</v>
      </c>
      <c r="AF45" s="6" t="e">
        <f>MATCH(Q45,{TRUE,FALSE,"a","c bau c"})</f>
        <v>#REF!</v>
      </c>
      <c r="AG45" s="6"/>
      <c r="AH45" s="6"/>
    </row>
    <row r="46" spans="1:49" x14ac:dyDescent="0.15">
      <c r="A46" s="67"/>
      <c r="B46" s="68"/>
      <c r="C46" s="13">
        <v>-2</v>
      </c>
      <c r="D46" s="13">
        <v>1.1000000000000001</v>
      </c>
      <c r="E46" s="13">
        <v>3</v>
      </c>
      <c r="F46" s="13">
        <v>4</v>
      </c>
      <c r="G46" s="13">
        <v>4.0999999999999996</v>
      </c>
      <c r="H46" s="14"/>
      <c r="I46" s="14" t="s">
        <v>339</v>
      </c>
      <c r="J46" s="14" t="b">
        <v>1</v>
      </c>
      <c r="K46" s="14" t="e">
        <f>#VALUE!</f>
        <v>#VALUE!</v>
      </c>
      <c r="L46" s="14" t="e">
        <v>#N/A</v>
      </c>
      <c r="M46" s="15" t="e">
        <v>#DIV/0!</v>
      </c>
      <c r="N46" s="15" t="e">
        <v>#NAME?</v>
      </c>
      <c r="O46" s="15" t="e">
        <v>#NULL!</v>
      </c>
      <c r="P46" s="15" t="e">
        <v>#NUM!</v>
      </c>
      <c r="Q46" s="15" t="e">
        <v>#REF!</v>
      </c>
      <c r="R46" s="6" t="e">
        <f>MATCH(C46,{-1.1,2.1,3.1,4.1},0)</f>
        <v>#N/A</v>
      </c>
      <c r="S46" s="6" t="e">
        <f>MATCH(D46,{-1.1,2.1,3.1,4.1},0)</f>
        <v>#N/A</v>
      </c>
      <c r="T46" s="6" t="e">
        <f>MATCH(E46,{-1.1,2.1,3.1,4.1},0)</f>
        <v>#N/A</v>
      </c>
      <c r="U46" s="6" t="e">
        <f>MATCH(F46,{-1.1,2.1,3.1,4.1},0)</f>
        <v>#N/A</v>
      </c>
      <c r="V46" s="6">
        <f>MATCH(G46,{-1.1,2.1,3.1,4.1},0)</f>
        <v>4</v>
      </c>
      <c r="W46" s="6" t="e">
        <f>MATCH(H46,{-1.1,2.1,3.1,4.1},0)</f>
        <v>#N/A</v>
      </c>
      <c r="X46" s="6" t="e">
        <f>MATCH(I46,{-1.1,2.1,3.1,4.1},0)</f>
        <v>#N/A</v>
      </c>
      <c r="Y46" s="6" t="e">
        <f>MATCH(J46,{-1.1,2.1,3.1,4.1},0)</f>
        <v>#N/A</v>
      </c>
      <c r="Z46" s="6" t="e">
        <f>MATCH(K46,{-1.1,2.1,3.1,4.1},0)</f>
        <v>#VALUE!</v>
      </c>
      <c r="AA46" s="6" t="e">
        <f>MATCH(L46,{-1.1,2.1,3.1,4.1},0)</f>
        <v>#N/A</v>
      </c>
      <c r="AB46" s="6" t="e">
        <f>MATCH(M46,{-1.1,2.1,3.1,4.1},0)</f>
        <v>#DIV/0!</v>
      </c>
      <c r="AC46" s="6" t="e">
        <f>MATCH(N46,{-1.1,2.1,3.1,4.1},0)</f>
        <v>#NAME?</v>
      </c>
      <c r="AD46" s="6" t="e">
        <f>MATCH(O46,{-1.1,2.1,3.1,4.1},0)</f>
        <v>#NULL!</v>
      </c>
      <c r="AE46" s="6" t="e">
        <f>MATCH(P46,{-1.1,2.1,3.1,4.1},0)</f>
        <v>#NUM!</v>
      </c>
      <c r="AF46" s="6" t="e">
        <f>MATCH(Q46,{-1.1,2.1,3.1,4.1},0)</f>
        <v>#REF!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67"/>
      <c r="B47" s="68"/>
      <c r="C47" s="13">
        <v>-2</v>
      </c>
      <c r="D47" s="13">
        <v>1.1000000000000001</v>
      </c>
      <c r="E47" s="13">
        <v>3</v>
      </c>
      <c r="F47" s="13">
        <v>4</v>
      </c>
      <c r="G47" s="13">
        <v>4.0999999999999996</v>
      </c>
      <c r="H47" s="14"/>
      <c r="I47" s="14" t="s">
        <v>339</v>
      </c>
      <c r="J47" s="14" t="b">
        <v>1</v>
      </c>
      <c r="K47" s="14" t="e">
        <f>#VALUE!</f>
        <v>#VALUE!</v>
      </c>
      <c r="L47" s="14" t="e">
        <v>#N/A</v>
      </c>
      <c r="M47" s="15" t="e">
        <v>#DIV/0!</v>
      </c>
      <c r="N47" s="15" t="e">
        <v>#NAME?</v>
      </c>
      <c r="O47" s="15" t="e">
        <v>#NULL!</v>
      </c>
      <c r="P47" s="15" t="e">
        <v>#NUM!</v>
      </c>
      <c r="Q47" s="15" t="e">
        <v>#REF!</v>
      </c>
      <c r="R47" s="6" t="e">
        <f>MATCH(C47,{"a",2.1,"c bau c",4.1},0)</f>
        <v>#N/A</v>
      </c>
      <c r="S47" s="6" t="e">
        <f>MATCH(D47,{"a",2.1,"c bau c",4.1},0)</f>
        <v>#N/A</v>
      </c>
      <c r="T47" s="6" t="e">
        <f>MATCH(E47,{"a",2.1,"c bau c",4.1},0)</f>
        <v>#N/A</v>
      </c>
      <c r="U47" s="6" t="e">
        <f>MATCH(F47,{"a",2.1,"c bau c",4.1},0)</f>
        <v>#N/A</v>
      </c>
      <c r="V47" s="6">
        <f>MATCH(G47,{"a",2.1,"c bau c",4.1},0)</f>
        <v>4</v>
      </c>
      <c r="W47" s="6" t="e">
        <f>MATCH(H47,{"a",2.1,"c bau c",4.1},0)</f>
        <v>#N/A</v>
      </c>
      <c r="X47" s="6">
        <f>MATCH(I47,{"a",2.1,"c bau c",4.1},0)</f>
        <v>3</v>
      </c>
      <c r="Y47" s="6" t="e">
        <f>MATCH(J47,{"a",2.1,"c bau c",4.1},0)</f>
        <v>#N/A</v>
      </c>
      <c r="Z47" s="6" t="e">
        <f>MATCH(K47,{"a",2.1,"c bau c",4.1},0)</f>
        <v>#VALUE!</v>
      </c>
      <c r="AA47" s="6" t="e">
        <f>MATCH(L47,{"a",2.1,"c bau c",4.1},0)</f>
        <v>#N/A</v>
      </c>
      <c r="AB47" s="6" t="e">
        <f>MATCH(M47,{"a",2.1,"c bau c",4.1},0)</f>
        <v>#DIV/0!</v>
      </c>
      <c r="AC47" s="6" t="e">
        <f>MATCH(N47,{"a",2.1,"c bau c",4.1},0)</f>
        <v>#NAME?</v>
      </c>
      <c r="AD47" s="6" t="e">
        <f>MATCH(O47,{"a",2.1,"c bau c",4.1},0)</f>
        <v>#NULL!</v>
      </c>
      <c r="AE47" s="6" t="e">
        <f>MATCH(P47,{"a",2.1,"c bau c",4.1},0)</f>
        <v>#NUM!</v>
      </c>
      <c r="AF47" s="6" t="e">
        <f>MATCH(Q47,{"a",2.1,"c bau c",4.1},0)</f>
        <v>#REF!</v>
      </c>
      <c r="AG47" s="6"/>
      <c r="AH47" s="6"/>
    </row>
    <row r="48" spans="1:49" x14ac:dyDescent="0.15">
      <c r="A48" s="67"/>
      <c r="B48" s="68"/>
      <c r="C48" s="13">
        <v>-2</v>
      </c>
      <c r="D48" s="13">
        <v>1.1000000000000001</v>
      </c>
      <c r="E48" s="13">
        <v>3</v>
      </c>
      <c r="F48" s="13">
        <v>4</v>
      </c>
      <c r="G48" s="13">
        <v>4.0999999999999996</v>
      </c>
      <c r="H48" s="14"/>
      <c r="I48" s="14" t="s">
        <v>339</v>
      </c>
      <c r="J48" s="14" t="b">
        <v>1</v>
      </c>
      <c r="K48" s="14" t="e">
        <f>#VALUE!</f>
        <v>#VALUE!</v>
      </c>
      <c r="L48" s="14" t="e">
        <v>#N/A</v>
      </c>
      <c r="M48" s="15" t="e">
        <v>#DIV/0!</v>
      </c>
      <c r="N48" s="15" t="e">
        <v>#NAME?</v>
      </c>
      <c r="O48" s="15" t="e">
        <v>#NULL!</v>
      </c>
      <c r="P48" s="15" t="e">
        <v>#NUM!</v>
      </c>
      <c r="Q48" s="15" t="e">
        <v>#REF!</v>
      </c>
      <c r="R48" s="6" t="e">
        <f>MATCH(C48,{FALSE,2.1,TRUE,4.1},0)</f>
        <v>#N/A</v>
      </c>
      <c r="S48" s="6" t="e">
        <f>MATCH(D48,{FALSE,2.1,TRUE,4.1},0)</f>
        <v>#N/A</v>
      </c>
      <c r="T48" s="6" t="e">
        <f>MATCH(E48,{FALSE,2.1,TRUE,4.1},0)</f>
        <v>#N/A</v>
      </c>
      <c r="U48" s="6" t="e">
        <f>MATCH(F48,{FALSE,2.1,TRUE,4.1},0)</f>
        <v>#N/A</v>
      </c>
      <c r="V48" s="6">
        <f>MATCH(G48,{FALSE,2.1,TRUE,4.1},0)</f>
        <v>4</v>
      </c>
      <c r="W48" s="6" t="e">
        <f>MATCH(H48,{FALSE,2.1,TRUE,4.1},0)</f>
        <v>#N/A</v>
      </c>
      <c r="X48" s="6" t="e">
        <f>MATCH(I48,{FALSE,2.1,TRUE,4.1},0)</f>
        <v>#N/A</v>
      </c>
      <c r="Y48" s="6">
        <f>MATCH(J48,{FALSE,2.1,TRUE,4.1},0)</f>
        <v>3</v>
      </c>
      <c r="Z48" s="6" t="e">
        <f>MATCH(K48,{FALSE,2.1,TRUE,4.1},0)</f>
        <v>#VALUE!</v>
      </c>
      <c r="AA48" s="6" t="e">
        <f>MATCH(L48,{FALSE,2.1,TRUE,4.1},0)</f>
        <v>#N/A</v>
      </c>
      <c r="AB48" s="6" t="e">
        <f>MATCH(M48,{FALSE,2.1,TRUE,4.1},0)</f>
        <v>#DIV/0!</v>
      </c>
      <c r="AC48" s="6" t="e">
        <f>MATCH(N48,{FALSE,2.1,TRUE,4.1},0)</f>
        <v>#NAME?</v>
      </c>
      <c r="AD48" s="6" t="e">
        <f>MATCH(O48,{FALSE,2.1,TRUE,4.1},0)</f>
        <v>#NULL!</v>
      </c>
      <c r="AE48" s="6" t="e">
        <f>MATCH(P48,{FALSE,2.1,TRUE,4.1},0)</f>
        <v>#NUM!</v>
      </c>
      <c r="AF48" s="6" t="e">
        <f>MATCH(Q48,{FALSE,2.1,TRUE,4.1},0)</f>
        <v>#REF!</v>
      </c>
      <c r="AG48" s="6"/>
      <c r="AH48" s="6"/>
    </row>
    <row r="49" spans="1:48" x14ac:dyDescent="0.15">
      <c r="A49" s="67"/>
      <c r="B49" s="68"/>
      <c r="C49" s="13">
        <v>-2</v>
      </c>
      <c r="D49" s="13">
        <v>1.1000000000000001</v>
      </c>
      <c r="E49" s="13">
        <v>3</v>
      </c>
      <c r="F49" s="13">
        <v>4</v>
      </c>
      <c r="G49" s="13">
        <v>4.0999999999999996</v>
      </c>
      <c r="H49" s="14"/>
      <c r="I49" s="14" t="s">
        <v>339</v>
      </c>
      <c r="J49" s="14" t="b">
        <v>1</v>
      </c>
      <c r="K49" s="14" t="e">
        <f>#VALUE!</f>
        <v>#VALUE!</v>
      </c>
      <c r="L49" s="14" t="e">
        <v>#N/A</v>
      </c>
      <c r="M49" s="15" t="e">
        <v>#DIV/0!</v>
      </c>
      <c r="N49" s="15" t="e">
        <v>#NAME?</v>
      </c>
      <c r="O49" s="15" t="e">
        <v>#NULL!</v>
      </c>
      <c r="P49" s="15" t="e">
        <v>#NUM!</v>
      </c>
      <c r="Q49" s="15" t="e">
        <v>#REF!</v>
      </c>
      <c r="R49" s="6" t="e">
        <f>MATCH(C49,{4.1,3.1,2.1,1.1},0)</f>
        <v>#N/A</v>
      </c>
      <c r="S49" s="6">
        <f>MATCH(D49,{4.1,3.1,2.1,1.1},0)</f>
        <v>4</v>
      </c>
      <c r="T49" s="6" t="e">
        <f>MATCH(E49,{4.1,3.1,2.1,1.1},0)</f>
        <v>#N/A</v>
      </c>
      <c r="U49" s="6" t="e">
        <f>MATCH(F49,{4.1,3.1,2.1,1.1},0)</f>
        <v>#N/A</v>
      </c>
      <c r="V49" s="6">
        <f>MATCH(G49,{4.1,3.1,2.1,1.1},0)</f>
        <v>1</v>
      </c>
      <c r="W49" s="6" t="e">
        <f>MATCH(H49,{4.1,3.1,2.1,1.1},0)</f>
        <v>#N/A</v>
      </c>
      <c r="X49" s="6" t="e">
        <f>MATCH(I49,{4.1,3.1,2.1,1.1},0)</f>
        <v>#N/A</v>
      </c>
      <c r="Y49" s="6" t="e">
        <f>MATCH(J49,{4.1,3.1,2.1,1.1},0)</f>
        <v>#N/A</v>
      </c>
      <c r="Z49" s="6" t="e">
        <f>MATCH(K49,{4.1,3.1,2.1,1.1},0)</f>
        <v>#VALUE!</v>
      </c>
      <c r="AA49" s="6" t="e">
        <f>MATCH(L49,{4.1,3.1,2.1,1.1},0)</f>
        <v>#N/A</v>
      </c>
      <c r="AB49" s="6" t="e">
        <f>MATCH(M49,{4.1,3.1,2.1,1.1},0)</f>
        <v>#DIV/0!</v>
      </c>
      <c r="AC49" s="6" t="e">
        <f>MATCH(N49,{4.1,3.1,2.1,1.1},0)</f>
        <v>#NAME?</v>
      </c>
      <c r="AD49" s="6" t="e">
        <f>MATCH(O49,{4.1,3.1,2.1,1.1},0)</f>
        <v>#NULL!</v>
      </c>
      <c r="AE49" s="6" t="e">
        <f>MATCH(P49,{4.1,3.1,2.1,1.1},0)</f>
        <v>#NUM!</v>
      </c>
      <c r="AF49" s="6" t="e">
        <f>MATCH(Q49,{4.1,3.1,2.1,1.1},0)</f>
        <v>#REF!</v>
      </c>
      <c r="AG49" s="6"/>
      <c r="AH49" s="6"/>
    </row>
    <row r="50" spans="1:48" x14ac:dyDescent="0.15">
      <c r="A50" s="67"/>
      <c r="B50" s="68"/>
      <c r="C50" s="13">
        <v>-2</v>
      </c>
      <c r="D50" s="13">
        <v>1.1000000000000001</v>
      </c>
      <c r="E50" s="13">
        <v>3</v>
      </c>
      <c r="F50" s="13">
        <v>4</v>
      </c>
      <c r="G50" s="13">
        <v>4.0999999999999996</v>
      </c>
      <c r="H50" s="14"/>
      <c r="I50" s="14" t="s">
        <v>339</v>
      </c>
      <c r="J50" s="14" t="b">
        <v>1</v>
      </c>
      <c r="K50" s="14" t="e">
        <f>#VALUE!</f>
        <v>#VALUE!</v>
      </c>
      <c r="L50" s="14" t="e">
        <v>#N/A</v>
      </c>
      <c r="M50" s="15" t="e">
        <v>#DIV/0!</v>
      </c>
      <c r="N50" s="15" t="e">
        <v>#NAME?</v>
      </c>
      <c r="O50" s="15" t="e">
        <v>#NULL!</v>
      </c>
      <c r="P50" s="15" t="e">
        <v>#NUM!</v>
      </c>
      <c r="Q50" s="15" t="e">
        <v>#REF!</v>
      </c>
      <c r="R50" s="6" t="e">
        <f>MATCH(C50,{"c bau c",4.1,"a",1.1},0)</f>
        <v>#N/A</v>
      </c>
      <c r="S50" s="6">
        <f>MATCH(D50,{"c bau c",4.1,"a",1.1},0)</f>
        <v>4</v>
      </c>
      <c r="T50" s="6" t="e">
        <f>MATCH(E50,{"c bau c",4.1,"a",1.1},0)</f>
        <v>#N/A</v>
      </c>
      <c r="U50" s="6" t="e">
        <f>MATCH(F50,{"c bau c",4.1,"a",1.1},0)</f>
        <v>#N/A</v>
      </c>
      <c r="V50" s="6">
        <f>MATCH(G50,{"c bau c",4.1,"a",1.1},0)</f>
        <v>2</v>
      </c>
      <c r="W50" s="6" t="e">
        <f>MATCH(H50,{"c bau c",4.1,"a",1.1},0)</f>
        <v>#N/A</v>
      </c>
      <c r="X50" s="6">
        <f>MATCH(I50,{"c bau c",4.1,"a",1.1},0)</f>
        <v>1</v>
      </c>
      <c r="Y50" s="6" t="e">
        <f>MATCH(J50,{"c bau c",4.1,"a",1.1},0)</f>
        <v>#N/A</v>
      </c>
      <c r="Z50" s="6" t="e">
        <f>MATCH(K50,{"c bau c",4.1,"a",1.1},0)</f>
        <v>#VALUE!</v>
      </c>
      <c r="AA50" s="6" t="e">
        <f>MATCH(L50,{"c bau c",4.1,"a",1.1},0)</f>
        <v>#N/A</v>
      </c>
      <c r="AB50" s="6" t="e">
        <f>MATCH(M50,{"c bau c",4.1,"a",1.1},0)</f>
        <v>#DIV/0!</v>
      </c>
      <c r="AC50" s="6" t="e">
        <f>MATCH(N50,{"c bau c",4.1,"a",1.1},0)</f>
        <v>#NAME?</v>
      </c>
      <c r="AD50" s="6" t="e">
        <f>MATCH(O50,{"c bau c",4.1,"a",1.1},0)</f>
        <v>#NULL!</v>
      </c>
      <c r="AE50" s="6" t="e">
        <f>MATCH(P50,{"c bau c",4.1,"a",1.1},0)</f>
        <v>#NUM!</v>
      </c>
      <c r="AF50" s="6" t="e">
        <f>MATCH(Q50,{"c bau c",4.1,"a",1.1},0)</f>
        <v>#REF!</v>
      </c>
      <c r="AG50" s="6"/>
      <c r="AH50" s="6"/>
    </row>
    <row r="51" spans="1:48" x14ac:dyDescent="0.15">
      <c r="A51" s="67"/>
      <c r="B51" s="68"/>
      <c r="C51" s="13">
        <v>-2</v>
      </c>
      <c r="D51" s="13">
        <v>1.1000000000000001</v>
      </c>
      <c r="E51" s="13">
        <v>3</v>
      </c>
      <c r="F51" s="13">
        <v>4</v>
      </c>
      <c r="G51" s="13">
        <v>4.0999999999999996</v>
      </c>
      <c r="H51" s="14"/>
      <c r="I51" s="14" t="s">
        <v>339</v>
      </c>
      <c r="J51" s="14" t="b">
        <v>1</v>
      </c>
      <c r="K51" s="14" t="e">
        <f>#VALUE!</f>
        <v>#VALUE!</v>
      </c>
      <c r="L51" s="14" t="e">
        <v>#N/A</v>
      </c>
      <c r="M51" s="15" t="e">
        <v>#DIV/0!</v>
      </c>
      <c r="N51" s="15" t="e">
        <v>#NAME?</v>
      </c>
      <c r="O51" s="15" t="e">
        <v>#NULL!</v>
      </c>
      <c r="P51" s="15" t="e">
        <v>#NUM!</v>
      </c>
      <c r="Q51" s="15" t="e">
        <v>#REF!</v>
      </c>
      <c r="R51" s="6" t="e">
        <f>MATCH(C51,{"",4.1,"a",1.1},0)</f>
        <v>#N/A</v>
      </c>
      <c r="S51" s="6">
        <f>MATCH(D51,{"",4.1,"a",1.1},0)</f>
        <v>4</v>
      </c>
      <c r="T51" s="6" t="e">
        <f>MATCH(E51,{"",4.1,"a",1.1},0)</f>
        <v>#N/A</v>
      </c>
      <c r="U51" s="6" t="e">
        <f>MATCH(F51,{"",4.1,"a",1.1},0)</f>
        <v>#N/A</v>
      </c>
      <c r="V51" s="6">
        <f>MATCH(G51,{"",4.1,"a",1.1},0)</f>
        <v>2</v>
      </c>
      <c r="W51" s="6" t="e">
        <f>MATCH(H51,{"",4.1,"a",1.1},0)</f>
        <v>#N/A</v>
      </c>
      <c r="X51" s="6" t="e">
        <f>MATCH(I51,{"",4.1,"a",1.1},0)</f>
        <v>#N/A</v>
      </c>
      <c r="Y51" s="6" t="e">
        <f>MATCH(J51,{"",4.1,"a",1.1},0)</f>
        <v>#N/A</v>
      </c>
      <c r="Z51" s="6" t="e">
        <f>MATCH(K51,{"",4.1,"a",1.1},0)</f>
        <v>#VALUE!</v>
      </c>
      <c r="AA51" s="6" t="e">
        <f>MATCH(L51,{"",4.1,"a",1.1},0)</f>
        <v>#N/A</v>
      </c>
      <c r="AB51" s="6" t="e">
        <f>MATCH(M51,{"",4.1,"a",1.1},0)</f>
        <v>#DIV/0!</v>
      </c>
      <c r="AC51" s="6" t="e">
        <f>MATCH(N51,{"",4.1,"a",1.1},0)</f>
        <v>#NAME?</v>
      </c>
      <c r="AD51" s="6" t="e">
        <f>MATCH(O51,{"",4.1,"a",1.1},0)</f>
        <v>#NULL!</v>
      </c>
      <c r="AE51" s="6" t="e">
        <f>MATCH(P51,{"",4.1,"a",1.1},0)</f>
        <v>#NUM!</v>
      </c>
      <c r="AF51" s="6" t="e">
        <f>MATCH(Q51,{"",4.1,"a",1.1},0)</f>
        <v>#REF!</v>
      </c>
      <c r="AG51" s="6"/>
      <c r="AH51" s="6"/>
    </row>
    <row r="52" spans="1:48" x14ac:dyDescent="0.15">
      <c r="A52" s="67"/>
      <c r="B52" s="68"/>
      <c r="C52" s="13">
        <v>-2</v>
      </c>
      <c r="D52" s="13">
        <v>1.1000000000000001</v>
      </c>
      <c r="E52" s="13">
        <v>3</v>
      </c>
      <c r="F52" s="13">
        <v>4</v>
      </c>
      <c r="G52" s="13">
        <v>4.0999999999999996</v>
      </c>
      <c r="H52" s="14"/>
      <c r="I52" s="14" t="s">
        <v>339</v>
      </c>
      <c r="J52" s="14" t="b">
        <v>1</v>
      </c>
      <c r="K52" s="14" t="e">
        <f>#VALUE!</f>
        <v>#VALUE!</v>
      </c>
      <c r="L52" s="14" t="e">
        <v>#N/A</v>
      </c>
      <c r="M52" s="15" t="e">
        <v>#DIV/0!</v>
      </c>
      <c r="N52" s="15" t="e">
        <v>#NAME?</v>
      </c>
      <c r="O52" s="15" t="e">
        <v>#NULL!</v>
      </c>
      <c r="P52" s="15" t="e">
        <v>#NUM!</v>
      </c>
      <c r="Q52" s="15" t="e">
        <v>#REF!</v>
      </c>
      <c r="R52" s="6" t="e">
        <f>MATCH(C52,{TRUE,4.1,FALSE,1.1},0)</f>
        <v>#N/A</v>
      </c>
      <c r="S52" s="6">
        <f>MATCH(D52,{TRUE,4.1,FALSE,1.1},0)</f>
        <v>4</v>
      </c>
      <c r="T52" s="6" t="e">
        <f>MATCH(E52,{TRUE,4.1,FALSE,1.1},0)</f>
        <v>#N/A</v>
      </c>
      <c r="U52" s="6" t="e">
        <f>MATCH(F52,{TRUE,4.1,FALSE,1.1},0)</f>
        <v>#N/A</v>
      </c>
      <c r="V52" s="6">
        <f>MATCH(G52,{TRUE,4.1,FALSE,1.1},0)</f>
        <v>2</v>
      </c>
      <c r="W52" s="6" t="e">
        <f>MATCH(H52,{TRUE,4.1,FALSE,1.1},0)</f>
        <v>#N/A</v>
      </c>
      <c r="X52" s="6" t="e">
        <f>MATCH(I52,{TRUE,4.1,FALSE,1.1},0)</f>
        <v>#N/A</v>
      </c>
      <c r="Y52" s="6">
        <f>MATCH(J52,{TRUE,4.1,FALSE,1.1},0)</f>
        <v>1</v>
      </c>
      <c r="Z52" s="6" t="e">
        <f>MATCH(K52,{TRUE,4.1,FALSE,1.1},0)</f>
        <v>#VALUE!</v>
      </c>
      <c r="AA52" s="6" t="e">
        <f>MATCH(L52,{TRUE,4.1,FALSE,1.1},0)</f>
        <v>#N/A</v>
      </c>
      <c r="AB52" s="6" t="e">
        <f>MATCH(M52,{TRUE,4.1,FALSE,1.1},0)</f>
        <v>#DIV/0!</v>
      </c>
      <c r="AC52" s="6" t="e">
        <f>MATCH(N52,{TRUE,4.1,FALSE,1.1},0)</f>
        <v>#NAME?</v>
      </c>
      <c r="AD52" s="6" t="e">
        <f>MATCH(O52,{TRUE,4.1,FALSE,1.1},0)</f>
        <v>#NULL!</v>
      </c>
      <c r="AE52" s="6" t="e">
        <f>MATCH(P52,{TRUE,4.1,FALSE,1.1},0)</f>
        <v>#NUM!</v>
      </c>
      <c r="AF52" s="6" t="e">
        <f>MATCH(Q52,{TRUE,4.1,FALSE,1.1},0)</f>
        <v>#REF!</v>
      </c>
      <c r="AG52" s="6"/>
      <c r="AH52" s="6"/>
    </row>
    <row r="53" spans="1:48" x14ac:dyDescent="0.15">
      <c r="A53" s="67"/>
      <c r="B53" s="68"/>
      <c r="C53" s="13">
        <v>-2</v>
      </c>
      <c r="D53" s="13">
        <v>1.1000000000000001</v>
      </c>
      <c r="E53" s="13">
        <v>3</v>
      </c>
      <c r="F53" s="13">
        <v>4</v>
      </c>
      <c r="G53" s="13">
        <v>4.0999999999999996</v>
      </c>
      <c r="H53" s="14"/>
      <c r="I53" s="14" t="s">
        <v>339</v>
      </c>
      <c r="J53" s="14" t="b">
        <v>1</v>
      </c>
      <c r="K53" s="14" t="e">
        <f>#VALUE!</f>
        <v>#VALUE!</v>
      </c>
      <c r="L53" s="14" t="e">
        <v>#N/A</v>
      </c>
      <c r="M53" s="15" t="e">
        <v>#DIV/0!</v>
      </c>
      <c r="N53" s="15" t="e">
        <v>#NAME?</v>
      </c>
      <c r="O53" s="15" t="e">
        <v>#NULL!</v>
      </c>
      <c r="P53" s="15" t="e">
        <v>#NUM!</v>
      </c>
      <c r="Q53" s="15" t="e">
        <v>#REF!</v>
      </c>
      <c r="R53" s="6" t="e">
        <f>MATCH(C53,{TRUE,4.1,FALSE,"c bau c"},0)</f>
        <v>#N/A</v>
      </c>
      <c r="S53" s="6" t="e">
        <f>MATCH(D53,{TRUE,4.1,FALSE,"c bau c"},0)</f>
        <v>#N/A</v>
      </c>
      <c r="T53" s="6" t="e">
        <f>MATCH(E53,{TRUE,4.1,FALSE,"c bau c"},0)</f>
        <v>#N/A</v>
      </c>
      <c r="U53" s="6" t="e">
        <f>MATCH(F53,{TRUE,4.1,FALSE,"c bau c"},0)</f>
        <v>#N/A</v>
      </c>
      <c r="V53" s="6">
        <f>MATCH(G53,{TRUE,4.1,FALSE,"c bau c"},0)</f>
        <v>2</v>
      </c>
      <c r="W53" s="6" t="e">
        <f>MATCH(H53,{TRUE,4.1,FALSE,"c bau c"},0)</f>
        <v>#N/A</v>
      </c>
      <c r="X53" s="6">
        <f>MATCH(I53,{TRUE,4.1,FALSE,"c bau c"},0)</f>
        <v>4</v>
      </c>
      <c r="Y53" s="6">
        <f>MATCH(J53,{TRUE,4.1,FALSE,"c bau c"},0)</f>
        <v>1</v>
      </c>
      <c r="Z53" s="6" t="e">
        <f>MATCH(K53,{TRUE,4.1,FALSE,"c bau c"},0)</f>
        <v>#VALUE!</v>
      </c>
      <c r="AA53" s="6" t="e">
        <f>MATCH(L53,{TRUE,4.1,FALSE,"c bau c"},0)</f>
        <v>#N/A</v>
      </c>
      <c r="AB53" s="6" t="e">
        <f>MATCH(M53,{TRUE,4.1,FALSE,"c bau c"},0)</f>
        <v>#DIV/0!</v>
      </c>
      <c r="AC53" s="6" t="e">
        <f>MATCH(N53,{TRUE,4.1,FALSE,"c bau c"},0)</f>
        <v>#NAME?</v>
      </c>
      <c r="AD53" s="6" t="e">
        <f>MATCH(O53,{TRUE,4.1,FALSE,"c bau c"},0)</f>
        <v>#NULL!</v>
      </c>
      <c r="AE53" s="6" t="e">
        <f>MATCH(P53,{TRUE,4.1,FALSE,"c bau c"},0)</f>
        <v>#NUM!</v>
      </c>
      <c r="AF53" s="6" t="e">
        <f>MATCH(Q53,{TRUE,4.1,FALSE,"c bau c"},0)</f>
        <v>#REF!</v>
      </c>
      <c r="AG53" s="6"/>
      <c r="AH53" s="6"/>
    </row>
    <row r="54" spans="1:48" x14ac:dyDescent="0.15">
      <c r="A54" s="67"/>
      <c r="B54" s="68"/>
      <c r="C54" s="13">
        <v>-2</v>
      </c>
      <c r="D54" s="13">
        <v>1.1000000000000001</v>
      </c>
      <c r="E54" s="13">
        <v>3</v>
      </c>
      <c r="F54" s="13">
        <v>4</v>
      </c>
      <c r="G54" s="13">
        <v>4.0999999999999996</v>
      </c>
      <c r="H54" s="14"/>
      <c r="I54" s="14" t="s">
        <v>339</v>
      </c>
      <c r="J54" s="14" t="b">
        <v>1</v>
      </c>
      <c r="K54" s="14" t="e">
        <f>#VALUE!</f>
        <v>#VALUE!</v>
      </c>
      <c r="L54" s="14" t="e">
        <v>#N/A</v>
      </c>
      <c r="M54" s="15" t="e">
        <v>#DIV/0!</v>
      </c>
      <c r="N54" s="15" t="e">
        <v>#NAME?</v>
      </c>
      <c r="O54" s="15" t="e">
        <v>#NULL!</v>
      </c>
      <c r="P54" s="15" t="e">
        <v>#NUM!</v>
      </c>
      <c r="Q54" s="15" t="e">
        <v>#REF!</v>
      </c>
      <c r="R54" s="6" t="e">
        <f>MATCH(C54,{TRUE,FALSE,"a","c bau c"},0)</f>
        <v>#N/A</v>
      </c>
      <c r="S54" s="6" t="e">
        <f>MATCH(D54,{TRUE,FALSE,"a","c bau c"},0)</f>
        <v>#N/A</v>
      </c>
      <c r="T54" s="6" t="e">
        <f>MATCH(E54,{TRUE,FALSE,"a","c bau c"},0)</f>
        <v>#N/A</v>
      </c>
      <c r="U54" s="6" t="e">
        <f>MATCH(F54,{TRUE,FALSE,"a","c bau c"},0)</f>
        <v>#N/A</v>
      </c>
      <c r="V54" s="6" t="e">
        <f>MATCH(G54,{TRUE,FALSE,"a","c bau c"},0)</f>
        <v>#N/A</v>
      </c>
      <c r="W54" s="6" t="e">
        <f>MATCH(H54,{TRUE,FALSE,"a","c bau c"},0)</f>
        <v>#N/A</v>
      </c>
      <c r="X54" s="6">
        <f>MATCH(I54,{TRUE,FALSE,"a","c bau c"},0)</f>
        <v>4</v>
      </c>
      <c r="Y54" s="6">
        <f>MATCH(J54,{TRUE,FALSE,"a","c bau c"},0)</f>
        <v>1</v>
      </c>
      <c r="Z54" s="6" t="e">
        <f>MATCH(K54,{TRUE,FALSE,"a","c bau c"},0)</f>
        <v>#VALUE!</v>
      </c>
      <c r="AA54" s="6" t="e">
        <f>MATCH(L54,{TRUE,FALSE,"a","c bau c"},0)</f>
        <v>#N/A</v>
      </c>
      <c r="AB54" s="6" t="e">
        <f>MATCH(M54,{TRUE,FALSE,"a","c bau c"},0)</f>
        <v>#DIV/0!</v>
      </c>
      <c r="AC54" s="6" t="e">
        <f>MATCH(N54,{TRUE,FALSE,"a","c bau c"},0)</f>
        <v>#NAME?</v>
      </c>
      <c r="AD54" s="6" t="e">
        <f>MATCH(O54,{TRUE,FALSE,"a","c bau c"},0)</f>
        <v>#NULL!</v>
      </c>
      <c r="AE54" s="6" t="e">
        <f>MATCH(P54,{TRUE,FALSE,"a","c bau c"},0)</f>
        <v>#NUM!</v>
      </c>
      <c r="AF54" s="6" t="e">
        <f>MATCH(Q54,{TRUE,FALSE,"a","c bau c"},0)</f>
        <v>#REF!</v>
      </c>
      <c r="AG54" s="6"/>
      <c r="AH54" s="6"/>
    </row>
    <row r="55" spans="1:48" x14ac:dyDescent="0.15">
      <c r="A55" s="67"/>
      <c r="B55" s="68"/>
      <c r="C55" s="13">
        <v>-2</v>
      </c>
      <c r="D55" s="13">
        <v>1.1000000000000001</v>
      </c>
      <c r="E55" s="13">
        <v>3</v>
      </c>
      <c r="F55" s="13">
        <v>4</v>
      </c>
      <c r="G55" s="13">
        <v>4.0999999999999996</v>
      </c>
      <c r="H55" s="14"/>
      <c r="I55" s="14" t="s">
        <v>339</v>
      </c>
      <c r="J55" s="14" t="b">
        <v>1</v>
      </c>
      <c r="K55" s="14" t="e">
        <f>#VALUE!</f>
        <v>#VALUE!</v>
      </c>
      <c r="L55" s="14" t="e">
        <v>#N/A</v>
      </c>
      <c r="M55" s="15" t="e">
        <v>#DIV/0!</v>
      </c>
      <c r="N55" s="15" t="e">
        <v>#NAME?</v>
      </c>
      <c r="O55" s="15" t="e">
        <v>#NULL!</v>
      </c>
      <c r="P55" s="15" t="e">
        <v>#NUM!</v>
      </c>
      <c r="Q55" s="15" t="e">
        <v>#REF!</v>
      </c>
      <c r="R55" s="6">
        <f>MATCH(C55,{-1.1,2.1,3.1,4.1},-1)</f>
        <v>4</v>
      </c>
      <c r="S55" s="6" t="e">
        <f>MATCH(D55,{-1.1,2.1,3.1,4.1},-1)</f>
        <v>#N/A</v>
      </c>
      <c r="T55" s="6" t="e">
        <f>MATCH(E55,{-1.1,2.1,3.1,4.1},-1)</f>
        <v>#N/A</v>
      </c>
      <c r="U55" s="6" t="e">
        <f>MATCH(F55,{-1.1,2.1,3.1,4.1},-1)</f>
        <v>#N/A</v>
      </c>
      <c r="V55" s="6" t="e">
        <f>MATCH(G55,{-1.1,2.1,3.1,4.1},-1)</f>
        <v>#N/A</v>
      </c>
      <c r="W55" s="6" t="e">
        <f>MATCH(H55,{-1.1,2.1,3.1,4.1},-1)</f>
        <v>#N/A</v>
      </c>
      <c r="X55" s="6" t="e">
        <f>MATCH(I55,{-1.1,2.1,3.1,4.1},-1)</f>
        <v>#N/A</v>
      </c>
      <c r="Y55" s="6" t="e">
        <f>MATCH(J55,{-1.1,2.1,3.1,4.1},-1)</f>
        <v>#N/A</v>
      </c>
      <c r="Z55" s="6" t="e">
        <f>MATCH(K55,{-1.1,2.1,3.1,4.1},-1)</f>
        <v>#VALUE!</v>
      </c>
      <c r="AA55" s="6" t="e">
        <f>MATCH(L55,{-1.1,2.1,3.1,4.1},-1)</f>
        <v>#N/A</v>
      </c>
      <c r="AB55" s="6" t="e">
        <f>MATCH(M55,{-1.1,2.1,3.1,4.1},-1)</f>
        <v>#DIV/0!</v>
      </c>
      <c r="AC55" s="6" t="e">
        <f>MATCH(N55,{-1.1,2.1,3.1,4.1},-1)</f>
        <v>#NAME?</v>
      </c>
      <c r="AD55" s="6" t="e">
        <f>MATCH(O55,{-1.1,2.1,3.1,4.1},-1)</f>
        <v>#NULL!</v>
      </c>
      <c r="AE55" s="6" t="e">
        <f>MATCH(P55,{-1.1,2.1,3.1,4.1},-1)</f>
        <v>#NUM!</v>
      </c>
      <c r="AF55" s="6" t="e">
        <f>MATCH(Q55,{-1.1,2.1,3.1,4.1},-1)</f>
        <v>#REF!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15">
      <c r="A56" s="67"/>
      <c r="B56" s="68"/>
      <c r="C56" s="13">
        <v>-2</v>
      </c>
      <c r="D56" s="13">
        <v>1.1000000000000001</v>
      </c>
      <c r="E56" s="13">
        <v>3</v>
      </c>
      <c r="F56" s="13">
        <v>4</v>
      </c>
      <c r="G56" s="13">
        <v>4.0999999999999996</v>
      </c>
      <c r="H56" s="14"/>
      <c r="I56" s="14" t="s">
        <v>339</v>
      </c>
      <c r="J56" s="14" t="b">
        <v>1</v>
      </c>
      <c r="K56" s="14" t="e">
        <f>#VALUE!</f>
        <v>#VALUE!</v>
      </c>
      <c r="L56" s="14" t="e">
        <v>#N/A</v>
      </c>
      <c r="M56" s="15" t="e">
        <v>#DIV/0!</v>
      </c>
      <c r="N56" s="15" t="e">
        <v>#NAME?</v>
      </c>
      <c r="O56" s="15" t="e">
        <v>#NULL!</v>
      </c>
      <c r="P56" s="15" t="e">
        <v>#NUM!</v>
      </c>
      <c r="Q56" s="15" t="e">
        <v>#REF!</v>
      </c>
      <c r="R56" s="6">
        <f>MATCH(C56,{"a",2.1,"c bau c",4.1},-1)</f>
        <v>4</v>
      </c>
      <c r="S56" s="6">
        <f>MATCH(D56,{"a",2.1,"c bau c",4.1},-1)</f>
        <v>4</v>
      </c>
      <c r="T56" s="6" t="e">
        <f>MATCH(E56,{"a",2.1,"c bau c",4.1},-1)</f>
        <v>#N/A</v>
      </c>
      <c r="U56" s="6" t="e">
        <f>MATCH(F56,{"a",2.1,"c bau c",4.1},-1)</f>
        <v>#N/A</v>
      </c>
      <c r="V56" s="6" t="e">
        <f>MATCH(G56,{"a",2.1,"c bau c",4.1},-1)</f>
        <v>#N/A</v>
      </c>
      <c r="W56" s="6">
        <f>MATCH(H56,{"a",2.1,"c bau c",4.1},-1)</f>
        <v>4</v>
      </c>
      <c r="X56" s="6">
        <f>MATCH(I56,{"a",2.1,"c bau c",4.1},-1)</f>
        <v>3</v>
      </c>
      <c r="Y56" s="6" t="e">
        <f>MATCH(J56,{"a",2.1,"c bau c",4.1},-1)</f>
        <v>#N/A</v>
      </c>
      <c r="Z56" s="6" t="e">
        <f>MATCH(K56,{"a",2.1,"c bau c",4.1},-1)</f>
        <v>#VALUE!</v>
      </c>
      <c r="AA56" s="6" t="e">
        <f>MATCH(L56,{"a",2.1,"c bau c",4.1},-1)</f>
        <v>#N/A</v>
      </c>
      <c r="AB56" s="6" t="e">
        <f>MATCH(M56,{"a",2.1,"c bau c",4.1},-1)</f>
        <v>#DIV/0!</v>
      </c>
      <c r="AC56" s="6" t="e">
        <f>MATCH(N56,{"a",2.1,"c bau c",4.1},-1)</f>
        <v>#NAME?</v>
      </c>
      <c r="AD56" s="6" t="e">
        <f>MATCH(O56,{"a",2.1,"c bau c",4.1},-1)</f>
        <v>#NULL!</v>
      </c>
      <c r="AE56" s="6" t="e">
        <f>MATCH(P56,{"a",2.1,"c bau c",4.1},-1)</f>
        <v>#NUM!</v>
      </c>
      <c r="AF56" s="6" t="e">
        <f>MATCH(Q56,{"a",2.1,"c bau c",4.1},-1)</f>
        <v>#REF!</v>
      </c>
      <c r="AG56" s="6"/>
      <c r="AH56" s="6"/>
    </row>
    <row r="57" spans="1:48" x14ac:dyDescent="0.15">
      <c r="A57" s="67"/>
      <c r="B57" s="68"/>
      <c r="C57" s="13">
        <v>-2</v>
      </c>
      <c r="D57" s="13">
        <v>1.1000000000000001</v>
      </c>
      <c r="E57" s="13">
        <v>3</v>
      </c>
      <c r="F57" s="13">
        <v>4</v>
      </c>
      <c r="G57" s="13">
        <v>4.0999999999999996</v>
      </c>
      <c r="H57" s="14"/>
      <c r="I57" s="14" t="s">
        <v>339</v>
      </c>
      <c r="J57" s="14" t="b">
        <v>1</v>
      </c>
      <c r="K57" s="14" t="e">
        <f>#VALUE!</f>
        <v>#VALUE!</v>
      </c>
      <c r="L57" s="14" t="e">
        <v>#N/A</v>
      </c>
      <c r="M57" s="15" t="e">
        <v>#DIV/0!</v>
      </c>
      <c r="N57" s="15" t="e">
        <v>#NAME?</v>
      </c>
      <c r="O57" s="15" t="e">
        <v>#NULL!</v>
      </c>
      <c r="P57" s="15" t="e">
        <v>#NUM!</v>
      </c>
      <c r="Q57" s="15" t="e">
        <v>#REF!</v>
      </c>
      <c r="R57" s="6">
        <f>MATCH(C57,{FALSE,2.1,TRUE,4.1},-1)</f>
        <v>4</v>
      </c>
      <c r="S57" s="6">
        <f>MATCH(D57,{FALSE,2.1,TRUE,4.1},-1)</f>
        <v>4</v>
      </c>
      <c r="T57" s="6" t="e">
        <f>MATCH(E57,{FALSE,2.1,TRUE,4.1},-1)</f>
        <v>#N/A</v>
      </c>
      <c r="U57" s="6" t="e">
        <f>MATCH(F57,{FALSE,2.1,TRUE,4.1},-1)</f>
        <v>#N/A</v>
      </c>
      <c r="V57" s="6" t="e">
        <f>MATCH(G57,{FALSE,2.1,TRUE,4.1},-1)</f>
        <v>#N/A</v>
      </c>
      <c r="W57" s="6">
        <f>MATCH(H57,{FALSE,2.1,TRUE,4.1},-1)</f>
        <v>4</v>
      </c>
      <c r="X57" s="6" t="e">
        <f>MATCH(I57,{FALSE,2.1,TRUE,4.1},-1)</f>
        <v>#N/A</v>
      </c>
      <c r="Y57" s="6" t="e">
        <f>MATCH(J57,{FALSE,2.1,TRUE,4.1},-1)</f>
        <v>#N/A</v>
      </c>
      <c r="Z57" s="6" t="e">
        <f>MATCH(K57,{FALSE,2.1,TRUE,4.1},-1)</f>
        <v>#VALUE!</v>
      </c>
      <c r="AA57" s="6" t="e">
        <f>MATCH(L57,{FALSE,2.1,TRUE,4.1},-1)</f>
        <v>#N/A</v>
      </c>
      <c r="AB57" s="6" t="e">
        <f>MATCH(M57,{FALSE,2.1,TRUE,4.1},-1)</f>
        <v>#DIV/0!</v>
      </c>
      <c r="AC57" s="6" t="e">
        <f>MATCH(N57,{FALSE,2.1,TRUE,4.1},-1)</f>
        <v>#NAME?</v>
      </c>
      <c r="AD57" s="6" t="e">
        <f>MATCH(O57,{FALSE,2.1,TRUE,4.1},-1)</f>
        <v>#NULL!</v>
      </c>
      <c r="AE57" s="6" t="e">
        <f>MATCH(P57,{FALSE,2.1,TRUE,4.1},-1)</f>
        <v>#NUM!</v>
      </c>
      <c r="AF57" s="6" t="e">
        <f>MATCH(Q57,{FALSE,2.1,TRUE,4.1},-1)</f>
        <v>#REF!</v>
      </c>
      <c r="AG57" s="6"/>
      <c r="AH57" s="6"/>
    </row>
    <row r="58" spans="1:48" x14ac:dyDescent="0.15">
      <c r="A58" s="67"/>
      <c r="B58" s="68"/>
      <c r="C58" s="13">
        <v>-2</v>
      </c>
      <c r="D58" s="13">
        <v>1.1000000000000001</v>
      </c>
      <c r="E58" s="13">
        <v>3</v>
      </c>
      <c r="F58" s="13">
        <v>4</v>
      </c>
      <c r="G58" s="13">
        <v>4.0999999999999996</v>
      </c>
      <c r="H58" s="14"/>
      <c r="I58" s="14" t="s">
        <v>339</v>
      </c>
      <c r="J58" s="14" t="b">
        <v>1</v>
      </c>
      <c r="K58" s="14" t="e">
        <f>#VALUE!</f>
        <v>#VALUE!</v>
      </c>
      <c r="L58" s="14" t="e">
        <v>#N/A</v>
      </c>
      <c r="M58" s="15" t="e">
        <v>#DIV/0!</v>
      </c>
      <c r="N58" s="15" t="e">
        <v>#NAME?</v>
      </c>
      <c r="O58" s="15" t="e">
        <v>#NULL!</v>
      </c>
      <c r="P58" s="15" t="e">
        <v>#NUM!</v>
      </c>
      <c r="Q58" s="15" t="e">
        <v>#REF!</v>
      </c>
      <c r="R58" s="6">
        <f>MATCH(C58,{4.1,3.1,2.1,1.1},-1)</f>
        <v>4</v>
      </c>
      <c r="S58" s="6">
        <f>MATCH(D58,{4.1,3.1,2.1,1.1},-1)</f>
        <v>4</v>
      </c>
      <c r="T58" s="6">
        <f>MATCH(E58,{4.1,3.1,2.1,1.1},-1)</f>
        <v>2</v>
      </c>
      <c r="U58" s="6">
        <f>MATCH(F58,{4.1,3.1,2.1,1.1},-1)</f>
        <v>1</v>
      </c>
      <c r="V58" s="6">
        <f>MATCH(G58,{4.1,3.1,2.1,1.1},-1)</f>
        <v>1</v>
      </c>
      <c r="W58" s="6">
        <f>MATCH(H58,{4.1,3.1,2.1,1.1},-1)</f>
        <v>4</v>
      </c>
      <c r="X58" s="6" t="e">
        <f>MATCH(I58,{4.1,3.1,2.1,1.1},-1)</f>
        <v>#N/A</v>
      </c>
      <c r="Y58" s="6" t="e">
        <f>MATCH(J58,{4.1,3.1,2.1,1.1},-1)</f>
        <v>#N/A</v>
      </c>
      <c r="Z58" s="6" t="e">
        <f>MATCH(K58,{4.1,3.1,2.1,1.1},-1)</f>
        <v>#VALUE!</v>
      </c>
      <c r="AA58" s="6" t="e">
        <f>MATCH(L58,{4.1,3.1,2.1,1.1},-1)</f>
        <v>#N/A</v>
      </c>
      <c r="AB58" s="6" t="e">
        <f>MATCH(M58,{4.1,3.1,2.1,1.1},-1)</f>
        <v>#DIV/0!</v>
      </c>
      <c r="AC58" s="6" t="e">
        <f>MATCH(N58,{4.1,3.1,2.1,1.1},-1)</f>
        <v>#NAME?</v>
      </c>
      <c r="AD58" s="6" t="e">
        <f>MATCH(O58,{4.1,3.1,2.1,1.1},-1)</f>
        <v>#NULL!</v>
      </c>
      <c r="AE58" s="6" t="e">
        <f>MATCH(P58,{4.1,3.1,2.1,1.1},-1)</f>
        <v>#NUM!</v>
      </c>
      <c r="AF58" s="6" t="e">
        <f>MATCH(Q58,{4.1,3.1,2.1,1.1},-1)</f>
        <v>#REF!</v>
      </c>
      <c r="AG58" s="6"/>
      <c r="AH58" s="6"/>
    </row>
    <row r="59" spans="1:48" x14ac:dyDescent="0.15">
      <c r="A59" s="67"/>
      <c r="B59" s="68"/>
      <c r="C59" s="13">
        <v>-2</v>
      </c>
      <c r="D59" s="13">
        <v>1.1000000000000001</v>
      </c>
      <c r="E59" s="13">
        <v>3</v>
      </c>
      <c r="F59" s="13">
        <v>4</v>
      </c>
      <c r="G59" s="13">
        <v>4.0999999999999996</v>
      </c>
      <c r="H59" s="14"/>
      <c r="I59" s="14" t="s">
        <v>339</v>
      </c>
      <c r="J59" s="14" t="b">
        <v>1</v>
      </c>
      <c r="K59" s="14" t="e">
        <f>#VALUE!</f>
        <v>#VALUE!</v>
      </c>
      <c r="L59" s="14" t="e">
        <v>#N/A</v>
      </c>
      <c r="M59" s="15" t="e">
        <v>#DIV/0!</v>
      </c>
      <c r="N59" s="15" t="e">
        <v>#NAME?</v>
      </c>
      <c r="O59" s="15" t="e">
        <v>#NULL!</v>
      </c>
      <c r="P59" s="15" t="e">
        <v>#NUM!</v>
      </c>
      <c r="Q59" s="15" t="e">
        <v>#REF!</v>
      </c>
      <c r="R59" s="6">
        <f>MATCH(C59,{"c bau c",4.1,"a",1.1},-1)</f>
        <v>4</v>
      </c>
      <c r="S59" s="6">
        <f>MATCH(D59,{"c bau c",4.1,"a",1.1},-1)</f>
        <v>4</v>
      </c>
      <c r="T59" s="6">
        <f>MATCH(E59,{"c bau c",4.1,"a",1.1},-1)</f>
        <v>2</v>
      </c>
      <c r="U59" s="6">
        <f>MATCH(F59,{"c bau c",4.1,"a",1.1},-1)</f>
        <v>2</v>
      </c>
      <c r="V59" s="6">
        <f>MATCH(G59,{"c bau c",4.1,"a",1.1},-1)</f>
        <v>2</v>
      </c>
      <c r="W59" s="6">
        <f>MATCH(H59,{"c bau c",4.1,"a",1.1},-1)</f>
        <v>4</v>
      </c>
      <c r="X59" s="6">
        <f>MATCH(I59,{"c bau c",4.1,"a",1.1},-1)</f>
        <v>3</v>
      </c>
      <c r="Y59" s="6" t="e">
        <f>MATCH(J59,{"c bau c",4.1,"a",1.1},-1)</f>
        <v>#N/A</v>
      </c>
      <c r="Z59" s="6" t="e">
        <f>MATCH(K59,{"c bau c",4.1,"a",1.1},-1)</f>
        <v>#VALUE!</v>
      </c>
      <c r="AA59" s="6" t="e">
        <f>MATCH(L59,{"c bau c",4.1,"a",1.1},-1)</f>
        <v>#N/A</v>
      </c>
      <c r="AB59" s="6" t="e">
        <f>MATCH(M59,{"c bau c",4.1,"a",1.1},-1)</f>
        <v>#DIV/0!</v>
      </c>
      <c r="AC59" s="6" t="e">
        <f>MATCH(N59,{"c bau c",4.1,"a",1.1},-1)</f>
        <v>#NAME?</v>
      </c>
      <c r="AD59" s="6" t="e">
        <f>MATCH(O59,{"c bau c",4.1,"a",1.1},-1)</f>
        <v>#NULL!</v>
      </c>
      <c r="AE59" s="6" t="e">
        <f>MATCH(P59,{"c bau c",4.1,"a",1.1},-1)</f>
        <v>#NUM!</v>
      </c>
      <c r="AF59" s="6" t="e">
        <f>MATCH(Q59,{"c bau c",4.1,"a",1.1},-1)</f>
        <v>#REF!</v>
      </c>
      <c r="AG59" s="6"/>
      <c r="AH59" s="6"/>
    </row>
    <row r="60" spans="1:48" x14ac:dyDescent="0.15">
      <c r="A60" s="67"/>
      <c r="B60" s="68"/>
      <c r="C60" s="13">
        <v>-2</v>
      </c>
      <c r="D60" s="13">
        <v>1.1000000000000001</v>
      </c>
      <c r="E60" s="13">
        <v>3</v>
      </c>
      <c r="F60" s="13">
        <v>4</v>
      </c>
      <c r="G60" s="13">
        <v>4.0999999999999996</v>
      </c>
      <c r="H60" s="14"/>
      <c r="I60" s="14" t="s">
        <v>339</v>
      </c>
      <c r="J60" s="14" t="b">
        <v>1</v>
      </c>
      <c r="K60" s="14" t="e">
        <f>#VALUE!</f>
        <v>#VALUE!</v>
      </c>
      <c r="L60" s="14" t="e">
        <v>#N/A</v>
      </c>
      <c r="M60" s="15" t="e">
        <v>#DIV/0!</v>
      </c>
      <c r="N60" s="15" t="e">
        <v>#NAME?</v>
      </c>
      <c r="O60" s="15" t="e">
        <v>#NULL!</v>
      </c>
      <c r="P60" s="15" t="e">
        <v>#NUM!</v>
      </c>
      <c r="Q60" s="15" t="e">
        <v>#REF!</v>
      </c>
      <c r="R60" s="6">
        <f>MATCH(C60,{"",4.1,"a",1.1},-1)</f>
        <v>4</v>
      </c>
      <c r="S60" s="6">
        <f>MATCH(D60,{"",4.1,"a",1.1},-1)</f>
        <v>4</v>
      </c>
      <c r="T60" s="6">
        <f>MATCH(E60,{"",4.1,"a",1.1},-1)</f>
        <v>2</v>
      </c>
      <c r="U60" s="6">
        <f>MATCH(F60,{"",4.1,"a",1.1},-1)</f>
        <v>2</v>
      </c>
      <c r="V60" s="6">
        <f>MATCH(G60,{"",4.1,"a",1.1},-1)</f>
        <v>2</v>
      </c>
      <c r="W60" s="6">
        <f>MATCH(H60,{"",4.1,"a",1.1},-1)</f>
        <v>4</v>
      </c>
      <c r="X60" s="6" t="e">
        <f>MATCH(I60,{"",4.1,"a",1.1},-1)</f>
        <v>#N/A</v>
      </c>
      <c r="Y60" s="6" t="e">
        <f>MATCH(J60,{"",4.1,"a",1.1},-1)</f>
        <v>#N/A</v>
      </c>
      <c r="Z60" s="6" t="e">
        <f>MATCH(K60,{"",4.1,"a",1.1},-1)</f>
        <v>#VALUE!</v>
      </c>
      <c r="AA60" s="6" t="e">
        <f>MATCH(L60,{"",4.1,"a",1.1},-1)</f>
        <v>#N/A</v>
      </c>
      <c r="AB60" s="6" t="e">
        <f>MATCH(M60,{"",4.1,"a",1.1},-1)</f>
        <v>#DIV/0!</v>
      </c>
      <c r="AC60" s="6" t="e">
        <f>MATCH(N60,{"",4.1,"a",1.1},-1)</f>
        <v>#NAME?</v>
      </c>
      <c r="AD60" s="6" t="e">
        <f>MATCH(O60,{"",4.1,"a",1.1},-1)</f>
        <v>#NULL!</v>
      </c>
      <c r="AE60" s="6" t="e">
        <f>MATCH(P60,{"",4.1,"a",1.1},-1)</f>
        <v>#NUM!</v>
      </c>
      <c r="AF60" s="6" t="e">
        <f>MATCH(Q60,{"",4.1,"a",1.1},-1)</f>
        <v>#REF!</v>
      </c>
      <c r="AG60" s="6"/>
      <c r="AH60" s="6"/>
    </row>
    <row r="61" spans="1:48" x14ac:dyDescent="0.15">
      <c r="A61" s="67"/>
      <c r="B61" s="68"/>
      <c r="C61" s="13">
        <v>-2</v>
      </c>
      <c r="D61" s="13">
        <v>1.1000000000000001</v>
      </c>
      <c r="E61" s="13">
        <v>3</v>
      </c>
      <c r="F61" s="13">
        <v>4</v>
      </c>
      <c r="G61" s="13">
        <v>4.0999999999999996</v>
      </c>
      <c r="H61" s="14"/>
      <c r="I61" s="14" t="s">
        <v>339</v>
      </c>
      <c r="J61" s="14" t="b">
        <v>1</v>
      </c>
      <c r="K61" s="14" t="e">
        <f>#VALUE!</f>
        <v>#VALUE!</v>
      </c>
      <c r="L61" s="14" t="e">
        <v>#N/A</v>
      </c>
      <c r="M61" s="15" t="e">
        <v>#DIV/0!</v>
      </c>
      <c r="N61" s="15" t="e">
        <v>#NAME?</v>
      </c>
      <c r="O61" s="15" t="e">
        <v>#NULL!</v>
      </c>
      <c r="P61" s="15" t="e">
        <v>#NUM!</v>
      </c>
      <c r="Q61" s="15" t="e">
        <v>#REF!</v>
      </c>
      <c r="R61" s="6">
        <f>MATCH(C61,{TRUE,4.1,FALSE,1.1},-1)</f>
        <v>4</v>
      </c>
      <c r="S61" s="6">
        <f>MATCH(D61,{TRUE,4.1,FALSE,1.1},-1)</f>
        <v>4</v>
      </c>
      <c r="T61" s="6">
        <f>MATCH(E61,{TRUE,4.1,FALSE,1.1},-1)</f>
        <v>2</v>
      </c>
      <c r="U61" s="6">
        <f>MATCH(F61,{TRUE,4.1,FALSE,1.1},-1)</f>
        <v>2</v>
      </c>
      <c r="V61" s="6">
        <f>MATCH(G61,{TRUE,4.1,FALSE,1.1},-1)</f>
        <v>2</v>
      </c>
      <c r="W61" s="6">
        <f>MATCH(H61,{TRUE,4.1,FALSE,1.1},-1)</f>
        <v>4</v>
      </c>
      <c r="X61" s="6" t="e">
        <f>MATCH(I61,{TRUE,4.1,FALSE,1.1},-1)</f>
        <v>#N/A</v>
      </c>
      <c r="Y61" s="6">
        <f>MATCH(J61,{TRUE,4.1,FALSE,1.1},-1)</f>
        <v>1</v>
      </c>
      <c r="Z61" s="6" t="e">
        <f>MATCH(K61,{TRUE,4.1,FALSE,1.1},-1)</f>
        <v>#VALUE!</v>
      </c>
      <c r="AA61" s="6" t="e">
        <f>MATCH(L61,{TRUE,4.1,FALSE,1.1},-1)</f>
        <v>#N/A</v>
      </c>
      <c r="AB61" s="6" t="e">
        <f>MATCH(M61,{TRUE,4.1,FALSE,1.1},-1)</f>
        <v>#DIV/0!</v>
      </c>
      <c r="AC61" s="6" t="e">
        <f>MATCH(N61,{TRUE,4.1,FALSE,1.1},-1)</f>
        <v>#NAME?</v>
      </c>
      <c r="AD61" s="6" t="e">
        <f>MATCH(O61,{TRUE,4.1,FALSE,1.1},-1)</f>
        <v>#NULL!</v>
      </c>
      <c r="AE61" s="6" t="e">
        <f>MATCH(P61,{TRUE,4.1,FALSE,1.1},-1)</f>
        <v>#NUM!</v>
      </c>
      <c r="AF61" s="6" t="e">
        <f>MATCH(Q61,{TRUE,4.1,FALSE,1.1},-1)</f>
        <v>#REF!</v>
      </c>
      <c r="AG61" s="6"/>
      <c r="AH61" s="6"/>
    </row>
    <row r="62" spans="1:48" x14ac:dyDescent="0.15">
      <c r="A62" s="67"/>
      <c r="B62" s="68"/>
      <c r="C62" s="13">
        <v>-2</v>
      </c>
      <c r="D62" s="13">
        <v>1.1000000000000001</v>
      </c>
      <c r="E62" s="13">
        <v>3</v>
      </c>
      <c r="F62" s="13">
        <v>4</v>
      </c>
      <c r="G62" s="13">
        <v>4.0999999999999996</v>
      </c>
      <c r="H62" s="14"/>
      <c r="I62" s="14" t="s">
        <v>339</v>
      </c>
      <c r="J62" s="14" t="b">
        <v>1</v>
      </c>
      <c r="K62" s="14" t="e">
        <f>#VALUE!</f>
        <v>#VALUE!</v>
      </c>
      <c r="L62" s="14" t="e">
        <v>#N/A</v>
      </c>
      <c r="M62" s="15" t="e">
        <v>#DIV/0!</v>
      </c>
      <c r="N62" s="15" t="e">
        <v>#NAME?</v>
      </c>
      <c r="O62" s="15" t="e">
        <v>#NULL!</v>
      </c>
      <c r="P62" s="15" t="e">
        <v>#NUM!</v>
      </c>
      <c r="Q62" s="15" t="e">
        <v>#REF!</v>
      </c>
      <c r="R62" s="6">
        <f>MATCH(C62,{TRUE,4.1,FALSE,"c bau c"},-1)</f>
        <v>2</v>
      </c>
      <c r="S62" s="6">
        <f>MATCH(D62,{TRUE,4.1,FALSE,"c bau c"},-1)</f>
        <v>2</v>
      </c>
      <c r="T62" s="6">
        <f>MATCH(E62,{TRUE,4.1,FALSE,"c bau c"},-1)</f>
        <v>2</v>
      </c>
      <c r="U62" s="6">
        <f>MATCH(F62,{TRUE,4.1,FALSE,"c bau c"},-1)</f>
        <v>2</v>
      </c>
      <c r="V62" s="6">
        <f>MATCH(G62,{TRUE,4.1,FALSE,"c bau c"},-1)</f>
        <v>2</v>
      </c>
      <c r="W62" s="6">
        <f>MATCH(H62,{TRUE,4.1,FALSE,"c bau c"},-1)</f>
        <v>2</v>
      </c>
      <c r="X62" s="6">
        <f>MATCH(I62,{TRUE,4.1,FALSE,"c bau c"},-1)</f>
        <v>4</v>
      </c>
      <c r="Y62" s="6">
        <f>MATCH(J62,{TRUE,4.1,FALSE,"c bau c"},-1)</f>
        <v>1</v>
      </c>
      <c r="Z62" s="6" t="e">
        <f>MATCH(K62,{TRUE,4.1,FALSE,"c bau c"},-1)</f>
        <v>#VALUE!</v>
      </c>
      <c r="AA62" s="6" t="e">
        <f>MATCH(L62,{TRUE,4.1,FALSE,"c bau c"},-1)</f>
        <v>#N/A</v>
      </c>
      <c r="AB62" s="6" t="e">
        <f>MATCH(M62,{TRUE,4.1,FALSE,"c bau c"},-1)</f>
        <v>#DIV/0!</v>
      </c>
      <c r="AC62" s="6" t="e">
        <f>MATCH(N62,{TRUE,4.1,FALSE,"c bau c"},-1)</f>
        <v>#NAME?</v>
      </c>
      <c r="AD62" s="6" t="e">
        <f>MATCH(O62,{TRUE,4.1,FALSE,"c bau c"},-1)</f>
        <v>#NULL!</v>
      </c>
      <c r="AE62" s="6" t="e">
        <f>MATCH(P62,{TRUE,4.1,FALSE,"c bau c"},-1)</f>
        <v>#NUM!</v>
      </c>
      <c r="AF62" s="6" t="e">
        <f>MATCH(Q62,{TRUE,4.1,FALSE,"c bau c"},-1)</f>
        <v>#REF!</v>
      </c>
      <c r="AG62" s="6"/>
      <c r="AH62" s="6"/>
    </row>
    <row r="63" spans="1:48" x14ac:dyDescent="0.15">
      <c r="A63" s="67"/>
      <c r="B63" s="68"/>
      <c r="C63" s="13">
        <v>-2</v>
      </c>
      <c r="D63" s="13">
        <v>1.1000000000000001</v>
      </c>
      <c r="E63" s="13">
        <v>3</v>
      </c>
      <c r="F63" s="13">
        <v>4</v>
      </c>
      <c r="G63" s="13">
        <v>4.0999999999999996</v>
      </c>
      <c r="H63" s="14"/>
      <c r="I63" s="14" t="s">
        <v>339</v>
      </c>
      <c r="J63" s="14" t="b">
        <v>1</v>
      </c>
      <c r="K63" s="14" t="e">
        <f>#VALUE!</f>
        <v>#VALUE!</v>
      </c>
      <c r="L63" s="14" t="e">
        <v>#N/A</v>
      </c>
      <c r="M63" s="15" t="e">
        <v>#DIV/0!</v>
      </c>
      <c r="N63" s="15" t="e">
        <v>#NAME?</v>
      </c>
      <c r="O63" s="15" t="e">
        <v>#NULL!</v>
      </c>
      <c r="P63" s="15" t="e">
        <v>#NUM!</v>
      </c>
      <c r="Q63" s="15" t="e">
        <v>#REF!</v>
      </c>
      <c r="R63" s="6" t="e">
        <f>MATCH(C63,{TRUE,FALSE,"a","c bau c"},-1)</f>
        <v>#N/A</v>
      </c>
      <c r="S63" s="6" t="e">
        <f>MATCH(D63,{TRUE,FALSE,"a","c bau c"},-1)</f>
        <v>#N/A</v>
      </c>
      <c r="T63" s="6" t="e">
        <f>MATCH(E63,{TRUE,FALSE,"a","c bau c"},-1)</f>
        <v>#N/A</v>
      </c>
      <c r="U63" s="6" t="e">
        <f>MATCH(F63,{TRUE,FALSE,"a","c bau c"},-1)</f>
        <v>#N/A</v>
      </c>
      <c r="V63" s="6" t="e">
        <f>MATCH(G63,{TRUE,FALSE,"a","c bau c"},-1)</f>
        <v>#N/A</v>
      </c>
      <c r="W63" s="6" t="e">
        <f>MATCH(H63,{TRUE,FALSE,"a","c bau c"},-1)</f>
        <v>#N/A</v>
      </c>
      <c r="X63" s="6">
        <f>MATCH(I63,{TRUE,FALSE,"a","c bau c"},-1)</f>
        <v>4</v>
      </c>
      <c r="Y63" s="6">
        <f>MATCH(J63,{TRUE,FALSE,"a","c bau c"},-1)</f>
        <v>1</v>
      </c>
      <c r="Z63" s="6" t="e">
        <f>MATCH(K63,{TRUE,FALSE,"a","c bau c"},-1)</f>
        <v>#VALUE!</v>
      </c>
      <c r="AA63" s="6" t="e">
        <f>MATCH(L63,{TRUE,FALSE,"a","c bau c"},-1)</f>
        <v>#N/A</v>
      </c>
      <c r="AB63" s="6" t="e">
        <f>MATCH(M63,{TRUE,FALSE,"a","c bau c"},-1)</f>
        <v>#DIV/0!</v>
      </c>
      <c r="AC63" s="6" t="e">
        <f>MATCH(N63,{TRUE,FALSE,"a","c bau c"},-1)</f>
        <v>#NAME?</v>
      </c>
      <c r="AD63" s="6" t="e">
        <f>MATCH(O63,{TRUE,FALSE,"a","c bau c"},-1)</f>
        <v>#NULL!</v>
      </c>
      <c r="AE63" s="6" t="e">
        <f>MATCH(P63,{TRUE,FALSE,"a","c bau c"},-1)</f>
        <v>#NUM!</v>
      </c>
      <c r="AF63" s="6" t="e">
        <f>MATCH(Q63,{TRUE,FALSE,"a","c bau c"},-1)</f>
        <v>#REF!</v>
      </c>
      <c r="AG63" s="6"/>
      <c r="AH63" s="6"/>
    </row>
    <row r="64" spans="1:48" x14ac:dyDescent="0.15">
      <c r="A64" s="41" t="s">
        <v>332</v>
      </c>
      <c r="C64" s="13"/>
      <c r="D64" s="13"/>
      <c r="E64" s="13"/>
      <c r="F64" s="13"/>
      <c r="G64" s="13"/>
      <c r="H64" s="14"/>
      <c r="I64" s="14"/>
      <c r="J64" s="14"/>
      <c r="K64" s="14"/>
      <c r="L64" s="14"/>
      <c r="M64" s="15"/>
      <c r="N64" s="15"/>
      <c r="O64" s="15"/>
      <c r="P64" s="15"/>
      <c r="Q64" s="15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49" x14ac:dyDescent="0.15">
      <c r="A65" s="41" t="s">
        <v>559</v>
      </c>
      <c r="C65" s="13"/>
      <c r="D65" s="13"/>
      <c r="E65" s="13"/>
      <c r="F65" s="13"/>
      <c r="G65" s="13"/>
      <c r="H65" s="14"/>
      <c r="I65" s="14"/>
      <c r="J65" s="14"/>
      <c r="K65" s="14"/>
      <c r="L65" s="14"/>
      <c r="M65" s="15"/>
      <c r="N65" s="15"/>
      <c r="O65" s="15"/>
      <c r="P65" s="15"/>
      <c r="Q65" s="15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49" x14ac:dyDescent="0.15">
      <c r="A66" s="67" t="s">
        <v>333</v>
      </c>
      <c r="B66" s="69" t="s">
        <v>541</v>
      </c>
      <c r="C66" s="13">
        <v>-2</v>
      </c>
      <c r="D66" s="13">
        <v>1.1000000000000001</v>
      </c>
      <c r="E66" s="13">
        <v>3</v>
      </c>
      <c r="F66" s="13">
        <v>4</v>
      </c>
      <c r="G66" s="13">
        <v>4.0999999999999996</v>
      </c>
      <c r="H66" s="14"/>
      <c r="I66" s="14" t="s">
        <v>339</v>
      </c>
      <c r="J66" s="14" t="b">
        <v>1</v>
      </c>
      <c r="K66" s="14" t="e">
        <f>#VALUE!</f>
        <v>#VALUE!</v>
      </c>
      <c r="L66" s="14" t="e">
        <v>#N/A</v>
      </c>
      <c r="M66" s="15" t="e">
        <v>#DIV/0!</v>
      </c>
      <c r="N66" s="15" t="e">
        <v>#NAME?</v>
      </c>
      <c r="O66" s="15" t="e">
        <v>#NULL!</v>
      </c>
      <c r="P66" s="15" t="e">
        <v>#NUM!</v>
      </c>
      <c r="Q66" s="15" t="e">
        <v>#REF!</v>
      </c>
      <c r="R66" s="6">
        <f>ROW(C66)</f>
        <v>66</v>
      </c>
      <c r="S66" s="6">
        <f t="shared" ref="S66:AF66" si="5">ROW(D66)</f>
        <v>66</v>
      </c>
      <c r="T66" s="6">
        <f t="shared" si="5"/>
        <v>66</v>
      </c>
      <c r="U66" s="6">
        <f t="shared" si="5"/>
        <v>66</v>
      </c>
      <c r="V66" s="6">
        <f t="shared" si="5"/>
        <v>66</v>
      </c>
      <c r="W66" s="6">
        <f>ROW()</f>
        <v>66</v>
      </c>
      <c r="X66" s="6">
        <f t="shared" si="5"/>
        <v>66</v>
      </c>
      <c r="Y66" s="6">
        <f t="shared" si="5"/>
        <v>66</v>
      </c>
      <c r="Z66" s="6">
        <f t="shared" si="5"/>
        <v>66</v>
      </c>
      <c r="AA66" s="6">
        <f t="shared" si="5"/>
        <v>66</v>
      </c>
      <c r="AB66" s="6">
        <f t="shared" si="5"/>
        <v>66</v>
      </c>
      <c r="AC66" s="6">
        <f t="shared" si="5"/>
        <v>66</v>
      </c>
      <c r="AD66" s="6">
        <f t="shared" si="5"/>
        <v>66</v>
      </c>
      <c r="AE66" s="6">
        <f t="shared" si="5"/>
        <v>66</v>
      </c>
      <c r="AF66" s="6">
        <f t="shared" si="5"/>
        <v>66</v>
      </c>
      <c r="AG66" s="4">
        <f t="array" ref="AG66">ROW(C68:E68:G67:I68 E67:F67)</f>
        <v>67</v>
      </c>
      <c r="AH66" s="4">
        <f t="array" ref="AH66:AJ68">ROW(AC66:AD66)</f>
        <v>66</v>
      </c>
      <c r="AI66" s="4">
        <v>66</v>
      </c>
      <c r="AJ66" s="4">
        <v>66</v>
      </c>
      <c r="AK66" s="4">
        <f t="array" ref="AK66:AM68">ROW(AC66:AC67)</f>
        <v>66</v>
      </c>
      <c r="AL66" s="4">
        <v>66</v>
      </c>
      <c r="AM66" s="4">
        <v>66</v>
      </c>
      <c r="AN66" s="4">
        <f t="array" ref="AN66:AP68">ROW(AC66:AD67)</f>
        <v>66</v>
      </c>
      <c r="AO66" s="4">
        <v>66</v>
      </c>
      <c r="AP66" s="4">
        <v>66</v>
      </c>
      <c r="AQ66" s="4">
        <f t="array" ref="AQ66:AS68">ROW(AC66:AE68 AD67:AF68)</f>
        <v>67</v>
      </c>
      <c r="AR66" s="4">
        <v>67</v>
      </c>
      <c r="AS66" s="4">
        <v>67</v>
      </c>
      <c r="AT66" s="4">
        <f t="array" ref="AT66:AW68">ROW(Z66:AA67:AF66:AF67 AB67:AD68)</f>
        <v>67</v>
      </c>
      <c r="AU66" s="4">
        <v>67</v>
      </c>
      <c r="AV66" s="4">
        <v>67</v>
      </c>
      <c r="AW66" s="4">
        <v>67</v>
      </c>
    </row>
    <row r="67" spans="1:49" x14ac:dyDescent="0.15">
      <c r="A67" s="67"/>
      <c r="B67" s="69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5"/>
      <c r="N67" s="15"/>
      <c r="O67" s="15"/>
      <c r="P67" s="15"/>
      <c r="Q67" s="15"/>
      <c r="R67" s="6">
        <f>ROW(C67)</f>
        <v>67</v>
      </c>
      <c r="S67" s="6">
        <f t="shared" ref="S67:V68" si="6">ROW(D67)</f>
        <v>67</v>
      </c>
      <c r="T67" s="6">
        <f t="shared" si="6"/>
        <v>67</v>
      </c>
      <c r="U67" s="6">
        <f t="shared" si="6"/>
        <v>67</v>
      </c>
      <c r="V67" s="6">
        <f t="shared" si="6"/>
        <v>67</v>
      </c>
      <c r="W67" s="6">
        <f>ROW()</f>
        <v>67</v>
      </c>
      <c r="X67" s="6">
        <f t="shared" ref="X67:AF68" si="7">ROW(I67)</f>
        <v>67</v>
      </c>
      <c r="Y67" s="6">
        <f t="shared" si="7"/>
        <v>67</v>
      </c>
      <c r="Z67" s="6">
        <f t="shared" si="7"/>
        <v>67</v>
      </c>
      <c r="AA67" s="6">
        <f t="shared" si="7"/>
        <v>67</v>
      </c>
      <c r="AB67" s="6">
        <f t="shared" si="7"/>
        <v>67</v>
      </c>
      <c r="AC67" s="6">
        <f t="shared" si="7"/>
        <v>67</v>
      </c>
      <c r="AD67" s="6">
        <f t="shared" si="7"/>
        <v>67</v>
      </c>
      <c r="AE67" s="6">
        <f t="shared" si="7"/>
        <v>67</v>
      </c>
      <c r="AF67" s="6">
        <f t="shared" si="7"/>
        <v>67</v>
      </c>
      <c r="AG67" s="4" t="e">
        <f t="array" ref="AG67">ROW(C66:E67 F66:H67)</f>
        <v>#NULL!</v>
      </c>
      <c r="AH67" s="4">
        <v>66</v>
      </c>
      <c r="AI67" s="4">
        <v>66</v>
      </c>
      <c r="AJ67" s="4">
        <v>66</v>
      </c>
      <c r="AK67" s="4">
        <v>67</v>
      </c>
      <c r="AL67" s="4">
        <v>67</v>
      </c>
      <c r="AM67" s="4">
        <v>67</v>
      </c>
      <c r="AN67" s="4">
        <v>67</v>
      </c>
      <c r="AO67" s="4">
        <v>67</v>
      </c>
      <c r="AP67" s="4">
        <v>67</v>
      </c>
      <c r="AQ67" s="4">
        <v>68</v>
      </c>
      <c r="AR67" s="4">
        <v>68</v>
      </c>
      <c r="AS67" s="4">
        <v>68</v>
      </c>
      <c r="AT67" s="4">
        <v>67</v>
      </c>
      <c r="AU67" s="4">
        <v>67</v>
      </c>
      <c r="AV67" s="4">
        <v>67</v>
      </c>
      <c r="AW67" s="4">
        <v>67</v>
      </c>
    </row>
    <row r="68" spans="1:49" x14ac:dyDescent="0.15">
      <c r="A68" s="67"/>
      <c r="B68" s="69"/>
      <c r="C68" s="13"/>
      <c r="D68" s="13"/>
      <c r="E68" s="13"/>
      <c r="F68" s="13"/>
      <c r="G68" s="13"/>
      <c r="H68" s="14"/>
      <c r="I68" s="14"/>
      <c r="J68" s="14"/>
      <c r="K68" s="14"/>
      <c r="L68" s="14"/>
      <c r="M68" s="15"/>
      <c r="N68" s="15"/>
      <c r="O68" s="15"/>
      <c r="P68" s="15"/>
      <c r="Q68" s="15"/>
      <c r="R68" s="6">
        <f>ROW(C68)</f>
        <v>68</v>
      </c>
      <c r="S68" s="6">
        <f t="shared" si="6"/>
        <v>68</v>
      </c>
      <c r="T68" s="6">
        <f t="shared" si="6"/>
        <v>68</v>
      </c>
      <c r="U68" s="6">
        <f t="shared" si="6"/>
        <v>68</v>
      </c>
      <c r="V68" s="6">
        <f t="shared" si="6"/>
        <v>68</v>
      </c>
      <c r="W68" s="6">
        <f>ROW()</f>
        <v>68</v>
      </c>
      <c r="X68" s="6">
        <f t="shared" si="7"/>
        <v>68</v>
      </c>
      <c r="Y68" s="6">
        <f t="shared" si="7"/>
        <v>68</v>
      </c>
      <c r="Z68" s="6">
        <f t="shared" si="7"/>
        <v>68</v>
      </c>
      <c r="AA68" s="6">
        <f t="shared" si="7"/>
        <v>68</v>
      </c>
      <c r="AB68" s="6">
        <f t="shared" si="7"/>
        <v>68</v>
      </c>
      <c r="AC68" s="6">
        <f t="shared" si="7"/>
        <v>68</v>
      </c>
      <c r="AD68" s="6">
        <f t="shared" si="7"/>
        <v>68</v>
      </c>
      <c r="AE68" s="6">
        <f t="shared" si="7"/>
        <v>68</v>
      </c>
      <c r="AF68" s="6">
        <f t="shared" si="7"/>
        <v>68</v>
      </c>
      <c r="AG68" s="4">
        <f t="array" ref="AG68">ROW(C8:E9 D9:F9)</f>
        <v>9</v>
      </c>
      <c r="AH68" s="4">
        <v>66</v>
      </c>
      <c r="AI68" s="4">
        <v>66</v>
      </c>
      <c r="AJ68" s="4">
        <v>66</v>
      </c>
      <c r="AK68" s="4" t="e">
        <v>#N/A</v>
      </c>
      <c r="AL68" s="4" t="e">
        <v>#N/A</v>
      </c>
      <c r="AM68" s="4" t="e">
        <v>#N/A</v>
      </c>
      <c r="AN68" s="4" t="e">
        <v>#N/A</v>
      </c>
      <c r="AO68" s="4" t="e">
        <v>#N/A</v>
      </c>
      <c r="AP68" s="4" t="e">
        <v>#N/A</v>
      </c>
      <c r="AQ68" s="4" t="e">
        <v>#N/A</v>
      </c>
      <c r="AR68" s="4" t="e">
        <v>#N/A</v>
      </c>
      <c r="AS68" s="4" t="e">
        <v>#N/A</v>
      </c>
      <c r="AT68" s="4">
        <v>67</v>
      </c>
      <c r="AU68" s="4">
        <v>67</v>
      </c>
      <c r="AV68" s="4">
        <v>67</v>
      </c>
      <c r="AW68" s="4">
        <v>67</v>
      </c>
    </row>
    <row r="69" spans="1:49" x14ac:dyDescent="0.15">
      <c r="A69" s="41" t="s">
        <v>334</v>
      </c>
      <c r="C69" s="13"/>
      <c r="D69" s="13"/>
      <c r="E69" s="13"/>
      <c r="F69" s="13"/>
      <c r="G69" s="13"/>
      <c r="H69" s="14"/>
      <c r="I69" s="14"/>
      <c r="J69" s="14"/>
      <c r="K69" s="14"/>
      <c r="L69" s="14"/>
      <c r="M69" s="15"/>
      <c r="N69" s="15"/>
      <c r="O69" s="15"/>
      <c r="P69" s="15"/>
      <c r="Q69" s="15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49" x14ac:dyDescent="0.15">
      <c r="A70" s="41" t="s">
        <v>335</v>
      </c>
      <c r="C70" s="13"/>
      <c r="D70" s="13"/>
      <c r="E70" s="13"/>
      <c r="F70" s="13"/>
      <c r="G70" s="13"/>
      <c r="H70" s="14"/>
      <c r="I70" s="14"/>
      <c r="J70" s="14"/>
      <c r="K70" s="14"/>
      <c r="L70" s="14"/>
      <c r="M70" s="15"/>
      <c r="N70" s="15"/>
      <c r="O70" s="15"/>
      <c r="P70" s="15"/>
      <c r="Q70" s="15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49" x14ac:dyDescent="0.15">
      <c r="A71" s="41" t="s">
        <v>508</v>
      </c>
      <c r="C71" s="13"/>
      <c r="D71" s="13"/>
      <c r="E71" s="13"/>
      <c r="F71" s="13"/>
      <c r="G71" s="13"/>
      <c r="H71" s="14"/>
      <c r="I71" s="14"/>
      <c r="J71" s="14"/>
      <c r="K71" s="14"/>
      <c r="L71" s="14"/>
      <c r="M71" s="15"/>
      <c r="N71" s="15"/>
      <c r="O71" s="15"/>
      <c r="P71" s="15"/>
      <c r="Q71" s="1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49" x14ac:dyDescent="0.15">
      <c r="A72" s="41" t="s">
        <v>509</v>
      </c>
      <c r="C72" s="13"/>
      <c r="D72" s="13"/>
      <c r="E72" s="13"/>
      <c r="F72" s="13"/>
      <c r="G72" s="13"/>
      <c r="H72" s="14"/>
      <c r="I72" s="14"/>
      <c r="J72" s="14"/>
      <c r="K72" s="14"/>
      <c r="L72" s="14"/>
      <c r="M72" s="15"/>
      <c r="N72" s="15"/>
      <c r="O72" s="15"/>
      <c r="P72" s="15"/>
      <c r="Q72" s="15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49" x14ac:dyDescent="0.15">
      <c r="A73" s="41" t="s">
        <v>528</v>
      </c>
      <c r="H73" s="6"/>
      <c r="I73" s="6"/>
      <c r="J73" s="6"/>
      <c r="K73" s="6"/>
      <c r="L73" s="6"/>
      <c r="M73" s="7"/>
      <c r="N73" s="7"/>
      <c r="O73" s="7"/>
      <c r="P73" s="7"/>
      <c r="Q73" s="7"/>
    </row>
    <row r="74" spans="1:49" x14ac:dyDescent="0.15">
      <c r="A74" s="41" t="s">
        <v>532</v>
      </c>
      <c r="C74" s="13"/>
      <c r="D74" s="13"/>
      <c r="E74" s="13"/>
      <c r="F74" s="13"/>
      <c r="G74" s="13"/>
      <c r="H74" s="14"/>
      <c r="I74" s="14"/>
      <c r="J74" s="14"/>
      <c r="K74" s="14"/>
      <c r="L74" s="14"/>
      <c r="M74" s="15"/>
      <c r="N74" s="15"/>
      <c r="O74" s="15"/>
      <c r="P74" s="15"/>
      <c r="Q74" s="1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49" x14ac:dyDescent="0.15">
      <c r="A75" s="41" t="s">
        <v>533</v>
      </c>
      <c r="C75" s="13"/>
      <c r="D75" s="13"/>
      <c r="E75" s="13"/>
      <c r="F75" s="13"/>
      <c r="G75" s="13"/>
      <c r="H75" s="14"/>
      <c r="I75" s="14"/>
      <c r="J75" s="14"/>
      <c r="K75" s="14"/>
      <c r="L75" s="14"/>
      <c r="M75" s="15"/>
      <c r="N75" s="15"/>
      <c r="O75" s="15"/>
      <c r="P75" s="15"/>
      <c r="Q75" s="15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49" x14ac:dyDescent="0.15">
      <c r="A76" s="36" t="s">
        <v>336</v>
      </c>
      <c r="B76" s="39" t="s">
        <v>541</v>
      </c>
      <c r="C76" s="13">
        <v>-1.1000000000000001</v>
      </c>
      <c r="D76" s="13">
        <v>2.1</v>
      </c>
      <c r="E76" s="13">
        <v>3</v>
      </c>
      <c r="F76" s="13">
        <v>4</v>
      </c>
      <c r="G76" s="13">
        <v>4.0999999999999996</v>
      </c>
      <c r="H76" s="14"/>
      <c r="I76" s="14" t="s">
        <v>338</v>
      </c>
      <c r="J76" s="14" t="b">
        <v>1</v>
      </c>
      <c r="K76" s="14" t="e">
        <f>#VALUE!</f>
        <v>#VALUE!</v>
      </c>
      <c r="L76" s="14" t="e">
        <v>#N/A</v>
      </c>
      <c r="M76" s="15" t="e">
        <v>#DIV/0!</v>
      </c>
      <c r="N76" s="15" t="e">
        <v>#NAME?</v>
      </c>
      <c r="O76" s="15" t="e">
        <v>#NULL!</v>
      </c>
      <c r="P76" s="15" t="e">
        <v>#NUM!</v>
      </c>
      <c r="Q76" s="15" t="e">
        <v>#REF!</v>
      </c>
      <c r="R76" s="6" cm="1">
        <f t="array" ref="R76">TRANSPOSE(2)</f>
        <v>2</v>
      </c>
      <c r="S76" s="6" cm="1">
        <f t="array" ref="S76">TRANSPOSE(D76)</f>
        <v>2.1</v>
      </c>
      <c r="T76" s="6">
        <f t="array" ref="T76">TRANSPOSE(E76:E79 D76:F79)</f>
        <v>3</v>
      </c>
      <c r="U76" s="6"/>
      <c r="V76" s="6">
        <f t="array" ref="V76">TRANSPOSE(E76:G76)</f>
        <v>3</v>
      </c>
      <c r="W76" s="6">
        <f t="array" ref="W76">TRANSPOSE(F76:H76)</f>
        <v>4</v>
      </c>
      <c r="X76" s="6">
        <f t="array" ref="X76">TRANSPOSE(G76:I76)</f>
        <v>4.0999999999999996</v>
      </c>
      <c r="Y76" s="6">
        <f t="array" ref="Y76">TRANSPOSE(H76:J76)</f>
        <v>0</v>
      </c>
      <c r="Z76" s="6" t="str">
        <f t="array" ref="Z76">TRANSPOSE(I76:K76)</f>
        <v>b</v>
      </c>
      <c r="AA76" s="6" t="b">
        <f t="array" ref="AA76">TRANSPOSE(J76:L76)</f>
        <v>1</v>
      </c>
      <c r="AB76" s="6" t="e">
        <f t="array" ref="AB76">TRANSPOSE(K76:M76)</f>
        <v>#VALUE!</v>
      </c>
      <c r="AC76" s="6" t="e">
        <f t="array" ref="AC76">TRANSPOSE(L76:N76)</f>
        <v>#N/A</v>
      </c>
      <c r="AD76" s="6" t="e">
        <f t="array" ref="AD76">TRANSPOSE(M76:O76)</f>
        <v>#DIV/0!</v>
      </c>
      <c r="AE76" s="6" t="e">
        <f t="array" ref="AE76">TRANSPOSE(N76:P76)</f>
        <v>#NAME?</v>
      </c>
      <c r="AF76" s="6" t="e">
        <f t="array" ref="AF76">TRANSPOSE(O76:Q76)</f>
        <v>#NULL!</v>
      </c>
      <c r="AG76" s="4">
        <f t="array" ref="AG76">TRANSPOSE(C76:K81)</f>
        <v>-1.1000000000000001</v>
      </c>
      <c r="AH76" s="4">
        <f t="array" ref="AH76:AW76">TRANSPOSE(E76:E81)</f>
        <v>3</v>
      </c>
      <c r="AI76" s="4">
        <v>0</v>
      </c>
      <c r="AJ76" s="4">
        <v>0</v>
      </c>
      <c r="AK76" s="4">
        <v>3</v>
      </c>
      <c r="AL76" s="4">
        <v>3</v>
      </c>
      <c r="AM76" s="4">
        <v>3</v>
      </c>
      <c r="AN76" s="4" t="e">
        <v>#N/A</v>
      </c>
      <c r="AO76" s="4" t="e">
        <v>#N/A</v>
      </c>
      <c r="AP76" s="4" t="e">
        <v>#N/A</v>
      </c>
      <c r="AQ76" s="4" t="e">
        <v>#N/A</v>
      </c>
      <c r="AR76" s="4" t="e">
        <v>#N/A</v>
      </c>
      <c r="AS76" s="4" t="e">
        <v>#N/A</v>
      </c>
      <c r="AT76" s="4" t="e">
        <v>#N/A</v>
      </c>
      <c r="AU76" s="4" t="e">
        <v>#N/A</v>
      </c>
      <c r="AV76" s="4" t="e">
        <v>#N/A</v>
      </c>
      <c r="AW76" s="4" t="e">
        <v>#N/A</v>
      </c>
    </row>
    <row r="77" spans="1:49" x14ac:dyDescent="0.15">
      <c r="A77" s="41" t="s">
        <v>565</v>
      </c>
      <c r="B77" s="48"/>
      <c r="C77" s="13"/>
      <c r="D77" s="13"/>
      <c r="E77" s="13"/>
      <c r="F77" s="13"/>
      <c r="G77" s="13"/>
      <c r="H77" s="14"/>
      <c r="I77" s="14"/>
      <c r="J77" s="14"/>
      <c r="K77" s="14"/>
      <c r="L77" s="14"/>
      <c r="M77" s="15"/>
      <c r="N77" s="15"/>
      <c r="O77" s="15"/>
      <c r="P77" s="15"/>
      <c r="Q77" s="15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49" x14ac:dyDescent="0.15">
      <c r="A78" s="41" t="s">
        <v>510</v>
      </c>
      <c r="C78" s="13"/>
      <c r="D78" s="13"/>
      <c r="E78" s="13"/>
      <c r="F78" s="13"/>
      <c r="G78" s="13"/>
      <c r="H78" s="14"/>
      <c r="I78" s="14"/>
      <c r="J78" s="14"/>
      <c r="K78" s="14"/>
      <c r="L78" s="14"/>
      <c r="M78" s="15"/>
      <c r="N78" s="15"/>
      <c r="O78" s="15"/>
      <c r="P78" s="15"/>
      <c r="Q78" s="15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49" x14ac:dyDescent="0.15">
      <c r="A79" s="67" t="s">
        <v>337</v>
      </c>
      <c r="B79" s="69" t="s">
        <v>541</v>
      </c>
      <c r="C79" s="13">
        <v>-1.1000000000000001</v>
      </c>
      <c r="D79" s="13">
        <v>2.1</v>
      </c>
      <c r="E79" s="13">
        <v>3</v>
      </c>
      <c r="F79" s="13">
        <v>4</v>
      </c>
      <c r="G79" s="13">
        <v>4.0999999999999996</v>
      </c>
      <c r="H79" s="14"/>
      <c r="I79" s="14" t="s">
        <v>338</v>
      </c>
      <c r="J79" s="14" t="b">
        <v>1</v>
      </c>
      <c r="K79" s="14" t="e">
        <f>#VALUE!</f>
        <v>#VALUE!</v>
      </c>
      <c r="L79" s="14" t="e">
        <v>#N/A</v>
      </c>
      <c r="M79" s="15" t="e">
        <v>#DIV/0!</v>
      </c>
      <c r="N79" s="15" t="e">
        <v>#NAME?</v>
      </c>
      <c r="O79" s="15" t="e">
        <v>#NULL!</v>
      </c>
      <c r="P79" s="15" t="e">
        <v>#NUM!</v>
      </c>
      <c r="Q79" s="15" t="e">
        <v>#REF!</v>
      </c>
      <c r="R79" s="4">
        <f>VLOOKUP(C79,{-1.1,5;2.1,6;3.1,7;4.1,8},2,0)</f>
        <v>5</v>
      </c>
      <c r="S79" s="4">
        <f>VLOOKUP(D79,{-1.1,5;2.1,6;3.1,7;4.1,8},2,0)</f>
        <v>6</v>
      </c>
      <c r="T79" s="4" t="e">
        <f>VLOOKUP(E79,{-1.1,5;2.1,6;3.1,7;4.1,8},2,0)</f>
        <v>#N/A</v>
      </c>
      <c r="U79" s="4" t="e">
        <f>VLOOKUP(F79,{-1.1,5;2.1,6;3.1,7;4.1,8},2,0)</f>
        <v>#N/A</v>
      </c>
      <c r="V79" s="4">
        <f>VLOOKUP(G79,{-1.1,5;2.1,6;3.1,7;4.1,8},2,0)</f>
        <v>8</v>
      </c>
      <c r="W79" s="4" t="e">
        <f>VLOOKUP(H79,{-1.1,5;2.1,6;3.1,7;4.1,8},2,0)</f>
        <v>#N/A</v>
      </c>
      <c r="X79" s="4" t="e">
        <f>VLOOKUP(I79,{-1.1,5;2.1,6;3.1,7;4.1,8},2,0)</f>
        <v>#N/A</v>
      </c>
      <c r="Y79" s="4" t="e">
        <f>VLOOKUP(J79,{-1.1,5;2.1,6;3.1,7;4.1,8},2,0)</f>
        <v>#N/A</v>
      </c>
      <c r="Z79" s="4" t="e">
        <f>VLOOKUP(K79,{-1.1,5;2.1,6;3.1,7;4.1,8},2,0)</f>
        <v>#VALUE!</v>
      </c>
      <c r="AA79" s="4" t="e">
        <f>VLOOKUP(L79,{-1.1,5;2.1,6;3.1,7;4.1,8},2,0)</f>
        <v>#N/A</v>
      </c>
      <c r="AB79" s="4" t="e">
        <f>VLOOKUP(M79,{-1.1,5;2.1,6;3.1,7;4.1,8},2,0)</f>
        <v>#DIV/0!</v>
      </c>
      <c r="AC79" s="4" t="e">
        <f>VLOOKUP(N79,{-1.1,5;2.1,6;3.1,7;4.1,8},2,0)</f>
        <v>#NAME?</v>
      </c>
      <c r="AD79" s="4" t="e">
        <f>VLOOKUP(O79,{-1.1,5;2.1,6;3.1,7;4.1,8},2,0)</f>
        <v>#NULL!</v>
      </c>
      <c r="AE79" s="4" t="e">
        <f>VLOOKUP(P79,{-1.1,5;2.1,6;3.1,7;4.1,8},2,0)</f>
        <v>#NUM!</v>
      </c>
      <c r="AF79" s="4" t="e">
        <f>VLOOKUP(Q79,{-1.1,5;2.1,6;3.1,7;4.1,8},2,0)</f>
        <v>#REF!</v>
      </c>
    </row>
    <row r="80" spans="1:49" x14ac:dyDescent="0.15">
      <c r="A80" s="67"/>
      <c r="B80" s="69"/>
      <c r="C80" s="13">
        <v>-1.1000000000000001</v>
      </c>
      <c r="D80" s="13">
        <v>2.1</v>
      </c>
      <c r="E80" s="13">
        <v>3</v>
      </c>
      <c r="F80" s="13">
        <v>4</v>
      </c>
      <c r="G80" s="13">
        <v>4.0999999999999996</v>
      </c>
      <c r="H80" s="14"/>
      <c r="I80" s="14" t="s">
        <v>338</v>
      </c>
      <c r="J80" s="14" t="b">
        <v>1</v>
      </c>
      <c r="K80" s="14" t="e">
        <f>#VALUE!</f>
        <v>#VALUE!</v>
      </c>
      <c r="L80" s="14" t="e">
        <v>#N/A</v>
      </c>
      <c r="M80" s="15" t="e">
        <v>#DIV/0!</v>
      </c>
      <c r="N80" s="15" t="e">
        <v>#NAME?</v>
      </c>
      <c r="O80" s="15" t="e">
        <v>#NULL!</v>
      </c>
      <c r="P80" s="15" t="e">
        <v>#NUM!</v>
      </c>
      <c r="Q80" s="15" t="e">
        <v>#REF!</v>
      </c>
      <c r="R80" s="4">
        <f>VLOOKUP(C80,{-1.1,5;2.1,6;3.1,7;4.1,8},2,-2)</f>
        <v>5</v>
      </c>
      <c r="S80" s="4">
        <f>VLOOKUP(D80,{-1.1,5;2.1,6;3.1,7;4.1,8},2,-2)</f>
        <v>6</v>
      </c>
      <c r="T80" s="4">
        <f>VLOOKUP(E80,{-1.1,5;2.1,6;3.1,7;4.1,8},2,-2)</f>
        <v>6</v>
      </c>
      <c r="U80" s="4">
        <f>VLOOKUP(F80,{-1.1,5;2.1,6;3.1,7;4.1,8},2,-2)</f>
        <v>7</v>
      </c>
      <c r="V80" s="4">
        <f>VLOOKUP(G80,{-1.1,5;2.1,6;3.1,7;4.1,8},2,-2)</f>
        <v>8</v>
      </c>
      <c r="W80" s="4">
        <f>VLOOKUP(H80,{-1.1,5;2.1,6;3.1,7;4.1,8},2,-2)</f>
        <v>5</v>
      </c>
      <c r="X80" s="4" t="e">
        <f>VLOOKUP(I80,{-1.1,5;2.1,6;3.1,7;4.1,8},2,-2)</f>
        <v>#N/A</v>
      </c>
      <c r="Y80" s="4" t="e">
        <f>VLOOKUP(J80,{-1.1,5;2.1,6;3.1,7;4.1,8},2,-2)</f>
        <v>#N/A</v>
      </c>
      <c r="Z80" s="4" t="e">
        <f>VLOOKUP(K80,{-1.1,5;2.1,6;3.1,7;4.1,8},2,-2)</f>
        <v>#VALUE!</v>
      </c>
      <c r="AA80" s="4" t="e">
        <f>VLOOKUP(L80,{-1.1,5;2.1,6;3.1,7;4.1,8},2,-2)</f>
        <v>#N/A</v>
      </c>
      <c r="AB80" s="4" t="e">
        <f>VLOOKUP(M80,{-1.1,5;2.1,6;3.1,7;4.1,8},2,-2)</f>
        <v>#DIV/0!</v>
      </c>
      <c r="AC80" s="4" t="e">
        <f>VLOOKUP(N80,{-1.1,5;2.1,6;3.1,7;4.1,8},2,-2)</f>
        <v>#NAME?</v>
      </c>
      <c r="AD80" s="4" t="e">
        <f>VLOOKUP(O80,{-1.1,5;2.1,6;3.1,7;4.1,8},2,-2)</f>
        <v>#NULL!</v>
      </c>
      <c r="AE80" s="4" t="e">
        <f>VLOOKUP(P80,{-1.1,5;2.1,6;3.1,7;4.1,8},2,-2)</f>
        <v>#NUM!</v>
      </c>
      <c r="AF80" s="4" t="e">
        <f>VLOOKUP(Q80,{-1.1,5;2.1,6;3.1,7;4.1,8},2,-2)</f>
        <v>#REF!</v>
      </c>
    </row>
    <row r="81" spans="1:48" x14ac:dyDescent="0.15">
      <c r="A81" s="67"/>
      <c r="B81" s="69"/>
      <c r="C81" s="13">
        <v>-1.1000000000000001</v>
      </c>
      <c r="D81" s="13">
        <v>2.1</v>
      </c>
      <c r="E81" s="13">
        <v>3</v>
      </c>
      <c r="F81" s="13">
        <v>4</v>
      </c>
      <c r="G81" s="13">
        <v>4.0999999999999996</v>
      </c>
      <c r="H81" s="14"/>
      <c r="I81" s="14" t="s">
        <v>338</v>
      </c>
      <c r="J81" s="14" t="b">
        <v>1</v>
      </c>
      <c r="K81" s="14" t="e">
        <f>#VALUE!</f>
        <v>#VALUE!</v>
      </c>
      <c r="L81" s="14" t="e">
        <v>#N/A</v>
      </c>
      <c r="M81" s="15" t="e">
        <v>#DIV/0!</v>
      </c>
      <c r="N81" s="15" t="e">
        <v>#NAME?</v>
      </c>
      <c r="O81" s="15" t="e">
        <v>#NULL!</v>
      </c>
      <c r="P81" s="15" t="e">
        <v>#NUM!</v>
      </c>
      <c r="Q81" s="15" t="e">
        <v>#REF!</v>
      </c>
      <c r="R81" s="4">
        <f>VLOOKUP(C81,{-1.1,5;2.1,6;3.1,7;4.1,8},{2,3},-2)</f>
        <v>5</v>
      </c>
      <c r="S81" s="4">
        <f>VLOOKUP(D81,{-1.1,5;2.1,6;3.1,7;4.1,8},{2,3},-2)</f>
        <v>6</v>
      </c>
      <c r="T81" s="4">
        <f>VLOOKUP(E81,{-1.1,5;2.1,6;3.1,7;4.1,8},{2,3},-2)</f>
        <v>6</v>
      </c>
      <c r="U81" s="4">
        <f>VLOOKUP(F81,{-1.1,5;2.1,6;3.1,7;4.1,8},{2,3},-2)</f>
        <v>7</v>
      </c>
      <c r="V81" s="4">
        <f>VLOOKUP(G81,{-1.1,5;2.1,6;3.1,7;4.1,8},{2,3},-2)</f>
        <v>8</v>
      </c>
      <c r="W81" s="4">
        <f>VLOOKUP(H81,{-1.1,5;2.1,6;3.1,7;4.1,8},{2,3},-2)</f>
        <v>5</v>
      </c>
      <c r="X81" s="4" t="e">
        <f>VLOOKUP(I81,{-1.1,5;2.1,6;3.1,7;4.1,8},{2,3},-2)</f>
        <v>#N/A</v>
      </c>
      <c r="Y81" s="4" t="e">
        <f>VLOOKUP(J81,{-1.1,5;2.1,6;3.1,7;4.1,8},{2,3},-2)</f>
        <v>#N/A</v>
      </c>
      <c r="Z81" s="4" t="e">
        <f>VLOOKUP(K81,{-1.1,5;2.1,6;3.1,7;4.1,8},{2,3},-2)</f>
        <v>#VALUE!</v>
      </c>
      <c r="AA81" s="4" t="e">
        <f>VLOOKUP(L81,{-1.1,5;2.1,6;3.1,7;4.1,8},{2,3},-2)</f>
        <v>#N/A</v>
      </c>
      <c r="AB81" s="4" t="e">
        <f>VLOOKUP(M81,{-1.1,5;2.1,6;3.1,7;4.1,8},{2,3},-2)</f>
        <v>#DIV/0!</v>
      </c>
      <c r="AC81" s="4" t="e">
        <f>VLOOKUP(N81,{-1.1,5;2.1,6;3.1,7;4.1,8},{2,3},-2)</f>
        <v>#NAME?</v>
      </c>
      <c r="AD81" s="4" t="e">
        <f>VLOOKUP(O81,{-1.1,5;2.1,6;3.1,7;4.1,8},{2,3},-2)</f>
        <v>#NULL!</v>
      </c>
      <c r="AE81" s="4" t="e">
        <f>VLOOKUP(P81,{-1.1,5;2.1,6;3.1,7;4.1,8},{2,3},-2)</f>
        <v>#NUM!</v>
      </c>
      <c r="AF81" s="4" t="e">
        <f>VLOOKUP(Q81,{-1.1,5;2.1,6;3.1,7;4.1,8},{2,3},-2)</f>
        <v>#REF!</v>
      </c>
    </row>
    <row r="82" spans="1:48" x14ac:dyDescent="0.15">
      <c r="A82" s="41" t="s">
        <v>534</v>
      </c>
      <c r="C82" s="13"/>
      <c r="D82" s="13"/>
      <c r="E82" s="13"/>
      <c r="F82" s="13"/>
      <c r="G82" s="13"/>
      <c r="H82" s="14"/>
      <c r="I82" s="14"/>
      <c r="J82" s="14"/>
      <c r="K82" s="14"/>
      <c r="L82" s="14"/>
      <c r="M82" s="15"/>
      <c r="N82" s="15"/>
      <c r="O82" s="15"/>
      <c r="P82" s="15"/>
      <c r="Q82" s="15"/>
    </row>
    <row r="83" spans="1:48" x14ac:dyDescent="0.15">
      <c r="A83" s="44" t="s">
        <v>535</v>
      </c>
      <c r="C83" s="13"/>
      <c r="D83" s="13"/>
      <c r="E83" s="13"/>
      <c r="F83" s="13"/>
      <c r="G83" s="13"/>
      <c r="H83" s="14"/>
      <c r="I83" s="14"/>
      <c r="J83" s="14"/>
      <c r="K83" s="14"/>
      <c r="L83" s="14"/>
      <c r="M83" s="15"/>
      <c r="N83" s="15"/>
      <c r="O83" s="15"/>
      <c r="P83" s="15"/>
      <c r="Q83" s="15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48" x14ac:dyDescent="0.15">
      <c r="A84" s="44" t="s">
        <v>536</v>
      </c>
      <c r="C84" s="13"/>
      <c r="D84" s="13"/>
      <c r="E84" s="13"/>
      <c r="F84" s="13"/>
      <c r="G84" s="13"/>
      <c r="H84" s="14"/>
      <c r="I84" s="14"/>
      <c r="J84" s="14"/>
      <c r="K84" s="14"/>
      <c r="L84" s="14"/>
      <c r="M84" s="15"/>
      <c r="N84" s="15"/>
      <c r="O84" s="15"/>
      <c r="P84" s="15"/>
      <c r="Q84" s="15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48" x14ac:dyDescent="0.15">
      <c r="A85" s="41" t="s">
        <v>512</v>
      </c>
      <c r="C85" s="13"/>
      <c r="D85" s="13"/>
      <c r="E85" s="13"/>
      <c r="F85" s="13"/>
      <c r="G85" s="13"/>
      <c r="H85" s="14"/>
      <c r="I85" s="14"/>
      <c r="J85" s="14"/>
      <c r="K85" s="14"/>
      <c r="L85" s="14"/>
      <c r="M85" s="15"/>
      <c r="N85" s="15"/>
      <c r="O85" s="15"/>
      <c r="P85" s="15"/>
      <c r="Q85" s="15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15">
      <c r="A86" s="44" t="s">
        <v>513</v>
      </c>
    </row>
    <row r="87" spans="1:48" x14ac:dyDescent="0.15">
      <c r="A87" s="43"/>
    </row>
  </sheetData>
  <mergeCells count="21">
    <mergeCell ref="A79:A81"/>
    <mergeCell ref="A28:A36"/>
    <mergeCell ref="A66:A68"/>
    <mergeCell ref="C1:Q1"/>
    <mergeCell ref="A8:A10"/>
    <mergeCell ref="A18:A20"/>
    <mergeCell ref="A24:A26"/>
    <mergeCell ref="B8:B10"/>
    <mergeCell ref="B18:B20"/>
    <mergeCell ref="B79:B81"/>
    <mergeCell ref="B66:B68"/>
    <mergeCell ref="A37:A63"/>
    <mergeCell ref="B37:B63"/>
    <mergeCell ref="B28:B36"/>
    <mergeCell ref="B24:B26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W82"/>
  <sheetViews>
    <sheetView workbookViewId="0"/>
  </sheetViews>
  <sheetFormatPr baseColWidth="10" defaultColWidth="10.83203125" defaultRowHeight="11" x14ac:dyDescent="0.15"/>
  <cols>
    <col min="1" max="1" width="14.83203125" style="44" bestFit="1" customWidth="1"/>
    <col min="2" max="2" width="5.1640625" style="43" bestFit="1" customWidth="1"/>
    <col min="3" max="3" width="3.5" style="4" bestFit="1" customWidth="1"/>
    <col min="4" max="4" width="5.1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5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COUNTIF(B3:B219,"=DONE")/COUNTA(A3:A219)</f>
        <v>0.82499999999999996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38" t="s">
        <v>17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 t="shared" ref="R3:AF3" si="0">ABS(C3)</f>
        <v>0</v>
      </c>
      <c r="S3" s="6">
        <f t="shared" si="0"/>
        <v>1</v>
      </c>
      <c r="T3" s="6">
        <f t="shared" si="0"/>
        <v>2.2999999999999998</v>
      </c>
      <c r="U3" s="6">
        <f t="shared" si="0"/>
        <v>10</v>
      </c>
      <c r="V3" s="6">
        <f t="shared" si="0"/>
        <v>1</v>
      </c>
      <c r="W3" s="6">
        <f t="shared" si="0"/>
        <v>0</v>
      </c>
      <c r="X3" s="6" t="e" vm="24">
        <f t="shared" si="0"/>
        <v>#VALUE!</v>
      </c>
      <c r="Y3" s="6">
        <f t="shared" si="0"/>
        <v>1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/>
      <c r="AH3" s="6">
        <f t="array" ref="AH3:AW3">ABS(C3:Q3)</f>
        <v>0</v>
      </c>
      <c r="AI3" s="6">
        <v>1</v>
      </c>
      <c r="AJ3" s="6">
        <v>2.2999999999999998</v>
      </c>
      <c r="AK3" s="6">
        <v>10</v>
      </c>
      <c r="AL3" s="6">
        <v>1</v>
      </c>
      <c r="AM3" s="6">
        <v>0</v>
      </c>
      <c r="AN3" s="6" t="e" vm="24">
        <v>#VALUE!</v>
      </c>
      <c r="AO3" s="6">
        <v>1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6" t="e">
        <v>#REF!</v>
      </c>
      <c r="AW3" s="4" t="e">
        <v>#N/A</v>
      </c>
    </row>
    <row r="4" spans="1:49" x14ac:dyDescent="0.15">
      <c r="A4" s="38" t="s">
        <v>5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 t="shared" ref="R4:AF4" si="1">ACOS(C4)</f>
        <v>1.5707963267948966</v>
      </c>
      <c r="S4" s="6">
        <f t="shared" si="1"/>
        <v>0</v>
      </c>
      <c r="T4" s="6" t="e">
        <f t="shared" si="1"/>
        <v>#NUM!</v>
      </c>
      <c r="U4" s="6" t="e">
        <f t="shared" si="1"/>
        <v>#NUM!</v>
      </c>
      <c r="V4" s="6">
        <f t="shared" si="1"/>
        <v>3.1415926535897931</v>
      </c>
      <c r="W4" s="6">
        <f t="shared" si="1"/>
        <v>1.5707963267948966</v>
      </c>
      <c r="X4" s="6" t="e" vm="25">
        <f t="shared" si="1"/>
        <v>#VALUE!</v>
      </c>
      <c r="Y4" s="6">
        <f t="shared" si="1"/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/>
      <c r="AH4" s="6">
        <f t="array" ref="AH4:AW4">ACOS(C4:Q4)</f>
        <v>1.5707963267948966</v>
      </c>
      <c r="AI4" s="6">
        <v>0</v>
      </c>
      <c r="AJ4" s="6" t="e">
        <v>#NUM!</v>
      </c>
      <c r="AK4" s="6" t="e">
        <v>#NUM!</v>
      </c>
      <c r="AL4" s="6">
        <v>3.1415926535897931</v>
      </c>
      <c r="AM4" s="6">
        <v>1.5707963267948966</v>
      </c>
      <c r="AN4" s="6" t="e" vm="25">
        <v>#VALUE!</v>
      </c>
      <c r="AO4" s="6">
        <v>0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6" t="e">
        <v>#REF!</v>
      </c>
      <c r="AW4" s="4" t="e">
        <v>#N/A</v>
      </c>
    </row>
    <row r="5" spans="1:49" x14ac:dyDescent="0.15">
      <c r="A5" s="38" t="s">
        <v>6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 t="shared" ref="R5:AF5" si="2">ACOSH(C5)</f>
        <v>#NUM!</v>
      </c>
      <c r="S5" s="6">
        <f t="shared" si="2"/>
        <v>0</v>
      </c>
      <c r="T5" s="6">
        <f t="shared" si="2"/>
        <v>1.4750447812414251</v>
      </c>
      <c r="U5" s="6">
        <f t="shared" si="2"/>
        <v>2.9932228461263808</v>
      </c>
      <c r="V5" s="6" t="e">
        <f t="shared" si="2"/>
        <v>#NUM!</v>
      </c>
      <c r="W5" s="6" t="e">
        <f t="shared" si="2"/>
        <v>#NUM!</v>
      </c>
      <c r="X5" s="6" t="e" vm="26">
        <f t="shared" si="2"/>
        <v>#VALUE!</v>
      </c>
      <c r="Y5" s="6">
        <f t="shared" si="2"/>
        <v>0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/>
      <c r="AH5" s="6" t="e">
        <f t="array" ref="AH5:AW5">ACOSH(C5:Q5)</f>
        <v>#NUM!</v>
      </c>
      <c r="AI5" s="6">
        <v>0</v>
      </c>
      <c r="AJ5" s="6">
        <v>1.4750447812414251</v>
      </c>
      <c r="AK5" s="6">
        <v>2.9932228461263808</v>
      </c>
      <c r="AL5" s="6" t="e">
        <v>#NUM!</v>
      </c>
      <c r="AM5" s="6" t="e">
        <v>#NUM!</v>
      </c>
      <c r="AN5" s="6" t="e" vm="26">
        <v>#VALUE!</v>
      </c>
      <c r="AO5" s="6">
        <v>0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8" t="s">
        <v>40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 t="shared" ref="R6:AF6" si="3">_xlfn.ACOT(C6)</f>
        <v>1.5707963267948966</v>
      </c>
      <c r="S6" s="6">
        <f t="shared" si="3"/>
        <v>0.78539816339744828</v>
      </c>
      <c r="T6" s="6">
        <f t="shared" si="3"/>
        <v>0.41012734054149103</v>
      </c>
      <c r="U6" s="6">
        <f t="shared" si="3"/>
        <v>9.9668652491162038E-2</v>
      </c>
      <c r="V6" s="6">
        <f t="shared" si="3"/>
        <v>2.3561944901923448</v>
      </c>
      <c r="W6" s="6">
        <f t="shared" si="3"/>
        <v>1.5707963267948966</v>
      </c>
      <c r="X6" s="6" t="e" vm="27">
        <f t="shared" si="3"/>
        <v>#VALUE!</v>
      </c>
      <c r="Y6" s="6">
        <f t="shared" si="3"/>
        <v>0.78539816339744828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/>
      <c r="AH6" s="6">
        <f t="array" ref="AH6:AW6">_xlfn.ACOT(C6:Q6)</f>
        <v>1.5707963267948966</v>
      </c>
      <c r="AI6" s="6">
        <v>0.78539816339744828</v>
      </c>
      <c r="AJ6" s="6">
        <v>0.41012734054149103</v>
      </c>
      <c r="AK6" s="6">
        <v>9.9668652491162038E-2</v>
      </c>
      <c r="AL6" s="6">
        <v>2.3561944901923448</v>
      </c>
      <c r="AM6" s="6">
        <v>1.5707963267948966</v>
      </c>
      <c r="AN6" s="6" t="e" vm="27">
        <v>#VALUE!</v>
      </c>
      <c r="AO6" s="6">
        <v>0.78539816339744828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38" t="s">
        <v>41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_xlfn.ACOTH(C7)</f>
        <v>#NUM!</v>
      </c>
      <c r="S7" s="6" t="e">
        <f t="shared" si="4"/>
        <v>#NUM!</v>
      </c>
      <c r="T7" s="6">
        <f t="shared" si="4"/>
        <v>0.4657791020024718</v>
      </c>
      <c r="U7" s="6">
        <f t="shared" si="4"/>
        <v>0.10033534773107559</v>
      </c>
      <c r="V7" s="6" t="e">
        <f t="shared" si="4"/>
        <v>#NUM!</v>
      </c>
      <c r="W7" s="6" t="e">
        <f t="shared" si="4"/>
        <v>#NUM!</v>
      </c>
      <c r="X7" s="6" t="e" vm="28">
        <f t="shared" si="4"/>
        <v>#VALUE!</v>
      </c>
      <c r="Y7" s="6" t="e">
        <f t="shared" si="4"/>
        <v>#NUM!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/>
      <c r="AH7" s="6" t="e">
        <f t="array" ref="AH7:AW7">_xlfn.ACOTH(C7:Q7)</f>
        <v>#NUM!</v>
      </c>
      <c r="AI7" s="6" t="e">
        <v>#NUM!</v>
      </c>
      <c r="AJ7" s="6">
        <v>0.4657791020024718</v>
      </c>
      <c r="AK7" s="6">
        <v>0.10033534773107559</v>
      </c>
      <c r="AL7" s="6" t="e">
        <v>#NUM!</v>
      </c>
      <c r="AM7" s="6" t="e">
        <v>#NUM!</v>
      </c>
      <c r="AN7" s="6" t="e" vm="28">
        <v>#VALUE!</v>
      </c>
      <c r="AO7" s="6" t="e">
        <v>#NUM!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49" x14ac:dyDescent="0.15">
      <c r="A8" s="44" t="s">
        <v>42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9" x14ac:dyDescent="0.15">
      <c r="A9" s="38" t="s">
        <v>43</v>
      </c>
      <c r="B9" s="37" t="s">
        <v>541</v>
      </c>
      <c r="C9" s="4">
        <v>0</v>
      </c>
      <c r="D9" s="4" t="s">
        <v>95</v>
      </c>
      <c r="E9" s="4" t="s">
        <v>96</v>
      </c>
      <c r="F9" s="4" t="s">
        <v>98</v>
      </c>
      <c r="G9" s="4" t="s">
        <v>97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 t="shared" ref="R9:AF9" si="5">_xlfn.ARABIC(C9)</f>
        <v>#VALUE!</v>
      </c>
      <c r="S9" s="6">
        <f t="shared" si="5"/>
        <v>49</v>
      </c>
      <c r="T9" s="6">
        <f t="shared" si="5"/>
        <v>-1</v>
      </c>
      <c r="U9" s="6" t="e">
        <f t="shared" si="5"/>
        <v>#VALUE!</v>
      </c>
      <c r="V9" s="6">
        <f t="shared" si="5"/>
        <v>1046</v>
      </c>
      <c r="W9" s="6">
        <f t="shared" si="5"/>
        <v>0</v>
      </c>
      <c r="X9" s="6" t="e">
        <f t="shared" si="5"/>
        <v>#VALUE!</v>
      </c>
      <c r="Y9" s="6" t="e">
        <f t="shared" si="5"/>
        <v>#VALUE!</v>
      </c>
      <c r="Z9" s="6" t="e">
        <f t="shared" si="5"/>
        <v>#VALUE!</v>
      </c>
      <c r="AA9" s="6" t="e">
        <f t="shared" si="5"/>
        <v>#N/A</v>
      </c>
      <c r="AB9" s="6" t="e">
        <f t="shared" si="5"/>
        <v>#DIV/0!</v>
      </c>
      <c r="AC9" s="6" t="e">
        <f t="shared" si="5"/>
        <v>#NAME?</v>
      </c>
      <c r="AD9" s="6" t="e">
        <f t="shared" si="5"/>
        <v>#NULL!</v>
      </c>
      <c r="AE9" s="6" t="e">
        <f t="shared" si="5"/>
        <v>#NUM!</v>
      </c>
      <c r="AF9" s="6" t="e">
        <f t="shared" si="5"/>
        <v>#REF!</v>
      </c>
      <c r="AG9" s="8"/>
      <c r="AH9" s="6" t="e">
        <f t="array" ref="AH9:AW9">_xlfn.ARABIC(C9:Q9)</f>
        <v>#VALUE!</v>
      </c>
      <c r="AI9" s="6">
        <v>49</v>
      </c>
      <c r="AJ9" s="6">
        <v>-1</v>
      </c>
      <c r="AK9" s="6" t="e">
        <v>#VALUE!</v>
      </c>
      <c r="AL9" s="6">
        <v>1046</v>
      </c>
      <c r="AM9" s="6">
        <v>0</v>
      </c>
      <c r="AN9" s="6" t="e">
        <v>#VALUE!</v>
      </c>
      <c r="AO9" s="6" t="e">
        <v>#VALUE!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8" t="s">
        <v>9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 t="shared" ref="R10:AF10" si="6">ASIN(C10)</f>
        <v>0</v>
      </c>
      <c r="S10" s="6">
        <f t="shared" si="6"/>
        <v>1.5707963267948966</v>
      </c>
      <c r="T10" s="6" t="e">
        <f t="shared" si="6"/>
        <v>#NUM!</v>
      </c>
      <c r="U10" s="6" t="e">
        <f t="shared" si="6"/>
        <v>#NUM!</v>
      </c>
      <c r="V10" s="6">
        <f t="shared" si="6"/>
        <v>-1.5707963267948966</v>
      </c>
      <c r="W10" s="6">
        <f t="shared" si="6"/>
        <v>0</v>
      </c>
      <c r="X10" s="6" t="e" vm="29">
        <f t="shared" si="6"/>
        <v>#VALUE!</v>
      </c>
      <c r="Y10" s="6">
        <f t="shared" si="6"/>
        <v>1.5707963267948966</v>
      </c>
      <c r="Z10" s="6" t="e">
        <f t="shared" si="6"/>
        <v>#VALUE!</v>
      </c>
      <c r="AA10" s="6" t="e">
        <f t="shared" si="6"/>
        <v>#N/A</v>
      </c>
      <c r="AB10" s="6" t="e">
        <f t="shared" si="6"/>
        <v>#DIV/0!</v>
      </c>
      <c r="AC10" s="6" t="e">
        <f t="shared" si="6"/>
        <v>#NAME?</v>
      </c>
      <c r="AD10" s="6" t="e">
        <f t="shared" si="6"/>
        <v>#NULL!</v>
      </c>
      <c r="AE10" s="6" t="e">
        <f t="shared" si="6"/>
        <v>#NUM!</v>
      </c>
      <c r="AF10" s="6" t="e">
        <f t="shared" si="6"/>
        <v>#REF!</v>
      </c>
      <c r="AG10" s="8"/>
      <c r="AH10" s="6">
        <f t="array" ref="AH10:AW10">ASIN(C10:Q10)</f>
        <v>0</v>
      </c>
      <c r="AI10" s="6">
        <v>1.5707963267948966</v>
      </c>
      <c r="AJ10" s="6" t="e">
        <v>#NUM!</v>
      </c>
      <c r="AK10" s="6" t="e">
        <v>#NUM!</v>
      </c>
      <c r="AL10" s="6">
        <v>-1.5707963267948966</v>
      </c>
      <c r="AM10" s="6">
        <v>0</v>
      </c>
      <c r="AN10" s="6" t="e" vm="29">
        <v>#VALUE!</v>
      </c>
      <c r="AO10" s="6">
        <v>1.5707963267948966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8" t="s">
        <v>10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 t="shared" ref="R11:AF11" si="7">ASINH(C11)</f>
        <v>0</v>
      </c>
      <c r="S11" s="6">
        <f t="shared" si="7"/>
        <v>0.88137358701954294</v>
      </c>
      <c r="T11" s="6">
        <f t="shared" si="7"/>
        <v>1.5702785434849782</v>
      </c>
      <c r="U11" s="6">
        <f t="shared" si="7"/>
        <v>2.9982229502979698</v>
      </c>
      <c r="V11" s="6">
        <f t="shared" si="7"/>
        <v>-0.88137358701954294</v>
      </c>
      <c r="W11" s="6">
        <f t="shared" si="7"/>
        <v>0</v>
      </c>
      <c r="X11" s="6" t="e" vm="30">
        <f t="shared" si="7"/>
        <v>#VALUE!</v>
      </c>
      <c r="Y11" s="6">
        <f t="shared" si="7"/>
        <v>0.88137358701954294</v>
      </c>
      <c r="Z11" s="6" t="e">
        <f t="shared" si="7"/>
        <v>#VALUE!</v>
      </c>
      <c r="AA11" s="6" t="e">
        <f t="shared" si="7"/>
        <v>#N/A</v>
      </c>
      <c r="AB11" s="6" t="e">
        <f t="shared" si="7"/>
        <v>#DIV/0!</v>
      </c>
      <c r="AC11" s="6" t="e">
        <f t="shared" si="7"/>
        <v>#NAME?</v>
      </c>
      <c r="AD11" s="6" t="e">
        <f t="shared" si="7"/>
        <v>#NULL!</v>
      </c>
      <c r="AE11" s="6" t="e">
        <f t="shared" si="7"/>
        <v>#NUM!</v>
      </c>
      <c r="AF11" s="6" t="e">
        <f t="shared" si="7"/>
        <v>#REF!</v>
      </c>
      <c r="AG11" s="8"/>
      <c r="AH11" s="6">
        <f t="array" ref="AH11:AW11">ASINH(C11:Q11)</f>
        <v>0</v>
      </c>
      <c r="AI11" s="6">
        <v>0.88137358701954294</v>
      </c>
      <c r="AJ11" s="6">
        <v>1.5702785434849782</v>
      </c>
      <c r="AK11" s="6">
        <v>2.9982229502979698</v>
      </c>
      <c r="AL11" s="6">
        <v>-0.88137358701954294</v>
      </c>
      <c r="AM11" s="6">
        <v>0</v>
      </c>
      <c r="AN11" s="6" t="e" vm="30">
        <v>#VALUE!</v>
      </c>
      <c r="AO11" s="6">
        <v>0.88137358701954294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8" t="s">
        <v>11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 t="shared" ref="R12:AF12" si="8">ATAN(C12)</f>
        <v>0</v>
      </c>
      <c r="S12" s="6">
        <f t="shared" si="8"/>
        <v>0.78539816339744828</v>
      </c>
      <c r="T12" s="6">
        <f t="shared" si="8"/>
        <v>1.1606689862534056</v>
      </c>
      <c r="U12" s="6">
        <f t="shared" si="8"/>
        <v>1.4711276743037345</v>
      </c>
      <c r="V12" s="6">
        <f t="shared" si="8"/>
        <v>-0.78539816339744828</v>
      </c>
      <c r="W12" s="6">
        <f t="shared" si="8"/>
        <v>0</v>
      </c>
      <c r="X12" s="6" t="e" vm="31">
        <f t="shared" si="8"/>
        <v>#VALUE!</v>
      </c>
      <c r="Y12" s="6">
        <f t="shared" si="8"/>
        <v>0.78539816339744828</v>
      </c>
      <c r="Z12" s="6" t="e">
        <f t="shared" si="8"/>
        <v>#VALUE!</v>
      </c>
      <c r="AA12" s="6" t="e">
        <f t="shared" si="8"/>
        <v>#N/A</v>
      </c>
      <c r="AB12" s="6" t="e">
        <f t="shared" si="8"/>
        <v>#DIV/0!</v>
      </c>
      <c r="AC12" s="6" t="e">
        <f t="shared" si="8"/>
        <v>#NAME?</v>
      </c>
      <c r="AD12" s="6" t="e">
        <f t="shared" si="8"/>
        <v>#NULL!</v>
      </c>
      <c r="AE12" s="6" t="e">
        <f t="shared" si="8"/>
        <v>#NUM!</v>
      </c>
      <c r="AF12" s="6" t="e">
        <f t="shared" si="8"/>
        <v>#REF!</v>
      </c>
      <c r="AG12" s="8"/>
      <c r="AH12" s="6">
        <f t="array" ref="AH12:AW12">ATAN(C12:Q12)</f>
        <v>0</v>
      </c>
      <c r="AI12" s="6">
        <v>0.78539816339744828</v>
      </c>
      <c r="AJ12" s="6">
        <v>1.1606689862534056</v>
      </c>
      <c r="AK12" s="6">
        <v>1.4711276743037345</v>
      </c>
      <c r="AL12" s="6">
        <v>-0.78539816339744828</v>
      </c>
      <c r="AM12" s="6">
        <v>0</v>
      </c>
      <c r="AN12" s="6" t="e" vm="31">
        <v>#VALUE!</v>
      </c>
      <c r="AO12" s="6">
        <v>0.78539816339744828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8" t="s">
        <v>12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>
        <f>ATAN2(C13,D13)</f>
        <v>1.5707963267948966</v>
      </c>
      <c r="S13" s="6">
        <f>ATAN2(D13,E13)</f>
        <v>1.1606689862534056</v>
      </c>
      <c r="T13" s="6">
        <f>ATAN2(E13,F13)</f>
        <v>1.3447279388010127</v>
      </c>
      <c r="U13" s="6">
        <f>ATAN2(F13,G13)</f>
        <v>-9.9668652491162038E-2</v>
      </c>
      <c r="V13" s="6">
        <f>ATAN2(G13,F13)</f>
        <v>1.6704649792860586</v>
      </c>
      <c r="W13" s="6">
        <f>ATAN2(H13,G13)</f>
        <v>-1.5707963267948966</v>
      </c>
      <c r="X13" s="6" t="e" vm="32">
        <f>ATAN2(I13,K13)</f>
        <v>#VALUE!</v>
      </c>
      <c r="Y13" s="6" t="e">
        <f>ATAN2(J13,L13)</f>
        <v>#N/A</v>
      </c>
      <c r="Z13" s="6" t="e">
        <f t="shared" ref="Z13:AF13" si="9">ATAN2(K13,L13)</f>
        <v>#VALUE!</v>
      </c>
      <c r="AA13" s="6" t="e">
        <f t="shared" si="9"/>
        <v>#N/A</v>
      </c>
      <c r="AB13" s="6" t="e">
        <f t="shared" si="9"/>
        <v>#DIV/0!</v>
      </c>
      <c r="AC13" s="6" t="e">
        <f t="shared" si="9"/>
        <v>#NAME?</v>
      </c>
      <c r="AD13" s="6" t="e">
        <f t="shared" si="9"/>
        <v>#NULL!</v>
      </c>
      <c r="AE13" s="6" t="e">
        <f t="shared" si="9"/>
        <v>#NUM!</v>
      </c>
      <c r="AF13" s="6" t="e">
        <f t="shared" si="9"/>
        <v>#REF!</v>
      </c>
      <c r="AG13" s="8"/>
      <c r="AH13" s="6">
        <f t="array" ref="AH13:AW13">ATAN2(C13:P13,D13:Q13)</f>
        <v>1.5707963267948966</v>
      </c>
      <c r="AI13" s="6">
        <v>1.1606689862534056</v>
      </c>
      <c r="AJ13" s="6">
        <v>1.3447279388010127</v>
      </c>
      <c r="AK13" s="6">
        <v>-9.9668652491162038E-2</v>
      </c>
      <c r="AL13" s="6">
        <v>3.1415926535897931</v>
      </c>
      <c r="AM13" s="6" t="e" vm="32">
        <v>#VALUE!</v>
      </c>
      <c r="AN13" s="6" t="e" vm="32">
        <v>#VALUE!</v>
      </c>
      <c r="AO13" s="6" t="e">
        <v>#VALUE!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#N/A</v>
      </c>
      <c r="AW13" s="4" t="e">
        <v>#N/A</v>
      </c>
    </row>
    <row r="14" spans="1:49" x14ac:dyDescent="0.15">
      <c r="A14" s="38" t="s">
        <v>13</v>
      </c>
      <c r="B14" s="37" t="s">
        <v>541</v>
      </c>
      <c r="C14" s="4">
        <v>0</v>
      </c>
      <c r="D14" s="4">
        <v>1</v>
      </c>
      <c r="E14" s="4">
        <v>0.2</v>
      </c>
      <c r="F14" s="4">
        <v>10</v>
      </c>
      <c r="G14" s="4">
        <v>-0.1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 t="shared" ref="R14:AF14" si="10">ATANH(C14)</f>
        <v>0</v>
      </c>
      <c r="S14" s="6" t="e">
        <f t="shared" si="10"/>
        <v>#NUM!</v>
      </c>
      <c r="T14" s="6">
        <f t="shared" si="10"/>
        <v>0.20273255405408211</v>
      </c>
      <c r="U14" s="6" t="e">
        <f t="shared" si="10"/>
        <v>#NUM!</v>
      </c>
      <c r="V14" s="6">
        <f t="shared" si="10"/>
        <v>-0.10033534773107562</v>
      </c>
      <c r="W14" s="6">
        <f t="shared" si="10"/>
        <v>0</v>
      </c>
      <c r="X14" s="6" t="e" vm="33">
        <f t="shared" si="10"/>
        <v>#VALUE!</v>
      </c>
      <c r="Y14" s="6" t="e">
        <f t="shared" si="10"/>
        <v>#NUM!</v>
      </c>
      <c r="Z14" s="6" t="e">
        <f t="shared" si="10"/>
        <v>#VALUE!</v>
      </c>
      <c r="AA14" s="6" t="e">
        <f t="shared" si="10"/>
        <v>#N/A</v>
      </c>
      <c r="AB14" s="6" t="e">
        <f t="shared" si="10"/>
        <v>#DIV/0!</v>
      </c>
      <c r="AC14" s="6" t="e">
        <f t="shared" si="10"/>
        <v>#NAME?</v>
      </c>
      <c r="AD14" s="6" t="e">
        <f t="shared" si="10"/>
        <v>#NULL!</v>
      </c>
      <c r="AE14" s="6" t="e">
        <f t="shared" si="10"/>
        <v>#NUM!</v>
      </c>
      <c r="AF14" s="6" t="e">
        <f t="shared" si="10"/>
        <v>#REF!</v>
      </c>
      <c r="AG14" s="8"/>
      <c r="AH14" s="6">
        <f t="array" ref="AH14:AW14">ATANH(C14:Q14)</f>
        <v>0</v>
      </c>
      <c r="AI14" s="6" t="e">
        <v>#NUM!</v>
      </c>
      <c r="AJ14" s="6">
        <v>0.20273255405408211</v>
      </c>
      <c r="AK14" s="6" t="e">
        <v>#NUM!</v>
      </c>
      <c r="AL14" s="6">
        <v>-0.10033534773107562</v>
      </c>
      <c r="AM14" s="6">
        <v>0</v>
      </c>
      <c r="AN14" s="6" t="e" vm="33">
        <v>#VALUE!</v>
      </c>
      <c r="AO14" s="6" t="e">
        <v>#NUM!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4" t="s">
        <v>44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x14ac:dyDescent="0.15">
      <c r="A16" s="38" t="s">
        <v>46</v>
      </c>
      <c r="B16" s="37" t="s">
        <v>541</v>
      </c>
      <c r="C16" s="4">
        <v>23.3</v>
      </c>
      <c r="D16" s="4">
        <v>-255.5</v>
      </c>
      <c r="E16" s="4">
        <v>-8.1</v>
      </c>
      <c r="F16" s="4">
        <v>-5.5</v>
      </c>
      <c r="G16" s="4">
        <v>-0.6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_xlfn.CEILING.MATH(C16, 5)</f>
        <v>25</v>
      </c>
      <c r="S16" s="6">
        <f>_xlfn.CEILING.MATH(D16,-2,TRUE)</f>
        <v>-256</v>
      </c>
      <c r="T16" s="6">
        <f>_xlfn.CEILING.MATH(E16,3)</f>
        <v>-6</v>
      </c>
      <c r="U16" s="6">
        <f>_xlfn.CEILING.MATH(F16,2,-1)</f>
        <v>-6</v>
      </c>
      <c r="V16" s="6">
        <f>_xlfn.CEILING.MATH(G16,2,2)</f>
        <v>-2</v>
      </c>
      <c r="W16" s="6">
        <f t="shared" ref="W16:AF16" si="11">_xlfn.CEILING.MATH(H16)</f>
        <v>0</v>
      </c>
      <c r="X16" s="6" t="e" vm="34">
        <f t="shared" si="11"/>
        <v>#VALUE!</v>
      </c>
      <c r="Y16" s="6">
        <f t="shared" si="11"/>
        <v>1</v>
      </c>
      <c r="Z16" s="6" t="e">
        <f t="shared" si="11"/>
        <v>#VALUE!</v>
      </c>
      <c r="AA16" s="6" t="e">
        <f t="shared" si="11"/>
        <v>#N/A</v>
      </c>
      <c r="AB16" s="6" t="e">
        <f t="shared" si="11"/>
        <v>#DIV/0!</v>
      </c>
      <c r="AC16" s="6" t="e">
        <f t="shared" si="11"/>
        <v>#NAME?</v>
      </c>
      <c r="AD16" s="6" t="e">
        <f t="shared" si="11"/>
        <v>#NULL!</v>
      </c>
      <c r="AE16" s="6" t="e">
        <f t="shared" si="11"/>
        <v>#NUM!</v>
      </c>
      <c r="AF16" s="6" t="e">
        <f t="shared" si="11"/>
        <v>#REF!</v>
      </c>
      <c r="AG16" s="8"/>
      <c r="AH16" s="6">
        <f t="array" ref="AH16:AW16">_xlfn.CEILING.MATH(C16:P16,D16:Q16)</f>
        <v>255.5</v>
      </c>
      <c r="AI16" s="6">
        <v>-251.1</v>
      </c>
      <c r="AJ16" s="6">
        <v>-5.5</v>
      </c>
      <c r="AK16" s="6">
        <v>-5.3999999999999995</v>
      </c>
      <c r="AL16" s="6">
        <v>0</v>
      </c>
      <c r="AM16" s="6" t="e" vm="34">
        <v>#VALUE!</v>
      </c>
      <c r="AN16" s="6" t="e" vm="34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38" t="s">
        <v>47</v>
      </c>
      <c r="B17" s="37" t="s">
        <v>541</v>
      </c>
      <c r="C17" s="4">
        <v>4.3</v>
      </c>
      <c r="D17" s="4">
        <v>-255.5</v>
      </c>
      <c r="E17" s="4">
        <v>-8.1</v>
      </c>
      <c r="F17" s="4">
        <v>-5.5</v>
      </c>
      <c r="G17" s="4">
        <v>-0.6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_xlfn.CEILING.PRECISE(C17, 2)</f>
        <v>6</v>
      </c>
      <c r="S17" s="6">
        <f>_xlfn.CEILING.PRECISE(D17, -2)</f>
        <v>-254</v>
      </c>
      <c r="T17" s="6">
        <f>_xlfn.CEILING.PRECISE(E17, 3)</f>
        <v>-6</v>
      </c>
      <c r="U17" s="6">
        <f>_xlfn.CEILING.PRECISE(F17, -1)</f>
        <v>-5</v>
      </c>
      <c r="V17" s="6">
        <f>_xlfn.CEILING.PRECISE(G17, 2)</f>
        <v>0</v>
      </c>
      <c r="W17" s="6">
        <f t="shared" ref="W17:AF17" si="12">_xlfn.CEILING.PRECISE(H17)</f>
        <v>0</v>
      </c>
      <c r="X17" s="6" t="e" vm="35">
        <f t="shared" si="12"/>
        <v>#VALUE!</v>
      </c>
      <c r="Y17" s="6">
        <f t="shared" si="12"/>
        <v>1</v>
      </c>
      <c r="Z17" s="6" t="e">
        <f t="shared" si="12"/>
        <v>#VALUE!</v>
      </c>
      <c r="AA17" s="6" t="e">
        <f t="shared" si="12"/>
        <v>#N/A</v>
      </c>
      <c r="AB17" s="6" t="e">
        <f t="shared" si="12"/>
        <v>#DIV/0!</v>
      </c>
      <c r="AC17" s="6" t="e">
        <f t="shared" si="12"/>
        <v>#NAME?</v>
      </c>
      <c r="AD17" s="6" t="e">
        <f t="shared" si="12"/>
        <v>#NULL!</v>
      </c>
      <c r="AE17" s="6" t="e">
        <f t="shared" si="12"/>
        <v>#NUM!</v>
      </c>
      <c r="AF17" s="6" t="e">
        <f t="shared" si="12"/>
        <v>#REF!</v>
      </c>
      <c r="AG17" s="8"/>
      <c r="AH17" s="6">
        <f t="array" ref="AH17:AW17">_xlfn.CEILING.MATH(C17:P17,D17:Q17)</f>
        <v>255.5</v>
      </c>
      <c r="AI17" s="6">
        <v>-251.1</v>
      </c>
      <c r="AJ17" s="6">
        <v>-5.5</v>
      </c>
      <c r="AK17" s="6">
        <v>-5.3999999999999995</v>
      </c>
      <c r="AL17" s="6">
        <v>0</v>
      </c>
      <c r="AM17" s="6" t="e" vm="34">
        <v>#VALUE!</v>
      </c>
      <c r="AN17" s="6" t="e" vm="34">
        <v>#VALUE!</v>
      </c>
      <c r="AO17" s="6" t="e">
        <v>#VALUE!</v>
      </c>
      <c r="AP17" s="6" t="e">
        <v>#VALUE!</v>
      </c>
      <c r="AQ17" s="6" t="e">
        <v>#N/A</v>
      </c>
      <c r="AR17" s="6" t="e">
        <v>#DIV/0!</v>
      </c>
      <c r="AS17" s="6" t="e">
        <v>#NAME?</v>
      </c>
      <c r="AT17" s="6" t="e">
        <v>#NULL!</v>
      </c>
      <c r="AU17" s="6" t="e">
        <v>#NUM!</v>
      </c>
      <c r="AV17" s="6" t="e">
        <v>#N/A</v>
      </c>
      <c r="AW17" s="4" t="e">
        <v>#N/A</v>
      </c>
    </row>
    <row r="18" spans="1:49" x14ac:dyDescent="0.15">
      <c r="A18" s="44" t="s">
        <v>48</v>
      </c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44" t="s">
        <v>49</v>
      </c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9" x14ac:dyDescent="0.15">
      <c r="A20" s="38" t="s">
        <v>7</v>
      </c>
      <c r="B20" s="37" t="s">
        <v>541</v>
      </c>
      <c r="C20" s="4">
        <v>0</v>
      </c>
      <c r="D20" s="4">
        <v>1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>
        <f t="shared" ref="R20:AF20" si="13">COS(C20)</f>
        <v>1</v>
      </c>
      <c r="S20" s="6">
        <f t="shared" si="13"/>
        <v>0.54030230586813977</v>
      </c>
      <c r="T20" s="6">
        <f t="shared" si="13"/>
        <v>-0.6662760212798241</v>
      </c>
      <c r="U20" s="6">
        <f t="shared" si="13"/>
        <v>-0.83907152907645244</v>
      </c>
      <c r="V20" s="6">
        <f t="shared" si="13"/>
        <v>0.54030230586813977</v>
      </c>
      <c r="W20" s="6">
        <f t="shared" si="13"/>
        <v>1</v>
      </c>
      <c r="X20" s="6" t="e" vm="36">
        <f t="shared" si="13"/>
        <v>#VALUE!</v>
      </c>
      <c r="Y20" s="6">
        <f t="shared" si="13"/>
        <v>0.54030230586813977</v>
      </c>
      <c r="Z20" s="6" t="e">
        <f t="shared" si="13"/>
        <v>#VALUE!</v>
      </c>
      <c r="AA20" s="6" t="e">
        <f t="shared" si="13"/>
        <v>#N/A</v>
      </c>
      <c r="AB20" s="6" t="e">
        <f t="shared" si="13"/>
        <v>#DIV/0!</v>
      </c>
      <c r="AC20" s="6" t="e">
        <f t="shared" si="13"/>
        <v>#NAME?</v>
      </c>
      <c r="AD20" s="6" t="e">
        <f t="shared" si="13"/>
        <v>#NULL!</v>
      </c>
      <c r="AE20" s="6" t="e">
        <f t="shared" si="13"/>
        <v>#NUM!</v>
      </c>
      <c r="AF20" s="6" t="e">
        <f t="shared" si="13"/>
        <v>#REF!</v>
      </c>
      <c r="AG20" s="8"/>
      <c r="AH20" s="6">
        <f t="array" ref="AH20:AW20">COS(C20:Q20)</f>
        <v>1</v>
      </c>
      <c r="AI20" s="6">
        <v>0.54030230586813977</v>
      </c>
      <c r="AJ20" s="6">
        <v>-0.6662760212798241</v>
      </c>
      <c r="AK20" s="6">
        <v>-0.83907152907645244</v>
      </c>
      <c r="AL20" s="6">
        <v>0.54030230586813977</v>
      </c>
      <c r="AM20" s="6">
        <v>1</v>
      </c>
      <c r="AN20" s="6" t="e" vm="36">
        <v>#VALUE!</v>
      </c>
      <c r="AO20" s="6">
        <v>0.54030230586813977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8" t="s">
        <v>8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 t="shared" ref="R21:AF21" si="14">COSH(C21)</f>
        <v>1</v>
      </c>
      <c r="S21" s="6">
        <f t="shared" si="14"/>
        <v>1.5430806348152437</v>
      </c>
      <c r="T21" s="6">
        <f t="shared" si="14"/>
        <v>5.037220649268761</v>
      </c>
      <c r="U21" s="6">
        <f t="shared" si="14"/>
        <v>11013.232920103324</v>
      </c>
      <c r="V21" s="6">
        <f t="shared" si="14"/>
        <v>1.5430806348152437</v>
      </c>
      <c r="W21" s="6">
        <f t="shared" si="14"/>
        <v>1</v>
      </c>
      <c r="X21" s="6" t="e" vm="37">
        <f t="shared" si="14"/>
        <v>#VALUE!</v>
      </c>
      <c r="Y21" s="6">
        <f t="shared" si="14"/>
        <v>1.5430806348152437</v>
      </c>
      <c r="Z21" s="6" t="e">
        <f t="shared" si="14"/>
        <v>#VALUE!</v>
      </c>
      <c r="AA21" s="6" t="e">
        <f t="shared" si="14"/>
        <v>#N/A</v>
      </c>
      <c r="AB21" s="6" t="e">
        <f t="shared" si="14"/>
        <v>#DIV/0!</v>
      </c>
      <c r="AC21" s="6" t="e">
        <f t="shared" si="14"/>
        <v>#NAME?</v>
      </c>
      <c r="AD21" s="6" t="e">
        <f t="shared" si="14"/>
        <v>#NULL!</v>
      </c>
      <c r="AE21" s="6" t="e">
        <f t="shared" si="14"/>
        <v>#NUM!</v>
      </c>
      <c r="AF21" s="6" t="e">
        <f t="shared" si="14"/>
        <v>#REF!</v>
      </c>
      <c r="AG21" s="8"/>
      <c r="AH21" s="6">
        <f t="array" ref="AH21:AW21">COSH(C21:Q21)</f>
        <v>1</v>
      </c>
      <c r="AI21" s="6">
        <v>1.5430806348152437</v>
      </c>
      <c r="AJ21" s="6">
        <v>5.037220649268761</v>
      </c>
      <c r="AK21" s="6">
        <v>11013.232920103324</v>
      </c>
      <c r="AL21" s="6">
        <v>1.5430806348152437</v>
      </c>
      <c r="AM21" s="6">
        <v>1</v>
      </c>
      <c r="AN21" s="6" t="e" vm="37">
        <v>#VALUE!</v>
      </c>
      <c r="AO21" s="6">
        <v>1.5430806348152437</v>
      </c>
      <c r="AP21" s="6" t="e">
        <v>#VALUE!</v>
      </c>
      <c r="AQ21" s="6" t="e">
        <v>#N/A</v>
      </c>
      <c r="AR21" s="6" t="e">
        <v>#DIV/0!</v>
      </c>
      <c r="AS21" s="6" t="e">
        <v>#NAME?</v>
      </c>
      <c r="AT21" s="6" t="e">
        <v>#NULL!</v>
      </c>
      <c r="AU21" s="6" t="e">
        <v>#NUM!</v>
      </c>
      <c r="AV21" s="6" t="e">
        <v>#REF!</v>
      </c>
      <c r="AW21" s="4" t="e">
        <v>#N/A</v>
      </c>
    </row>
    <row r="22" spans="1:49" x14ac:dyDescent="0.15">
      <c r="A22" s="38" t="s">
        <v>50</v>
      </c>
      <c r="B22" s="37" t="s">
        <v>541</v>
      </c>
      <c r="C22" s="4">
        <v>0</v>
      </c>
      <c r="D22" s="4">
        <v>1</v>
      </c>
      <c r="E22" s="4">
        <v>2.2999999999999998</v>
      </c>
      <c r="F22" s="4">
        <v>10</v>
      </c>
      <c r="G22" s="4">
        <v>-1</v>
      </c>
      <c r="H22" s="6"/>
      <c r="I22" s="6" t="s">
        <v>32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 t="e">
        <f t="shared" ref="R22:AF22" si="15">_xlfn.COT(C22)</f>
        <v>#DIV/0!</v>
      </c>
      <c r="S22" s="6">
        <f t="shared" si="15"/>
        <v>0.64209261593433076</v>
      </c>
      <c r="T22" s="6">
        <f t="shared" si="15"/>
        <v>-0.89348446329744458</v>
      </c>
      <c r="U22" s="6">
        <f t="shared" si="15"/>
        <v>1.5423510453569198</v>
      </c>
      <c r="V22" s="6">
        <f t="shared" si="15"/>
        <v>-0.64209261593433076</v>
      </c>
      <c r="W22" s="6" t="e">
        <f t="shared" si="15"/>
        <v>#DIV/0!</v>
      </c>
      <c r="X22" s="6" t="e" vm="38">
        <f t="shared" si="15"/>
        <v>#VALUE!</v>
      </c>
      <c r="Y22" s="6">
        <f t="shared" si="15"/>
        <v>0.64209261593433076</v>
      </c>
      <c r="Z22" s="6" t="e">
        <f t="shared" si="15"/>
        <v>#VALUE!</v>
      </c>
      <c r="AA22" s="6" t="e">
        <f t="shared" si="15"/>
        <v>#N/A</v>
      </c>
      <c r="AB22" s="6" t="e">
        <f t="shared" si="15"/>
        <v>#DIV/0!</v>
      </c>
      <c r="AC22" s="6" t="e">
        <f t="shared" si="15"/>
        <v>#NAME?</v>
      </c>
      <c r="AD22" s="6" t="e">
        <f t="shared" si="15"/>
        <v>#NULL!</v>
      </c>
      <c r="AE22" s="6" t="e">
        <f t="shared" si="15"/>
        <v>#NUM!</v>
      </c>
      <c r="AF22" s="6" t="e">
        <f t="shared" si="15"/>
        <v>#REF!</v>
      </c>
      <c r="AG22" s="8"/>
      <c r="AH22" s="6" t="e">
        <f t="array" ref="AH22:AW22">_xlfn.COT(C22:Q22)</f>
        <v>#DIV/0!</v>
      </c>
      <c r="AI22" s="6">
        <v>0.64209261593433076</v>
      </c>
      <c r="AJ22" s="6">
        <v>-0.89348446329744458</v>
      </c>
      <c r="AK22" s="6">
        <v>1.5423510453569198</v>
      </c>
      <c r="AL22" s="6">
        <v>-0.64209261593433076</v>
      </c>
      <c r="AM22" s="6" t="e">
        <v>#DIV/0!</v>
      </c>
      <c r="AN22" s="6" t="e" vm="38">
        <v>#VALUE!</v>
      </c>
      <c r="AO22" s="6">
        <v>0.64209261593433076</v>
      </c>
      <c r="AP22" s="6" t="e">
        <v>#VALUE!</v>
      </c>
      <c r="AQ22" s="6" t="e">
        <v>#N/A</v>
      </c>
      <c r="AR22" s="6" t="e">
        <v>#DIV/0!</v>
      </c>
      <c r="AS22" s="6" t="e">
        <v>#NAME?</v>
      </c>
      <c r="AT22" s="6" t="e">
        <v>#NULL!</v>
      </c>
      <c r="AU22" s="6" t="e">
        <v>#NUM!</v>
      </c>
      <c r="AV22" s="6" t="e">
        <v>#REF!</v>
      </c>
      <c r="AW22" s="4" t="e">
        <v>#N/A</v>
      </c>
    </row>
    <row r="23" spans="1:49" x14ac:dyDescent="0.15">
      <c r="A23" s="38" t="s">
        <v>51</v>
      </c>
      <c r="B23" s="37" t="s">
        <v>541</v>
      </c>
      <c r="C23" s="4">
        <v>0</v>
      </c>
      <c r="D23" s="4">
        <v>1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 t="e">
        <f t="shared" ref="R23:AF23" si="16">_xlfn.COTH(C23)</f>
        <v>#DIV/0!</v>
      </c>
      <c r="S23" s="6">
        <f t="shared" si="16"/>
        <v>1.3130352854993315</v>
      </c>
      <c r="T23" s="6">
        <f t="shared" si="16"/>
        <v>1.0203078021811263</v>
      </c>
      <c r="U23" s="6">
        <f t="shared" si="16"/>
        <v>1.0000000041223074</v>
      </c>
      <c r="V23" s="6">
        <f t="shared" si="16"/>
        <v>-1.3130352854993315</v>
      </c>
      <c r="W23" s="6" t="e">
        <f t="shared" si="16"/>
        <v>#DIV/0!</v>
      </c>
      <c r="X23" s="6" t="e" vm="39">
        <f t="shared" si="16"/>
        <v>#VALUE!</v>
      </c>
      <c r="Y23" s="6">
        <f t="shared" si="16"/>
        <v>1.3130352854993315</v>
      </c>
      <c r="Z23" s="6" t="e">
        <f t="shared" si="16"/>
        <v>#VALUE!</v>
      </c>
      <c r="AA23" s="6" t="e">
        <f t="shared" si="16"/>
        <v>#N/A</v>
      </c>
      <c r="AB23" s="6" t="e">
        <f t="shared" si="16"/>
        <v>#DIV/0!</v>
      </c>
      <c r="AC23" s="6" t="e">
        <f t="shared" si="16"/>
        <v>#NAME?</v>
      </c>
      <c r="AD23" s="6" t="e">
        <f t="shared" si="16"/>
        <v>#NULL!</v>
      </c>
      <c r="AE23" s="6" t="e">
        <f t="shared" si="16"/>
        <v>#NUM!</v>
      </c>
      <c r="AF23" s="6" t="e">
        <f t="shared" si="16"/>
        <v>#REF!</v>
      </c>
      <c r="AG23" s="8"/>
      <c r="AH23" s="6" t="e">
        <f t="array" ref="AH23:AW23">_xlfn.COTH(C23:Q23)</f>
        <v>#DIV/0!</v>
      </c>
      <c r="AI23" s="6">
        <v>1.3130352854993315</v>
      </c>
      <c r="AJ23" s="6">
        <v>1.0203078021811263</v>
      </c>
      <c r="AK23" s="6">
        <v>1.0000000041223074</v>
      </c>
      <c r="AL23" s="6">
        <v>-1.3130352854993315</v>
      </c>
      <c r="AM23" s="6" t="e">
        <v>#DIV/0!</v>
      </c>
      <c r="AN23" s="6" t="e" vm="39">
        <v>#VALUE!</v>
      </c>
      <c r="AO23" s="6">
        <v>1.3130352854993315</v>
      </c>
      <c r="AP23" s="6" t="e">
        <v>#VALUE!</v>
      </c>
      <c r="AQ23" s="6" t="e">
        <v>#N/A</v>
      </c>
      <c r="AR23" s="6" t="e">
        <v>#DIV/0!</v>
      </c>
      <c r="AS23" s="6" t="e">
        <v>#NAME?</v>
      </c>
      <c r="AT23" s="6" t="e">
        <v>#NULL!</v>
      </c>
      <c r="AU23" s="6" t="e">
        <v>#NUM!</v>
      </c>
      <c r="AV23" s="6" t="e">
        <v>#REF!</v>
      </c>
      <c r="AW23" s="4" t="e">
        <v>#N/A</v>
      </c>
    </row>
    <row r="24" spans="1:49" x14ac:dyDescent="0.15">
      <c r="A24" s="38" t="s">
        <v>52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 t="e">
        <f t="shared" ref="R24:AF24" si="17">_xlfn.CSC(C24)</f>
        <v>#DIV/0!</v>
      </c>
      <c r="S24" s="6">
        <f t="shared" si="17"/>
        <v>1.1883951057781212</v>
      </c>
      <c r="T24" s="6">
        <f t="shared" si="17"/>
        <v>1.3410124854578807</v>
      </c>
      <c r="U24" s="6">
        <f t="shared" si="17"/>
        <v>-1.8381639608896658</v>
      </c>
      <c r="V24" s="6">
        <f t="shared" si="17"/>
        <v>-1.1883951057781212</v>
      </c>
      <c r="W24" s="6" t="e">
        <f t="shared" si="17"/>
        <v>#DIV/0!</v>
      </c>
      <c r="X24" s="6" t="e" vm="40">
        <f t="shared" si="17"/>
        <v>#VALUE!</v>
      </c>
      <c r="Y24" s="6">
        <f t="shared" si="17"/>
        <v>1.1883951057781212</v>
      </c>
      <c r="Z24" s="6" t="e">
        <f t="shared" si="17"/>
        <v>#VALUE!</v>
      </c>
      <c r="AA24" s="6" t="e">
        <f t="shared" si="17"/>
        <v>#N/A</v>
      </c>
      <c r="AB24" s="6" t="e">
        <f t="shared" si="17"/>
        <v>#DIV/0!</v>
      </c>
      <c r="AC24" s="6" t="e">
        <f t="shared" si="17"/>
        <v>#NAME?</v>
      </c>
      <c r="AD24" s="6" t="e">
        <f t="shared" si="17"/>
        <v>#NULL!</v>
      </c>
      <c r="AE24" s="6" t="e">
        <f t="shared" si="17"/>
        <v>#NUM!</v>
      </c>
      <c r="AF24" s="6" t="e">
        <f t="shared" si="17"/>
        <v>#REF!</v>
      </c>
      <c r="AG24" s="8"/>
      <c r="AH24" s="6" t="e">
        <f t="array" ref="AH24:AW24">_xlfn.CSC(C24:Q24)</f>
        <v>#DIV/0!</v>
      </c>
      <c r="AI24" s="6">
        <v>1.1883951057781212</v>
      </c>
      <c r="AJ24" s="6">
        <v>1.3410124854578807</v>
      </c>
      <c r="AK24" s="6">
        <v>-1.8381639608896658</v>
      </c>
      <c r="AL24" s="6">
        <v>-1.1883951057781212</v>
      </c>
      <c r="AM24" s="6" t="e">
        <v>#DIV/0!</v>
      </c>
      <c r="AN24" s="6" t="e" vm="40">
        <v>#VALUE!</v>
      </c>
      <c r="AO24" s="6">
        <v>1.1883951057781212</v>
      </c>
      <c r="AP24" s="6" t="e">
        <v>#VALUE!</v>
      </c>
      <c r="AQ24" s="6" t="e">
        <v>#N/A</v>
      </c>
      <c r="AR24" s="6" t="e">
        <v>#DIV/0!</v>
      </c>
      <c r="AS24" s="6" t="e">
        <v>#NAME?</v>
      </c>
      <c r="AT24" s="6" t="e">
        <v>#NULL!</v>
      </c>
      <c r="AU24" s="6" t="e">
        <v>#NUM!</v>
      </c>
      <c r="AV24" s="6" t="e">
        <v>#REF!</v>
      </c>
      <c r="AW24" s="4" t="e">
        <v>#N/A</v>
      </c>
    </row>
    <row r="25" spans="1:49" x14ac:dyDescent="0.15">
      <c r="A25" s="38" t="s">
        <v>53</v>
      </c>
      <c r="B25" s="37" t="s">
        <v>541</v>
      </c>
      <c r="C25" s="4">
        <v>0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 t="shared" ref="R25:AF25" si="18">_xlfn.CSCH(C25)</f>
        <v>#DIV/0!</v>
      </c>
      <c r="S25" s="6">
        <f t="shared" si="18"/>
        <v>0.85091812823932156</v>
      </c>
      <c r="T25" s="6">
        <f t="shared" si="18"/>
        <v>0.20255372421083867</v>
      </c>
      <c r="U25" s="6">
        <f t="shared" si="18"/>
        <v>9.0799859712122167E-5</v>
      </c>
      <c r="V25" s="6">
        <f t="shared" si="18"/>
        <v>-0.85091812823932156</v>
      </c>
      <c r="W25" s="6" t="e">
        <f t="shared" si="18"/>
        <v>#DIV/0!</v>
      </c>
      <c r="X25" s="6" t="e" vm="41">
        <f t="shared" si="18"/>
        <v>#VALUE!</v>
      </c>
      <c r="Y25" s="6">
        <f t="shared" si="18"/>
        <v>0.85091812823932156</v>
      </c>
      <c r="Z25" s="6" t="e">
        <f t="shared" si="18"/>
        <v>#VALUE!</v>
      </c>
      <c r="AA25" s="6" t="e">
        <f t="shared" si="18"/>
        <v>#N/A</v>
      </c>
      <c r="AB25" s="6" t="e">
        <f t="shared" si="18"/>
        <v>#DIV/0!</v>
      </c>
      <c r="AC25" s="6" t="e">
        <f t="shared" si="18"/>
        <v>#NAME?</v>
      </c>
      <c r="AD25" s="6" t="e">
        <f t="shared" si="18"/>
        <v>#NULL!</v>
      </c>
      <c r="AE25" s="6" t="e">
        <f t="shared" si="18"/>
        <v>#NUM!</v>
      </c>
      <c r="AF25" s="6" t="e">
        <f t="shared" si="18"/>
        <v>#REF!</v>
      </c>
      <c r="AG25" s="8"/>
      <c r="AH25" s="6" t="e">
        <f t="array" ref="AH25:AW25">_xlfn.CSCH(C25:Q25)</f>
        <v>#DIV/0!</v>
      </c>
      <c r="AI25" s="6">
        <v>0.85091812823932156</v>
      </c>
      <c r="AJ25" s="6">
        <v>0.20255372421083867</v>
      </c>
      <c r="AK25" s="6">
        <v>9.0799859712122167E-5</v>
      </c>
      <c r="AL25" s="6">
        <v>-0.85091812823932156</v>
      </c>
      <c r="AM25" s="6" t="e">
        <v>#DIV/0!</v>
      </c>
      <c r="AN25" s="6" t="e" vm="41">
        <v>#VALUE!</v>
      </c>
      <c r="AO25" s="6">
        <v>0.85091812823932156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54</v>
      </c>
      <c r="B26" s="37" t="s">
        <v>541</v>
      </c>
      <c r="C26" s="4">
        <v>16.600000000000001</v>
      </c>
      <c r="D26" s="4">
        <v>15</v>
      </c>
      <c r="E26" s="4">
        <v>2.5</v>
      </c>
      <c r="F26" s="4">
        <v>100</v>
      </c>
      <c r="G26" s="4">
        <v>2</v>
      </c>
      <c r="H26" s="6"/>
      <c r="I26" s="6" t="s">
        <v>32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_xlfn.DECIMAL("FF",C26)</f>
        <v>255</v>
      </c>
      <c r="S26" s="6" t="e">
        <f>_xlfn.DECIMAL("FF",D26)</f>
        <v>#NUM!</v>
      </c>
      <c r="T26" s="6">
        <f>_xlfn.DECIMAL(111,E26)</f>
        <v>7</v>
      </c>
      <c r="U26" s="6" t="e">
        <f>_xlfn.DECIMAL("FF",F26)</f>
        <v>#NUM!</v>
      </c>
      <c r="V26" s="6" t="e">
        <f>_xlfn.DECIMAL(113,G26)</f>
        <v>#NUM!</v>
      </c>
      <c r="W26" s="6" t="e">
        <f t="shared" ref="W26:AF26" si="19">_xlfn.DECIMAL("FF",H26)</f>
        <v>#NUM!</v>
      </c>
      <c r="X26" s="6" t="e" vm="42">
        <f t="shared" si="19"/>
        <v>#VALUE!</v>
      </c>
      <c r="Y26" s="6" t="e">
        <f t="shared" si="19"/>
        <v>#NUM!</v>
      </c>
      <c r="Z26" s="6" t="e">
        <f t="shared" si="19"/>
        <v>#VALUE!</v>
      </c>
      <c r="AA26" s="6" t="e">
        <f t="shared" si="19"/>
        <v>#N/A</v>
      </c>
      <c r="AB26" s="6" t="e">
        <f t="shared" si="19"/>
        <v>#DIV/0!</v>
      </c>
      <c r="AC26" s="6" t="e">
        <f t="shared" si="19"/>
        <v>#NAME?</v>
      </c>
      <c r="AD26" s="6" t="e">
        <f t="shared" si="19"/>
        <v>#NULL!</v>
      </c>
      <c r="AE26" s="6" t="e">
        <f t="shared" si="19"/>
        <v>#NUM!</v>
      </c>
      <c r="AF26" s="6" t="e">
        <f t="shared" si="19"/>
        <v>#REF!</v>
      </c>
      <c r="AG26" s="8"/>
      <c r="AH26" s="6">
        <f t="array" ref="AH26:AW26">_xlfn.DECIMAL("FF",C26:Q26)</f>
        <v>255</v>
      </c>
      <c r="AI26" s="6" t="e">
        <v>#NUM!</v>
      </c>
      <c r="AJ26" s="6" t="e">
        <v>#NUM!</v>
      </c>
      <c r="AK26" s="6" t="e">
        <v>#NUM!</v>
      </c>
      <c r="AL26" s="6" t="e">
        <v>#NUM!</v>
      </c>
      <c r="AM26" s="6" t="e">
        <v>#NUM!</v>
      </c>
      <c r="AN26" s="6" t="e" vm="42">
        <v>#VALUE!</v>
      </c>
      <c r="AO26" s="6" t="e">
        <v>#NUM!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21</v>
      </c>
      <c r="B27" s="37" t="s">
        <v>541</v>
      </c>
      <c r="C27" s="4">
        <v>0</v>
      </c>
      <c r="D27" s="4">
        <v>1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AF27" si="20">DEGREES(C27)</f>
        <v>0</v>
      </c>
      <c r="S27" s="6">
        <f t="shared" si="20"/>
        <v>57.295779513082323</v>
      </c>
      <c r="T27" s="6">
        <f t="shared" si="20"/>
        <v>131.78029288008932</v>
      </c>
      <c r="U27" s="6">
        <f t="shared" si="20"/>
        <v>572.95779513082323</v>
      </c>
      <c r="V27" s="6">
        <f t="shared" si="20"/>
        <v>-57.295779513082323</v>
      </c>
      <c r="W27" s="6">
        <f t="shared" si="20"/>
        <v>0</v>
      </c>
      <c r="X27" s="6" t="e" vm="43">
        <f t="shared" si="20"/>
        <v>#VALUE!</v>
      </c>
      <c r="Y27" s="6">
        <f t="shared" si="20"/>
        <v>57.295779513082323</v>
      </c>
      <c r="Z27" s="6" t="e">
        <f t="shared" si="20"/>
        <v>#VALUE!</v>
      </c>
      <c r="AA27" s="6" t="e">
        <f t="shared" si="20"/>
        <v>#N/A</v>
      </c>
      <c r="AB27" s="6" t="e">
        <f t="shared" si="20"/>
        <v>#DIV/0!</v>
      </c>
      <c r="AC27" s="6" t="e">
        <f t="shared" si="20"/>
        <v>#NAME?</v>
      </c>
      <c r="AD27" s="6" t="e">
        <f t="shared" si="20"/>
        <v>#NULL!</v>
      </c>
      <c r="AE27" s="6" t="e">
        <f t="shared" si="20"/>
        <v>#NUM!</v>
      </c>
      <c r="AF27" s="6" t="e">
        <f t="shared" si="20"/>
        <v>#REF!</v>
      </c>
      <c r="AG27" s="8"/>
      <c r="AH27" s="6">
        <f t="array" ref="AH27:AW27">DEGREES(C27:Q27)</f>
        <v>0</v>
      </c>
      <c r="AI27" s="6">
        <v>57.295779513082323</v>
      </c>
      <c r="AJ27" s="6">
        <v>131.78029288008932</v>
      </c>
      <c r="AK27" s="6">
        <v>572.95779513082323</v>
      </c>
      <c r="AL27" s="6">
        <v>-57.295779513082323</v>
      </c>
      <c r="AM27" s="6">
        <v>0</v>
      </c>
      <c r="AN27" s="6" t="e" vm="43">
        <v>#VALUE!</v>
      </c>
      <c r="AO27" s="6">
        <v>57.295779513082323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55</v>
      </c>
      <c r="B28" s="37" t="s">
        <v>541</v>
      </c>
      <c r="C28" s="4">
        <v>0</v>
      </c>
      <c r="D28" s="4">
        <v>1</v>
      </c>
      <c r="E28" s="4">
        <v>2.2999999999999998</v>
      </c>
      <c r="F28" s="4">
        <v>-0.2</v>
      </c>
      <c r="G28" s="4">
        <v>-1</v>
      </c>
      <c r="H28" s="6"/>
      <c r="I28" s="6" t="s">
        <v>32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 t="shared" ref="R28:AF28" si="21">EVEN(C28)</f>
        <v>0</v>
      </c>
      <c r="S28" s="6">
        <f t="shared" si="21"/>
        <v>2</v>
      </c>
      <c r="T28" s="6">
        <f t="shared" si="21"/>
        <v>4</v>
      </c>
      <c r="U28" s="6">
        <f t="shared" si="21"/>
        <v>-2</v>
      </c>
      <c r="V28" s="6">
        <f t="shared" si="21"/>
        <v>-2</v>
      </c>
      <c r="W28" s="6">
        <f t="shared" si="21"/>
        <v>0</v>
      </c>
      <c r="X28" s="6" t="e" vm="44">
        <f t="shared" si="21"/>
        <v>#VALUE!</v>
      </c>
      <c r="Y28" s="6">
        <f t="shared" si="21"/>
        <v>2</v>
      </c>
      <c r="Z28" s="6" t="e">
        <f t="shared" si="21"/>
        <v>#VALUE!</v>
      </c>
      <c r="AA28" s="6" t="e">
        <f t="shared" si="21"/>
        <v>#N/A</v>
      </c>
      <c r="AB28" s="6" t="e">
        <f t="shared" si="21"/>
        <v>#DIV/0!</v>
      </c>
      <c r="AC28" s="6" t="e">
        <f t="shared" si="21"/>
        <v>#NAME?</v>
      </c>
      <c r="AD28" s="6" t="e">
        <f t="shared" si="21"/>
        <v>#NULL!</v>
      </c>
      <c r="AE28" s="6" t="e">
        <f t="shared" si="21"/>
        <v>#NUM!</v>
      </c>
      <c r="AF28" s="6" t="e">
        <f t="shared" si="21"/>
        <v>#REF!</v>
      </c>
      <c r="AG28" s="8"/>
      <c r="AH28" s="6">
        <f t="array" ref="AH28:AW28">EVEN(C28:Q28)</f>
        <v>0</v>
      </c>
      <c r="AI28" s="6">
        <v>2</v>
      </c>
      <c r="AJ28" s="6">
        <v>4</v>
      </c>
      <c r="AK28" s="6">
        <v>-2</v>
      </c>
      <c r="AL28" s="6">
        <v>-2</v>
      </c>
      <c r="AM28" s="6">
        <v>0</v>
      </c>
      <c r="AN28" s="6" t="e" vm="44">
        <v>#VALUE!</v>
      </c>
      <c r="AO28" s="6">
        <v>2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3</v>
      </c>
      <c r="B29" s="37" t="s">
        <v>541</v>
      </c>
      <c r="C29" s="4">
        <v>0</v>
      </c>
      <c r="D29" s="4">
        <v>1</v>
      </c>
      <c r="E29" s="4">
        <v>2.2999999999999998</v>
      </c>
      <c r="F29" s="4">
        <v>10</v>
      </c>
      <c r="G29" s="4">
        <v>-1</v>
      </c>
      <c r="H29" s="6"/>
      <c r="I29" s="6" t="s">
        <v>32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 t="shared" ref="R29:AF29" si="22">EXP(C29)</f>
        <v>1</v>
      </c>
      <c r="S29" s="6">
        <f t="shared" si="22"/>
        <v>2.7182818284590451</v>
      </c>
      <c r="T29" s="6">
        <f t="shared" si="22"/>
        <v>9.9741824548147182</v>
      </c>
      <c r="U29" s="6">
        <f t="shared" si="22"/>
        <v>22026.465794806718</v>
      </c>
      <c r="V29" s="6">
        <f t="shared" si="22"/>
        <v>0.36787944117144233</v>
      </c>
      <c r="W29" s="6">
        <f t="shared" si="22"/>
        <v>1</v>
      </c>
      <c r="X29" s="6" t="e" vm="45">
        <f t="shared" si="22"/>
        <v>#VALUE!</v>
      </c>
      <c r="Y29" s="6">
        <f t="shared" si="22"/>
        <v>2.7182818284590451</v>
      </c>
      <c r="Z29" s="6" t="e">
        <f t="shared" si="22"/>
        <v>#VALUE!</v>
      </c>
      <c r="AA29" s="6" t="e">
        <f t="shared" si="22"/>
        <v>#N/A</v>
      </c>
      <c r="AB29" s="6" t="e">
        <f t="shared" si="22"/>
        <v>#DIV/0!</v>
      </c>
      <c r="AC29" s="6" t="e">
        <f t="shared" si="22"/>
        <v>#NAME?</v>
      </c>
      <c r="AD29" s="6" t="e">
        <f t="shared" si="22"/>
        <v>#NULL!</v>
      </c>
      <c r="AE29" s="6" t="e">
        <f t="shared" si="22"/>
        <v>#NUM!</v>
      </c>
      <c r="AF29" s="6" t="e">
        <f t="shared" si="22"/>
        <v>#REF!</v>
      </c>
      <c r="AG29" s="8"/>
      <c r="AH29" s="6">
        <f t="array" ref="AH29:AW29">EXP(C29:Q29)</f>
        <v>1</v>
      </c>
      <c r="AI29" s="6">
        <v>2.7182818284590451</v>
      </c>
      <c r="AJ29" s="6">
        <v>9.9741824548147182</v>
      </c>
      <c r="AK29" s="6">
        <v>22026.465794806718</v>
      </c>
      <c r="AL29" s="6">
        <v>0.36787944117144233</v>
      </c>
      <c r="AM29" s="6">
        <v>1</v>
      </c>
      <c r="AN29" s="6" t="e" vm="45">
        <v>#VALUE!</v>
      </c>
      <c r="AO29" s="6">
        <v>2.7182818284590451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8" t="s">
        <v>56</v>
      </c>
      <c r="B30" s="37" t="s">
        <v>541</v>
      </c>
      <c r="C30" s="4">
        <v>0</v>
      </c>
      <c r="D30" s="4">
        <v>1</v>
      </c>
      <c r="E30" s="4">
        <v>2.2999999999999998</v>
      </c>
      <c r="F30" s="4">
        <v>5</v>
      </c>
      <c r="G30" s="4">
        <v>-1</v>
      </c>
      <c r="H30" s="6"/>
      <c r="I30" s="6" t="s">
        <v>32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>
        <f t="shared" ref="R30:AF30" si="23">FACT(C30)</f>
        <v>1</v>
      </c>
      <c r="S30" s="6">
        <f t="shared" si="23"/>
        <v>1</v>
      </c>
      <c r="T30" s="6">
        <f t="shared" si="23"/>
        <v>2</v>
      </c>
      <c r="U30" s="6">
        <f t="shared" si="23"/>
        <v>120</v>
      </c>
      <c r="V30" s="6" t="e">
        <f t="shared" si="23"/>
        <v>#NUM!</v>
      </c>
      <c r="W30" s="6">
        <f t="shared" si="23"/>
        <v>1</v>
      </c>
      <c r="X30" s="6" t="e" vm="46">
        <f t="shared" si="23"/>
        <v>#VALUE!</v>
      </c>
      <c r="Y30" s="6">
        <f t="shared" si="23"/>
        <v>1</v>
      </c>
      <c r="Z30" s="6" t="e">
        <f t="shared" si="23"/>
        <v>#VALUE!</v>
      </c>
      <c r="AA30" s="6" t="e">
        <f t="shared" si="23"/>
        <v>#N/A</v>
      </c>
      <c r="AB30" s="6" t="e">
        <f t="shared" si="23"/>
        <v>#DIV/0!</v>
      </c>
      <c r="AC30" s="6" t="e">
        <f t="shared" si="23"/>
        <v>#NAME?</v>
      </c>
      <c r="AD30" s="6" t="e">
        <f t="shared" si="23"/>
        <v>#NULL!</v>
      </c>
      <c r="AE30" s="6" t="e">
        <f t="shared" si="23"/>
        <v>#NUM!</v>
      </c>
      <c r="AF30" s="6" t="e">
        <f t="shared" si="23"/>
        <v>#REF!</v>
      </c>
      <c r="AG30" s="8"/>
      <c r="AH30" s="6">
        <f t="array" ref="AH30:AW30">FACT(C30:Q30)</f>
        <v>1</v>
      </c>
      <c r="AI30" s="6">
        <v>1</v>
      </c>
      <c r="AJ30" s="6">
        <v>2</v>
      </c>
      <c r="AK30" s="6">
        <v>120</v>
      </c>
      <c r="AL30" s="6" t="e">
        <v>#NUM!</v>
      </c>
      <c r="AM30" s="6">
        <v>1</v>
      </c>
      <c r="AN30" s="6" t="e" vm="46">
        <v>#VALUE!</v>
      </c>
      <c r="AO30" s="6">
        <v>1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8" t="s">
        <v>57</v>
      </c>
      <c r="B31" s="37" t="s">
        <v>541</v>
      </c>
      <c r="C31" s="4">
        <v>0</v>
      </c>
      <c r="D31" s="4">
        <v>2.2999999999999998</v>
      </c>
      <c r="E31" s="4">
        <v>-1.1000000000000001</v>
      </c>
      <c r="F31" s="4">
        <v>5</v>
      </c>
      <c r="G31" s="4">
        <v>-1</v>
      </c>
      <c r="H31" s="6"/>
      <c r="I31" s="6" t="s">
        <v>32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>
        <f>FACTDOUBLE(C31)</f>
        <v>1</v>
      </c>
      <c r="S31" s="6">
        <f>FACTDOUBLE("2.3")</f>
        <v>2</v>
      </c>
      <c r="T31" s="6" t="e">
        <f t="shared" ref="T31:AF31" si="24">FACTDOUBLE(E31)</f>
        <v>#NUM!</v>
      </c>
      <c r="U31" s="6">
        <f t="shared" si="24"/>
        <v>15</v>
      </c>
      <c r="V31" s="6">
        <f t="shared" si="24"/>
        <v>1</v>
      </c>
      <c r="W31" s="6">
        <f t="shared" si="24"/>
        <v>1</v>
      </c>
      <c r="X31" s="6" t="e">
        <f t="shared" si="24"/>
        <v>#VALUE!</v>
      </c>
      <c r="Y31" s="6" t="e">
        <f t="shared" si="24"/>
        <v>#VALUE!</v>
      </c>
      <c r="Z31" s="6" t="e">
        <f t="shared" si="24"/>
        <v>#VALUE!</v>
      </c>
      <c r="AA31" s="6" t="e">
        <f t="shared" si="24"/>
        <v>#N/A</v>
      </c>
      <c r="AB31" s="6" t="e">
        <f t="shared" si="24"/>
        <v>#DIV/0!</v>
      </c>
      <c r="AC31" s="6" t="e">
        <f t="shared" si="24"/>
        <v>#NAME?</v>
      </c>
      <c r="AD31" s="6" t="e">
        <f t="shared" si="24"/>
        <v>#NULL!</v>
      </c>
      <c r="AE31" s="6" t="e">
        <f t="shared" si="24"/>
        <v>#NUM!</v>
      </c>
      <c r="AF31" s="6" t="e">
        <f t="shared" si="24"/>
        <v>#REF!</v>
      </c>
      <c r="AG31" s="8"/>
      <c r="AH31" s="6" t="e">
        <f t="array" ref="AH31:AW31">FACTDOUBLE(C31:Q31)</f>
        <v>#VALUE!</v>
      </c>
      <c r="AI31" s="6" t="e">
        <v>#VALUE!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  <c r="AN31" s="6" t="e">
        <v>#VALUE!</v>
      </c>
      <c r="AO31" s="6" t="e">
        <v>#VALUE!</v>
      </c>
      <c r="AP31" s="6" t="e">
        <v>#VALUE!</v>
      </c>
      <c r="AQ31" s="6" t="e">
        <v>#VALUE!</v>
      </c>
      <c r="AR31" s="6" t="e">
        <v>#VALUE!</v>
      </c>
      <c r="AS31" s="6" t="e">
        <v>#VALUE!</v>
      </c>
      <c r="AT31" s="6" t="e">
        <v>#VALUE!</v>
      </c>
      <c r="AU31" s="6" t="e">
        <v>#VALUE!</v>
      </c>
      <c r="AV31" s="6" t="e">
        <v>#VALUE!</v>
      </c>
      <c r="AW31" s="4" t="e">
        <v>#VALUE!</v>
      </c>
    </row>
    <row r="32" spans="1:49" x14ac:dyDescent="0.15">
      <c r="A32" s="38" t="s">
        <v>59</v>
      </c>
      <c r="B32" s="37" t="s">
        <v>541</v>
      </c>
      <c r="C32" s="4">
        <v>23.3</v>
      </c>
      <c r="D32" s="4">
        <v>-255.5</v>
      </c>
      <c r="E32" s="4">
        <v>-8.1</v>
      </c>
      <c r="F32" s="4">
        <v>-5.5</v>
      </c>
      <c r="G32" s="4">
        <v>-0.6</v>
      </c>
      <c r="H32" s="6"/>
      <c r="I32" s="6" t="s">
        <v>32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_xlfn.FLOOR.MATH(C32, 5)</f>
        <v>20</v>
      </c>
      <c r="S32" s="6">
        <f>_xlfn.FLOOR.MATH(D32,1,TRUE)</f>
        <v>-255</v>
      </c>
      <c r="T32" s="6">
        <f>_xlfn.FLOOR.MATH(E32,3)</f>
        <v>-9</v>
      </c>
      <c r="U32" s="6">
        <f>_xlfn.FLOOR.MATH(F32,2,-1)</f>
        <v>-4</v>
      </c>
      <c r="V32" s="6">
        <f>_xlfn.FLOOR.MATH(G32,2,2)</f>
        <v>0</v>
      </c>
      <c r="W32" s="6">
        <f>_xlfn.FLOOR.MATH(H32)</f>
        <v>0</v>
      </c>
      <c r="X32" s="6" t="e" vm="47">
        <f>_xlfn.FLOOR.MATH(I32)</f>
        <v>#VALUE!</v>
      </c>
      <c r="Y32" s="6">
        <f>_xlfn.FLOOR.MATH(J32)</f>
        <v>1</v>
      </c>
      <c r="Z32" s="6" t="e">
        <f>_xlfn.FLOOR.MATH(K32)</f>
        <v>#VALUE!</v>
      </c>
      <c r="AA32" s="6" t="e">
        <f t="shared" ref="AA32:AF32" si="25">_xlfn.FLOOR.MATH(L32)</f>
        <v>#N/A</v>
      </c>
      <c r="AB32" s="6" t="e">
        <f t="shared" si="25"/>
        <v>#DIV/0!</v>
      </c>
      <c r="AC32" s="6" t="e">
        <f t="shared" si="25"/>
        <v>#NAME?</v>
      </c>
      <c r="AD32" s="6" t="e">
        <f t="shared" si="25"/>
        <v>#NULL!</v>
      </c>
      <c r="AE32" s="6" t="e">
        <f t="shared" si="25"/>
        <v>#NUM!</v>
      </c>
      <c r="AF32" s="6" t="e">
        <f t="shared" si="25"/>
        <v>#REF!</v>
      </c>
      <c r="AG32" s="8"/>
      <c r="AH32" s="6">
        <f t="array" ref="AH32:AW32">_xlfn.FLOOR.MATH(C32:P32,D32:Q32)</f>
        <v>0</v>
      </c>
      <c r="AI32" s="6">
        <v>-259.2</v>
      </c>
      <c r="AJ32" s="6">
        <v>-11</v>
      </c>
      <c r="AK32" s="6">
        <v>-6</v>
      </c>
      <c r="AL32" s="6">
        <v>0</v>
      </c>
      <c r="AM32" s="6" t="e" vm="47">
        <v>#VALUE!</v>
      </c>
      <c r="AN32" s="6" t="e" vm="47">
        <v>#VALUE!</v>
      </c>
      <c r="AO32" s="6" t="e">
        <v>#VALUE!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#N/A</v>
      </c>
      <c r="AW32" s="4" t="e">
        <v>#N/A</v>
      </c>
    </row>
    <row r="33" spans="1:49" x14ac:dyDescent="0.15">
      <c r="A33" s="38" t="s">
        <v>60</v>
      </c>
      <c r="B33" s="37" t="s">
        <v>541</v>
      </c>
      <c r="C33" s="4">
        <v>4.3</v>
      </c>
      <c r="D33" s="4">
        <v>-255.5</v>
      </c>
      <c r="E33" s="4">
        <v>-8.1</v>
      </c>
      <c r="F33" s="4">
        <v>-5.5</v>
      </c>
      <c r="G33" s="4">
        <v>-0.6</v>
      </c>
      <c r="H33" s="6"/>
      <c r="I33" s="6" t="s">
        <v>32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>
        <f>_xlfn.FLOOR.PRECISE(C33, 2)</f>
        <v>4</v>
      </c>
      <c r="S33" s="6">
        <f>_xlfn.FLOOR.PRECISE(D33, 1)</f>
        <v>-256</v>
      </c>
      <c r="T33" s="6">
        <f>_xlfn.FLOOR.PRECISE(E33, 3)</f>
        <v>-9</v>
      </c>
      <c r="U33" s="6">
        <f>_xlfn.FLOOR.PRECISE(F33, -1)</f>
        <v>-6</v>
      </c>
      <c r="V33" s="6">
        <f>_xlfn.FLOOR.PRECISE(G33, 2)</f>
        <v>-2</v>
      </c>
      <c r="W33" s="6">
        <f>_xlfn.FLOOR.PRECISE(H33)</f>
        <v>0</v>
      </c>
      <c r="X33" s="6" t="e" vm="48">
        <f>_xlfn.FLOOR.PRECISE(I33)</f>
        <v>#VALUE!</v>
      </c>
      <c r="Y33" s="6">
        <f>_xlfn.FLOOR.PRECISE(J33)</f>
        <v>1</v>
      </c>
      <c r="Z33" s="6" t="e">
        <f>_xlfn.FLOOR.PRECISE(K33)</f>
        <v>#VALUE!</v>
      </c>
      <c r="AA33" s="6" t="e">
        <f t="shared" ref="AA33:AF33" si="26">_xlfn.FLOOR.PRECISE(L33)</f>
        <v>#N/A</v>
      </c>
      <c r="AB33" s="6" t="e">
        <f t="shared" si="26"/>
        <v>#DIV/0!</v>
      </c>
      <c r="AC33" s="6" t="e">
        <f t="shared" si="26"/>
        <v>#NAME?</v>
      </c>
      <c r="AD33" s="6" t="e">
        <f t="shared" si="26"/>
        <v>#NULL!</v>
      </c>
      <c r="AE33" s="6" t="e">
        <f t="shared" si="26"/>
        <v>#NUM!</v>
      </c>
      <c r="AF33" s="6" t="e">
        <f t="shared" si="26"/>
        <v>#REF!</v>
      </c>
      <c r="AG33" s="8"/>
      <c r="AH33" s="6">
        <f t="array" ref="AH33:AW33">_xlfn.FLOOR.MATH(C33:P33,D33:Q33)</f>
        <v>0</v>
      </c>
      <c r="AI33" s="6">
        <v>-259.2</v>
      </c>
      <c r="AJ33" s="6">
        <v>-11</v>
      </c>
      <c r="AK33" s="6">
        <v>-6</v>
      </c>
      <c r="AL33" s="6">
        <v>0</v>
      </c>
      <c r="AM33" s="6" t="e" vm="47">
        <v>#VALUE!</v>
      </c>
      <c r="AN33" s="6" t="e" vm="47">
        <v>#VALUE!</v>
      </c>
      <c r="AO33" s="6" t="e">
        <v>#VALUE!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#N/A</v>
      </c>
      <c r="AW33" s="4" t="e">
        <v>#N/A</v>
      </c>
    </row>
    <row r="34" spans="1:49" x14ac:dyDescent="0.15">
      <c r="A34" s="38" t="s">
        <v>61</v>
      </c>
      <c r="B34" s="37" t="s">
        <v>541</v>
      </c>
      <c r="C34" s="4">
        <v>0</v>
      </c>
      <c r="D34" s="4">
        <v>5.7</v>
      </c>
      <c r="E34" s="4">
        <v>15.7</v>
      </c>
      <c r="F34" s="4">
        <v>63</v>
      </c>
      <c r="G34" s="4">
        <v>-0.4</v>
      </c>
      <c r="H34" s="6"/>
      <c r="I34" s="6" t="s">
        <v>32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GCD(C34)</f>
        <v>0</v>
      </c>
      <c r="S34" s="6">
        <f>GCD(D34)</f>
        <v>5</v>
      </c>
      <c r="T34" s="6">
        <f>GCD(E34,F34)</f>
        <v>3</v>
      </c>
      <c r="U34" s="6" t="e">
        <f>GCD(G34)</f>
        <v>#NUM!</v>
      </c>
      <c r="V34" s="6">
        <f>GCD(C34,F34,E34)</f>
        <v>3</v>
      </c>
      <c r="W34" s="6" t="e">
        <f>GCD(H34)</f>
        <v>#VALUE!</v>
      </c>
      <c r="X34" s="6" t="e">
        <f t="shared" ref="X34:AE34" si="27">GCD(I34)</f>
        <v>#VALUE!</v>
      </c>
      <c r="Y34" s="6" t="e">
        <f>GCD(G34,J34)</f>
        <v>#VALUE!</v>
      </c>
      <c r="Z34" s="6" t="e">
        <f t="shared" si="27"/>
        <v>#VALUE!</v>
      </c>
      <c r="AA34" s="6" t="e">
        <f t="shared" si="27"/>
        <v>#N/A</v>
      </c>
      <c r="AB34" s="6" t="e">
        <f t="shared" si="27"/>
        <v>#DIV/0!</v>
      </c>
      <c r="AC34" s="6" t="e">
        <f t="shared" si="27"/>
        <v>#NAME?</v>
      </c>
      <c r="AD34" s="6" t="e">
        <f t="shared" si="27"/>
        <v>#NULL!</v>
      </c>
      <c r="AE34" s="6" t="e">
        <f t="shared" si="27"/>
        <v>#NUM!</v>
      </c>
      <c r="AF34" s="6" t="e">
        <f>GCD(Q34)</f>
        <v>#REF!</v>
      </c>
      <c r="AG34" s="8"/>
      <c r="AH34" s="6">
        <f t="array" ref="AH34:AK34">GCD(C34:F34)</f>
        <v>1</v>
      </c>
      <c r="AI34" s="6">
        <v>1</v>
      </c>
      <c r="AJ34" s="6">
        <v>1</v>
      </c>
      <c r="AK34" s="6">
        <v>1</v>
      </c>
      <c r="AL34" s="6">
        <f t="array" ref="AL34:AM34">GCD(D34:E34,D34)</f>
        <v>5</v>
      </c>
      <c r="AM34" s="6">
        <v>5</v>
      </c>
      <c r="AN34" s="6">
        <f t="array" ref="AN34:AO34">GCD(C34:D34,E34:F34)</f>
        <v>1</v>
      </c>
      <c r="AO34" s="6">
        <v>1</v>
      </c>
      <c r="AP34" s="6" t="e">
        <f t="array" ref="AP34:AQ34">GCD(C34:D34,F34:G34)</f>
        <v>#NUM!</v>
      </c>
      <c r="AQ34" s="6" t="e">
        <v>#NUM!</v>
      </c>
      <c r="AR34" s="6" t="e">
        <f>GCD(G34:Q34)</f>
        <v>#VALUE!</v>
      </c>
      <c r="AS34" s="6" t="e">
        <f>GCD(N34,K34:L34)</f>
        <v>#NAME?</v>
      </c>
      <c r="AT34" s="6" t="e">
        <f>GCD(J34:M34)</f>
        <v>#VALUE!</v>
      </c>
      <c r="AU34" s="6" t="e">
        <f>GCD(P34:AC34,Q34:AD34)</f>
        <v>#NUM!</v>
      </c>
      <c r="AV34" s="6" t="e">
        <f>GCD(Q34:AD34,R34:AE34)</f>
        <v>#REF!</v>
      </c>
      <c r="AW34" s="4" t="e">
        <f>GCD(R34:AE34,S34:AF34)</f>
        <v>#NUM!</v>
      </c>
    </row>
    <row r="35" spans="1:49" x14ac:dyDescent="0.15">
      <c r="A35" s="38" t="s">
        <v>35</v>
      </c>
      <c r="B35" s="37" t="s">
        <v>541</v>
      </c>
      <c r="C35" s="4">
        <v>0</v>
      </c>
      <c r="D35" s="4">
        <v>1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 t="shared" ref="R35:AF35" si="28">INT(C35)</f>
        <v>0</v>
      </c>
      <c r="S35" s="6">
        <f t="shared" si="28"/>
        <v>1</v>
      </c>
      <c r="T35" s="6">
        <f t="shared" si="28"/>
        <v>2</v>
      </c>
      <c r="U35" s="6">
        <f t="shared" si="28"/>
        <v>10</v>
      </c>
      <c r="V35" s="6">
        <f t="shared" si="28"/>
        <v>-1</v>
      </c>
      <c r="W35" s="6">
        <f t="shared" si="28"/>
        <v>0</v>
      </c>
      <c r="X35" s="6" t="e" vm="49">
        <f t="shared" si="28"/>
        <v>#VALUE!</v>
      </c>
      <c r="Y35" s="6">
        <f t="shared" si="28"/>
        <v>1</v>
      </c>
      <c r="Z35" s="6" t="e">
        <f t="shared" si="28"/>
        <v>#VALUE!</v>
      </c>
      <c r="AA35" s="6" t="e">
        <f t="shared" si="28"/>
        <v>#N/A</v>
      </c>
      <c r="AB35" s="6" t="e">
        <f t="shared" si="28"/>
        <v>#DIV/0!</v>
      </c>
      <c r="AC35" s="6" t="e">
        <f t="shared" si="28"/>
        <v>#NAME?</v>
      </c>
      <c r="AD35" s="6" t="e">
        <f t="shared" si="28"/>
        <v>#NULL!</v>
      </c>
      <c r="AE35" s="6" t="e">
        <f t="shared" si="28"/>
        <v>#NUM!</v>
      </c>
      <c r="AF35" s="6" t="e">
        <f t="shared" si="28"/>
        <v>#REF!</v>
      </c>
      <c r="AG35" s="8"/>
      <c r="AH35" s="6">
        <f t="array" ref="AH35:AW35">INT(C35:Q35)</f>
        <v>0</v>
      </c>
      <c r="AI35" s="6">
        <v>1</v>
      </c>
      <c r="AJ35" s="6">
        <v>2</v>
      </c>
      <c r="AK35" s="6">
        <v>10</v>
      </c>
      <c r="AL35" s="6">
        <v>-1</v>
      </c>
      <c r="AM35" s="6">
        <v>0</v>
      </c>
      <c r="AN35" s="6" t="e" vm="49">
        <v>#VALUE!</v>
      </c>
      <c r="AO35" s="6">
        <v>1</v>
      </c>
      <c r="AP35" s="6" t="e">
        <v>#VALUE!</v>
      </c>
      <c r="AQ35" s="6" t="e">
        <v>#N/A</v>
      </c>
      <c r="AR35" s="6" t="e">
        <v>#DIV/0!</v>
      </c>
      <c r="AS35" s="6" t="e">
        <v>#NAME?</v>
      </c>
      <c r="AT35" s="6" t="e">
        <v>#NULL!</v>
      </c>
      <c r="AU35" s="6" t="e">
        <v>#NUM!</v>
      </c>
      <c r="AV35" s="6" t="e">
        <v>#REF!</v>
      </c>
      <c r="AW35" s="4" t="e">
        <v>#N/A</v>
      </c>
    </row>
    <row r="36" spans="1:49" x14ac:dyDescent="0.15">
      <c r="A36" s="38" t="s">
        <v>62</v>
      </c>
      <c r="B36" s="37" t="s">
        <v>541</v>
      </c>
      <c r="C36" s="4">
        <v>2.5</v>
      </c>
      <c r="D36" s="4">
        <v>-255.5</v>
      </c>
      <c r="E36" s="4">
        <v>-2.5</v>
      </c>
      <c r="F36" s="4">
        <v>5</v>
      </c>
      <c r="G36" s="4">
        <v>0.23400000000000001</v>
      </c>
      <c r="H36" s="6"/>
      <c r="I36" s="6" t="s">
        <v>32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6">
        <f>ISO.CEILING(C36,1.3)</f>
        <v>2.6</v>
      </c>
      <c r="S36" s="6">
        <f>ISO.CEILING(D36,-2.2)</f>
        <v>-255.20000000000002</v>
      </c>
      <c r="T36" s="6">
        <f>ISO.CEILING(E36,2.3)</f>
        <v>-2.2999999999999998</v>
      </c>
      <c r="U36" s="6">
        <f>ISO.CEILING(F36,0)</f>
        <v>0</v>
      </c>
      <c r="V36" s="6">
        <f>ISO.CEILING(G36,0.01)</f>
        <v>0.24</v>
      </c>
      <c r="W36" s="6">
        <f>ISO.CEILING(H36,-2)</f>
        <v>0</v>
      </c>
      <c r="X36" s="6" t="e" vm="50">
        <f>ISO.CEILING(I36,0)</f>
        <v>#VALUE!</v>
      </c>
      <c r="Y36" s="6">
        <f>ISO.CEILING(J36,0)</f>
        <v>0</v>
      </c>
      <c r="Z36" s="6" t="e">
        <f t="shared" ref="Z36:AF36" si="29">ISO.CEILING(2.3,K36)</f>
        <v>#VALUE!</v>
      </c>
      <c r="AA36" s="6" t="e">
        <f t="shared" si="29"/>
        <v>#N/A</v>
      </c>
      <c r="AB36" s="6" t="e">
        <f t="shared" si="29"/>
        <v>#DIV/0!</v>
      </c>
      <c r="AC36" s="6" t="e">
        <f t="shared" si="29"/>
        <v>#NAME?</v>
      </c>
      <c r="AD36" s="6" t="e">
        <f t="shared" si="29"/>
        <v>#NULL!</v>
      </c>
      <c r="AE36" s="6" t="e">
        <f t="shared" si="29"/>
        <v>#NUM!</v>
      </c>
      <c r="AF36" s="6" t="e">
        <f t="shared" si="29"/>
        <v>#REF!</v>
      </c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9" x14ac:dyDescent="0.15">
      <c r="A37" s="38" t="s">
        <v>63</v>
      </c>
      <c r="B37" s="37" t="s">
        <v>541</v>
      </c>
      <c r="C37" s="4">
        <v>0</v>
      </c>
      <c r="D37" s="4">
        <v>5.7</v>
      </c>
      <c r="E37" s="4">
        <v>15.7</v>
      </c>
      <c r="F37" s="4">
        <v>63</v>
      </c>
      <c r="G37" s="4">
        <v>-0.4</v>
      </c>
      <c r="H37" s="6"/>
      <c r="I37" s="6" t="s">
        <v>32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6">
        <f>LCM(C37)</f>
        <v>0</v>
      </c>
      <c r="S37" s="6">
        <f>LCM(D37)</f>
        <v>5</v>
      </c>
      <c r="T37" s="6">
        <f>LCM(E37,F37)</f>
        <v>315</v>
      </c>
      <c r="U37" s="6" t="e">
        <f>LCM(G37)</f>
        <v>#NUM!</v>
      </c>
      <c r="V37" s="6">
        <f>LCM(C37,F37,E37)</f>
        <v>0</v>
      </c>
      <c r="W37" s="6" t="e">
        <f>LCM(H37)</f>
        <v>#VALUE!</v>
      </c>
      <c r="X37" s="6" t="e">
        <f>LCM(I37)</f>
        <v>#VALUE!</v>
      </c>
      <c r="Y37" s="6" t="e">
        <f>LCM(G37,J37)</f>
        <v>#VALUE!</v>
      </c>
      <c r="Z37" s="6" t="e">
        <f t="shared" ref="Z37:AF37" si="30">LCM(K37)</f>
        <v>#VALUE!</v>
      </c>
      <c r="AA37" s="6" t="e">
        <f t="shared" si="30"/>
        <v>#N/A</v>
      </c>
      <c r="AB37" s="6" t="e">
        <f t="shared" si="30"/>
        <v>#DIV/0!</v>
      </c>
      <c r="AC37" s="6" t="e">
        <f t="shared" si="30"/>
        <v>#NAME?</v>
      </c>
      <c r="AD37" s="6" t="e">
        <f t="shared" si="30"/>
        <v>#NULL!</v>
      </c>
      <c r="AE37" s="6" t="e">
        <f t="shared" si="30"/>
        <v>#NUM!</v>
      </c>
      <c r="AF37" s="6" t="e">
        <f t="shared" si="30"/>
        <v>#REF!</v>
      </c>
      <c r="AG37" s="8"/>
      <c r="AH37" s="6">
        <f t="array" ref="AH37:AK37">LCM(C37:F37)</f>
        <v>0</v>
      </c>
      <c r="AI37" s="6">
        <v>0</v>
      </c>
      <c r="AJ37" s="6">
        <v>0</v>
      </c>
      <c r="AK37" s="6">
        <v>0</v>
      </c>
      <c r="AL37" s="6">
        <f t="array" ref="AL37:AM37">LCM(D37:E37,D37)</f>
        <v>15</v>
      </c>
      <c r="AM37" s="6">
        <v>15</v>
      </c>
      <c r="AN37" s="6">
        <f t="array" ref="AN37:AO37">LCM(C37:D37,E37:F37)</f>
        <v>0</v>
      </c>
      <c r="AO37" s="6">
        <v>0</v>
      </c>
      <c r="AP37" s="6" t="e">
        <f t="array" ref="AP37:AW37">LCM(C34:D34,F34:G34)</f>
        <v>#NUM!</v>
      </c>
      <c r="AQ37" s="6" t="e">
        <v>#NUM!</v>
      </c>
      <c r="AR37" s="6" t="e">
        <v>#NUM!</v>
      </c>
      <c r="AS37" s="6" t="e">
        <v>#NUM!</v>
      </c>
      <c r="AT37" s="6" t="e">
        <v>#NUM!</v>
      </c>
      <c r="AU37" s="6" t="e">
        <v>#NUM!</v>
      </c>
      <c r="AV37" s="6" t="e">
        <v>#NUM!</v>
      </c>
      <c r="AW37" s="4" t="e">
        <v>#NUM!</v>
      </c>
    </row>
    <row r="38" spans="1:49" x14ac:dyDescent="0.15">
      <c r="A38" s="38" t="s">
        <v>1</v>
      </c>
      <c r="B38" s="37" t="s">
        <v>541</v>
      </c>
      <c r="C38" s="4">
        <v>0</v>
      </c>
      <c r="D38" s="4">
        <v>1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6" t="e">
        <f t="shared" ref="R38:AF38" si="31">LN(C38)</f>
        <v>#NUM!</v>
      </c>
      <c r="S38" s="6">
        <f t="shared" si="31"/>
        <v>0</v>
      </c>
      <c r="T38" s="6">
        <f t="shared" si="31"/>
        <v>0.83290912293510388</v>
      </c>
      <c r="U38" s="6">
        <f t="shared" si="31"/>
        <v>2.3025850929940459</v>
      </c>
      <c r="V38" s="6" t="e">
        <f t="shared" si="31"/>
        <v>#NUM!</v>
      </c>
      <c r="W38" s="6" t="e">
        <f t="shared" si="31"/>
        <v>#NUM!</v>
      </c>
      <c r="X38" s="6" t="e" vm="51">
        <f t="shared" si="31"/>
        <v>#VALUE!</v>
      </c>
      <c r="Y38" s="6">
        <f t="shared" si="31"/>
        <v>0</v>
      </c>
      <c r="Z38" s="6" t="e">
        <f t="shared" si="31"/>
        <v>#VALUE!</v>
      </c>
      <c r="AA38" s="6" t="e">
        <f t="shared" si="31"/>
        <v>#N/A</v>
      </c>
      <c r="AB38" s="6" t="e">
        <f t="shared" si="31"/>
        <v>#DIV/0!</v>
      </c>
      <c r="AC38" s="6" t="e">
        <f t="shared" si="31"/>
        <v>#NAME?</v>
      </c>
      <c r="AD38" s="6" t="e">
        <f t="shared" si="31"/>
        <v>#NULL!</v>
      </c>
      <c r="AE38" s="6" t="e">
        <f t="shared" si="31"/>
        <v>#NUM!</v>
      </c>
      <c r="AF38" s="6" t="e">
        <f t="shared" si="31"/>
        <v>#REF!</v>
      </c>
      <c r="AG38" s="8"/>
      <c r="AH38" s="6" t="e">
        <f t="array" ref="AH38:AW38">LN(C38:Q38)</f>
        <v>#NUM!</v>
      </c>
      <c r="AI38" s="6">
        <v>0</v>
      </c>
      <c r="AJ38" s="6">
        <v>0.83290912293510388</v>
      </c>
      <c r="AK38" s="6">
        <v>2.3025850929940459</v>
      </c>
      <c r="AL38" s="6" t="e">
        <v>#NUM!</v>
      </c>
      <c r="AM38" s="6" t="e">
        <v>#NUM!</v>
      </c>
      <c r="AN38" s="6" t="e" vm="51">
        <v>#VALUE!</v>
      </c>
      <c r="AO38" s="6">
        <v>0</v>
      </c>
      <c r="AP38" s="6" t="e">
        <v>#VALUE!</v>
      </c>
      <c r="AQ38" s="6" t="e">
        <v>#N/A</v>
      </c>
      <c r="AR38" s="6" t="e">
        <v>#DIV/0!</v>
      </c>
      <c r="AS38" s="6" t="e">
        <v>#NAME?</v>
      </c>
      <c r="AT38" s="6" t="e">
        <v>#NULL!</v>
      </c>
      <c r="AU38" s="6" t="e">
        <v>#NUM!</v>
      </c>
      <c r="AV38" s="6" t="e">
        <v>#REF!</v>
      </c>
      <c r="AW38" s="4" t="e">
        <v>#N/A</v>
      </c>
    </row>
    <row r="39" spans="1:49" x14ac:dyDescent="0.15">
      <c r="A39" s="38" t="s">
        <v>2</v>
      </c>
      <c r="B39" s="37" t="s">
        <v>541</v>
      </c>
      <c r="C39" s="4">
        <v>0</v>
      </c>
      <c r="D39" s="4">
        <v>1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 t="e">
        <f>LOG(C39,3)</f>
        <v>#NUM!</v>
      </c>
      <c r="S39" s="6">
        <f>LOG(D39,3)</f>
        <v>0</v>
      </c>
      <c r="T39" s="6" t="e">
        <f>LOG(E39,0)</f>
        <v>#NUM!</v>
      </c>
      <c r="U39" s="6">
        <f>LOG(F39,3)</f>
        <v>2.0959032742893848</v>
      </c>
      <c r="V39" s="6" t="e">
        <f>LOG(G39,3)</f>
        <v>#NUM!</v>
      </c>
      <c r="W39" s="6" t="e">
        <f>LOG(H39,3)</f>
        <v>#NUM!</v>
      </c>
      <c r="X39" s="6" t="e" vm="52">
        <f>LOG(I39,3)</f>
        <v>#VALUE!</v>
      </c>
      <c r="Y39" s="6">
        <f>LOG(J39,3)</f>
        <v>0</v>
      </c>
      <c r="Z39" s="6" t="e">
        <f t="shared" ref="Z39:AF39" si="32">LOG(K39,3)</f>
        <v>#VALUE!</v>
      </c>
      <c r="AA39" s="6" t="e">
        <f t="shared" si="32"/>
        <v>#N/A</v>
      </c>
      <c r="AB39" s="6" t="e">
        <f t="shared" si="32"/>
        <v>#DIV/0!</v>
      </c>
      <c r="AC39" s="6" t="e">
        <f t="shared" si="32"/>
        <v>#NAME?</v>
      </c>
      <c r="AD39" s="6" t="e">
        <f t="shared" si="32"/>
        <v>#NULL!</v>
      </c>
      <c r="AE39" s="6" t="e">
        <f t="shared" si="32"/>
        <v>#NUM!</v>
      </c>
      <c r="AF39" s="6" t="e">
        <f t="shared" si="32"/>
        <v>#REF!</v>
      </c>
      <c r="AG39" s="8"/>
      <c r="AH39" s="6" t="e">
        <f t="array" ref="AH39:AW39">LOG(C39:P39,D39:Q39)</f>
        <v>#NUM!</v>
      </c>
      <c r="AI39" s="6">
        <v>0</v>
      </c>
      <c r="AJ39" s="6">
        <v>0.36172783601759279</v>
      </c>
      <c r="AK39" s="6" t="e">
        <v>#NUM!</v>
      </c>
      <c r="AL39" s="6" t="e">
        <v>#NUM!</v>
      </c>
      <c r="AM39" s="6" t="e" vm="52">
        <v>#VALUE!</v>
      </c>
      <c r="AN39" s="6" t="e" vm="52">
        <v>#VALUE!</v>
      </c>
      <c r="AO39" s="6" t="e">
        <v>#VALUE!</v>
      </c>
      <c r="AP39" s="6" t="e">
        <v>#VALUE!</v>
      </c>
      <c r="AQ39" s="6" t="e">
        <v>#N/A</v>
      </c>
      <c r="AR39" s="6" t="e">
        <v>#DIV/0!</v>
      </c>
      <c r="AS39" s="6" t="e">
        <v>#NAME?</v>
      </c>
      <c r="AT39" s="6" t="e">
        <v>#NULL!</v>
      </c>
      <c r="AU39" s="6" t="e">
        <v>#NUM!</v>
      </c>
      <c r="AV39" s="6" t="e">
        <v>#N/A</v>
      </c>
      <c r="AW39" s="4" t="e">
        <v>#N/A</v>
      </c>
    </row>
    <row r="40" spans="1:49" x14ac:dyDescent="0.15">
      <c r="A40" s="38" t="s">
        <v>64</v>
      </c>
      <c r="B40" s="37" t="s">
        <v>541</v>
      </c>
      <c r="C40" s="4">
        <v>0</v>
      </c>
      <c r="D40" s="4">
        <v>1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 t="e">
        <f t="shared" ref="R40:Y40" si="33">LOG10(C40)</f>
        <v>#NUM!</v>
      </c>
      <c r="S40" s="6">
        <f t="shared" si="33"/>
        <v>0</v>
      </c>
      <c r="T40" s="6">
        <f t="shared" si="33"/>
        <v>0.36172783601759284</v>
      </c>
      <c r="U40" s="6">
        <f t="shared" si="33"/>
        <v>1</v>
      </c>
      <c r="V40" s="6" t="e">
        <f t="shared" si="33"/>
        <v>#NUM!</v>
      </c>
      <c r="W40" s="6" t="e">
        <f t="shared" si="33"/>
        <v>#NUM!</v>
      </c>
      <c r="X40" s="6" t="e" vm="53">
        <f t="shared" si="33"/>
        <v>#VALUE!</v>
      </c>
      <c r="Y40" s="6">
        <f t="shared" si="33"/>
        <v>0</v>
      </c>
      <c r="Z40" s="6" t="e">
        <f t="shared" ref="Z40:AF40" si="34">LOG10(K40)</f>
        <v>#VALUE!</v>
      </c>
      <c r="AA40" s="6" t="e">
        <f t="shared" si="34"/>
        <v>#N/A</v>
      </c>
      <c r="AB40" s="6" t="e">
        <f t="shared" si="34"/>
        <v>#DIV/0!</v>
      </c>
      <c r="AC40" s="6" t="e">
        <f t="shared" si="34"/>
        <v>#NAME?</v>
      </c>
      <c r="AD40" s="6" t="e">
        <f t="shared" si="34"/>
        <v>#NULL!</v>
      </c>
      <c r="AE40" s="6" t="e">
        <f t="shared" si="34"/>
        <v>#NUM!</v>
      </c>
      <c r="AF40" s="6" t="e">
        <f t="shared" si="34"/>
        <v>#REF!</v>
      </c>
      <c r="AG40" s="8"/>
      <c r="AH40" s="6" t="e">
        <f t="array" ref="AH40:AW40">LOG10(C40:Q40)</f>
        <v>#NUM!</v>
      </c>
      <c r="AI40" s="6">
        <v>0</v>
      </c>
      <c r="AJ40" s="6">
        <v>0.36172783601759284</v>
      </c>
      <c r="AK40" s="6">
        <v>1</v>
      </c>
      <c r="AL40" s="6" t="e">
        <v>#NUM!</v>
      </c>
      <c r="AM40" s="6" t="e">
        <v>#NUM!</v>
      </c>
      <c r="AN40" s="6" t="e" vm="53">
        <v>#VALUE!</v>
      </c>
      <c r="AO40" s="6">
        <v>0</v>
      </c>
      <c r="AP40" s="6" t="e">
        <v>#VALUE!</v>
      </c>
      <c r="AQ40" s="6" t="e">
        <v>#N/A</v>
      </c>
      <c r="AR40" s="6" t="e">
        <v>#DIV/0!</v>
      </c>
      <c r="AS40" s="6" t="e">
        <v>#NAME?</v>
      </c>
      <c r="AT40" s="6" t="e">
        <v>#NULL!</v>
      </c>
      <c r="AU40" s="6" t="e">
        <v>#NUM!</v>
      </c>
      <c r="AV40" s="6" t="e">
        <v>#REF!</v>
      </c>
      <c r="AW40" s="4" t="e">
        <v>#N/A</v>
      </c>
    </row>
    <row r="41" spans="1:49" x14ac:dyDescent="0.15">
      <c r="A41" s="38" t="s">
        <v>65</v>
      </c>
      <c r="B41" s="37" t="s">
        <v>541</v>
      </c>
      <c r="C41" s="4">
        <v>1</v>
      </c>
      <c r="D41" s="4">
        <v>1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6">
        <f>MDETERM(C41:D42)</f>
        <v>0</v>
      </c>
      <c r="S41" s="6">
        <f>MDETERM(D41:E42)</f>
        <v>0</v>
      </c>
      <c r="T41" s="6">
        <f t="shared" ref="T41:AF41" si="35">MDETERM(E41:F42)</f>
        <v>0</v>
      </c>
      <c r="U41" s="6">
        <f t="shared" si="35"/>
        <v>0</v>
      </c>
      <c r="V41" s="6" t="e">
        <f t="shared" si="35"/>
        <v>#VALUE!</v>
      </c>
      <c r="W41" s="6" t="e">
        <f t="shared" si="35"/>
        <v>#VALUE!</v>
      </c>
      <c r="X41" s="6" t="e">
        <f t="shared" si="35"/>
        <v>#VALUE!</v>
      </c>
      <c r="Y41" s="6" t="e">
        <f t="shared" si="35"/>
        <v>#VALUE!</v>
      </c>
      <c r="Z41" s="6" t="e">
        <f t="shared" si="35"/>
        <v>#VALUE!</v>
      </c>
      <c r="AA41" s="6" t="e">
        <f t="shared" si="35"/>
        <v>#N/A</v>
      </c>
      <c r="AB41" s="6" t="e">
        <f t="shared" si="35"/>
        <v>#DIV/0!</v>
      </c>
      <c r="AC41" s="6" t="e">
        <f t="shared" si="35"/>
        <v>#NAME?</v>
      </c>
      <c r="AD41" s="6" t="e">
        <f t="shared" si="35"/>
        <v>#NULL!</v>
      </c>
      <c r="AE41" s="6" t="e">
        <f t="shared" si="35"/>
        <v>#NUM!</v>
      </c>
      <c r="AF41" s="6" t="e">
        <f t="shared" si="35"/>
        <v>#REF!</v>
      </c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x14ac:dyDescent="0.15">
      <c r="A42" s="38" t="s">
        <v>66</v>
      </c>
      <c r="B42" s="37" t="s">
        <v>541</v>
      </c>
      <c r="C42" s="4">
        <v>1</v>
      </c>
      <c r="D42" s="4">
        <v>1</v>
      </c>
      <c r="E42" s="4">
        <v>2.2999999999999998</v>
      </c>
      <c r="F42" s="4">
        <v>10</v>
      </c>
      <c r="G42" s="4">
        <v>-1</v>
      </c>
      <c r="H42" s="6"/>
      <c r="I42" s="6" t="s">
        <v>32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6">
        <f t="array" ref="R42">MINVERSE(C42:D43)</f>
        <v>1</v>
      </c>
      <c r="S42" s="6"/>
      <c r="T42" s="6" t="e" cm="1">
        <f t="array" ref="T42">MINVERSE(E42:F43)</f>
        <v>#NUM!</v>
      </c>
      <c r="U42" s="6" t="e" cm="1">
        <f t="array" ref="U42">MINVERSE(F42:G43)</f>
        <v>#NUM!</v>
      </c>
      <c r="V42" s="6" t="e">
        <f>SUM(MINVERSE({1,1;1,1}))</f>
        <v>#NUM!</v>
      </c>
      <c r="W42" s="6" t="e" cm="1">
        <f t="array" ref="W42">MINVERSE({1,3,8,5;1,3,6,1})</f>
        <v>#VALUE!</v>
      </c>
      <c r="X42" s="6" t="e" cm="1">
        <f t="array" ref="X42">MINVERSE(F42:G43)</f>
        <v>#NUM!</v>
      </c>
      <c r="Y42" s="6" t="e" cm="1">
        <f t="array" ref="Y42">MINVERSE(G42:H43)</f>
        <v>#VALUE!</v>
      </c>
      <c r="Z42" s="6" t="e" cm="1">
        <f t="array" ref="Z42">MINVERSE(H42:I43)</f>
        <v>#VALUE!</v>
      </c>
      <c r="AA42" s="6" t="e" cm="1">
        <f t="array" ref="AA42">MINVERSE(I42:J43)</f>
        <v>#VALUE!</v>
      </c>
      <c r="AB42" s="6" t="e" cm="1">
        <f t="array" ref="AB42">MINVERSE(J42:K43)</f>
        <v>#VALUE!</v>
      </c>
      <c r="AC42" s="6" t="e" cm="1">
        <f t="array" ref="AC42">MINVERSE(K42:L43)</f>
        <v>#VALUE!</v>
      </c>
      <c r="AD42" s="6" t="e" cm="1">
        <f t="array" ref="AD42">MINVERSE(L42:M43)</f>
        <v>#N/A</v>
      </c>
      <c r="AE42" s="6" t="e" cm="1">
        <f t="array" ref="AE42">MINVERSE(M42:N43)</f>
        <v>#DIV/0!</v>
      </c>
      <c r="AF42" s="6" t="e" cm="1">
        <f t="array" ref="AF42">MINVERSE(N42:O43)</f>
        <v>#NAME?</v>
      </c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x14ac:dyDescent="0.15">
      <c r="A43" s="38" t="s">
        <v>67</v>
      </c>
      <c r="B43" s="37" t="s">
        <v>541</v>
      </c>
      <c r="C43" s="4">
        <v>0</v>
      </c>
      <c r="D43" s="4">
        <v>1</v>
      </c>
      <c r="E43" s="4">
        <v>2.2999999999999998</v>
      </c>
      <c r="F43" s="4">
        <v>10</v>
      </c>
      <c r="G43" s="4">
        <v>-1</v>
      </c>
      <c r="H43" s="6"/>
      <c r="I43" s="6" t="s">
        <v>32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6" t="e" cm="1">
        <f t="array" ref="R43">MMULT(C43:D44,E43:F43)</f>
        <v>#VALUE!</v>
      </c>
      <c r="S43" s="6">
        <f t="array" ref="S43">MMULT(D43:E44,F43:F44)</f>
        <v>33</v>
      </c>
      <c r="T43" s="6" cm="1">
        <f t="array" ref="T43">MMULT(E43:F43,G43:G44)</f>
        <v>-32.299999999999997</v>
      </c>
      <c r="U43" s="6" t="e" cm="1">
        <f t="array" ref="U43">MMULT(F43:G43,H43:H44)</f>
        <v>#VALUE!</v>
      </c>
      <c r="V43" s="6" t="e" cm="1">
        <f t="array" ref="V43">MMULT(G43:H43,I43:I44)</f>
        <v>#VALUE!</v>
      </c>
      <c r="W43" s="6" t="e" cm="1">
        <f t="array" ref="W43">MMULT(H43:I43,J43:J44)</f>
        <v>#VALUE!</v>
      </c>
      <c r="X43" s="6" t="e" cm="1">
        <f t="array" ref="X43">MMULT(I43:J43,K43:K44)</f>
        <v>#VALUE!</v>
      </c>
      <c r="Y43" s="6" t="e" cm="1">
        <f t="array" ref="Y43">MMULT(J43:K43,L43:L44)</f>
        <v>#VALUE!</v>
      </c>
      <c r="Z43" s="6" t="e" cm="1">
        <f t="array" ref="Z43">MMULT(K43:L43,M43:M44)</f>
        <v>#VALUE!</v>
      </c>
      <c r="AA43" s="6" t="e" cm="1">
        <f t="array" ref="AA43">MMULT(L43:M43,N43:N44)</f>
        <v>#N/A</v>
      </c>
      <c r="AB43" s="6" t="e" cm="1">
        <f t="array" ref="AB43">MMULT(M43:N43,O43:O44)</f>
        <v>#DIV/0!</v>
      </c>
      <c r="AC43" s="6" t="e" cm="1">
        <f t="array" ref="AC43">MMULT(N43:O43,P43:P44)</f>
        <v>#NAME?</v>
      </c>
      <c r="AD43" s="6" t="e" cm="1">
        <f t="array" ref="AD43">MMULT(O43:P43,Q43:Q44)</f>
        <v>#NULL!</v>
      </c>
      <c r="AE43" s="6" t="e" cm="1">
        <f t="array" ref="AE43">MMULT(P43:Q43,R43:R44)</f>
        <v>#NUM!</v>
      </c>
      <c r="AF43" s="6" t="e" cm="1">
        <f t="array" ref="AF43">MMULT(Q43:R43,S43:S44)</f>
        <v>#REF!</v>
      </c>
      <c r="AG43" s="6" cm="1">
        <f t="array" ref="AG43">MMULT(E43:G43,G43:G45)</f>
        <v>-32.533999999999999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9" x14ac:dyDescent="0.15">
      <c r="A44" s="38" t="s">
        <v>23</v>
      </c>
      <c r="B44" s="37" t="s">
        <v>541</v>
      </c>
      <c r="C44" s="4">
        <v>0</v>
      </c>
      <c r="D44" s="4">
        <v>1</v>
      </c>
      <c r="E44" s="4">
        <v>-2.2000000000000002</v>
      </c>
      <c r="F44" s="4">
        <v>10</v>
      </c>
      <c r="G44" s="4">
        <v>-3</v>
      </c>
      <c r="H44" s="6"/>
      <c r="I44" s="6" t="s">
        <v>32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6" t="e">
        <f>MOD(D44,C44)</f>
        <v>#DIV/0!</v>
      </c>
      <c r="S44" s="6">
        <f>MOD(C44,D44)</f>
        <v>0</v>
      </c>
      <c r="T44" s="6">
        <f>MOD(E44,D44)</f>
        <v>0.79999999999999982</v>
      </c>
      <c r="U44" s="6">
        <f>MOD(G44,F44)</f>
        <v>7</v>
      </c>
      <c r="V44" s="6">
        <f>MOD(C44,G44)</f>
        <v>0</v>
      </c>
      <c r="W44" s="6" t="e">
        <f>MOD(D44,H44)</f>
        <v>#DIV/0!</v>
      </c>
      <c r="X44" s="6" t="e" vm="54">
        <f>MOD(D44,I44)</f>
        <v>#VALUE!</v>
      </c>
      <c r="Y44" s="6">
        <f>MOD(E44,J44)</f>
        <v>0.79999999999999982</v>
      </c>
      <c r="Z44" s="6" t="e">
        <f t="shared" ref="Z44:AE44" si="36">MOD(K44,L44)</f>
        <v>#VALUE!</v>
      </c>
      <c r="AA44" s="6" t="e">
        <f t="shared" si="36"/>
        <v>#N/A</v>
      </c>
      <c r="AB44" s="6" t="e">
        <f t="shared" si="36"/>
        <v>#DIV/0!</v>
      </c>
      <c r="AC44" s="6" t="e">
        <f t="shared" si="36"/>
        <v>#NAME?</v>
      </c>
      <c r="AD44" s="6" t="e">
        <f t="shared" si="36"/>
        <v>#NULL!</v>
      </c>
      <c r="AE44" s="6" t="e">
        <f t="shared" si="36"/>
        <v>#NUM!</v>
      </c>
      <c r="AF44" s="6" t="e">
        <f>MOD(Q44,G44)</f>
        <v>#REF!</v>
      </c>
      <c r="AG44" s="8"/>
      <c r="AH44" s="6" t="e">
        <f t="array" ref="AH44:AW44">MOD(D44:Q44,C44:P44)</f>
        <v>#DIV/0!</v>
      </c>
      <c r="AI44" s="6">
        <v>0.79999999999999982</v>
      </c>
      <c r="AJ44" s="6">
        <v>-1.0000000000000009</v>
      </c>
      <c r="AK44" s="6">
        <v>7</v>
      </c>
      <c r="AL44" s="6">
        <v>0</v>
      </c>
      <c r="AM44" s="6" t="e" vm="54">
        <v>#VALUE!</v>
      </c>
      <c r="AN44" s="6" t="e" vm="54">
        <v>#VALUE!</v>
      </c>
      <c r="AO44" s="6" t="e">
        <v>#VALUE!</v>
      </c>
      <c r="AP44" s="6" t="e">
        <v>#N/A</v>
      </c>
      <c r="AQ44" s="6" t="e">
        <v>#DIV/0!</v>
      </c>
      <c r="AR44" s="6" t="e">
        <v>#NAME?</v>
      </c>
      <c r="AS44" s="6" t="e">
        <v>#NULL!</v>
      </c>
      <c r="AT44" s="6" t="e">
        <v>#NUM!</v>
      </c>
      <c r="AU44" s="6" t="e">
        <v>#REF!</v>
      </c>
      <c r="AV44" s="6" t="e">
        <v>#N/A</v>
      </c>
      <c r="AW44" s="4" t="e">
        <v>#N/A</v>
      </c>
    </row>
    <row r="45" spans="1:49" x14ac:dyDescent="0.15">
      <c r="A45" s="38" t="s">
        <v>68</v>
      </c>
      <c r="B45" s="37" t="s">
        <v>541</v>
      </c>
      <c r="C45" s="4">
        <v>2.5499999999999998</v>
      </c>
      <c r="D45" s="4">
        <v>-222.5</v>
      </c>
      <c r="E45" s="4">
        <v>-2.5499999999999998</v>
      </c>
      <c r="F45" s="4">
        <v>1.5</v>
      </c>
      <c r="G45" s="4">
        <v>0.23400000000000001</v>
      </c>
      <c r="H45" s="6"/>
      <c r="I45" s="6" t="s">
        <v>32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>
        <f>MROUND(C45,"1.4")</f>
        <v>2.8</v>
      </c>
      <c r="S45" s="6">
        <f>MROUND(D45,-2)</f>
        <v>-222</v>
      </c>
      <c r="T45" s="6" t="e">
        <f>MROUND(E45,1)</f>
        <v>#NUM!</v>
      </c>
      <c r="U45" s="6" t="e">
        <f>MROUND(F45,-1)</f>
        <v>#NUM!</v>
      </c>
      <c r="V45" s="6">
        <f>MROUND(G45,1.9)</f>
        <v>0</v>
      </c>
      <c r="W45" s="6">
        <f>MROUND(H45,-2)</f>
        <v>0</v>
      </c>
      <c r="X45" s="6" t="e">
        <f>MROUND(I45,0)</f>
        <v>#VALUE!</v>
      </c>
      <c r="Y45" s="6" t="e">
        <f>MROUND(J45,0)</f>
        <v>#VALUE!</v>
      </c>
      <c r="Z45" s="6" t="e">
        <f>MROUND(K45,J45)</f>
        <v>#VALUE!</v>
      </c>
      <c r="AA45" s="6" t="e">
        <f t="shared" ref="AA45:AF45" si="37">MROUND(L45,K45)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8"/>
      <c r="AH45" s="6" t="e">
        <f t="array" ref="AH45:AL45">MROUND(C45:G45,2)</f>
        <v>#VALUE!</v>
      </c>
      <c r="AI45" s="6" t="e">
        <v>#VALUE!</v>
      </c>
      <c r="AJ45" s="6" t="e">
        <v>#VALUE!</v>
      </c>
      <c r="AK45" s="6" t="e">
        <v>#VALUE!</v>
      </c>
      <c r="AL45" s="6" t="e">
        <v>#VALUE!</v>
      </c>
      <c r="AM45" s="6" t="e">
        <f t="array" ref="AM45:AW45">MROUND(K45:Q45,2)</f>
        <v>#VALUE!</v>
      </c>
      <c r="AN45" s="6" t="e">
        <v>#VALUE!</v>
      </c>
      <c r="AO45" s="6" t="e">
        <v>#VALUE!</v>
      </c>
      <c r="AP45" s="6" t="e">
        <v>#VALUE!</v>
      </c>
      <c r="AQ45" s="6" t="e">
        <v>#VALUE!</v>
      </c>
      <c r="AR45" s="6" t="e">
        <v>#VALUE!</v>
      </c>
      <c r="AS45" s="6" t="e">
        <v>#VALUE!</v>
      </c>
      <c r="AT45" s="6" t="e">
        <v>#VALUE!</v>
      </c>
      <c r="AU45" s="6" t="e">
        <v>#VALUE!</v>
      </c>
      <c r="AV45" s="6" t="e">
        <v>#VALUE!</v>
      </c>
      <c r="AW45" s="4" t="e">
        <v>#VALUE!</v>
      </c>
    </row>
    <row r="46" spans="1:49" x14ac:dyDescent="0.15">
      <c r="A46" s="44" t="s">
        <v>69</v>
      </c>
      <c r="H46" s="6"/>
      <c r="I46" s="6"/>
      <c r="J46" s="6"/>
      <c r="K46" s="6"/>
      <c r="L46" s="6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38" t="s">
        <v>70</v>
      </c>
      <c r="B47" s="37" t="s">
        <v>541</v>
      </c>
      <c r="C47" s="4">
        <v>0</v>
      </c>
      <c r="D47" s="4">
        <v>2</v>
      </c>
      <c r="E47" s="4">
        <v>2.2999999999999998</v>
      </c>
      <c r="F47" s="4">
        <v>-0.2</v>
      </c>
      <c r="G47" s="4">
        <v>-2</v>
      </c>
      <c r="H47" s="6"/>
      <c r="I47" s="6" t="s">
        <v>32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6" t="e" cm="1">
        <f t="array" ref="R47">_xlfn.MUNIT(C47)</f>
        <v>#VALUE!</v>
      </c>
      <c r="S47" s="6">
        <f t="array" ref="S47">_xlfn.MUNIT(D47)</f>
        <v>1</v>
      </c>
      <c r="T47" s="6">
        <f t="array" ref="T47">_xlfn.MUNIT(E47)</f>
        <v>1</v>
      </c>
      <c r="U47" s="6" t="e" cm="1">
        <f t="array" ref="U47">_xlfn.MUNIT(F47)</f>
        <v>#VALUE!</v>
      </c>
      <c r="V47" s="6" t="e" cm="1">
        <f t="array" ref="V47">_xlfn.MUNIT(G47)</f>
        <v>#VALUE!</v>
      </c>
      <c r="W47" s="6" t="e" cm="1">
        <f t="array" ref="W47">_xlfn.MUNIT(H47)</f>
        <v>#VALUE!</v>
      </c>
      <c r="X47" s="6" t="e" cm="1" vm="55">
        <f t="array" ref="X47">_xlfn.MUNIT(I47)</f>
        <v>#VALUE!</v>
      </c>
      <c r="Y47" s="6" cm="1">
        <f t="array" ref="Y47">_xlfn.MUNIT(J47)</f>
        <v>1</v>
      </c>
      <c r="Z47" s="6" t="e" cm="1">
        <f t="array" ref="Z47">_xlfn.MUNIT(K47)</f>
        <v>#VALUE!</v>
      </c>
      <c r="AA47" s="6" t="e" cm="1">
        <f t="array" ref="AA47">_xlfn.MUNIT(L47)</f>
        <v>#N/A</v>
      </c>
      <c r="AB47" s="6" t="e" cm="1">
        <f t="array" ref="AB47">_xlfn.MUNIT(M47)</f>
        <v>#DIV/0!</v>
      </c>
      <c r="AC47" s="6" t="e" cm="1">
        <f t="array" ref="AC47">_xlfn.MUNIT(N47)</f>
        <v>#NAME?</v>
      </c>
      <c r="AD47" s="6" t="e" cm="1">
        <f t="array" ref="AD47">_xlfn.MUNIT(O47)</f>
        <v>#NULL!</v>
      </c>
      <c r="AE47" s="6" t="e" cm="1">
        <f t="array" ref="AE47">_xlfn.MUNIT(P47)</f>
        <v>#NUM!</v>
      </c>
      <c r="AF47" s="6" t="e" cm="1">
        <f t="array" ref="AF47">_xlfn.MUNIT(Q47)</f>
        <v>#REF!</v>
      </c>
      <c r="AG47" s="8" t="e">
        <f t="array" ref="AG47">_xlfn.MUNIT(C47:Q47)</f>
        <v>#VALUE!</v>
      </c>
      <c r="AH47" s="6" t="e">
        <f t="array" ref="AH47:AW47">_xlfn.MUNIT(C47:Q47)</f>
        <v>#VALUE!</v>
      </c>
      <c r="AI47" s="6">
        <v>1</v>
      </c>
      <c r="AJ47" s="6">
        <v>1</v>
      </c>
      <c r="AK47" s="6" t="e">
        <v>#VALUE!</v>
      </c>
      <c r="AL47" s="6" t="e">
        <v>#VALUE!</v>
      </c>
      <c r="AM47" s="6" t="e">
        <v>#VALUE!</v>
      </c>
      <c r="AN47" s="6" t="e" vm="55">
        <v>#VALUE!</v>
      </c>
      <c r="AO47" s="6">
        <v>1</v>
      </c>
      <c r="AP47" s="6" t="e">
        <v>#VALUE!</v>
      </c>
      <c r="AQ47" s="6" t="e">
        <v>#N/A</v>
      </c>
      <c r="AR47" s="6" t="e">
        <v>#DIV/0!</v>
      </c>
      <c r="AS47" s="6" t="e">
        <v>#NAME?</v>
      </c>
      <c r="AT47" s="6" t="e">
        <v>#NULL!</v>
      </c>
      <c r="AU47" s="6" t="e">
        <v>#NUM!</v>
      </c>
      <c r="AV47" s="6" t="e">
        <v>#REF!</v>
      </c>
      <c r="AW47" s="4" t="e">
        <v>#N/A</v>
      </c>
    </row>
    <row r="48" spans="1:49" x14ac:dyDescent="0.15">
      <c r="A48" s="38" t="s">
        <v>71</v>
      </c>
      <c r="B48" s="37" t="s">
        <v>541</v>
      </c>
      <c r="C48" s="4">
        <v>0</v>
      </c>
      <c r="D48" s="4">
        <v>2</v>
      </c>
      <c r="E48" s="4">
        <v>2.2999999999999998</v>
      </c>
      <c r="F48" s="4">
        <v>-0.2</v>
      </c>
      <c r="G48" s="4">
        <v>-2</v>
      </c>
      <c r="H48" s="6"/>
      <c r="I48" s="6" t="s">
        <v>32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6">
        <f>ODD(C48)</f>
        <v>1</v>
      </c>
      <c r="S48" s="6">
        <f t="shared" ref="S48:AF48" si="38">ODD(D48)</f>
        <v>3</v>
      </c>
      <c r="T48" s="6">
        <f t="shared" si="38"/>
        <v>3</v>
      </c>
      <c r="U48" s="6">
        <f t="shared" si="38"/>
        <v>-1</v>
      </c>
      <c r="V48" s="6">
        <f t="shared" si="38"/>
        <v>-3</v>
      </c>
      <c r="W48" s="6">
        <f t="shared" si="38"/>
        <v>1</v>
      </c>
      <c r="X48" s="6" t="e" vm="56">
        <f t="shared" si="38"/>
        <v>#VALUE!</v>
      </c>
      <c r="Y48" s="6">
        <f t="shared" si="38"/>
        <v>1</v>
      </c>
      <c r="Z48" s="6" t="e">
        <f t="shared" si="38"/>
        <v>#VALUE!</v>
      </c>
      <c r="AA48" s="6" t="e">
        <f t="shared" si="38"/>
        <v>#N/A</v>
      </c>
      <c r="AB48" s="6" t="e">
        <f t="shared" si="38"/>
        <v>#DIV/0!</v>
      </c>
      <c r="AC48" s="6" t="e">
        <f t="shared" si="38"/>
        <v>#NAME?</v>
      </c>
      <c r="AD48" s="6" t="e">
        <f t="shared" si="38"/>
        <v>#NULL!</v>
      </c>
      <c r="AE48" s="6" t="e">
        <f t="shared" si="38"/>
        <v>#NUM!</v>
      </c>
      <c r="AF48" s="6" t="e">
        <f t="shared" si="38"/>
        <v>#REF!</v>
      </c>
      <c r="AG48" s="8"/>
      <c r="AH48" s="6">
        <f t="array" ref="AH48:AW48">ODD(C48:Q48)</f>
        <v>1</v>
      </c>
      <c r="AI48" s="6">
        <v>3</v>
      </c>
      <c r="AJ48" s="6">
        <v>3</v>
      </c>
      <c r="AK48" s="6">
        <v>-1</v>
      </c>
      <c r="AL48" s="6">
        <v>-3</v>
      </c>
      <c r="AM48" s="6">
        <v>1</v>
      </c>
      <c r="AN48" s="6" t="e" vm="56">
        <v>#VALUE!</v>
      </c>
      <c r="AO48" s="6">
        <v>1</v>
      </c>
      <c r="AP48" s="6" t="e">
        <v>#VALUE!</v>
      </c>
      <c r="AQ48" s="6" t="e">
        <v>#N/A</v>
      </c>
      <c r="AR48" s="6" t="e">
        <v>#DIV/0!</v>
      </c>
      <c r="AS48" s="6" t="e">
        <v>#NAME?</v>
      </c>
      <c r="AT48" s="6" t="e">
        <v>#NULL!</v>
      </c>
      <c r="AU48" s="6" t="e">
        <v>#NUM!</v>
      </c>
      <c r="AV48" s="6" t="e">
        <v>#REF!</v>
      </c>
      <c r="AW48" s="4" t="e">
        <v>#N/A</v>
      </c>
    </row>
    <row r="49" spans="1:49" x14ac:dyDescent="0.15">
      <c r="A49" s="44" t="s">
        <v>558</v>
      </c>
      <c r="H49" s="6"/>
      <c r="I49" s="6"/>
      <c r="J49" s="6"/>
      <c r="K49" s="6"/>
      <c r="L49" s="6"/>
      <c r="M49" s="7"/>
      <c r="N49" s="7"/>
      <c r="O49" s="7"/>
      <c r="P49" s="7"/>
      <c r="Q49" s="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x14ac:dyDescent="0.15">
      <c r="A50" s="38" t="s">
        <v>72</v>
      </c>
      <c r="B50" s="37" t="s">
        <v>541</v>
      </c>
      <c r="C50" s="5"/>
      <c r="D50" s="5"/>
      <c r="E50" s="5"/>
      <c r="F50" s="5"/>
      <c r="G50" s="5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6">
        <f>PI()</f>
        <v>3.1415926535897931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6">
        <f t="array" ref="AH50:AW50">PI()</f>
        <v>3.1415926535897931</v>
      </c>
      <c r="AI50" s="6">
        <v>3.1415926535897931</v>
      </c>
      <c r="AJ50" s="6">
        <v>3.1415926535897931</v>
      </c>
      <c r="AK50" s="6">
        <v>3.1415926535897931</v>
      </c>
      <c r="AL50" s="6">
        <v>3.1415926535897931</v>
      </c>
      <c r="AM50" s="6">
        <v>3.1415926535897931</v>
      </c>
      <c r="AN50" s="6">
        <v>3.1415926535897931</v>
      </c>
      <c r="AO50" s="6">
        <v>3.1415926535897931</v>
      </c>
      <c r="AP50" s="6">
        <v>3.1415926535897931</v>
      </c>
      <c r="AQ50" s="6">
        <v>3.1415926535897931</v>
      </c>
      <c r="AR50" s="6">
        <v>3.1415926535897931</v>
      </c>
      <c r="AS50" s="6">
        <v>3.1415926535897931</v>
      </c>
      <c r="AT50" s="6">
        <v>3.1415926535897931</v>
      </c>
      <c r="AU50" s="6">
        <v>3.1415926535897931</v>
      </c>
      <c r="AV50" s="6">
        <v>3.1415926535897931</v>
      </c>
      <c r="AW50" s="6">
        <v>3.1415926535897931</v>
      </c>
    </row>
    <row r="51" spans="1:49" x14ac:dyDescent="0.15">
      <c r="A51" s="38" t="s">
        <v>22</v>
      </c>
      <c r="B51" s="37" t="s">
        <v>541</v>
      </c>
      <c r="C51" s="4">
        <v>0</v>
      </c>
      <c r="D51" s="4">
        <v>1</v>
      </c>
      <c r="E51" s="4">
        <v>2.2999999999999998</v>
      </c>
      <c r="F51" s="4">
        <v>10</v>
      </c>
      <c r="G51" s="4">
        <v>-1</v>
      </c>
      <c r="H51" s="6"/>
      <c r="I51" s="6" t="s">
        <v>32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>
        <f>POWER(C51,D51)</f>
        <v>0</v>
      </c>
      <c r="S51" s="6">
        <f>POWER(F51,E51)</f>
        <v>199.52623149688802</v>
      </c>
      <c r="T51" s="6" t="e">
        <f>POWER(C51,C51)</f>
        <v>#NUM!</v>
      </c>
      <c r="U51" s="6" t="e">
        <f>POWER(C51,G51)</f>
        <v>#DIV/0!</v>
      </c>
      <c r="V51" s="6">
        <f>POWER(G51,C51)</f>
        <v>1</v>
      </c>
      <c r="W51" s="6">
        <f>POWER(H51,D51)</f>
        <v>0</v>
      </c>
      <c r="X51" s="6" t="e" vm="57">
        <f>POWER(I51,D51)</f>
        <v>#VALUE!</v>
      </c>
      <c r="Y51" s="6">
        <f>POWER(J51,E51)</f>
        <v>1</v>
      </c>
      <c r="Z51" s="6" t="e">
        <f t="shared" ref="Z51:AE51" si="39">POWER(K51,L51)</f>
        <v>#VALUE!</v>
      </c>
      <c r="AA51" s="6" t="e">
        <f t="shared" si="39"/>
        <v>#N/A</v>
      </c>
      <c r="AB51" s="6" t="e">
        <f t="shared" si="39"/>
        <v>#DIV/0!</v>
      </c>
      <c r="AC51" s="6" t="e">
        <f t="shared" si="39"/>
        <v>#NAME?</v>
      </c>
      <c r="AD51" s="6" t="e">
        <f t="shared" si="39"/>
        <v>#NULL!</v>
      </c>
      <c r="AE51" s="6" t="e">
        <f t="shared" si="39"/>
        <v>#NUM!</v>
      </c>
      <c r="AF51" s="6" t="e">
        <f>POWER(Q51,P51)</f>
        <v>#REF!</v>
      </c>
      <c r="AG51" s="8"/>
      <c r="AH51" s="6">
        <f t="array" ref="AH51:AW51">POWER(D51:Q51,C51:P51)</f>
        <v>1</v>
      </c>
      <c r="AI51" s="6">
        <v>2.2999999999999998</v>
      </c>
      <c r="AJ51" s="6">
        <v>199.52623149688802</v>
      </c>
      <c r="AK51" s="6">
        <v>1</v>
      </c>
      <c r="AL51" s="6" t="e">
        <v>#DIV/0!</v>
      </c>
      <c r="AM51" s="6" t="e" vm="57">
        <v>#VALUE!</v>
      </c>
      <c r="AN51" s="6" t="e" vm="57">
        <v>#VALUE!</v>
      </c>
      <c r="AO51" s="6" t="e">
        <v>#VALUE!</v>
      </c>
      <c r="AP51" s="6" t="e">
        <v>#N/A</v>
      </c>
      <c r="AQ51" s="6" t="e">
        <v>#DIV/0!</v>
      </c>
      <c r="AR51" s="6" t="e">
        <v>#NAME?</v>
      </c>
      <c r="AS51" s="6" t="e">
        <v>#NULL!</v>
      </c>
      <c r="AT51" s="6" t="e">
        <v>#NUM!</v>
      </c>
      <c r="AU51" s="6" t="e">
        <v>#REF!</v>
      </c>
      <c r="AV51" s="6" t="e">
        <v>#N/A</v>
      </c>
      <c r="AW51" s="4" t="e">
        <v>#N/A</v>
      </c>
    </row>
    <row r="52" spans="1:49" x14ac:dyDescent="0.15">
      <c r="A52" s="38" t="s">
        <v>73</v>
      </c>
      <c r="B52" s="37" t="s">
        <v>541</v>
      </c>
      <c r="C52" s="4">
        <v>0.2</v>
      </c>
      <c r="D52" s="4">
        <v>1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6">
        <f>PRODUCT(C52:D52,D52:E52,E52:F52)</f>
        <v>10.579999999999998</v>
      </c>
      <c r="S52" s="6">
        <f>PRODUCT(D52:E52,E52:F52,F52:G52)</f>
        <v>-528.99999999999989</v>
      </c>
      <c r="T52" s="6">
        <f>PRODUCT(F52:G52,F52:G52,D52:E52)</f>
        <v>229.99999999999997</v>
      </c>
      <c r="U52" s="6">
        <f>PRODUCT(F52:G52,C52:D52,D52:E52)</f>
        <v>-4.5999999999999996</v>
      </c>
      <c r="V52" s="6">
        <f>PRODUCT(E52:G52,C52:E52,D52:F52)</f>
        <v>-243.34</v>
      </c>
      <c r="W52" s="6">
        <f>PRODUCT(F52:G52,G52:H52,E52:F52)</f>
        <v>230</v>
      </c>
      <c r="X52" s="6">
        <f>PRODUCT(H52:I52,E52:F52,F52:G52)</f>
        <v>-230</v>
      </c>
      <c r="Y52" s="6">
        <f>PRODUCT(I52:J52,F52:G52,G52:H52)</f>
        <v>10</v>
      </c>
      <c r="Z52" s="6" t="e">
        <f>PRODUCT(K52:L52,C52:D52,D52:E52)</f>
        <v>#VALUE!</v>
      </c>
      <c r="AA52" s="6" t="e">
        <f>PRODUCT(L52:M52,D52:E52,E52:F52)</f>
        <v>#N/A</v>
      </c>
      <c r="AB52" s="6" t="e">
        <f>PRODUCT(M52:N52,E52:F52,F52:G52)</f>
        <v>#DIV/0!</v>
      </c>
      <c r="AC52" s="6" t="e">
        <f>PRODUCT(N52:O52,F52:G52,G52:H52)</f>
        <v>#NAME?</v>
      </c>
      <c r="AD52" s="6" t="e">
        <f>PRODUCT(O52:P52,G52:H52,H52:I52)</f>
        <v>#NULL!</v>
      </c>
      <c r="AE52" s="6" t="e">
        <f>PRODUCT(P52:Q52,H52:I52,I52:K52)</f>
        <v>#NUM!</v>
      </c>
      <c r="AF52" s="6" t="e">
        <f>PRODUCT(Q52:R52,I52:K52,K52:L52)</f>
        <v>#REF!</v>
      </c>
      <c r="AG52" s="6">
        <f>PRODUCT(D52:H52,D52:G52)</f>
        <v>529</v>
      </c>
      <c r="AH52" s="6">
        <f t="array" ref="AH52:AL52">PRODUCT(D52:H52,C52:G52)</f>
        <v>105.8</v>
      </c>
      <c r="AI52" s="6">
        <v>105.8</v>
      </c>
      <c r="AJ52" s="6">
        <v>105.8</v>
      </c>
      <c r="AK52" s="6">
        <v>105.8</v>
      </c>
      <c r="AL52" s="6">
        <v>105.8</v>
      </c>
      <c r="AM52" s="6">
        <f>PRODUCT(D52:I52,C52:H52)</f>
        <v>105.8</v>
      </c>
      <c r="AN52" s="6" t="e">
        <f t="array" ref="AN52:AW52">PRODUCT(L52:Q52,K52:P52)</f>
        <v>#N/A</v>
      </c>
      <c r="AO52" s="6" t="e">
        <v>#N/A</v>
      </c>
      <c r="AP52" s="6" t="e">
        <v>#N/A</v>
      </c>
      <c r="AQ52" s="6" t="e">
        <v>#N/A</v>
      </c>
      <c r="AR52" s="6" t="e">
        <v>#N/A</v>
      </c>
      <c r="AS52" s="6" t="e">
        <v>#N/A</v>
      </c>
      <c r="AT52" s="6" t="e">
        <v>#N/A</v>
      </c>
      <c r="AU52" s="6" t="e">
        <v>#N/A</v>
      </c>
      <c r="AV52" s="6" t="e">
        <v>#N/A</v>
      </c>
      <c r="AW52" s="4" t="e">
        <v>#N/A</v>
      </c>
    </row>
    <row r="53" spans="1:49" x14ac:dyDescent="0.15">
      <c r="A53" s="44" t="s">
        <v>74</v>
      </c>
      <c r="H53" s="6"/>
      <c r="I53" s="6"/>
      <c r="J53" s="6"/>
      <c r="K53" s="6"/>
      <c r="L53" s="6"/>
      <c r="M53" s="7"/>
      <c r="N53" s="7"/>
      <c r="O53" s="7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x14ac:dyDescent="0.15">
      <c r="A54" s="38" t="s">
        <v>20</v>
      </c>
      <c r="B54" s="37" t="s">
        <v>541</v>
      </c>
      <c r="C54" s="4">
        <v>0</v>
      </c>
      <c r="D54" s="4">
        <v>1</v>
      </c>
      <c r="E54" s="4">
        <v>2.2999999999999998</v>
      </c>
      <c r="F54" s="4">
        <v>10</v>
      </c>
      <c r="G54" s="4">
        <v>-1</v>
      </c>
      <c r="H54" s="6"/>
      <c r="I54" s="6" t="s">
        <v>32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 t="shared" ref="R54:AF54" si="40">RADIANS(C54)</f>
        <v>0</v>
      </c>
      <c r="S54" s="6">
        <f t="shared" si="40"/>
        <v>1.7453292519943295E-2</v>
      </c>
      <c r="T54" s="6">
        <f t="shared" si="40"/>
        <v>4.014257279586958E-2</v>
      </c>
      <c r="U54" s="6">
        <f t="shared" si="40"/>
        <v>0.17453292519943295</v>
      </c>
      <c r="V54" s="6">
        <f t="shared" si="40"/>
        <v>-1.7453292519943295E-2</v>
      </c>
      <c r="W54" s="6">
        <f t="shared" si="40"/>
        <v>0</v>
      </c>
      <c r="X54" s="6" t="e" vm="58">
        <f t="shared" si="40"/>
        <v>#VALUE!</v>
      </c>
      <c r="Y54" s="6">
        <f t="shared" si="40"/>
        <v>1.7453292519943295E-2</v>
      </c>
      <c r="Z54" s="6" t="e">
        <f t="shared" si="40"/>
        <v>#VALUE!</v>
      </c>
      <c r="AA54" s="6" t="e">
        <f t="shared" si="40"/>
        <v>#N/A</v>
      </c>
      <c r="AB54" s="6" t="e">
        <f t="shared" si="40"/>
        <v>#DIV/0!</v>
      </c>
      <c r="AC54" s="6" t="e">
        <f t="shared" si="40"/>
        <v>#NAME?</v>
      </c>
      <c r="AD54" s="6" t="e">
        <f t="shared" si="40"/>
        <v>#NULL!</v>
      </c>
      <c r="AE54" s="6" t="e">
        <f t="shared" si="40"/>
        <v>#NUM!</v>
      </c>
      <c r="AF54" s="6" t="e">
        <f t="shared" si="40"/>
        <v>#REF!</v>
      </c>
      <c r="AG54" s="8"/>
      <c r="AH54" s="6">
        <f t="array" ref="AH54:AW54">RADIANS(C54:Q54)</f>
        <v>0</v>
      </c>
      <c r="AI54" s="6">
        <v>1.7453292519943295E-2</v>
      </c>
      <c r="AJ54" s="6">
        <v>4.014257279586958E-2</v>
      </c>
      <c r="AK54" s="6">
        <v>0.17453292519943295</v>
      </c>
      <c r="AL54" s="6">
        <v>-1.7453292519943295E-2</v>
      </c>
      <c r="AM54" s="6">
        <v>0</v>
      </c>
      <c r="AN54" s="6" t="e" vm="58">
        <v>#VALUE!</v>
      </c>
      <c r="AO54" s="6">
        <v>1.7453292519943295E-2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8" t="s">
        <v>75</v>
      </c>
      <c r="B55" s="37" t="s">
        <v>541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9"/>
      <c r="N55" s="9"/>
      <c r="O55" s="9"/>
      <c r="P55" s="9"/>
      <c r="Q55" s="9"/>
      <c r="R55" s="8"/>
      <c r="S55" s="8"/>
      <c r="T55" s="8"/>
      <c r="U55" s="8"/>
      <c r="V55" s="8"/>
      <c r="W55" s="10" t="b">
        <f ca="1">RAND()&lt;=1</f>
        <v>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5"/>
    </row>
    <row r="56" spans="1:49" x14ac:dyDescent="0.15">
      <c r="A56" s="44" t="s">
        <v>506</v>
      </c>
      <c r="H56" s="6"/>
      <c r="I56" s="6"/>
      <c r="J56" s="6"/>
      <c r="K56" s="6"/>
      <c r="L56" s="6"/>
      <c r="M56" s="7"/>
      <c r="N56" s="7"/>
      <c r="O56" s="7"/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9" x14ac:dyDescent="0.15">
      <c r="A57" s="38" t="s">
        <v>76</v>
      </c>
      <c r="B57" s="37" t="s">
        <v>541</v>
      </c>
      <c r="C57" s="4">
        <v>1</v>
      </c>
      <c r="D57" s="4">
        <v>4</v>
      </c>
      <c r="E57" s="4">
        <v>4</v>
      </c>
      <c r="F57" s="4">
        <v>-5</v>
      </c>
      <c r="G57" s="4">
        <v>-3</v>
      </c>
      <c r="H57" s="6"/>
      <c r="I57" s="6" t="s">
        <v>32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 t="b">
        <f ca="1">RANDBETWEEN(C57,D57)&gt;=C57</f>
        <v>1</v>
      </c>
      <c r="S57" s="6">
        <f ca="1">RANDBETWEEN(D57,E57)</f>
        <v>4</v>
      </c>
      <c r="T57" s="6" t="e">
        <f ca="1">RANDBETWEEN(E57,F57)</f>
        <v>#NUM!</v>
      </c>
      <c r="U57" s="6" t="b">
        <f ca="1">RANDBETWEEN(F57,G57)&gt;=F57</f>
        <v>1</v>
      </c>
      <c r="V57" s="6">
        <f ca="1">RANDBETWEEN(H57,H57)</f>
        <v>0</v>
      </c>
      <c r="W57" s="6" t="e">
        <f ca="1">RANDBETWEEN(H57,I57)</f>
        <v>#VALUE!</v>
      </c>
      <c r="X57" s="6" t="e">
        <f ca="1">RANDBETWEEN(G57,J57)</f>
        <v>#VALUE!</v>
      </c>
      <c r="Y57" s="6" t="e">
        <f t="shared" ref="Y57:AE57" ca="1" si="41">RANDBETWEEN(J57,K57)</f>
        <v>#VALUE!</v>
      </c>
      <c r="Z57" s="6" t="e">
        <f ca="1">RANDBETWEEN(K57,L57)</f>
        <v>#VALUE!</v>
      </c>
      <c r="AA57" s="6" t="e">
        <f ca="1">RANDBETWEEN(L57,M57)</f>
        <v>#N/A</v>
      </c>
      <c r="AB57" s="6" t="e">
        <f ca="1">RANDBETWEEN(M57,N57)</f>
        <v>#DIV/0!</v>
      </c>
      <c r="AC57" s="6" t="e">
        <f ca="1">RANDBETWEEN(N57,O57)</f>
        <v>#NAME?</v>
      </c>
      <c r="AD57" s="6" t="e">
        <f t="shared" ca="1" si="41"/>
        <v>#NULL!</v>
      </c>
      <c r="AE57" s="6" t="e">
        <f t="shared" ca="1" si="41"/>
        <v>#NUM!</v>
      </c>
      <c r="AF57" s="6" t="e">
        <f ca="1">RANDBETWEEN(Q57,P57)</f>
        <v>#REF!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5"/>
    </row>
    <row r="58" spans="1:49" x14ac:dyDescent="0.15">
      <c r="A58" s="38" t="s">
        <v>77</v>
      </c>
      <c r="B58" s="37" t="s">
        <v>541</v>
      </c>
      <c r="C58" s="4">
        <v>0</v>
      </c>
      <c r="D58" s="4">
        <v>1.9</v>
      </c>
      <c r="E58" s="4">
        <v>2.9</v>
      </c>
      <c r="F58" s="4">
        <v>3.9</v>
      </c>
      <c r="G58" s="4">
        <v>4.9000000000000004</v>
      </c>
      <c r="H58" s="6"/>
      <c r="I58" s="6" t="s">
        <v>32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 t="str">
        <f>ROMAN(999.9)</f>
        <v>CMXCIX</v>
      </c>
      <c r="S58" s="6" t="str">
        <f>ROMAN(999.9,D58)</f>
        <v>LMVLIV</v>
      </c>
      <c r="T58" s="6" t="str">
        <f t="shared" ref="T58:AF58" si="42">ROMAN(999.9,E58)</f>
        <v>XMIX</v>
      </c>
      <c r="U58" s="6" t="str">
        <f t="shared" si="42"/>
        <v>VMIV</v>
      </c>
      <c r="V58" s="6" t="str">
        <f t="shared" si="42"/>
        <v>IM</v>
      </c>
      <c r="W58" s="6" t="str">
        <f>ROMAN(999.9,H58)</f>
        <v>CMXCIX</v>
      </c>
      <c r="X58" s="6" t="e" vm="59">
        <f t="shared" si="42"/>
        <v>#VALUE!</v>
      </c>
      <c r="Y58" s="6" t="str">
        <f>ROMAN(999.9,J58)</f>
        <v>CMXCIX</v>
      </c>
      <c r="Z58" s="6" t="e">
        <f t="shared" si="42"/>
        <v>#VALUE!</v>
      </c>
      <c r="AA58" s="6" t="e">
        <f t="shared" si="42"/>
        <v>#N/A</v>
      </c>
      <c r="AB58" s="6" t="e">
        <f t="shared" si="42"/>
        <v>#DIV/0!</v>
      </c>
      <c r="AC58" s="6" t="e">
        <f t="shared" si="42"/>
        <v>#NAME?</v>
      </c>
      <c r="AD58" s="6" t="e">
        <f t="shared" si="42"/>
        <v>#NULL!</v>
      </c>
      <c r="AE58" s="6" t="e">
        <f t="shared" si="42"/>
        <v>#NUM!</v>
      </c>
      <c r="AF58" s="6" t="e">
        <f t="shared" si="42"/>
        <v>#REF!</v>
      </c>
      <c r="AG58" s="8"/>
      <c r="AH58" s="6" t="str">
        <f t="array" ref="AH58:AW58">ROMAN(C58:Q58)</f>
        <v/>
      </c>
      <c r="AI58" s="6" t="str">
        <v>I</v>
      </c>
      <c r="AJ58" s="6" t="str">
        <v>II</v>
      </c>
      <c r="AK58" s="6" t="str">
        <v>III</v>
      </c>
      <c r="AL58" s="6" t="str">
        <v>IV</v>
      </c>
      <c r="AM58" s="6" t="str">
        <v/>
      </c>
      <c r="AN58" s="6" t="e" vm="59">
        <v>#VALUE!</v>
      </c>
      <c r="AO58" s="6" t="str">
        <v>I</v>
      </c>
      <c r="AP58" s="6" t="e">
        <v>#VALUE!</v>
      </c>
      <c r="AQ58" s="6" t="e">
        <v>#N/A</v>
      </c>
      <c r="AR58" s="6" t="e">
        <v>#DIV/0!</v>
      </c>
      <c r="AS58" s="6" t="e">
        <v>#NAME?</v>
      </c>
      <c r="AT58" s="6" t="e">
        <v>#NULL!</v>
      </c>
      <c r="AU58" s="6" t="e">
        <v>#NUM!</v>
      </c>
      <c r="AV58" s="6" t="e">
        <v>#REF!</v>
      </c>
      <c r="AW58" s="4" t="e">
        <v>#N/A</v>
      </c>
    </row>
    <row r="59" spans="1:49" x14ac:dyDescent="0.15">
      <c r="A59" s="38" t="s">
        <v>78</v>
      </c>
      <c r="B59" s="37" t="s">
        <v>541</v>
      </c>
      <c r="C59" s="4">
        <v>2.5499999999999998</v>
      </c>
      <c r="D59" s="4">
        <v>-222.5</v>
      </c>
      <c r="E59" s="4">
        <v>-2.5499999999999998</v>
      </c>
      <c r="F59" s="4">
        <v>1.5</v>
      </c>
      <c r="G59" s="4">
        <v>0.23400000000000001</v>
      </c>
      <c r="H59" s="6"/>
      <c r="I59" s="6" t="s">
        <v>32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>ROUND(C59,1)</f>
        <v>2.6</v>
      </c>
      <c r="S59" s="6">
        <f>ROUND(D59,-2)</f>
        <v>-200</v>
      </c>
      <c r="T59" s="6">
        <f>ROUND(E59,1)</f>
        <v>-2.6</v>
      </c>
      <c r="U59" s="6">
        <f>ROUND(F59,0)</f>
        <v>2</v>
      </c>
      <c r="V59" s="6">
        <f>ROUND(G59,1.9)</f>
        <v>0.2</v>
      </c>
      <c r="W59" s="6">
        <f>ROUND(H59,-2)</f>
        <v>0</v>
      </c>
      <c r="X59" s="6" t="e" vm="60">
        <f>ROUND(I59,0)</f>
        <v>#VALUE!</v>
      </c>
      <c r="Y59" s="6">
        <f>ROUND(J59,0)</f>
        <v>1</v>
      </c>
      <c r="Z59" s="6" t="e">
        <f t="shared" ref="Z59:AF59" si="43">ROUND(K59,J59)</f>
        <v>#VALUE!</v>
      </c>
      <c r="AA59" s="6" t="e">
        <f t="shared" si="43"/>
        <v>#N/A</v>
      </c>
      <c r="AB59" s="6" t="e">
        <f t="shared" si="43"/>
        <v>#DIV/0!</v>
      </c>
      <c r="AC59" s="6" t="e">
        <f t="shared" si="43"/>
        <v>#NAME?</v>
      </c>
      <c r="AD59" s="6" t="e">
        <f t="shared" si="43"/>
        <v>#NULL!</v>
      </c>
      <c r="AE59" s="6" t="e">
        <f t="shared" si="43"/>
        <v>#NUM!</v>
      </c>
      <c r="AF59" s="6" t="e">
        <f t="shared" si="43"/>
        <v>#REF!</v>
      </c>
      <c r="AG59" s="8"/>
      <c r="AH59" s="6">
        <f t="array" ref="AH59:AW59">ROUND(C59:P59,D59:Q59)</f>
        <v>0</v>
      </c>
      <c r="AI59" s="6">
        <v>-200</v>
      </c>
      <c r="AJ59" s="6">
        <v>-2.6</v>
      </c>
      <c r="AK59" s="6">
        <v>2</v>
      </c>
      <c r="AL59" s="6">
        <v>0</v>
      </c>
      <c r="AM59" s="6" t="e" vm="60">
        <v>#VALUE!</v>
      </c>
      <c r="AN59" s="6" t="e" vm="60">
        <v>#VALUE!</v>
      </c>
      <c r="AO59" s="6" t="e">
        <v>#VALUE!</v>
      </c>
      <c r="AP59" s="6" t="e">
        <v>#VALUE!</v>
      </c>
      <c r="AQ59" s="6" t="e">
        <v>#N/A</v>
      </c>
      <c r="AR59" s="6" t="e">
        <v>#DIV/0!</v>
      </c>
      <c r="AS59" s="6" t="e">
        <v>#NAME?</v>
      </c>
      <c r="AT59" s="6" t="e">
        <v>#NULL!</v>
      </c>
      <c r="AU59" s="6" t="e">
        <v>#NUM!</v>
      </c>
      <c r="AV59" s="6" t="e">
        <v>#N/A</v>
      </c>
      <c r="AW59" s="4" t="e">
        <v>#N/A</v>
      </c>
    </row>
    <row r="60" spans="1:49" x14ac:dyDescent="0.15">
      <c r="A60" s="38" t="s">
        <v>79</v>
      </c>
      <c r="B60" s="37" t="s">
        <v>541</v>
      </c>
      <c r="C60" s="4">
        <v>2.5499999999999998</v>
      </c>
      <c r="D60" s="4">
        <v>-255.5</v>
      </c>
      <c r="E60" s="4">
        <v>-2.5499999999999998</v>
      </c>
      <c r="F60" s="4">
        <v>1.5</v>
      </c>
      <c r="G60" s="4">
        <v>0.23400000000000001</v>
      </c>
      <c r="H60" s="6"/>
      <c r="I60" s="6" t="s">
        <v>32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>
        <f>ROUNDDOWN(C60,1)</f>
        <v>2.5</v>
      </c>
      <c r="S60" s="6">
        <f>ROUNDDOWN(D60,-2)</f>
        <v>-200</v>
      </c>
      <c r="T60" s="6">
        <f>ROUNDDOWN(E60,1)</f>
        <v>-2.5</v>
      </c>
      <c r="U60" s="6">
        <f>ROUNDDOWN(F60,0)</f>
        <v>1</v>
      </c>
      <c r="V60" s="6">
        <f>ROUNDDOWN(G60,1.9)</f>
        <v>0.2</v>
      </c>
      <c r="W60" s="6">
        <f>ROUNDDOWN(H60,-2)</f>
        <v>0</v>
      </c>
      <c r="X60" s="6" t="e" vm="61">
        <f>ROUNDDOWN(I60,0)</f>
        <v>#VALUE!</v>
      </c>
      <c r="Y60" s="6">
        <f>ROUNDDOWN(J60,0)</f>
        <v>1</v>
      </c>
      <c r="Z60" s="6" t="e">
        <f t="shared" ref="Z60:AF60" si="44">ROUNDDOWN(K60,J60)</f>
        <v>#VALUE!</v>
      </c>
      <c r="AA60" s="6" t="e">
        <f t="shared" si="44"/>
        <v>#N/A</v>
      </c>
      <c r="AB60" s="6" t="e">
        <f t="shared" si="44"/>
        <v>#DIV/0!</v>
      </c>
      <c r="AC60" s="6" t="e">
        <f t="shared" si="44"/>
        <v>#NAME?</v>
      </c>
      <c r="AD60" s="6" t="e">
        <f t="shared" si="44"/>
        <v>#NULL!</v>
      </c>
      <c r="AE60" s="6" t="e">
        <f t="shared" si="44"/>
        <v>#NUM!</v>
      </c>
      <c r="AF60" s="6" t="e">
        <f t="shared" si="44"/>
        <v>#REF!</v>
      </c>
      <c r="AG60" s="8"/>
      <c r="AH60" s="6">
        <f t="array" ref="AH60:AW60">ROUNDDOWN(C60:P60,D60:Q60)</f>
        <v>0</v>
      </c>
      <c r="AI60" s="6">
        <v>-200</v>
      </c>
      <c r="AJ60" s="6">
        <v>-2.5</v>
      </c>
      <c r="AK60" s="6">
        <v>1</v>
      </c>
      <c r="AL60" s="6">
        <v>0</v>
      </c>
      <c r="AM60" s="6" t="e" vm="61">
        <v>#VALUE!</v>
      </c>
      <c r="AN60" s="6" t="e" vm="61">
        <v>#VALUE!</v>
      </c>
      <c r="AO60" s="6" t="e">
        <v>#VALUE!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#N/A</v>
      </c>
      <c r="AW60" s="4" t="e">
        <v>#N/A</v>
      </c>
    </row>
    <row r="61" spans="1:49" x14ac:dyDescent="0.15">
      <c r="A61" s="38" t="s">
        <v>80</v>
      </c>
      <c r="B61" s="37" t="s">
        <v>541</v>
      </c>
      <c r="C61" s="4">
        <v>2.5499999999999998</v>
      </c>
      <c r="D61" s="4">
        <v>-255.5</v>
      </c>
      <c r="E61" s="4">
        <v>-2.5499999999999998</v>
      </c>
      <c r="F61" s="4">
        <v>1.5</v>
      </c>
      <c r="G61" s="4">
        <v>0.23400000000000001</v>
      </c>
      <c r="H61" s="6"/>
      <c r="I61" s="6" t="s">
        <v>32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ROUNDUP(C61,1)</f>
        <v>2.6</v>
      </c>
      <c r="S61" s="6">
        <f>ROUNDUP(D61,-2)</f>
        <v>-300</v>
      </c>
      <c r="T61" s="6">
        <f>ROUNDUP(E61,1)</f>
        <v>-2.6</v>
      </c>
      <c r="U61" s="6">
        <f>ROUNDUP(F61,0)</f>
        <v>2</v>
      </c>
      <c r="V61" s="6">
        <f>ROUNDUP(G61,1.2)</f>
        <v>0.30000000000000004</v>
      </c>
      <c r="W61" s="6">
        <f>ROUNDUP(H61,-2)</f>
        <v>0</v>
      </c>
      <c r="X61" s="6" t="e" vm="62">
        <f>ROUNDUP(I61,0)</f>
        <v>#VALUE!</v>
      </c>
      <c r="Y61" s="6">
        <f>ROUNDUP(J61,0)</f>
        <v>1</v>
      </c>
      <c r="Z61" s="6" t="e">
        <f t="shared" ref="Z61:AF61" si="45">ROUNDUP(K61,J61)</f>
        <v>#VALUE!</v>
      </c>
      <c r="AA61" s="6" t="e">
        <f t="shared" si="45"/>
        <v>#N/A</v>
      </c>
      <c r="AB61" s="6" t="e">
        <f t="shared" si="45"/>
        <v>#DIV/0!</v>
      </c>
      <c r="AC61" s="6" t="e">
        <f t="shared" si="45"/>
        <v>#NAME?</v>
      </c>
      <c r="AD61" s="6" t="e">
        <f t="shared" si="45"/>
        <v>#NULL!</v>
      </c>
      <c r="AE61" s="6" t="e">
        <f t="shared" si="45"/>
        <v>#NUM!</v>
      </c>
      <c r="AF61" s="6" t="e">
        <f t="shared" si="45"/>
        <v>#REF!</v>
      </c>
      <c r="AG61" s="8"/>
      <c r="AH61" s="6">
        <f t="array" ref="AH61:AW61">ROUNDUP(C61:P61,D61:Q61)</f>
        <v>9.9999999999999999E+254</v>
      </c>
      <c r="AI61" s="6">
        <v>-300</v>
      </c>
      <c r="AJ61" s="6">
        <v>-2.6</v>
      </c>
      <c r="AK61" s="6">
        <v>2</v>
      </c>
      <c r="AL61" s="6">
        <v>1</v>
      </c>
      <c r="AM61" s="6" t="e" vm="62">
        <v>#VALUE!</v>
      </c>
      <c r="AN61" s="6" t="e" vm="62">
        <v>#VALUE!</v>
      </c>
      <c r="AO61" s="6" t="e">
        <v>#VALUE!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#N/A</v>
      </c>
      <c r="AW61" s="4" t="e">
        <v>#N/A</v>
      </c>
    </row>
    <row r="62" spans="1:49" x14ac:dyDescent="0.15">
      <c r="A62" s="38" t="s">
        <v>81</v>
      </c>
      <c r="B62" s="37" t="s">
        <v>541</v>
      </c>
      <c r="C62" s="4">
        <v>0</v>
      </c>
      <c r="D62" s="4">
        <v>1</v>
      </c>
      <c r="E62" s="4">
        <v>2.2999999999999998</v>
      </c>
      <c r="F62" s="4">
        <v>10</v>
      </c>
      <c r="G62" s="4">
        <v>-1</v>
      </c>
      <c r="H62" s="6"/>
      <c r="I62" s="6" t="s">
        <v>32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_xlfn.SEC(C62)</f>
        <v>1</v>
      </c>
      <c r="S62" s="6">
        <f t="shared" ref="S62:AF62" si="46">_xlfn.SEC(D62)</f>
        <v>1.8508157176809255</v>
      </c>
      <c r="T62" s="6">
        <f t="shared" si="46"/>
        <v>-1.500879467460255</v>
      </c>
      <c r="U62" s="6">
        <f t="shared" si="46"/>
        <v>-1.1917935066878957</v>
      </c>
      <c r="V62" s="6">
        <f t="shared" si="46"/>
        <v>1.8508157176809255</v>
      </c>
      <c r="W62" s="6">
        <f t="shared" si="46"/>
        <v>1</v>
      </c>
      <c r="X62" s="6" t="e" vm="63">
        <f t="shared" si="46"/>
        <v>#VALUE!</v>
      </c>
      <c r="Y62" s="6">
        <f t="shared" si="46"/>
        <v>1.8508157176809255</v>
      </c>
      <c r="Z62" s="6" t="e">
        <f t="shared" si="46"/>
        <v>#VALUE!</v>
      </c>
      <c r="AA62" s="6" t="e">
        <f t="shared" si="46"/>
        <v>#N/A</v>
      </c>
      <c r="AB62" s="6" t="e">
        <f t="shared" si="46"/>
        <v>#DIV/0!</v>
      </c>
      <c r="AC62" s="6" t="e">
        <f t="shared" si="46"/>
        <v>#NAME?</v>
      </c>
      <c r="AD62" s="6" t="e">
        <f t="shared" si="46"/>
        <v>#NULL!</v>
      </c>
      <c r="AE62" s="6" t="e">
        <f t="shared" si="46"/>
        <v>#NUM!</v>
      </c>
      <c r="AF62" s="6" t="e">
        <f t="shared" si="46"/>
        <v>#REF!</v>
      </c>
      <c r="AG62" s="8"/>
      <c r="AH62" s="6">
        <f t="array" ref="AH62:AW62">_xlfn.SEC(C62:Q62)</f>
        <v>1</v>
      </c>
      <c r="AI62" s="6">
        <v>1.8508157176809255</v>
      </c>
      <c r="AJ62" s="6">
        <v>-1.500879467460255</v>
      </c>
      <c r="AK62" s="6">
        <v>-1.1917935066878957</v>
      </c>
      <c r="AL62" s="6">
        <v>1.8508157176809255</v>
      </c>
      <c r="AM62" s="6">
        <v>1</v>
      </c>
      <c r="AN62" s="6" t="e" vm="63">
        <v>#VALUE!</v>
      </c>
      <c r="AO62" s="6">
        <v>1.8508157176809255</v>
      </c>
      <c r="AP62" s="6" t="e">
        <v>#VALUE!</v>
      </c>
      <c r="AQ62" s="6" t="e">
        <v>#N/A</v>
      </c>
      <c r="AR62" s="6" t="e">
        <v>#DIV/0!</v>
      </c>
      <c r="AS62" s="6" t="e">
        <v>#NAME?</v>
      </c>
      <c r="AT62" s="6" t="e">
        <v>#NULL!</v>
      </c>
      <c r="AU62" s="6" t="e">
        <v>#NUM!</v>
      </c>
      <c r="AV62" s="6" t="e">
        <v>#REF!</v>
      </c>
      <c r="AW62" s="4" t="e">
        <v>#N/A</v>
      </c>
    </row>
    <row r="63" spans="1:49" x14ac:dyDescent="0.15">
      <c r="A63" s="38" t="s">
        <v>82</v>
      </c>
      <c r="B63" s="37" t="s">
        <v>541</v>
      </c>
      <c r="C63" s="4">
        <v>0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6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_xlfn.SECH(C63)</f>
        <v>1</v>
      </c>
      <c r="S63" s="6">
        <f t="shared" ref="S63:AF63" si="47">_xlfn.SECH(D63)</f>
        <v>0.64805427366388546</v>
      </c>
      <c r="T63" s="6">
        <f t="shared" si="47"/>
        <v>0.19852217514933898</v>
      </c>
      <c r="U63" s="6">
        <f t="shared" si="47"/>
        <v>9.0799859337817237E-5</v>
      </c>
      <c r="V63" s="6">
        <f t="shared" si="47"/>
        <v>0.64805427366388546</v>
      </c>
      <c r="W63" s="6">
        <f t="shared" si="47"/>
        <v>1</v>
      </c>
      <c r="X63" s="6" t="e" vm="64">
        <f t="shared" si="47"/>
        <v>#VALUE!</v>
      </c>
      <c r="Y63" s="6">
        <f t="shared" si="47"/>
        <v>0.64805427366388546</v>
      </c>
      <c r="Z63" s="6" t="e">
        <f t="shared" si="47"/>
        <v>#VALUE!</v>
      </c>
      <c r="AA63" s="6" t="e">
        <f t="shared" si="47"/>
        <v>#N/A</v>
      </c>
      <c r="AB63" s="6" t="e">
        <f t="shared" si="47"/>
        <v>#DIV/0!</v>
      </c>
      <c r="AC63" s="6" t="e">
        <f t="shared" si="47"/>
        <v>#NAME?</v>
      </c>
      <c r="AD63" s="6" t="e">
        <f t="shared" si="47"/>
        <v>#NULL!</v>
      </c>
      <c r="AE63" s="6" t="e">
        <f t="shared" si="47"/>
        <v>#NUM!</v>
      </c>
      <c r="AF63" s="6" t="e">
        <f t="shared" si="47"/>
        <v>#REF!</v>
      </c>
      <c r="AG63" s="8"/>
      <c r="AH63" s="6">
        <f t="array" ref="AH63:AW63">_xlfn.SECH(C63:Q63)</f>
        <v>1</v>
      </c>
      <c r="AI63" s="6">
        <v>0.64805427366388546</v>
      </c>
      <c r="AJ63" s="6">
        <v>0.19852217514933898</v>
      </c>
      <c r="AK63" s="6">
        <v>9.0799859337817237E-5</v>
      </c>
      <c r="AL63" s="6">
        <v>0.64805427366388546</v>
      </c>
      <c r="AM63" s="6">
        <v>1</v>
      </c>
      <c r="AN63" s="6" t="e" vm="64">
        <v>#VALUE!</v>
      </c>
      <c r="AO63" s="6">
        <v>0.64805427366388546</v>
      </c>
      <c r="AP63" s="6" t="e">
        <v>#VALUE!</v>
      </c>
      <c r="AQ63" s="6" t="e">
        <v>#N/A</v>
      </c>
      <c r="AR63" s="6" t="e">
        <v>#DIV/0!</v>
      </c>
      <c r="AS63" s="6" t="e">
        <v>#NAME?</v>
      </c>
      <c r="AT63" s="6" t="e">
        <v>#NULL!</v>
      </c>
      <c r="AU63" s="6" t="e">
        <v>#NUM!</v>
      </c>
      <c r="AV63" s="6" t="e">
        <v>#REF!</v>
      </c>
      <c r="AW63" s="4" t="e">
        <v>#N/A</v>
      </c>
    </row>
    <row r="64" spans="1:49" x14ac:dyDescent="0.15">
      <c r="A64" s="44" t="s">
        <v>507</v>
      </c>
      <c r="H64" s="6"/>
      <c r="I64" s="6"/>
      <c r="J64" s="6"/>
      <c r="K64" s="6"/>
      <c r="L64" s="6"/>
      <c r="M64" s="7"/>
      <c r="N64" s="7"/>
      <c r="O64" s="7"/>
      <c r="P64" s="7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9" x14ac:dyDescent="0.15">
      <c r="A65" s="44" t="s">
        <v>83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x14ac:dyDescent="0.15">
      <c r="A66" s="38" t="s">
        <v>84</v>
      </c>
      <c r="B66" s="37" t="s">
        <v>541</v>
      </c>
      <c r="C66" s="4">
        <v>0</v>
      </c>
      <c r="D66" s="4">
        <v>1</v>
      </c>
      <c r="E66" s="4">
        <v>2.2999999999999998</v>
      </c>
      <c r="F66" s="4">
        <v>10</v>
      </c>
      <c r="G66" s="4">
        <v>-1</v>
      </c>
      <c r="H66" s="6"/>
      <c r="I66" s="6" t="s">
        <v>32</v>
      </c>
      <c r="J66" s="6" t="b">
        <v>1</v>
      </c>
      <c r="K66" s="6" t="e">
        <f>#VALUE!</f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SIGN(C66)</f>
        <v>0</v>
      </c>
      <c r="S66" s="6">
        <f t="shared" ref="S66:AF66" si="48">SIGN(D66)</f>
        <v>1</v>
      </c>
      <c r="T66" s="6">
        <f t="shared" si="48"/>
        <v>1</v>
      </c>
      <c r="U66" s="6">
        <f t="shared" si="48"/>
        <v>1</v>
      </c>
      <c r="V66" s="6">
        <f t="shared" si="48"/>
        <v>-1</v>
      </c>
      <c r="W66" s="6">
        <f t="shared" si="48"/>
        <v>0</v>
      </c>
      <c r="X66" s="6" t="e" vm="65">
        <f>SIGN(I66)</f>
        <v>#VALUE!</v>
      </c>
      <c r="Y66" s="6">
        <f t="shared" si="48"/>
        <v>1</v>
      </c>
      <c r="Z66" s="6" t="e">
        <f t="shared" si="48"/>
        <v>#VALUE!</v>
      </c>
      <c r="AA66" s="6" t="e">
        <f t="shared" si="48"/>
        <v>#N/A</v>
      </c>
      <c r="AB66" s="6" t="e">
        <f t="shared" si="48"/>
        <v>#DIV/0!</v>
      </c>
      <c r="AC66" s="6" t="e">
        <f t="shared" si="48"/>
        <v>#NAME?</v>
      </c>
      <c r="AD66" s="6" t="e">
        <f t="shared" si="48"/>
        <v>#NULL!</v>
      </c>
      <c r="AE66" s="6" t="e">
        <f t="shared" si="48"/>
        <v>#NUM!</v>
      </c>
      <c r="AF66" s="6" t="e">
        <f t="shared" si="48"/>
        <v>#REF!</v>
      </c>
      <c r="AG66" s="8"/>
      <c r="AH66" s="6">
        <f t="array" ref="AH66:AW66">SIGN(C66:Q66)</f>
        <v>0</v>
      </c>
      <c r="AI66" s="6">
        <v>1</v>
      </c>
      <c r="AJ66" s="6">
        <v>1</v>
      </c>
      <c r="AK66" s="6">
        <v>1</v>
      </c>
      <c r="AL66" s="6">
        <v>-1</v>
      </c>
      <c r="AM66" s="6">
        <v>0</v>
      </c>
      <c r="AN66" s="6" t="e" vm="65">
        <v>#VALUE!</v>
      </c>
      <c r="AO66" s="6">
        <v>1</v>
      </c>
      <c r="AP66" s="6" t="e">
        <v>#VALUE!</v>
      </c>
      <c r="AQ66" s="6" t="e">
        <v>#N/A</v>
      </c>
      <c r="AR66" s="6" t="e">
        <v>#DIV/0!</v>
      </c>
      <c r="AS66" s="6" t="e">
        <v>#NAME?</v>
      </c>
      <c r="AT66" s="6" t="e">
        <v>#NULL!</v>
      </c>
      <c r="AU66" s="6" t="e">
        <v>#NUM!</v>
      </c>
      <c r="AV66" s="6" t="e">
        <v>#REF!</v>
      </c>
      <c r="AW66" s="4" t="e">
        <v>#N/A</v>
      </c>
    </row>
    <row r="67" spans="1:49" x14ac:dyDescent="0.15">
      <c r="A67" s="38" t="s">
        <v>4</v>
      </c>
      <c r="B67" s="37" t="s">
        <v>541</v>
      </c>
      <c r="C67" s="4">
        <v>0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6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 t="shared" ref="R67:AF67" si="49">SIN(C67)</f>
        <v>0</v>
      </c>
      <c r="S67" s="6">
        <f t="shared" si="49"/>
        <v>0.8414709848078965</v>
      </c>
      <c r="T67" s="6">
        <f t="shared" si="49"/>
        <v>0.74570521217672037</v>
      </c>
      <c r="U67" s="6">
        <f t="shared" si="49"/>
        <v>-0.54402111088936977</v>
      </c>
      <c r="V67" s="6">
        <f t="shared" si="49"/>
        <v>-0.8414709848078965</v>
      </c>
      <c r="W67" s="6">
        <f t="shared" si="49"/>
        <v>0</v>
      </c>
      <c r="X67" s="6" t="e" vm="66">
        <f t="shared" si="49"/>
        <v>#VALUE!</v>
      </c>
      <c r="Y67" s="6">
        <f t="shared" si="49"/>
        <v>0.8414709848078965</v>
      </c>
      <c r="Z67" s="6" t="e">
        <f t="shared" si="49"/>
        <v>#VALUE!</v>
      </c>
      <c r="AA67" s="6" t="e">
        <f t="shared" si="49"/>
        <v>#N/A</v>
      </c>
      <c r="AB67" s="6" t="e">
        <f t="shared" si="49"/>
        <v>#DIV/0!</v>
      </c>
      <c r="AC67" s="6" t="e">
        <f t="shared" si="49"/>
        <v>#NAME?</v>
      </c>
      <c r="AD67" s="6" t="e">
        <f t="shared" si="49"/>
        <v>#NULL!</v>
      </c>
      <c r="AE67" s="6" t="e">
        <f t="shared" si="49"/>
        <v>#NUM!</v>
      </c>
      <c r="AF67" s="6" t="e">
        <f t="shared" si="49"/>
        <v>#REF!</v>
      </c>
      <c r="AG67" s="8"/>
      <c r="AH67" s="6">
        <f t="array" ref="AH67:AW67">SIN(C67:Q67)</f>
        <v>0</v>
      </c>
      <c r="AI67" s="6">
        <v>0.8414709848078965</v>
      </c>
      <c r="AJ67" s="6">
        <v>0.74570521217672037</v>
      </c>
      <c r="AK67" s="6">
        <v>-0.54402111088936977</v>
      </c>
      <c r="AL67" s="6">
        <v>-0.8414709848078965</v>
      </c>
      <c r="AM67" s="6">
        <v>0</v>
      </c>
      <c r="AN67" s="6" t="e" vm="66">
        <v>#VALUE!</v>
      </c>
      <c r="AO67" s="6">
        <v>0.8414709848078965</v>
      </c>
      <c r="AP67" s="6" t="e">
        <v>#VALUE!</v>
      </c>
      <c r="AQ67" s="6" t="e">
        <v>#N/A</v>
      </c>
      <c r="AR67" s="6" t="e">
        <v>#DIV/0!</v>
      </c>
      <c r="AS67" s="6" t="e">
        <v>#NAME?</v>
      </c>
      <c r="AT67" s="6" t="e">
        <v>#NULL!</v>
      </c>
      <c r="AU67" s="6" t="e">
        <v>#NUM!</v>
      </c>
      <c r="AV67" s="6" t="e">
        <v>#REF!</v>
      </c>
      <c r="AW67" s="4" t="e">
        <v>#N/A</v>
      </c>
    </row>
    <row r="68" spans="1:49" x14ac:dyDescent="0.15">
      <c r="A68" s="38" t="s">
        <v>14</v>
      </c>
      <c r="B68" s="37" t="s">
        <v>541</v>
      </c>
      <c r="C68" s="4">
        <v>0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 t="shared" ref="R68:AF68" si="50">SINH(C68)</f>
        <v>0</v>
      </c>
      <c r="S68" s="6">
        <f t="shared" si="50"/>
        <v>1.1752011936438014</v>
      </c>
      <c r="T68" s="6">
        <f t="shared" si="50"/>
        <v>4.9369618055459572</v>
      </c>
      <c r="U68" s="6">
        <f t="shared" si="50"/>
        <v>11013.232874703393</v>
      </c>
      <c r="V68" s="6">
        <f t="shared" si="50"/>
        <v>-1.1752011936438014</v>
      </c>
      <c r="W68" s="6">
        <f t="shared" si="50"/>
        <v>0</v>
      </c>
      <c r="X68" s="6" t="e" vm="67">
        <f t="shared" si="50"/>
        <v>#VALUE!</v>
      </c>
      <c r="Y68" s="6">
        <f t="shared" si="50"/>
        <v>1.1752011936438014</v>
      </c>
      <c r="Z68" s="6" t="e">
        <f t="shared" si="50"/>
        <v>#VALUE!</v>
      </c>
      <c r="AA68" s="6" t="e">
        <f t="shared" si="50"/>
        <v>#N/A</v>
      </c>
      <c r="AB68" s="6" t="e">
        <f t="shared" si="50"/>
        <v>#DIV/0!</v>
      </c>
      <c r="AC68" s="6" t="e">
        <f t="shared" si="50"/>
        <v>#NAME?</v>
      </c>
      <c r="AD68" s="6" t="e">
        <f t="shared" si="50"/>
        <v>#NULL!</v>
      </c>
      <c r="AE68" s="6" t="e">
        <f t="shared" si="50"/>
        <v>#NUM!</v>
      </c>
      <c r="AF68" s="6" t="e">
        <f t="shared" si="50"/>
        <v>#REF!</v>
      </c>
      <c r="AG68" s="8"/>
      <c r="AH68" s="6">
        <f t="array" ref="AH68:AW68">SINH(C68:Q68)</f>
        <v>0</v>
      </c>
      <c r="AI68" s="6">
        <v>1.1752011936438014</v>
      </c>
      <c r="AJ68" s="6">
        <v>4.9369618055459572</v>
      </c>
      <c r="AK68" s="6">
        <v>11013.232874703393</v>
      </c>
      <c r="AL68" s="6">
        <v>-1.1752011936438014</v>
      </c>
      <c r="AM68" s="6">
        <v>0</v>
      </c>
      <c r="AN68" s="6" t="e" vm="67">
        <v>#VALUE!</v>
      </c>
      <c r="AO68" s="6">
        <v>1.1752011936438014</v>
      </c>
      <c r="AP68" s="6" t="e">
        <v>#VALUE!</v>
      </c>
      <c r="AQ68" s="6" t="e">
        <v>#N/A</v>
      </c>
      <c r="AR68" s="6" t="e">
        <v>#DIV/0!</v>
      </c>
      <c r="AS68" s="6" t="e">
        <v>#NAME?</v>
      </c>
      <c r="AT68" s="6" t="e">
        <v>#NULL!</v>
      </c>
      <c r="AU68" s="6" t="e">
        <v>#NUM!</v>
      </c>
      <c r="AV68" s="6" t="e">
        <v>#REF!</v>
      </c>
      <c r="AW68" s="4" t="e">
        <v>#N/A</v>
      </c>
    </row>
    <row r="69" spans="1:49" x14ac:dyDescent="0.15">
      <c r="A69" s="38" t="s">
        <v>24</v>
      </c>
      <c r="B69" s="37" t="s">
        <v>541</v>
      </c>
      <c r="C69" s="4">
        <v>0</v>
      </c>
      <c r="D69" s="4">
        <v>1</v>
      </c>
      <c r="E69" s="4">
        <v>2.2999999999999998</v>
      </c>
      <c r="F69" s="4">
        <v>10</v>
      </c>
      <c r="G69" s="4">
        <v>-1</v>
      </c>
      <c r="H69" s="6"/>
      <c r="I69" s="6" t="s">
        <v>32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>
        <f t="shared" ref="R69:AF69" si="51">SQRT(C69)</f>
        <v>0</v>
      </c>
      <c r="S69" s="6">
        <f t="shared" si="51"/>
        <v>1</v>
      </c>
      <c r="T69" s="6">
        <f t="shared" si="51"/>
        <v>1.51657508881031</v>
      </c>
      <c r="U69" s="6">
        <f t="shared" si="51"/>
        <v>3.1622776601683795</v>
      </c>
      <c r="V69" s="6" t="e">
        <f t="shared" si="51"/>
        <v>#NUM!</v>
      </c>
      <c r="W69" s="6">
        <f t="shared" si="51"/>
        <v>0</v>
      </c>
      <c r="X69" s="6" t="e" vm="68">
        <f t="shared" si="51"/>
        <v>#VALUE!</v>
      </c>
      <c r="Y69" s="6">
        <f t="shared" si="51"/>
        <v>1</v>
      </c>
      <c r="Z69" s="6" t="e">
        <f t="shared" si="51"/>
        <v>#VALUE!</v>
      </c>
      <c r="AA69" s="6" t="e">
        <f t="shared" si="51"/>
        <v>#N/A</v>
      </c>
      <c r="AB69" s="6" t="e">
        <f t="shared" si="51"/>
        <v>#DIV/0!</v>
      </c>
      <c r="AC69" s="6" t="e">
        <f t="shared" si="51"/>
        <v>#NAME?</v>
      </c>
      <c r="AD69" s="6" t="e">
        <f t="shared" si="51"/>
        <v>#NULL!</v>
      </c>
      <c r="AE69" s="6" t="e">
        <f t="shared" si="51"/>
        <v>#NUM!</v>
      </c>
      <c r="AF69" s="6" t="e">
        <f t="shared" si="51"/>
        <v>#REF!</v>
      </c>
      <c r="AG69" s="8"/>
      <c r="AH69" s="6">
        <f t="array" ref="AH69:AW69">SQRT(C69:Q69)</f>
        <v>0</v>
      </c>
      <c r="AI69" s="6">
        <v>1</v>
      </c>
      <c r="AJ69" s="6">
        <v>1.51657508881031</v>
      </c>
      <c r="AK69" s="6">
        <v>3.1622776601683795</v>
      </c>
      <c r="AL69" s="6" t="e">
        <v>#NUM!</v>
      </c>
      <c r="AM69" s="6">
        <v>0</v>
      </c>
      <c r="AN69" s="6" t="e" vm="68">
        <v>#VALUE!</v>
      </c>
      <c r="AO69" s="6">
        <v>1</v>
      </c>
      <c r="AP69" s="6" t="e">
        <v>#VALUE!</v>
      </c>
      <c r="AQ69" s="6" t="e">
        <v>#N/A</v>
      </c>
      <c r="AR69" s="6" t="e">
        <v>#DIV/0!</v>
      </c>
      <c r="AS69" s="6" t="e">
        <v>#NAME?</v>
      </c>
      <c r="AT69" s="6" t="e">
        <v>#NULL!</v>
      </c>
      <c r="AU69" s="6" t="e">
        <v>#NUM!</v>
      </c>
      <c r="AV69" s="6" t="e">
        <v>#REF!</v>
      </c>
      <c r="AW69" s="4" t="e">
        <v>#N/A</v>
      </c>
    </row>
    <row r="70" spans="1:49" x14ac:dyDescent="0.15">
      <c r="A70" s="38" t="s">
        <v>85</v>
      </c>
      <c r="B70" s="37" t="s">
        <v>541</v>
      </c>
      <c r="C70" s="4">
        <v>0</v>
      </c>
      <c r="D70" s="4">
        <v>1</v>
      </c>
      <c r="E70" s="4">
        <v>2.2999999999999998</v>
      </c>
      <c r="F70" s="4">
        <v>10</v>
      </c>
      <c r="G70" s="4">
        <v>-1</v>
      </c>
      <c r="H70" s="6"/>
      <c r="I70" s="6" t="s">
        <v>32</v>
      </c>
      <c r="J70" s="6" t="b">
        <v>1</v>
      </c>
      <c r="K70" s="6" t="e">
        <v>#VALUE!</v>
      </c>
      <c r="L70" s="6" t="e">
        <v>#N/A</v>
      </c>
      <c r="M70" s="7" t="e">
        <v>#DIV/0!</v>
      </c>
      <c r="N70" s="7" t="e">
        <v>#NAME?</v>
      </c>
      <c r="O70" s="7" t="e">
        <v>#NULL!</v>
      </c>
      <c r="P70" s="7" t="e">
        <v>#NUM!</v>
      </c>
      <c r="Q70" s="7" t="e">
        <v>#REF!</v>
      </c>
      <c r="R70" s="6">
        <f>SQRTPI(C70)</f>
        <v>0</v>
      </c>
      <c r="S70" s="6">
        <f t="shared" ref="S70:AF70" si="52">SQRTPI(D70)</f>
        <v>1.7724538509055159</v>
      </c>
      <c r="T70" s="6">
        <f t="shared" si="52"/>
        <v>2.6880593563492088</v>
      </c>
      <c r="U70" s="6">
        <f t="shared" si="52"/>
        <v>5.604991216397929</v>
      </c>
      <c r="V70" s="6" t="e">
        <f t="shared" si="52"/>
        <v>#NUM!</v>
      </c>
      <c r="W70" s="6">
        <f>SQRTPI(H70)</f>
        <v>0</v>
      </c>
      <c r="X70" s="6" t="e">
        <f>SQRTPI(I70)</f>
        <v>#VALUE!</v>
      </c>
      <c r="Y70" s="6" t="e">
        <f>SQRTPI(J70)</f>
        <v>#VALUE!</v>
      </c>
      <c r="Z70" s="6" t="e">
        <f t="shared" si="52"/>
        <v>#VALUE!</v>
      </c>
      <c r="AA70" s="6" t="e">
        <f t="shared" si="52"/>
        <v>#N/A</v>
      </c>
      <c r="AB70" s="6" t="e">
        <f t="shared" si="52"/>
        <v>#DIV/0!</v>
      </c>
      <c r="AC70" s="6" t="e">
        <f t="shared" si="52"/>
        <v>#NAME?</v>
      </c>
      <c r="AD70" s="6" t="e">
        <f t="shared" si="52"/>
        <v>#NULL!</v>
      </c>
      <c r="AE70" s="6" t="e">
        <f t="shared" si="52"/>
        <v>#NUM!</v>
      </c>
      <c r="AF70" s="6" t="e">
        <f t="shared" si="52"/>
        <v>#REF!</v>
      </c>
      <c r="AG70" s="8"/>
      <c r="AH70" s="6" t="e">
        <f t="array" ref="AH70:AW70">SQRTPI(C70:Q70)</f>
        <v>#VALUE!</v>
      </c>
      <c r="AI70" s="6" t="e">
        <v>#VALUE!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  <c r="AN70" s="6" t="e">
        <v>#VALUE!</v>
      </c>
      <c r="AO70" s="6" t="e">
        <v>#VALUE!</v>
      </c>
      <c r="AP70" s="6" t="e">
        <v>#VALUE!</v>
      </c>
      <c r="AQ70" s="6" t="e">
        <v>#VALUE!</v>
      </c>
      <c r="AR70" s="6" t="e">
        <v>#VALUE!</v>
      </c>
      <c r="AS70" s="6" t="e">
        <v>#VALUE!</v>
      </c>
      <c r="AT70" s="6" t="e">
        <v>#VALUE!</v>
      </c>
      <c r="AU70" s="6" t="e">
        <v>#VALUE!</v>
      </c>
      <c r="AV70" s="6" t="e">
        <v>#VALUE!</v>
      </c>
      <c r="AW70" s="4" t="e">
        <v>#VALUE!</v>
      </c>
    </row>
    <row r="71" spans="1:49" x14ac:dyDescent="0.15">
      <c r="A71" s="44" t="s">
        <v>86</v>
      </c>
      <c r="H71" s="6"/>
      <c r="I71" s="6"/>
      <c r="J71" s="6"/>
      <c r="K71" s="6"/>
      <c r="L71" s="6"/>
      <c r="M71" s="7"/>
      <c r="N71" s="7"/>
      <c r="O71" s="7"/>
      <c r="P71" s="7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9" x14ac:dyDescent="0.15">
      <c r="A72" s="38" t="s">
        <v>39</v>
      </c>
      <c r="B72" s="37" t="s">
        <v>541</v>
      </c>
      <c r="C72" s="4">
        <v>0</v>
      </c>
      <c r="D72" s="4">
        <v>1</v>
      </c>
      <c r="E72" s="4">
        <v>2.2999999999999998</v>
      </c>
      <c r="F72" s="4">
        <v>10</v>
      </c>
      <c r="G72" s="4">
        <v>-1</v>
      </c>
      <c r="H72" s="6"/>
      <c r="I72" s="6" t="s">
        <v>32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SUM(C72:D72,D72:E72,E72:F72)</f>
        <v>16.600000000000001</v>
      </c>
      <c r="S72" s="6">
        <f>SUM(D72:E72,E72:F72,F72:G72)</f>
        <v>24.6</v>
      </c>
      <c r="T72" s="6">
        <f>SUM(F72:G72,F72:G72,D72:E72)</f>
        <v>21.3</v>
      </c>
      <c r="U72" s="6">
        <f>SUM(F72:G72,C72:D72,D72:E72)</f>
        <v>13.3</v>
      </c>
      <c r="V72" s="6">
        <f>SUM(E72:G72,C72:E72,D72:F72)</f>
        <v>27.900000000000002</v>
      </c>
      <c r="W72" s="6">
        <f>SUM(F72:G72,G72:H72,E72:F72)</f>
        <v>20.3</v>
      </c>
      <c r="X72" s="6">
        <f>SUM(H72:I72,E72:F72,F72:G72)</f>
        <v>21.3</v>
      </c>
      <c r="Y72" s="6">
        <f>SUM(I72:J72,F72:G72,G72:H72)</f>
        <v>8</v>
      </c>
      <c r="Z72" s="6" t="e">
        <f>SUM(K72:L72,C72:D72,D72:E72)</f>
        <v>#VALUE!</v>
      </c>
      <c r="AA72" s="6" t="e">
        <f>SUM(L72:M72,D72:E72,E72:F72)</f>
        <v>#N/A</v>
      </c>
      <c r="AB72" s="6" t="e">
        <f>SUM(M72:N72,E72:F72,F72:G72)</f>
        <v>#DIV/0!</v>
      </c>
      <c r="AC72" s="6" t="e">
        <f>SUM(N72:O72,F72:G72,G72:H72)</f>
        <v>#NAME?</v>
      </c>
      <c r="AD72" s="6" t="e">
        <f>SUM(O72:P72,G72:H72,H72:I72)</f>
        <v>#NULL!</v>
      </c>
      <c r="AE72" s="6" t="e">
        <f>SUM(P72:Q72,H72:I72,I72:K72)</f>
        <v>#NUM!</v>
      </c>
      <c r="AF72" s="6" t="e">
        <f>SUM(Q72:R72,I72:K72,K72:L72)</f>
        <v>#REF!</v>
      </c>
      <c r="AG72" s="6">
        <f>SUM(D72:H72,C72:G72)</f>
        <v>24.6</v>
      </c>
      <c r="AH72" s="6">
        <f t="array" ref="AH72:AL72">SUM(D72:H72,C72:G72)</f>
        <v>24.6</v>
      </c>
      <c r="AI72" s="6">
        <v>24.6</v>
      </c>
      <c r="AJ72" s="6">
        <v>24.6</v>
      </c>
      <c r="AK72" s="6">
        <v>24.6</v>
      </c>
      <c r="AL72" s="6">
        <v>24.6</v>
      </c>
      <c r="AM72" s="6">
        <f>SUM(D72:I72,C72:H72)</f>
        <v>24.6</v>
      </c>
      <c r="AN72" s="6" t="e">
        <f t="array" ref="AN72:AW72">SUM(L72:Q72,K72:P72)</f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6" t="e">
        <v>#N/A</v>
      </c>
      <c r="AW72" s="4" t="e">
        <v>#N/A</v>
      </c>
    </row>
    <row r="73" spans="1:49" x14ac:dyDescent="0.15">
      <c r="A73" s="38" t="s">
        <v>87</v>
      </c>
      <c r="B73" s="37" t="s">
        <v>541</v>
      </c>
      <c r="C73" s="4">
        <v>0</v>
      </c>
      <c r="D73" s="4">
        <v>1</v>
      </c>
      <c r="E73" s="4">
        <v>2.2999999999999998</v>
      </c>
      <c r="F73" s="4">
        <v>10</v>
      </c>
      <c r="G73" s="4">
        <v>-1</v>
      </c>
      <c r="H73" s="6"/>
      <c r="I73" s="6" t="s">
        <v>32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>
        <f>SUMIF(C73:D73,1,E73:F73)</f>
        <v>10</v>
      </c>
      <c r="S73" s="6">
        <f>SUMIF(D73:E73,"1",F73:G73)</f>
        <v>10</v>
      </c>
      <c r="T73" s="6">
        <f>SUMIF(E73:F73,"&gt;1",G73:H73)</f>
        <v>-1</v>
      </c>
      <c r="U73" s="6">
        <f>SUMIF(F73:G73,"&lt;&gt;-1",G73:H73)</f>
        <v>-1</v>
      </c>
      <c r="V73" s="6">
        <f>SUMIF(G73:H73,1,I73:J73)</f>
        <v>0</v>
      </c>
      <c r="W73" s="6">
        <f>SUMIF(H73:I73,H73,D73:E73)</f>
        <v>0</v>
      </c>
      <c r="X73" s="6">
        <f>SUMIF(I73:J73,I73,E73:F73)</f>
        <v>2.2999999999999998</v>
      </c>
      <c r="Y73" s="6">
        <f>SUMIF(I73:J73,"&lt;=TRUE",F73:G73)</f>
        <v>-1</v>
      </c>
      <c r="Z73" s="6" t="e">
        <f>SUMIF(I73:J73,I73,K73:L73)</f>
        <v>#VALUE!</v>
      </c>
      <c r="AA73" s="6" t="e">
        <f t="shared" ref="AA73:AF73" si="53">SUMIF(J73:K73,J73,L73:M73)</f>
        <v>#N/A</v>
      </c>
      <c r="AB73" s="6" t="e">
        <f t="shared" si="53"/>
        <v>#DIV/0!</v>
      </c>
      <c r="AC73" s="6" t="e">
        <f t="shared" si="53"/>
        <v>#NAME?</v>
      </c>
      <c r="AD73" s="6" t="e">
        <f t="shared" si="53"/>
        <v>#NULL!</v>
      </c>
      <c r="AE73" s="6" t="e">
        <f t="shared" si="53"/>
        <v>#NUM!</v>
      </c>
      <c r="AF73" s="6" t="e">
        <f t="shared" si="53"/>
        <v>#REF!</v>
      </c>
      <c r="AG73" s="6">
        <f t="array" ref="AG73">SUMIF(D73:H73,{1,"&gt;3"},E73:I73)</f>
        <v>2.2999999999999998</v>
      </c>
      <c r="AH73" s="6">
        <f t="array" ref="AH73:AW73">SUMIF(F73:J73,{"*ao","","TRUE",TRUE,"*a?"},C73:G73)</f>
        <v>10</v>
      </c>
      <c r="AI73" s="6">
        <v>2.2999999999999998</v>
      </c>
      <c r="AJ73" s="6">
        <v>-1</v>
      </c>
      <c r="AK73" s="6">
        <v>-1</v>
      </c>
      <c r="AL73" s="6">
        <v>10</v>
      </c>
      <c r="AM73" s="6" t="e"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6" t="e">
        <v>#N/A</v>
      </c>
      <c r="AW73" s="4" t="e">
        <v>#N/A</v>
      </c>
    </row>
    <row r="74" spans="1:49" x14ac:dyDescent="0.15">
      <c r="A74" s="38" t="s">
        <v>88</v>
      </c>
      <c r="B74" s="37" t="s">
        <v>541</v>
      </c>
      <c r="C74" s="4">
        <v>0</v>
      </c>
      <c r="D74" s="4">
        <v>1</v>
      </c>
      <c r="E74" s="4">
        <v>2.2999999999999998</v>
      </c>
      <c r="F74" s="4">
        <v>10</v>
      </c>
      <c r="G74" s="4">
        <v>-1</v>
      </c>
      <c r="H74" s="6"/>
      <c r="I74" s="6" t="s">
        <v>32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SUMIFS(E74:F74, C74:D74,1,E74:F74, 2.3 )</f>
        <v>0</v>
      </c>
      <c r="S74" s="6">
        <f>SUMIFS(F74:G74, D74:E74,"1")</f>
        <v>10</v>
      </c>
      <c r="T74" s="6">
        <f>SUMIFS(G74:H74, E74:F74,"&gt;1")</f>
        <v>-1</v>
      </c>
      <c r="U74" s="6">
        <f>SUMIFS(G74:H74, F74:G74,"&lt;&gt;-1")</f>
        <v>-1</v>
      </c>
      <c r="V74" s="6">
        <f>SUMIFS(I74:J74, G74:H74,1)</f>
        <v>0</v>
      </c>
      <c r="W74" s="6">
        <f>SUMIFS(D74:E74,H74:I74,H74)</f>
        <v>0</v>
      </c>
      <c r="X74" s="6">
        <f>SUMIFS(E74:F74, I74:J74,I74)</f>
        <v>2.2999999999999998</v>
      </c>
      <c r="Y74" s="6">
        <f>SUMIFS(F74:G74,I74:J74,"&lt;=TRUE")</f>
        <v>-1</v>
      </c>
      <c r="Z74" s="6" t="e">
        <f>SUMIFS(K74:L74, I74:J74,I74)</f>
        <v>#VALUE!</v>
      </c>
      <c r="AA74" s="6" t="e">
        <f t="shared" ref="AA74:AF74" si="54">SUMIFS(L74:M74, J74:K74,J74)</f>
        <v>#N/A</v>
      </c>
      <c r="AB74" s="6" t="e">
        <f t="shared" si="54"/>
        <v>#DIV/0!</v>
      </c>
      <c r="AC74" s="6" t="e">
        <f t="shared" si="54"/>
        <v>#NAME?</v>
      </c>
      <c r="AD74" s="6" t="e">
        <f t="shared" si="54"/>
        <v>#NULL!</v>
      </c>
      <c r="AE74" s="6" t="e">
        <f t="shared" si="54"/>
        <v>#NUM!</v>
      </c>
      <c r="AF74" s="6" t="e">
        <f t="shared" si="54"/>
        <v>#REF!</v>
      </c>
      <c r="AG74" s="6" t="e">
        <f t="array" ref="AG74">SUMIFS(E74:I74, D74:H74,{1,"&gt;3"}, C74:D74,{0,1})</f>
        <v>#VALUE!</v>
      </c>
      <c r="AH74" s="6">
        <f t="array" ref="AH74:AW74">SUMIFS(C74:G74, F74:J74,{"*ao","","TRUE",TRUE,"*a?"}, D74:H74, "&gt;0")</f>
        <v>0</v>
      </c>
      <c r="AI74" s="6">
        <v>2.2999999999999998</v>
      </c>
      <c r="AJ74" s="6">
        <v>0</v>
      </c>
      <c r="AK74" s="6">
        <v>0</v>
      </c>
      <c r="AL74" s="6">
        <v>0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6" t="e">
        <v>#N/A</v>
      </c>
      <c r="AW74" s="4" t="e">
        <v>#N/A</v>
      </c>
    </row>
    <row r="75" spans="1:49" x14ac:dyDescent="0.15">
      <c r="A75" s="38" t="s">
        <v>25</v>
      </c>
      <c r="B75" s="37" t="s">
        <v>541</v>
      </c>
      <c r="C75" s="4">
        <v>0</v>
      </c>
      <c r="D75" s="4">
        <v>2</v>
      </c>
      <c r="E75" s="4">
        <v>1.2</v>
      </c>
      <c r="F75" s="4">
        <v>-4</v>
      </c>
      <c r="G75" s="4">
        <v>1.3</v>
      </c>
      <c r="H75" s="6"/>
      <c r="I75" s="6" t="s">
        <v>32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>
        <f>SUMPRODUCT(C75:D75,D75:E75,E75:F75)</f>
        <v>-9.6</v>
      </c>
      <c r="S75" s="6">
        <f>SUMPRODUCT(D75:E75,E75:F75,F75:G75)</f>
        <v>-15.84</v>
      </c>
      <c r="T75" s="6">
        <f>SUMPRODUCT(F75:G75,F75:G75,D75:E75)</f>
        <v>34.027999999999999</v>
      </c>
      <c r="U75" s="6">
        <f>SUMPRODUCT(F75:G75,C75:D75,D75:E75)</f>
        <v>3.12</v>
      </c>
      <c r="V75" s="6">
        <f>SUMPRODUCT(E75:G75,C75:E75,D75:F75)</f>
        <v>-15.84</v>
      </c>
      <c r="W75" s="6">
        <f>SUMPRODUCT(F75:G75,G75:H75,E75:F75)</f>
        <v>-6.24</v>
      </c>
      <c r="X75" s="6">
        <f>SUMPRODUCT(H75:I75,E75:F75,F75:G75)</f>
        <v>0</v>
      </c>
      <c r="Y75" s="6">
        <f>SUMPRODUCT(I75:J75,F75:G75,G75:H75)</f>
        <v>0</v>
      </c>
      <c r="Z75" s="6" t="e">
        <f>SUMPRODUCT(K75:L75,C75:D75,D75:E75)</f>
        <v>#VALUE!</v>
      </c>
      <c r="AA75" s="6" t="e">
        <f>SUMPRODUCT(L75:M75,D75:E75,E75:F75)</f>
        <v>#N/A</v>
      </c>
      <c r="AB75" s="6" t="e">
        <f>SUMPRODUCT(M75:N75,E75:F75,F75:G75)</f>
        <v>#DIV/0!</v>
      </c>
      <c r="AC75" s="6" t="e">
        <f>SUMPRODUCT(N75:O75,F75:G75,G75:H75)</f>
        <v>#NAME?</v>
      </c>
      <c r="AD75" s="6" t="e">
        <f>SUMPRODUCT(O75:P75,G75:H75,H75:I75)</f>
        <v>#NULL!</v>
      </c>
      <c r="AE75" s="6" t="e">
        <f>SUMPRODUCT(P75:Q75,H75:I75,I75:K75)</f>
        <v>#NUM!</v>
      </c>
      <c r="AF75" s="6" t="e">
        <f>SUMPRODUCT(Q75:R75,I75:K75,K75:L75)</f>
        <v>#REF!</v>
      </c>
      <c r="AG75" s="6">
        <f>SUMPRODUCT(D75:H75,C75:G75)</f>
        <v>-7.6</v>
      </c>
      <c r="AH75" s="6">
        <f t="array" ref="AH75:AW75">SUMPRODUCT(D75:H75,C75:G75)</f>
        <v>-7.6</v>
      </c>
      <c r="AI75" s="6">
        <v>-7.6</v>
      </c>
      <c r="AJ75" s="6">
        <v>-7.6</v>
      </c>
      <c r="AK75" s="6">
        <v>-7.6</v>
      </c>
      <c r="AL75" s="6">
        <v>-7.6</v>
      </c>
      <c r="AM75" s="6">
        <v>-7.6</v>
      </c>
      <c r="AN75" s="6">
        <v>-7.6</v>
      </c>
      <c r="AO75" s="6">
        <v>-7.6</v>
      </c>
      <c r="AP75" s="6">
        <v>-7.6</v>
      </c>
      <c r="AQ75" s="6">
        <v>-7.6</v>
      </c>
      <c r="AR75" s="6">
        <v>-7.6</v>
      </c>
      <c r="AS75" s="6">
        <v>-7.6</v>
      </c>
      <c r="AT75" s="6">
        <v>-7.6</v>
      </c>
      <c r="AU75" s="6">
        <v>-7.6</v>
      </c>
      <c r="AV75" s="6">
        <v>-7.6</v>
      </c>
      <c r="AW75" s="4">
        <v>-7.6</v>
      </c>
    </row>
    <row r="76" spans="1:49" x14ac:dyDescent="0.15">
      <c r="A76" s="38" t="s">
        <v>89</v>
      </c>
      <c r="B76" s="37" t="s">
        <v>541</v>
      </c>
      <c r="C76" s="11">
        <v>0</v>
      </c>
      <c r="D76" s="11">
        <v>2</v>
      </c>
      <c r="E76" s="11">
        <v>1.2</v>
      </c>
      <c r="F76" s="11">
        <v>-4</v>
      </c>
      <c r="G76" s="11">
        <v>1.3</v>
      </c>
      <c r="H76" s="30"/>
      <c r="I76" s="30" t="s">
        <v>32</v>
      </c>
      <c r="J76" s="30" t="b">
        <v>1</v>
      </c>
      <c r="K76" s="30" t="e">
        <v>#VALUE!</v>
      </c>
      <c r="L76" s="30" t="e">
        <v>#N/A</v>
      </c>
      <c r="M76" s="30" t="e">
        <v>#DIV/0!</v>
      </c>
      <c r="N76" s="30" t="e">
        <v>#NAME?</v>
      </c>
      <c r="O76" s="30" t="e">
        <v>#NULL!</v>
      </c>
      <c r="P76" s="30" t="e">
        <v>#NUM!</v>
      </c>
      <c r="Q76" s="30" t="e">
        <v>#REF!</v>
      </c>
      <c r="R76" s="30">
        <f>SUMSQ(C76:D76,D76:E76,E76:F76)</f>
        <v>26.88</v>
      </c>
      <c r="S76" s="30">
        <f>SUMSQ(D76:E76,E76:F76,F76:G76)</f>
        <v>40.569999999999993</v>
      </c>
      <c r="T76" s="30">
        <f>SUMSQ(F76:G76,F76:G76,D76:E76)</f>
        <v>40.819999999999993</v>
      </c>
      <c r="U76" s="30">
        <f>SUMSQ(F76:G76,C76:D76,D76:E76)</f>
        <v>27.130000000000003</v>
      </c>
      <c r="V76" s="30">
        <f>SUMSQ(E76:G76,C76:E76,D76:F76)</f>
        <v>46.010000000000005</v>
      </c>
      <c r="W76" s="30">
        <f>SUMSQ(F76:G76,G76:H76,E76:F76)</f>
        <v>36.820000000000007</v>
      </c>
      <c r="X76" s="30">
        <f>SUMSQ(H76:I76,E76:F76,F76:G76)</f>
        <v>35.129999999999995</v>
      </c>
      <c r="Y76" s="30">
        <f>SUMSQ(I76:J76,F76:G76,G76:H76)</f>
        <v>19.380000000000003</v>
      </c>
      <c r="Z76" s="30" t="e">
        <f>SUMSQ(K76:L76,C76:D76,D76:E76)</f>
        <v>#VALUE!</v>
      </c>
      <c r="AA76" s="30" t="e">
        <f>SUMSQ(L76:M76,D76:E76,E76:F76)</f>
        <v>#N/A</v>
      </c>
      <c r="AB76" s="30" t="e">
        <f>SUMSQ(M76:N76,E76:F76,F76:G76)</f>
        <v>#DIV/0!</v>
      </c>
      <c r="AC76" s="30" t="e">
        <f>SUMSQ(N76:O76,F76:G76,G76:H76)</f>
        <v>#NAME?</v>
      </c>
      <c r="AD76" s="30" t="e">
        <f>SUMSQ(O76:P76,G76:H76,H76:I76)</f>
        <v>#NULL!</v>
      </c>
      <c r="AE76" s="30" t="e">
        <f>SUMSQ(P76:Q76,H76:I76,I76:K76)</f>
        <v>#NUM!</v>
      </c>
      <c r="AF76" s="30" t="e">
        <f>SUMSQ(Q76:R76,I76:K76,K76:L76)</f>
        <v>#REF!</v>
      </c>
      <c r="AG76" s="30">
        <f>SUMSQ(D76:H76,C76:G76)</f>
        <v>46.26</v>
      </c>
      <c r="AH76" s="30">
        <f t="array" ref="AH76:AW76">SUMSQ(D76:H76,C76:G76)</f>
        <v>46.26</v>
      </c>
      <c r="AI76" s="30">
        <v>46.26</v>
      </c>
      <c r="AJ76" s="30">
        <v>46.26</v>
      </c>
      <c r="AK76" s="30">
        <v>46.26</v>
      </c>
      <c r="AL76" s="30">
        <v>46.26</v>
      </c>
      <c r="AM76" s="30">
        <v>46.26</v>
      </c>
      <c r="AN76" s="30">
        <v>46.26</v>
      </c>
      <c r="AO76" s="30">
        <v>46.26</v>
      </c>
      <c r="AP76" s="30">
        <v>46.26</v>
      </c>
      <c r="AQ76" s="30">
        <v>46.26</v>
      </c>
      <c r="AR76" s="30">
        <v>46.26</v>
      </c>
      <c r="AS76" s="30">
        <v>46.26</v>
      </c>
      <c r="AT76" s="30">
        <v>46.26</v>
      </c>
      <c r="AU76" s="30">
        <v>46.26</v>
      </c>
      <c r="AV76" s="30">
        <v>46.26</v>
      </c>
      <c r="AW76" s="11">
        <v>46.26</v>
      </c>
    </row>
    <row r="77" spans="1:49" x14ac:dyDescent="0.15">
      <c r="A77" s="44" t="s">
        <v>90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x14ac:dyDescent="0.15">
      <c r="A78" s="44" t="s">
        <v>91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4" t="s">
        <v>92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9" x14ac:dyDescent="0.15">
      <c r="A80" s="38" t="s">
        <v>15</v>
      </c>
      <c r="B80" s="37" t="s">
        <v>541</v>
      </c>
      <c r="C80" s="4">
        <v>0</v>
      </c>
      <c r="D80" s="4">
        <v>1</v>
      </c>
      <c r="E80" s="4">
        <v>2.2999999999999998</v>
      </c>
      <c r="F80" s="4">
        <v>10</v>
      </c>
      <c r="G80" s="4">
        <v>-1</v>
      </c>
      <c r="H80" s="6"/>
      <c r="I80" s="6" t="s">
        <v>32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 t="shared" ref="R80:AF80" si="55">TAN(C80)</f>
        <v>0</v>
      </c>
      <c r="S80" s="6">
        <f t="shared" si="55"/>
        <v>1.5574077246549021</v>
      </c>
      <c r="T80" s="6">
        <f t="shared" si="55"/>
        <v>-1.1192136417341327</v>
      </c>
      <c r="U80" s="6">
        <f t="shared" si="55"/>
        <v>0.64836082745908674</v>
      </c>
      <c r="V80" s="6">
        <f t="shared" si="55"/>
        <v>-1.5574077246549021</v>
      </c>
      <c r="W80" s="6">
        <f t="shared" si="55"/>
        <v>0</v>
      </c>
      <c r="X80" s="6" t="e" vm="69">
        <f t="shared" si="55"/>
        <v>#VALUE!</v>
      </c>
      <c r="Y80" s="6">
        <f t="shared" si="55"/>
        <v>1.5574077246549021</v>
      </c>
      <c r="Z80" s="6" t="e">
        <f t="shared" si="55"/>
        <v>#VALUE!</v>
      </c>
      <c r="AA80" s="6" t="e">
        <f t="shared" si="55"/>
        <v>#N/A</v>
      </c>
      <c r="AB80" s="6" t="e">
        <f t="shared" si="55"/>
        <v>#DIV/0!</v>
      </c>
      <c r="AC80" s="6" t="e">
        <f t="shared" si="55"/>
        <v>#NAME?</v>
      </c>
      <c r="AD80" s="6" t="e">
        <f t="shared" si="55"/>
        <v>#NULL!</v>
      </c>
      <c r="AE80" s="6" t="e">
        <f t="shared" si="55"/>
        <v>#NUM!</v>
      </c>
      <c r="AF80" s="6" t="e">
        <f t="shared" si="55"/>
        <v>#REF!</v>
      </c>
      <c r="AG80" s="8"/>
      <c r="AH80" s="6">
        <f t="array" ref="AH80:AW80">TAN(C80:Q80)</f>
        <v>0</v>
      </c>
      <c r="AI80" s="6">
        <v>1.5574077246549021</v>
      </c>
      <c r="AJ80" s="6">
        <v>-1.1192136417341327</v>
      </c>
      <c r="AK80" s="6">
        <v>0.64836082745908674</v>
      </c>
      <c r="AL80" s="6">
        <v>-1.5574077246549021</v>
      </c>
      <c r="AM80" s="6">
        <v>0</v>
      </c>
      <c r="AN80" s="6" t="e" vm="69">
        <v>#VALUE!</v>
      </c>
      <c r="AO80" s="6">
        <v>1.5574077246549021</v>
      </c>
      <c r="AP80" s="6" t="e">
        <v>#VALUE!</v>
      </c>
      <c r="AQ80" s="6" t="e">
        <v>#N/A</v>
      </c>
      <c r="AR80" s="6" t="e">
        <v>#DIV/0!</v>
      </c>
      <c r="AS80" s="6" t="e">
        <v>#NAME?</v>
      </c>
      <c r="AT80" s="6" t="e">
        <v>#NULL!</v>
      </c>
      <c r="AU80" s="6" t="e">
        <v>#NUM!</v>
      </c>
      <c r="AV80" s="6" t="e">
        <v>#REF!</v>
      </c>
      <c r="AW80" s="4" t="e">
        <v>#N/A</v>
      </c>
    </row>
    <row r="81" spans="1:49" x14ac:dyDescent="0.15">
      <c r="A81" s="38" t="s">
        <v>16</v>
      </c>
      <c r="B81" s="37" t="s">
        <v>541</v>
      </c>
      <c r="C81" s="4">
        <v>0</v>
      </c>
      <c r="D81" s="4">
        <v>1</v>
      </c>
      <c r="E81" s="4">
        <v>2.2999999999999998</v>
      </c>
      <c r="F81" s="4">
        <v>10</v>
      </c>
      <c r="G81" s="4">
        <v>-1</v>
      </c>
      <c r="H81" s="6"/>
      <c r="I81" s="6" t="s">
        <v>32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 t="shared" ref="R81:AF81" si="56">TANH(C81)</f>
        <v>0</v>
      </c>
      <c r="S81" s="6">
        <f t="shared" si="56"/>
        <v>0.76159415595576485</v>
      </c>
      <c r="T81" s="6">
        <f t="shared" si="56"/>
        <v>0.98009639626619138</v>
      </c>
      <c r="U81" s="6">
        <f t="shared" si="56"/>
        <v>0.99999999587769262</v>
      </c>
      <c r="V81" s="6">
        <f t="shared" si="56"/>
        <v>-0.76159415595576485</v>
      </c>
      <c r="W81" s="6">
        <f t="shared" si="56"/>
        <v>0</v>
      </c>
      <c r="X81" s="6" t="e" vm="70">
        <f t="shared" si="56"/>
        <v>#VALUE!</v>
      </c>
      <c r="Y81" s="6">
        <f t="shared" si="56"/>
        <v>0.76159415595576485</v>
      </c>
      <c r="Z81" s="6" t="e">
        <f t="shared" si="56"/>
        <v>#VALUE!</v>
      </c>
      <c r="AA81" s="6" t="e">
        <f t="shared" si="56"/>
        <v>#N/A</v>
      </c>
      <c r="AB81" s="6" t="e">
        <f t="shared" si="56"/>
        <v>#DIV/0!</v>
      </c>
      <c r="AC81" s="6" t="e">
        <f t="shared" si="56"/>
        <v>#NAME?</v>
      </c>
      <c r="AD81" s="6" t="e">
        <f t="shared" si="56"/>
        <v>#NULL!</v>
      </c>
      <c r="AE81" s="6" t="e">
        <f t="shared" si="56"/>
        <v>#NUM!</v>
      </c>
      <c r="AF81" s="6" t="e">
        <f t="shared" si="56"/>
        <v>#REF!</v>
      </c>
      <c r="AG81" s="8"/>
      <c r="AH81" s="6">
        <f t="array" ref="AH81:AW81">TANH(C81:Q81)</f>
        <v>0</v>
      </c>
      <c r="AI81" s="6">
        <v>0.76159415595576485</v>
      </c>
      <c r="AJ81" s="6">
        <v>0.98009639626619138</v>
      </c>
      <c r="AK81" s="6">
        <v>0.99999999587769262</v>
      </c>
      <c r="AL81" s="6">
        <v>-0.76159415595576485</v>
      </c>
      <c r="AM81" s="6">
        <v>0</v>
      </c>
      <c r="AN81" s="6" t="e" vm="70">
        <v>#VALUE!</v>
      </c>
      <c r="AO81" s="6">
        <v>0.76159415595576485</v>
      </c>
      <c r="AP81" s="6" t="e">
        <v>#VALUE!</v>
      </c>
      <c r="AQ81" s="6" t="e">
        <v>#N/A</v>
      </c>
      <c r="AR81" s="6" t="e">
        <v>#DIV/0!</v>
      </c>
      <c r="AS81" s="6" t="e">
        <v>#NAME?</v>
      </c>
      <c r="AT81" s="6" t="e">
        <v>#NULL!</v>
      </c>
      <c r="AU81" s="6" t="e">
        <v>#NUM!</v>
      </c>
      <c r="AV81" s="6" t="e">
        <v>#REF!</v>
      </c>
      <c r="AW81" s="4" t="e">
        <v>#N/A</v>
      </c>
    </row>
    <row r="82" spans="1:49" x14ac:dyDescent="0.15">
      <c r="A82" s="38" t="s">
        <v>93</v>
      </c>
      <c r="B82" s="37" t="s">
        <v>541</v>
      </c>
      <c r="C82" s="4">
        <v>2.5499999999999998</v>
      </c>
      <c r="D82" s="4">
        <v>-255.5</v>
      </c>
      <c r="E82" s="4">
        <v>-2.5499999999999998</v>
      </c>
      <c r="F82" s="4">
        <v>1.5</v>
      </c>
      <c r="G82" s="4">
        <v>0.23400000000000001</v>
      </c>
      <c r="H82" s="6"/>
      <c r="I82" s="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TRUNC(C82,1)</f>
        <v>2.5</v>
      </c>
      <c r="S82" s="6">
        <f>TRUNC(D82,-2)</f>
        <v>-200</v>
      </c>
      <c r="T82" s="6">
        <f>TRUNC(E82,1)</f>
        <v>-2.5</v>
      </c>
      <c r="U82" s="6">
        <f>TRUNC(F82,0)</f>
        <v>1</v>
      </c>
      <c r="V82" s="6">
        <f>TRUNC(G82,1.9)</f>
        <v>0.2</v>
      </c>
      <c r="W82" s="6">
        <f>TRUNC(H82,-2)</f>
        <v>0</v>
      </c>
      <c r="X82" s="6" t="e" vm="71">
        <f>TRUNC(I82,0)</f>
        <v>#VALUE!</v>
      </c>
      <c r="Y82" s="6">
        <f>TRUNC(J82,0)</f>
        <v>1</v>
      </c>
      <c r="Z82" s="6" t="e">
        <f t="shared" ref="Z82:AF82" si="57">TRUNC(K82,J82)</f>
        <v>#VALUE!</v>
      </c>
      <c r="AA82" s="6" t="e">
        <f t="shared" si="57"/>
        <v>#N/A</v>
      </c>
      <c r="AB82" s="6" t="e">
        <f t="shared" si="57"/>
        <v>#DIV/0!</v>
      </c>
      <c r="AC82" s="6" t="e">
        <f t="shared" si="57"/>
        <v>#NAME?</v>
      </c>
      <c r="AD82" s="6" t="e">
        <f t="shared" si="57"/>
        <v>#NULL!</v>
      </c>
      <c r="AE82" s="6" t="e">
        <f t="shared" si="57"/>
        <v>#NUM!</v>
      </c>
      <c r="AF82" s="6" t="e">
        <f t="shared" si="57"/>
        <v>#REF!</v>
      </c>
      <c r="AG82" s="8"/>
      <c r="AH82" s="6">
        <f t="array" ref="AH82:AW82">TRUNC(C82:P82,D82:Q82)</f>
        <v>0</v>
      </c>
      <c r="AI82" s="6">
        <v>-200</v>
      </c>
      <c r="AJ82" s="6">
        <v>-2.5</v>
      </c>
      <c r="AK82" s="6">
        <v>1</v>
      </c>
      <c r="AL82" s="6">
        <v>0</v>
      </c>
      <c r="AM82" s="6" t="e" vm="71">
        <v>#VALUE!</v>
      </c>
      <c r="AN82" s="6" t="e" vm="71">
        <v>#VALUE!</v>
      </c>
      <c r="AO82" s="6" t="e">
        <v>#VALUE!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#N/A</v>
      </c>
      <c r="AW82" s="4" t="e">
        <v>#N/A</v>
      </c>
    </row>
  </sheetData>
  <mergeCells count="7">
    <mergeCell ref="Z2:AF2"/>
    <mergeCell ref="AH2:AW2"/>
    <mergeCell ref="R1:AW1"/>
    <mergeCell ref="C1:Q1"/>
    <mergeCell ref="C2:G2"/>
    <mergeCell ref="K2:Q2"/>
    <mergeCell ref="R2:V2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W113"/>
  <sheetViews>
    <sheetView topLeftCell="A46" zoomScaleNormal="100" workbookViewId="0"/>
  </sheetViews>
  <sheetFormatPr baseColWidth="10" defaultColWidth="10.83203125" defaultRowHeight="11" x14ac:dyDescent="0.15"/>
  <cols>
    <col min="1" max="1" width="16.83203125" style="44" bestFit="1" customWidth="1"/>
    <col min="2" max="2" width="5.1640625" style="43" bestFit="1" customWidth="1"/>
    <col min="3" max="3" width="2.83203125" style="4" bestFit="1" customWidth="1"/>
    <col min="4" max="7" width="3.1640625" style="4" bestFit="1" customWidth="1"/>
    <col min="8" max="8" width="4.6640625" style="4" bestFit="1" customWidth="1"/>
    <col min="9" max="9" width="7.3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5" width="5.6640625" style="4" bestFit="1" customWidth="1"/>
    <col min="16" max="16" width="4.83203125" style="4" bestFit="1" customWidth="1"/>
    <col min="17" max="17" width="4" style="4" bestFit="1" customWidth="1"/>
    <col min="18" max="22" width="5.6640625" style="4" bestFit="1" customWidth="1"/>
    <col min="23" max="23" width="5.1640625" style="4" bestFit="1" customWidth="1"/>
    <col min="24" max="26" width="5.6640625" style="4" bestFit="1" customWidth="1"/>
    <col min="27" max="27" width="5.1640625" style="4" bestFit="1" customWidth="1"/>
    <col min="28" max="30" width="5.6640625" style="4" bestFit="1" customWidth="1"/>
    <col min="31" max="32" width="4.83203125" style="4" bestFit="1" customWidth="1"/>
    <col min="33" max="33" width="9.83203125" style="4" bestFit="1" customWidth="1"/>
    <col min="34" max="39" width="5.6640625" style="4" bestFit="1" customWidth="1"/>
    <col min="40" max="49" width="5.832031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COUNTIF(B3:B189,"=DONE")/COUNTA(A3:A189)</f>
        <v>0.34234234234234234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41" t="s">
        <v>99</v>
      </c>
    </row>
    <row r="4" spans="1:49" x14ac:dyDescent="0.15">
      <c r="A4" s="36" t="s">
        <v>100</v>
      </c>
      <c r="B4" s="37" t="s">
        <v>541</v>
      </c>
      <c r="C4" s="4">
        <v>0</v>
      </c>
      <c r="D4" s="4">
        <v>0.1</v>
      </c>
      <c r="E4" s="4">
        <v>0.2</v>
      </c>
      <c r="F4" s="4">
        <v>0.3</v>
      </c>
      <c r="G4" s="4">
        <v>-0.1</v>
      </c>
      <c r="H4" s="6"/>
      <c r="I4" s="17" t="s">
        <v>444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AVERAGE(C4:D4,D4:E4,E4:F4)</f>
        <v>0.15000000000000002</v>
      </c>
      <c r="S4" s="6" t="e" vm="72">
        <f>AVERAGE(D4:E4,E4:F4,F4:G4,"")</f>
        <v>#VALUE!</v>
      </c>
      <c r="T4" s="6">
        <f>AVERAGE(E4:F4,F4:G4,G4:H4,"29/02/1900")</f>
        <v>10.1</v>
      </c>
      <c r="U4" s="6">
        <f>AVERAGE(F4:G4,G4:H4,H4:I4)</f>
        <v>3.3333333333333326E-2</v>
      </c>
      <c r="V4" s="6">
        <f>AVERAGE(G4:H4,H4:I4,I4:J4)</f>
        <v>-0.1</v>
      </c>
      <c r="W4" s="6">
        <f>AVERAGE(G4:H4)</f>
        <v>-0.1</v>
      </c>
      <c r="X4" s="6">
        <f>AVERAGE(I4,G4)</f>
        <v>-0.1</v>
      </c>
      <c r="Y4" s="6">
        <f>AVERAGE(J4,G4)</f>
        <v>-0.1</v>
      </c>
      <c r="Z4" s="6" t="e">
        <f t="shared" ref="Z4:AF4" si="0">AVERAGE(K4:L4)</f>
        <v>#VALUE!</v>
      </c>
      <c r="AA4" s="6" t="e">
        <f t="shared" si="0"/>
        <v>#N/A</v>
      </c>
      <c r="AB4" s="6" t="e">
        <f t="shared" si="0"/>
        <v>#DIV/0!</v>
      </c>
      <c r="AC4" s="6" t="e">
        <f t="shared" si="0"/>
        <v>#NAME?</v>
      </c>
      <c r="AD4" s="6" t="e">
        <f t="shared" si="0"/>
        <v>#NULL!</v>
      </c>
      <c r="AE4" s="6" t="e">
        <f t="shared" si="0"/>
        <v>#NUM!</v>
      </c>
      <c r="AF4" s="6" t="e">
        <f t="shared" si="0"/>
        <v>#REF!</v>
      </c>
      <c r="AG4" s="6" t="e">
        <f>AVERAGE(H4:J4)</f>
        <v>#DIV/0!</v>
      </c>
      <c r="AH4" s="6">
        <f t="array" ref="AH4:AM4">AVERAGE(C4:J4)</f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>
        <v>0.10000000000000002</v>
      </c>
      <c r="AN4" s="6" t="e">
        <f t="array" ref="AN4:AW4">AVERAGE(J4:Q4)</f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6" t="e">
        <v>#VALUE!</v>
      </c>
      <c r="AW4" s="4" t="e">
        <v>#VALUE!</v>
      </c>
    </row>
    <row r="5" spans="1:49" x14ac:dyDescent="0.15">
      <c r="A5" s="36" t="s">
        <v>101</v>
      </c>
      <c r="B5" s="37" t="s">
        <v>541</v>
      </c>
      <c r="C5" s="4">
        <v>0</v>
      </c>
      <c r="D5" s="4">
        <v>0.1</v>
      </c>
      <c r="E5" s="4">
        <v>0.2</v>
      </c>
      <c r="F5" s="4">
        <v>0.3</v>
      </c>
      <c r="G5" s="4">
        <v>-0.1</v>
      </c>
      <c r="H5" s="6"/>
      <c r="I5" s="17" t="s">
        <v>444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AVERAGEA(C5:D5,D5:E5,E5:F5)</f>
        <v>0.15000000000000002</v>
      </c>
      <c r="S5" s="6" t="e" vm="73">
        <f>AVERAGEA(D5:E5,E5:F5,F5:G5,"")</f>
        <v>#VALUE!</v>
      </c>
      <c r="T5" s="6">
        <f>AVERAGEA(E5:F5,F5:G5,G5:H5,"29/02/1900")</f>
        <v>10.1</v>
      </c>
      <c r="U5" s="6">
        <f>AVERAGEA(F5:G5,G5:H5,H5:I5)</f>
        <v>2.4999999999999994E-2</v>
      </c>
      <c r="V5" s="6">
        <f>AVERAGEA(G5:H5,H5:I5,I5:J5)</f>
        <v>0.22500000000000001</v>
      </c>
      <c r="W5" s="6" t="e">
        <f>AVERAGEA(H4:H5)</f>
        <v>#DIV/0!</v>
      </c>
      <c r="X5" s="6">
        <f>AVERAGEA(I5,G5:H5)</f>
        <v>-0.05</v>
      </c>
      <c r="Y5" s="6">
        <f>AVERAGEA(J5,H5:I5)</f>
        <v>0.5</v>
      </c>
      <c r="Z5" s="6" t="e">
        <f t="shared" ref="Z5:AF5" si="1">AVERAGEA(K5:L5)</f>
        <v>#VALUE!</v>
      </c>
      <c r="AA5" s="6" t="e">
        <f t="shared" si="1"/>
        <v>#N/A</v>
      </c>
      <c r="AB5" s="6" t="e">
        <f t="shared" si="1"/>
        <v>#DIV/0!</v>
      </c>
      <c r="AC5" s="6" t="e">
        <f t="shared" si="1"/>
        <v>#NAME?</v>
      </c>
      <c r="AD5" s="6" t="e">
        <f t="shared" si="1"/>
        <v>#NULL!</v>
      </c>
      <c r="AE5" s="6" t="e">
        <f t="shared" si="1"/>
        <v>#NUM!</v>
      </c>
      <c r="AF5" s="6" t="e">
        <f t="shared" si="1"/>
        <v>#REF!</v>
      </c>
      <c r="AG5" s="6">
        <f>AVERAGEA(H5:J5)</f>
        <v>0.5</v>
      </c>
      <c r="AH5" s="6">
        <f t="array" ref="AH5:AM5">AVERAGEA(C5:J5)</f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>
        <v>0.21428571428571427</v>
      </c>
      <c r="AN5" s="6" t="e">
        <f t="array" ref="AN5:AW5">AVERAGEA(J5:Q5)</f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6" t="e">
        <v>#VALUE!</v>
      </c>
      <c r="AW5" s="4" t="e">
        <v>#VALUE!</v>
      </c>
    </row>
    <row r="6" spans="1:49" x14ac:dyDescent="0.15">
      <c r="A6" s="36" t="s">
        <v>102</v>
      </c>
      <c r="B6" s="37" t="s">
        <v>541</v>
      </c>
      <c r="C6" s="4">
        <v>1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17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AVERAGEIF(C6:D6,1,E6:F6)</f>
        <v>6.15</v>
      </c>
      <c r="S6" s="6">
        <f>AVERAGEIF(D6:E6,"1",F6:G6)</f>
        <v>10</v>
      </c>
      <c r="T6" s="6">
        <f>AVERAGEIF(E6:F6,"&gt;1",G6:H6)</f>
        <v>-1</v>
      </c>
      <c r="U6" s="6">
        <f>AVERAGEIF(F6:G6,"&lt;&gt;-1",G6:H6)</f>
        <v>-1</v>
      </c>
      <c r="V6" s="6" t="e">
        <f>AVERAGEIF(G6:H6,1,I6:J6)</f>
        <v>#DIV/0!</v>
      </c>
      <c r="W6" s="6" t="e">
        <f>AVERAGEIF(H6:I6,H6,D6:E6)</f>
        <v>#DIV/0!</v>
      </c>
      <c r="X6" s="6">
        <f>AVERAGEIF(I6:J6,I6,E6:F6)</f>
        <v>2.2999999999999998</v>
      </c>
      <c r="Y6" s="6">
        <f>AVERAGEIF(I6:J6,"&lt;=TRUE",F6:G6)</f>
        <v>-1</v>
      </c>
      <c r="Z6" s="6" t="e">
        <f t="shared" ref="Z6:AF6" si="2">AVERAGEIF(I6:J6,I6,K6:L6)</f>
        <v>#VALUE!</v>
      </c>
      <c r="AA6" s="6" t="e">
        <f t="shared" si="2"/>
        <v>#N/A</v>
      </c>
      <c r="AB6" s="6" t="e">
        <f t="shared" si="2"/>
        <v>#DIV/0!</v>
      </c>
      <c r="AC6" s="6" t="e">
        <f t="shared" si="2"/>
        <v>#NAME?</v>
      </c>
      <c r="AD6" s="6" t="e">
        <f t="shared" si="2"/>
        <v>#NULL!</v>
      </c>
      <c r="AE6" s="6" t="e">
        <f t="shared" si="2"/>
        <v>#NUM!</v>
      </c>
      <c r="AF6" s="6" t="e">
        <f t="shared" si="2"/>
        <v>#REF!</v>
      </c>
      <c r="AG6" s="6">
        <f t="array" ref="AG6">AVERAGEIF(D6:H6,{1,"&gt;3"},E6:I6)</f>
        <v>2.2999999999999998</v>
      </c>
      <c r="AH6" s="6">
        <f t="array" ref="AH6:AW6">AVERAGEIF(F6:J6,{"*ao","","TRUE",TRUE,"*a?"},C6:G6)</f>
        <v>10</v>
      </c>
      <c r="AI6" s="6">
        <v>2.2999999999999998</v>
      </c>
      <c r="AJ6" s="6">
        <v>-1</v>
      </c>
      <c r="AK6" s="6">
        <v>-1</v>
      </c>
      <c r="AL6" s="6">
        <v>10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4" t="e">
        <v>#N/A</v>
      </c>
    </row>
    <row r="7" spans="1:49" x14ac:dyDescent="0.15">
      <c r="A7" s="36" t="s">
        <v>103</v>
      </c>
      <c r="B7" s="37" t="s">
        <v>541</v>
      </c>
      <c r="C7" s="4">
        <v>1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17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AVERAGEIFS(E7:F7, C7:D7,1,E7:F7,2.3)</f>
        <v>2.2999999999999998</v>
      </c>
      <c r="S7" s="6">
        <f>AVERAGEIFS(F7:G7,D7:E7,"1")</f>
        <v>10</v>
      </c>
      <c r="T7" s="6">
        <f>AVERAGEIFS(G7:H7, E7:F7,"&gt;1")</f>
        <v>-1</v>
      </c>
      <c r="U7" s="6">
        <f>AVERAGEIFS(G7:H7,F7:G7,"&lt;&gt;-1")</f>
        <v>-1</v>
      </c>
      <c r="V7" s="6" t="e">
        <f>AVERAGEIFS(I7:J7,G7:H7,1)</f>
        <v>#DIV/0!</v>
      </c>
      <c r="W7" s="6" t="e">
        <f>AVERAGEIFS(D7:E7,H7:I7,H7)</f>
        <v>#DIV/0!</v>
      </c>
      <c r="X7" s="6">
        <f>AVERAGEIFS(E7:F7,I7:J7,I7)</f>
        <v>2.2999999999999998</v>
      </c>
      <c r="Y7" s="6">
        <f>AVERAGEIFS(F7:G7,I7:J7,"&lt;=TRUE")</f>
        <v>-1</v>
      </c>
      <c r="Z7" s="6" t="e">
        <f t="shared" ref="Z7:AF7" si="3">AVERAGEIFS(K7:L7,I7:J7,I7)</f>
        <v>#VALUE!</v>
      </c>
      <c r="AA7" s="6" t="e">
        <f t="shared" si="3"/>
        <v>#N/A</v>
      </c>
      <c r="AB7" s="6" t="e">
        <f t="shared" si="3"/>
        <v>#DIV/0!</v>
      </c>
      <c r="AC7" s="6" t="e">
        <f t="shared" si="3"/>
        <v>#NAME?</v>
      </c>
      <c r="AD7" s="6" t="e">
        <f t="shared" si="3"/>
        <v>#NULL!</v>
      </c>
      <c r="AE7" s="6" t="e">
        <f t="shared" si="3"/>
        <v>#NUM!</v>
      </c>
      <c r="AF7" s="6" t="e">
        <f t="shared" si="3"/>
        <v>#REF!</v>
      </c>
      <c r="AG7" s="6" t="e">
        <f t="array" ref="AG7">AVERAGEIFS(E7:I7,D7:H7,{1,"&gt;3"}, C7:F7,{0,1})</f>
        <v>#VALUE!</v>
      </c>
      <c r="AH7" s="6">
        <f t="array" ref="AH7:AW7">AVERAGEIFS(C7:G7,F7:J7,{"*ao","","TRUE",TRUE,"*a?"})</f>
        <v>10</v>
      </c>
      <c r="AI7" s="6">
        <v>2.2999999999999998</v>
      </c>
      <c r="AJ7" s="6">
        <v>-1</v>
      </c>
      <c r="AK7" s="6">
        <v>-1</v>
      </c>
      <c r="AL7" s="6">
        <v>10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4" t="e">
        <v>#N/A</v>
      </c>
    </row>
    <row r="8" spans="1:49" x14ac:dyDescent="0.15">
      <c r="A8" s="41" t="s">
        <v>104</v>
      </c>
    </row>
    <row r="9" spans="1:49" x14ac:dyDescent="0.15">
      <c r="A9" s="41" t="s">
        <v>105</v>
      </c>
    </row>
    <row r="10" spans="1:49" x14ac:dyDescent="0.15">
      <c r="A10" s="41" t="s">
        <v>106</v>
      </c>
    </row>
    <row r="11" spans="1:49" x14ac:dyDescent="0.15">
      <c r="A11" s="41" t="s">
        <v>107</v>
      </c>
    </row>
    <row r="12" spans="1:49" x14ac:dyDescent="0.15">
      <c r="A12" s="41" t="s">
        <v>108</v>
      </c>
    </row>
    <row r="13" spans="1:49" x14ac:dyDescent="0.15">
      <c r="A13" s="41" t="s">
        <v>109</v>
      </c>
    </row>
    <row r="14" spans="1:49" x14ac:dyDescent="0.15">
      <c r="A14" s="41" t="s">
        <v>110</v>
      </c>
    </row>
    <row r="15" spans="1:49" x14ac:dyDescent="0.15">
      <c r="A15" s="41" t="s">
        <v>111</v>
      </c>
    </row>
    <row r="16" spans="1:49" x14ac:dyDescent="0.15">
      <c r="A16" s="41" t="s">
        <v>112</v>
      </c>
    </row>
    <row r="17" spans="1:49" x14ac:dyDescent="0.15">
      <c r="A17" s="41" t="s">
        <v>113</v>
      </c>
    </row>
    <row r="18" spans="1:49" x14ac:dyDescent="0.15">
      <c r="A18" s="41" t="s">
        <v>114</v>
      </c>
      <c r="R18" s="27"/>
    </row>
    <row r="19" spans="1:49" x14ac:dyDescent="0.15">
      <c r="A19" s="41" t="s">
        <v>115</v>
      </c>
    </row>
    <row r="20" spans="1:49" x14ac:dyDescent="0.15">
      <c r="A20" s="36" t="s">
        <v>116</v>
      </c>
      <c r="B20" s="37" t="s">
        <v>541</v>
      </c>
      <c r="C20" s="4">
        <v>0</v>
      </c>
      <c r="D20" s="4">
        <v>0.1</v>
      </c>
      <c r="E20" s="4">
        <v>0.2</v>
      </c>
      <c r="F20" s="4">
        <v>0.3</v>
      </c>
      <c r="G20" s="4">
        <v>-0.1</v>
      </c>
      <c r="H20" s="6"/>
      <c r="I20" s="17" t="s">
        <v>444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 t="shared" ref="R20:AC20" si="4">CORREL(C20:E20,E20:G20)</f>
        <v>-0.72057669212289199</v>
      </c>
      <c r="S20" s="4">
        <f t="shared" si="4"/>
        <v>-1</v>
      </c>
      <c r="T20" s="4" t="e">
        <f t="shared" si="4"/>
        <v>#DIV/0!</v>
      </c>
      <c r="U20" s="4" t="e">
        <f t="shared" si="4"/>
        <v>#DIV/0!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#VALUE!</v>
      </c>
      <c r="Y20" s="4" t="e">
        <f t="shared" si="4"/>
        <v>#N/A</v>
      </c>
      <c r="Z20" s="4" t="e">
        <f t="shared" si="4"/>
        <v>#VALUE!</v>
      </c>
      <c r="AA20" s="4" t="e">
        <f t="shared" si="4"/>
        <v>#N/A</v>
      </c>
      <c r="AB20" s="4" t="e">
        <f t="shared" si="4"/>
        <v>#DIV/0!</v>
      </c>
      <c r="AC20" s="4" t="e">
        <f t="shared" si="4"/>
        <v>#NAME?</v>
      </c>
      <c r="AD20" s="4" t="e">
        <f>CORREL(P20:Q20,Q20:S20)</f>
        <v>#N/A</v>
      </c>
      <c r="AE20" s="4" t="e">
        <f>CORREL(P20:R20,R20:T20)</f>
        <v>#NUM!</v>
      </c>
      <c r="AF20" s="4" t="e">
        <f>CORREL(Q20:S20,S20:U20)</f>
        <v>#REF!</v>
      </c>
      <c r="AG20" s="4">
        <f>CORREL(C20:E20,E20:G20)</f>
        <v>-0.72057669212289199</v>
      </c>
      <c r="AH20" s="4">
        <f t="array" ref="AH20:AW20">CORREL(C20:E20,E20:G20)</f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  <c r="AW20" s="4">
        <v>-0.72057669212289199</v>
      </c>
    </row>
    <row r="21" spans="1:49" x14ac:dyDescent="0.15">
      <c r="A21" s="36" t="s">
        <v>117</v>
      </c>
      <c r="B21" s="37" t="s">
        <v>541</v>
      </c>
      <c r="C21" s="4">
        <v>0</v>
      </c>
      <c r="D21" s="4">
        <v>0.1</v>
      </c>
      <c r="E21" s="4">
        <v>0.2</v>
      </c>
      <c r="F21" s="4">
        <v>0.3</v>
      </c>
      <c r="G21" s="4">
        <v>-0.1</v>
      </c>
      <c r="H21" s="6"/>
      <c r="I21" s="17" t="s">
        <v>444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>COUNT(C21:D21,D21:E21,E21:F21,TRUE,"26/08")</f>
        <v>8</v>
      </c>
      <c r="S21" s="6">
        <f>COUNT(D21:E21,E21:F21,F21:G21)</f>
        <v>6</v>
      </c>
      <c r="T21" s="6">
        <f>COUNT(E21:F21,F21:G21,G21:H21)</f>
        <v>5</v>
      </c>
      <c r="U21" s="6">
        <f>COUNT(H21)</f>
        <v>0</v>
      </c>
      <c r="V21" s="6">
        <f>COUNT(G21:H21,H21:I21,I21:J21)</f>
        <v>1</v>
      </c>
      <c r="W21" s="6">
        <f>COUNT(G21:H21)</f>
        <v>1</v>
      </c>
      <c r="X21" s="6">
        <f t="shared" ref="X21:AF21" si="5">COUNT(I21,G21)</f>
        <v>1</v>
      </c>
      <c r="Y21" s="6">
        <f t="shared" si="5"/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 t="shared" si="5"/>
        <v>0</v>
      </c>
      <c r="AG21" s="6">
        <f>COUNT(H21:J21)</f>
        <v>0</v>
      </c>
      <c r="AH21" s="6">
        <f t="array" ref="AH21:AM21">COUNT(C21:J21)</f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>
        <f t="array" ref="AN21:AW21">COUNT(J21:Q21)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4">
        <v>0</v>
      </c>
    </row>
    <row r="22" spans="1:49" x14ac:dyDescent="0.15">
      <c r="A22" s="36" t="s">
        <v>118</v>
      </c>
      <c r="B22" s="37" t="s">
        <v>541</v>
      </c>
      <c r="C22" s="4">
        <v>0</v>
      </c>
      <c r="D22" s="4">
        <v>0.1</v>
      </c>
      <c r="E22" s="4">
        <v>-2</v>
      </c>
      <c r="F22" s="4">
        <v>-3</v>
      </c>
      <c r="G22" s="4">
        <v>4</v>
      </c>
      <c r="H22" s="6"/>
      <c r="I22" s="17" t="s">
        <v>444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>
        <f>COUNTA(C22:D22,D22:E22,E22:F22,TRUE,"26/08")</f>
        <v>8</v>
      </c>
      <c r="S22" s="6">
        <f>COUNTA(D22:E22,E22:F22,F22:G22)</f>
        <v>6</v>
      </c>
      <c r="T22" s="6">
        <f>COUNTA(E22:F22,F22:G22,G22:H22)</f>
        <v>5</v>
      </c>
      <c r="U22" s="6">
        <f>COUNTA(H22)</f>
        <v>0</v>
      </c>
      <c r="V22" s="6">
        <f>COUNTA(G22:H22,H22:I22,I22:J22)</f>
        <v>4</v>
      </c>
      <c r="W22" s="6">
        <f>COUNTA(G22:H22)</f>
        <v>1</v>
      </c>
      <c r="X22" s="6">
        <f t="shared" ref="X22:AF22" si="6">COUNTA(I22,G22)</f>
        <v>2</v>
      </c>
      <c r="Y22" s="6">
        <f t="shared" si="6"/>
        <v>1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 t="shared" si="6"/>
        <v>2</v>
      </c>
      <c r="AG22" s="6">
        <f>COUNTA(H22:J22)</f>
        <v>2</v>
      </c>
      <c r="AH22" s="6">
        <f t="array" ref="AH22:AM22">COUNTA(C22:J22)</f>
        <v>7</v>
      </c>
      <c r="AI22" s="6">
        <v>7</v>
      </c>
      <c r="AJ22" s="6">
        <v>7</v>
      </c>
      <c r="AK22" s="6">
        <v>7</v>
      </c>
      <c r="AL22" s="6">
        <v>7</v>
      </c>
      <c r="AM22" s="6">
        <v>7</v>
      </c>
      <c r="AN22" s="6">
        <f t="array" ref="AN22:AW22">COUNTA(J22:Q22)</f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6">
        <v>8</v>
      </c>
      <c r="AW22" s="4">
        <v>8</v>
      </c>
    </row>
    <row r="23" spans="1:49" x14ac:dyDescent="0.15">
      <c r="A23" s="36" t="s">
        <v>119</v>
      </c>
      <c r="B23" s="37" t="s">
        <v>541</v>
      </c>
      <c r="C23" s="4">
        <v>0</v>
      </c>
      <c r="D23" s="4">
        <v>0.1</v>
      </c>
      <c r="E23" s="4">
        <v>-2</v>
      </c>
      <c r="F23" s="4">
        <v>-3</v>
      </c>
      <c r="G23" s="4">
        <v>4</v>
      </c>
      <c r="H23" s="6"/>
      <c r="I23" s="17" t="s">
        <v>446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>
        <f>COUNTBLANK(C23:D23)</f>
        <v>0</v>
      </c>
      <c r="S23" s="6">
        <f>COUNTBLANK(D23:E23)</f>
        <v>0</v>
      </c>
      <c r="T23" s="6">
        <f>COUNTBLANK(C23)</f>
        <v>0</v>
      </c>
      <c r="U23" s="6">
        <f t="shared" ref="U23:AF23" si="7">COUNTBLANK(F23:G23)</f>
        <v>0</v>
      </c>
      <c r="V23" s="6">
        <f t="shared" si="7"/>
        <v>1</v>
      </c>
      <c r="W23" s="6">
        <f t="shared" si="7"/>
        <v>2</v>
      </c>
      <c r="X23" s="6">
        <f t="shared" si="7"/>
        <v>1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 t="shared" si="7"/>
        <v>0</v>
      </c>
      <c r="AG23" s="6">
        <f>COUNTA(H23:J23)</f>
        <v>2</v>
      </c>
      <c r="AH23" s="6">
        <f t="array" ref="AH23:AM23">COUNTA(C23:J23)</f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f t="array" ref="AN23:AW23">COUNTA(J23:Q23)</f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6">
        <v>8</v>
      </c>
      <c r="AW23" s="4">
        <v>8</v>
      </c>
    </row>
    <row r="24" spans="1:49" x14ac:dyDescent="0.15">
      <c r="A24" s="36" t="s">
        <v>120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17" t="s">
        <v>444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COUNTIF(C24:D24,1)</f>
        <v>1</v>
      </c>
      <c r="S24" s="6">
        <f>COUNTIF(D24:E24,"1")</f>
        <v>1</v>
      </c>
      <c r="T24" s="6">
        <f>COUNTIF(E24:F24,"&gt;1")</f>
        <v>2</v>
      </c>
      <c r="U24" s="6">
        <f>COUNTIF(F24:G24,"&lt;&gt;-1")</f>
        <v>1</v>
      </c>
      <c r="V24" s="6">
        <f>COUNTIF(G24:H24,1)</f>
        <v>0</v>
      </c>
      <c r="W24" s="6">
        <f>COUNTIF(H24:I24,H24)</f>
        <v>0</v>
      </c>
      <c r="X24" s="6">
        <f>COUNTIF(I24:J24,I24)</f>
        <v>1</v>
      </c>
      <c r="Y24" s="6">
        <f>COUNTIF(I24:J24,"&lt;=TRUE")</f>
        <v>1</v>
      </c>
      <c r="Z24" s="6">
        <f t="shared" ref="Z24:AF24" si="8">COUNTIF(I24:J24,I24)</f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 t="shared" si="8"/>
        <v>1</v>
      </c>
      <c r="AG24" s="6">
        <f t="array" ref="AG24">COUNTIF(D24:H24,{1,"&gt;3"})</f>
        <v>1</v>
      </c>
      <c r="AH24" s="6">
        <f t="array" ref="AH24:AW24">COUNTIF(F24:J24,{"*ao","","TRUE",TRUE,"*a?"})</f>
        <v>0</v>
      </c>
      <c r="AI24" s="6">
        <v>1</v>
      </c>
      <c r="AJ24" s="6">
        <v>1</v>
      </c>
      <c r="AK24" s="6">
        <v>1</v>
      </c>
      <c r="AL24" s="6">
        <v>0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4" t="e">
        <v>#N/A</v>
      </c>
    </row>
    <row r="25" spans="1:49" x14ac:dyDescent="0.15">
      <c r="A25" s="36" t="s">
        <v>121</v>
      </c>
      <c r="B25" s="37" t="s">
        <v>541</v>
      </c>
      <c r="C25" s="4">
        <v>1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17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>
        <f>COUNTIFS( C25:D25,1,E25:F25,2.3)</f>
        <v>1</v>
      </c>
      <c r="S25" s="6">
        <f>COUNTIFS(D25:E25,"1")</f>
        <v>1</v>
      </c>
      <c r="T25" s="6">
        <f>COUNTIFS( E25:F25,"&gt;1")</f>
        <v>2</v>
      </c>
      <c r="U25" s="6">
        <f>COUNTIFS(F25:G25,"&lt;&gt;-1")</f>
        <v>1</v>
      </c>
      <c r="V25" s="6">
        <f>COUNTIFS(G25:H25,1)</f>
        <v>0</v>
      </c>
      <c r="W25" s="6">
        <f>COUNTIFS(H25:I25,H25)</f>
        <v>0</v>
      </c>
      <c r="X25" s="6">
        <f>COUNTIFS(I25:J25,I25)</f>
        <v>1</v>
      </c>
      <c r="Y25" s="6">
        <f>COUNTIFS(I25:J25,"&lt;=TRUE")</f>
        <v>1</v>
      </c>
      <c r="Z25" s="6">
        <f t="shared" ref="Z25:AF25" si="9">COUNTIFS(I25:J25,I25)</f>
        <v>1</v>
      </c>
      <c r="AA25" s="6">
        <f t="shared" si="9"/>
        <v>1</v>
      </c>
      <c r="AB25" s="6">
        <f t="shared" si="9"/>
        <v>1</v>
      </c>
      <c r="AC25" s="6">
        <f t="shared" si="9"/>
        <v>1</v>
      </c>
      <c r="AD25" s="6">
        <f t="shared" si="9"/>
        <v>1</v>
      </c>
      <c r="AE25" s="6">
        <f t="shared" si="9"/>
        <v>1</v>
      </c>
      <c r="AF25" s="6">
        <f t="shared" si="9"/>
        <v>1</v>
      </c>
      <c r="AG25" s="6" t="e">
        <f t="array" ref="AG25">COUNTIFS(D25:H25,{1,"&gt;3"}, C25:F25,{0,1})</f>
        <v>#VALUE!</v>
      </c>
      <c r="AH25" s="6">
        <f t="array" ref="AH25:AW25">COUNTIFS(F25:J25,{"*ao","","TRUE",TRUE,"*a?"},D25:H25, "&gt;0")</f>
        <v>0</v>
      </c>
      <c r="AI25" s="6">
        <v>1</v>
      </c>
      <c r="AJ25" s="6">
        <v>0</v>
      </c>
      <c r="AK25" s="6">
        <v>0</v>
      </c>
      <c r="AL25" s="6">
        <v>0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4" t="e">
        <v>#N/A</v>
      </c>
    </row>
    <row r="26" spans="1:49" x14ac:dyDescent="0.15">
      <c r="A26" s="41" t="s">
        <v>122</v>
      </c>
      <c r="H26" s="6"/>
      <c r="I26" s="17"/>
      <c r="J26" s="6"/>
      <c r="K26" s="6"/>
      <c r="L26" s="6"/>
      <c r="M26" s="7"/>
      <c r="N26" s="7"/>
      <c r="O26" s="7"/>
      <c r="P26" s="7"/>
      <c r="Q26" s="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9" x14ac:dyDescent="0.15">
      <c r="A27" s="41" t="s">
        <v>123</v>
      </c>
      <c r="H27" s="6"/>
      <c r="I27" s="17"/>
      <c r="J27" s="6"/>
      <c r="K27" s="6"/>
      <c r="L27" s="6"/>
      <c r="M27" s="7"/>
      <c r="N27" s="7"/>
      <c r="O27" s="7"/>
      <c r="P27" s="7"/>
      <c r="Q27" s="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x14ac:dyDescent="0.15">
      <c r="A28" s="41" t="s">
        <v>124</v>
      </c>
    </row>
    <row r="29" spans="1:49" x14ac:dyDescent="0.15">
      <c r="A29" s="41" t="s">
        <v>125</v>
      </c>
    </row>
    <row r="30" spans="1:49" x14ac:dyDescent="0.15">
      <c r="A30" s="41" t="s">
        <v>126</v>
      </c>
    </row>
    <row r="31" spans="1:49" x14ac:dyDescent="0.15">
      <c r="A31" s="41" t="s">
        <v>127</v>
      </c>
    </row>
    <row r="32" spans="1:49" x14ac:dyDescent="0.15">
      <c r="A32" s="41" t="s">
        <v>128</v>
      </c>
    </row>
    <row r="33" spans="1:49" x14ac:dyDescent="0.15">
      <c r="A33" s="41" t="s">
        <v>129</v>
      </c>
    </row>
    <row r="34" spans="1:49" x14ac:dyDescent="0.15">
      <c r="A34" s="41" t="s">
        <v>130</v>
      </c>
    </row>
    <row r="35" spans="1:49" x14ac:dyDescent="0.15">
      <c r="A35" s="41" t="s">
        <v>131</v>
      </c>
    </row>
    <row r="36" spans="1:49" x14ac:dyDescent="0.15">
      <c r="A36" s="41" t="s">
        <v>132</v>
      </c>
    </row>
    <row r="37" spans="1:49" x14ac:dyDescent="0.15">
      <c r="A37" s="36" t="s">
        <v>133</v>
      </c>
      <c r="B37" s="37" t="s">
        <v>541</v>
      </c>
      <c r="C37" s="4">
        <v>0</v>
      </c>
      <c r="D37" s="4">
        <v>0.1</v>
      </c>
      <c r="E37" s="4">
        <v>0.2</v>
      </c>
      <c r="F37" s="4">
        <v>0.3</v>
      </c>
      <c r="G37" s="4">
        <v>-0.1</v>
      </c>
      <c r="H37" s="6"/>
      <c r="I37" s="17" t="s">
        <v>444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>
        <f>FORECAST(32,C37:E37,D37:F37)</f>
        <v>31.900000000000006</v>
      </c>
      <c r="S37" s="4">
        <f t="shared" ref="S37:AC37" si="10">FORECAST(I37,D37:F37,E37:G37)</f>
        <v>-20.523076923076921</v>
      </c>
      <c r="T37" s="4">
        <f t="shared" si="10"/>
        <v>2.500000000000005E-2</v>
      </c>
      <c r="U37" s="4" t="e">
        <f t="shared" si="10"/>
        <v>#VALUE!</v>
      </c>
      <c r="V37" s="4" t="e">
        <f t="shared" si="10"/>
        <v>#N/A</v>
      </c>
      <c r="W37" s="4" t="e">
        <f t="shared" si="10"/>
        <v>#DIV/0!</v>
      </c>
      <c r="X37" s="4" t="e">
        <f t="shared" si="10"/>
        <v>#NAME?</v>
      </c>
      <c r="Y37" s="4" t="e">
        <f t="shared" si="10"/>
        <v>#NULL!</v>
      </c>
      <c r="Z37" s="4" t="e">
        <f t="shared" si="10"/>
        <v>#NUM!</v>
      </c>
      <c r="AA37" s="4" t="e">
        <f t="shared" si="10"/>
        <v>#REF!</v>
      </c>
      <c r="AB37" s="4" t="e">
        <f t="shared" si="10"/>
        <v>#DIV/0!</v>
      </c>
      <c r="AC37" s="4" t="e">
        <f t="shared" si="10"/>
        <v>#NAME?</v>
      </c>
      <c r="AD37" s="4" t="e">
        <f>FORECAST(T37,I37:K37,N37:P37)</f>
        <v>#NAME?</v>
      </c>
      <c r="AE37" s="4" t="e">
        <f>FORECAST(U37,P37:R37,Q37:S37)</f>
        <v>#VALUE!</v>
      </c>
      <c r="AF37" s="4" t="e">
        <f>FORECAST(V37,Q37:S37,R37:T37)</f>
        <v>#N/A</v>
      </c>
      <c r="AG37" s="4">
        <f t="array" ref="AG37">FORECAST(C37:Q37,{1,7,3,0}, {7,2,9,4})</f>
        <v>5.1206896551724137</v>
      </c>
      <c r="AH37" s="4">
        <f t="array" ref="AH37:AW37">FORECAST(C37:Q37,{1,7,3,0}, {7,2,9,4})</f>
        <v>5.1206896551724137</v>
      </c>
      <c r="AI37" s="4">
        <v>5.0775862068965516</v>
      </c>
      <c r="AJ37" s="4">
        <v>5.0344827586206895</v>
      </c>
      <c r="AK37" s="4">
        <v>4.9913793103448274</v>
      </c>
      <c r="AL37" s="4">
        <v>5.1637931034482758</v>
      </c>
      <c r="AM37" s="4">
        <v>5.1206896551724137</v>
      </c>
      <c r="AN37" s="4">
        <v>-20.741379310344826</v>
      </c>
      <c r="AO37" s="4">
        <v>4.6896551724137927</v>
      </c>
      <c r="AP37" s="4" t="e">
        <v>#VALUE!</v>
      </c>
      <c r="AQ37" s="4" t="e">
        <v>#N/A</v>
      </c>
      <c r="AR37" s="4" t="e">
        <v>#DIV/0!</v>
      </c>
      <c r="AS37" s="4" t="e">
        <v>#NAME?</v>
      </c>
      <c r="AT37" s="4" t="e">
        <v>#NULL!</v>
      </c>
      <c r="AU37" s="4" t="e">
        <v>#NUM!</v>
      </c>
      <c r="AV37" s="4" t="e">
        <v>#REF!</v>
      </c>
      <c r="AW37" s="4" t="e">
        <v>#N/A</v>
      </c>
    </row>
    <row r="38" spans="1:49" x14ac:dyDescent="0.15">
      <c r="A38" s="41" t="s">
        <v>134</v>
      </c>
      <c r="R38" s="4">
        <f>FORECAST(0.21,  {0.0217,0.0474,0.050457757,0.062},{0.21,0.291,0.328,0.396})</f>
        <v>2.4828332054633209E-2</v>
      </c>
    </row>
    <row r="39" spans="1:49" x14ac:dyDescent="0.15">
      <c r="A39" s="41" t="s">
        <v>135</v>
      </c>
    </row>
    <row r="40" spans="1:49" x14ac:dyDescent="0.15">
      <c r="A40" s="41" t="s">
        <v>136</v>
      </c>
    </row>
    <row r="41" spans="1:49" x14ac:dyDescent="0.15">
      <c r="A41" s="41" t="s">
        <v>137</v>
      </c>
    </row>
    <row r="42" spans="1:49" x14ac:dyDescent="0.15">
      <c r="A42" s="36" t="s">
        <v>138</v>
      </c>
      <c r="B42" s="37" t="s">
        <v>541</v>
      </c>
      <c r="C42" s="4">
        <v>0</v>
      </c>
      <c r="D42" s="4">
        <v>0.1</v>
      </c>
      <c r="E42" s="4">
        <v>0.2</v>
      </c>
      <c r="F42" s="4">
        <v>0.3</v>
      </c>
      <c r="G42" s="4">
        <v>-0.1</v>
      </c>
      <c r="H42" s="6"/>
      <c r="I42" s="17" t="s">
        <v>444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>
        <f>_xlfn.FORECAST.LINEAR(D42,{1,7,3,0}, {7,2,9,4})</f>
        <v>5.0775862068965516</v>
      </c>
      <c r="S42" s="4">
        <f>_xlfn.FORECAST.LINEAR(E42,{1,7,3,0}, {7,2,9,4})</f>
        <v>5.0344827586206895</v>
      </c>
      <c r="T42" s="4">
        <f>_xlfn.FORECAST.LINEAR(F42,{1,7,3,0}, {7,2,9,4})</f>
        <v>4.9913793103448274</v>
      </c>
      <c r="U42" s="4">
        <f>_xlfn.FORECAST.LINEAR(G42,{1,7,3,0}, {7,2,9,4})</f>
        <v>5.1637931034482758</v>
      </c>
      <c r="V42" s="4" t="e">
        <f>_xlfn.FORECAST.LINEAR(I37,F41, H41)</f>
        <v>#VALUE!</v>
      </c>
      <c r="W42" s="4">
        <f>_xlfn.FORECAST.LINEAR(I42,{1,7,3,0}, {7,2,9,4})</f>
        <v>-20.741379310344826</v>
      </c>
      <c r="X42" s="4">
        <f>_xlfn.FORECAST.LINEAR(J42,{1,7,3,0}, {7,2,9,4})</f>
        <v>4.6896551724137927</v>
      </c>
      <c r="Y42" s="4" t="e">
        <f>_xlfn.FORECAST.LINEAR(I37,H41:H42, H41:H42)</f>
        <v>#DIV/0!</v>
      </c>
      <c r="Z42" s="4" t="e">
        <f>_xlfn.FORECAST.LINEAR(L42,{1,7,3,0}, {7,2,9,4})</f>
        <v>#N/A</v>
      </c>
      <c r="AA42" s="4" t="e">
        <f>_xlfn.FORECAST.LINEAR(M42,{1,7,3,0}, {7,2,9,4})</f>
        <v>#DIV/0!</v>
      </c>
      <c r="AB42" s="4" t="e">
        <f>_xlfn.FORECAST.LINEAR(N42,H42, D42:E42)</f>
        <v>#NAME?</v>
      </c>
      <c r="AC42" s="4" t="e">
        <f>_xlfn.FORECAST.LINEAR(O42,{1,7,3,0}, {7,2,9,4})</f>
        <v>#NULL!</v>
      </c>
      <c r="AD42" s="4" t="e">
        <f>_xlfn.FORECAST.LINEAR(P42,{1,7,3,0}, {7,2,9,4})</f>
        <v>#NUM!</v>
      </c>
      <c r="AE42" s="4" t="e">
        <f>_xlfn.FORECAST.LINEAR(Q42,{1,7,3,0}, {7,2,9,4})</f>
        <v>#REF!</v>
      </c>
      <c r="AF42" s="4">
        <f>_xlfn.FORECAST.LINEAR(R42,{1,7,3,0}, {7,2,9,4})</f>
        <v>2.932074910820452</v>
      </c>
      <c r="AG42" s="4">
        <f t="array" ref="AG42">_xlfn.FORECAST.LINEAR(C42:Q42,{1,7,3,0}, {7,2,9,4})</f>
        <v>5.1206896551724137</v>
      </c>
      <c r="AH42" s="4">
        <f t="array" ref="AH42:AW42">_xlfn.FORECAST.LINEAR(C42:Q42,{1,7,3,0}, {7,2,9,4})</f>
        <v>5.1206896551724137</v>
      </c>
      <c r="AI42" s="4">
        <v>5.0775862068965516</v>
      </c>
      <c r="AJ42" s="4">
        <v>5.0344827586206895</v>
      </c>
      <c r="AK42" s="4">
        <v>4.9913793103448274</v>
      </c>
      <c r="AL42" s="4">
        <v>5.1637931034482758</v>
      </c>
      <c r="AM42" s="4">
        <v>5.1206896551724137</v>
      </c>
      <c r="AN42" s="4">
        <v>-20.741379310344826</v>
      </c>
      <c r="AO42" s="4">
        <v>4.6896551724137927</v>
      </c>
      <c r="AP42" s="4" t="e">
        <v>#VALUE!</v>
      </c>
      <c r="AQ42" s="4" t="e">
        <v>#N/A</v>
      </c>
      <c r="AR42" s="4" t="e">
        <v>#DIV/0!</v>
      </c>
      <c r="AS42" s="4" t="e">
        <v>#NAME?</v>
      </c>
      <c r="AT42" s="4" t="e">
        <v>#NULL!</v>
      </c>
      <c r="AU42" s="4" t="e">
        <v>#NUM!</v>
      </c>
      <c r="AV42" s="4" t="e">
        <v>#REF!</v>
      </c>
      <c r="AW42" s="4" t="e">
        <v>#N/A</v>
      </c>
    </row>
    <row r="43" spans="1:49" x14ac:dyDescent="0.15">
      <c r="A43" s="41" t="s">
        <v>139</v>
      </c>
    </row>
    <row r="44" spans="1:49" x14ac:dyDescent="0.15">
      <c r="A44" s="41" t="s">
        <v>140</v>
      </c>
    </row>
    <row r="45" spans="1:49" x14ac:dyDescent="0.15">
      <c r="A45" s="41" t="s">
        <v>141</v>
      </c>
    </row>
    <row r="46" spans="1:49" x14ac:dyDescent="0.15">
      <c r="A46" s="41" t="s">
        <v>142</v>
      </c>
    </row>
    <row r="47" spans="1:49" ht="15" x14ac:dyDescent="0.2">
      <c r="A47" s="41" t="s">
        <v>143</v>
      </c>
      <c r="M47" s="26"/>
    </row>
    <row r="48" spans="1:49" x14ac:dyDescent="0.15">
      <c r="A48" s="41" t="s">
        <v>144</v>
      </c>
    </row>
    <row r="49" spans="1:49" x14ac:dyDescent="0.15">
      <c r="A49" s="41" t="s">
        <v>145</v>
      </c>
    </row>
    <row r="50" spans="1:49" x14ac:dyDescent="0.15">
      <c r="A50" s="41" t="s">
        <v>146</v>
      </c>
    </row>
    <row r="51" spans="1:49" x14ac:dyDescent="0.15">
      <c r="A51" s="41" t="s">
        <v>147</v>
      </c>
    </row>
    <row r="52" spans="1:49" x14ac:dyDescent="0.15">
      <c r="A52" s="41" t="s">
        <v>148</v>
      </c>
    </row>
    <row r="53" spans="1:49" x14ac:dyDescent="0.15">
      <c r="A53" s="41" t="s">
        <v>149</v>
      </c>
    </row>
    <row r="54" spans="1:49" x14ac:dyDescent="0.15">
      <c r="A54" s="41" t="s">
        <v>150</v>
      </c>
    </row>
    <row r="55" spans="1:49" x14ac:dyDescent="0.15">
      <c r="A55" s="41" t="s">
        <v>151</v>
      </c>
      <c r="AH55" s="22"/>
      <c r="AI55" s="22"/>
      <c r="AJ55" s="22"/>
      <c r="AK55" s="22"/>
      <c r="AL55" s="22"/>
      <c r="AM55" s="10"/>
      <c r="AN55" s="10"/>
      <c r="AO55" s="10"/>
      <c r="AP55" s="10"/>
      <c r="AQ55" s="10"/>
      <c r="AR55" s="7"/>
      <c r="AS55" s="7"/>
      <c r="AT55" s="7"/>
      <c r="AU55" s="7"/>
      <c r="AV55" s="7"/>
    </row>
    <row r="56" spans="1:49" x14ac:dyDescent="0.15">
      <c r="A56" s="36" t="s">
        <v>152</v>
      </c>
      <c r="B56" s="37" t="s">
        <v>541</v>
      </c>
      <c r="C56" s="4">
        <v>0.1</v>
      </c>
      <c r="D56" s="4">
        <v>-10</v>
      </c>
      <c r="E56" s="4">
        <v>0.9</v>
      </c>
      <c r="F56" s="4">
        <v>2.2000000000000002</v>
      </c>
      <c r="G56" s="4">
        <v>-0.1</v>
      </c>
      <c r="H56" s="6"/>
      <c r="I56" s="17" t="s">
        <v>447</v>
      </c>
      <c r="J56" s="6" t="b">
        <v>1</v>
      </c>
      <c r="K56" s="6" t="e"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>
        <f>LARGE($C56:$J56,"1")</f>
        <v>2.2000000000000002</v>
      </c>
      <c r="S56" s="6">
        <f>LARGE($C56:$J56,2)</f>
        <v>0.9</v>
      </c>
      <c r="T56" s="6">
        <f>LARGE($C56:$J56,3)</f>
        <v>0.1</v>
      </c>
      <c r="U56" s="6">
        <f>LARGE($C56:$J56,3)</f>
        <v>0.1</v>
      </c>
      <c r="V56" s="6">
        <f>LARGE($C56:$J56,4)</f>
        <v>-0.1</v>
      </c>
      <c r="W56" s="6" t="e">
        <f>LARGE($C56:$J56,H56)</f>
        <v>#NUM!</v>
      </c>
      <c r="X56" s="6" t="e" vm="74">
        <f>LARGE($C56:$J56,"c")</f>
        <v>#VALUE!</v>
      </c>
      <c r="Y56" s="6">
        <f>LARGE($C56:$J56,J56)</f>
        <v>2.2000000000000002</v>
      </c>
      <c r="Z56" s="6" t="e">
        <f t="shared" ref="Z56:AF56" si="11">LARGE($C56:$K56,K56)</f>
        <v>#VALUE!</v>
      </c>
      <c r="AA56" s="6" t="e">
        <f t="shared" si="11"/>
        <v>#N/A</v>
      </c>
      <c r="AB56" s="6" t="e">
        <f t="shared" si="11"/>
        <v>#DIV/0!</v>
      </c>
      <c r="AC56" s="6" t="e">
        <f t="shared" si="11"/>
        <v>#NAME?</v>
      </c>
      <c r="AD56" s="6" t="e">
        <f t="shared" si="11"/>
        <v>#NULL!</v>
      </c>
      <c r="AE56" s="6" t="e">
        <f t="shared" si="11"/>
        <v>#NUM!</v>
      </c>
      <c r="AF56" s="6" t="e">
        <f t="shared" si="11"/>
        <v>#REF!</v>
      </c>
      <c r="AG56" s="6" t="e">
        <f t="array" ref="AG56">LARGE($C56:$J56,E56:F56)</f>
        <v>#NUM!</v>
      </c>
      <c r="AH56" s="6" t="e">
        <f t="array" ref="AH56:AW56">LARGE($C56:$J56,C56:Q56)</f>
        <v>#NUM!</v>
      </c>
      <c r="AI56" s="6" t="e">
        <v>#NUM!</v>
      </c>
      <c r="AJ56" s="6" t="e">
        <v>#NUM!</v>
      </c>
      <c r="AK56" s="6">
        <v>0.1</v>
      </c>
      <c r="AL56" s="6" t="e">
        <v>#NUM!</v>
      </c>
      <c r="AM56" s="6" t="e">
        <v>#NUM!</v>
      </c>
      <c r="AN56" s="6">
        <v>2.2000000000000002</v>
      </c>
      <c r="AO56" s="6">
        <v>2.2000000000000002</v>
      </c>
      <c r="AP56" s="6" t="e">
        <v>#VALUE!</v>
      </c>
      <c r="AQ56" s="6" t="e">
        <v>#N/A</v>
      </c>
      <c r="AR56" s="6" t="e">
        <v>#DIV/0!</v>
      </c>
      <c r="AS56" s="6" t="e">
        <v>#NAME?</v>
      </c>
      <c r="AT56" s="6" t="e">
        <v>#NULL!</v>
      </c>
      <c r="AU56" s="6" t="e">
        <v>#NUM!</v>
      </c>
      <c r="AV56" s="6" t="e">
        <v>#REF!</v>
      </c>
      <c r="AW56" s="4" t="e">
        <v>#N/A</v>
      </c>
    </row>
    <row r="57" spans="1:49" x14ac:dyDescent="0.15">
      <c r="A57" s="41" t="s">
        <v>153</v>
      </c>
    </row>
    <row r="58" spans="1:49" x14ac:dyDescent="0.15">
      <c r="A58" s="41" t="s">
        <v>154</v>
      </c>
    </row>
    <row r="59" spans="1:49" x14ac:dyDescent="0.15">
      <c r="A59" s="41" t="s">
        <v>155</v>
      </c>
    </row>
    <row r="60" spans="1:49" x14ac:dyDescent="0.15">
      <c r="A60" s="41" t="s">
        <v>156</v>
      </c>
    </row>
    <row r="61" spans="1:49" x14ac:dyDescent="0.15">
      <c r="A61" s="36" t="s">
        <v>18</v>
      </c>
      <c r="B61" s="37" t="s">
        <v>541</v>
      </c>
      <c r="C61" s="4">
        <v>0</v>
      </c>
      <c r="D61" s="4">
        <v>0.1</v>
      </c>
      <c r="E61" s="4">
        <v>0.2</v>
      </c>
      <c r="F61" s="4">
        <v>0.3</v>
      </c>
      <c r="G61" s="4">
        <v>-0.1</v>
      </c>
      <c r="H61" s="6"/>
      <c r="I61" s="17" t="s">
        <v>444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MAX(C61:D61,D61:E61,E61:F61,"2")</f>
        <v>2</v>
      </c>
      <c r="S61" s="6" t="e" vm="75">
        <f>MAX(D61:E61,E61:F61,F61:G61,"")</f>
        <v>#VALUE!</v>
      </c>
      <c r="T61" s="6">
        <f>MAX(E61:F61,F61:G61,G61:H61,"29/02/1900")</f>
        <v>60</v>
      </c>
      <c r="U61" s="6">
        <f>MAX(H61)</f>
        <v>0</v>
      </c>
      <c r="V61" s="6">
        <f>MAX(G61:H61,H61:I61,I61:J61)</f>
        <v>-0.1</v>
      </c>
      <c r="W61" s="6">
        <f>MAX(G61:H61)</f>
        <v>-0.1</v>
      </c>
      <c r="X61" s="6">
        <f>MAX(I61,G61)</f>
        <v>-0.1</v>
      </c>
      <c r="Y61" s="6">
        <f>MAX(J61,G61)</f>
        <v>-0.1</v>
      </c>
      <c r="Z61" s="6" t="e">
        <f t="shared" ref="Z61:AF61" si="12">MAX(K61:L61)</f>
        <v>#VALUE!</v>
      </c>
      <c r="AA61" s="6" t="e">
        <f t="shared" si="12"/>
        <v>#N/A</v>
      </c>
      <c r="AB61" s="6" t="e">
        <f t="shared" si="12"/>
        <v>#DIV/0!</v>
      </c>
      <c r="AC61" s="6" t="e">
        <f t="shared" si="12"/>
        <v>#NAME?</v>
      </c>
      <c r="AD61" s="6" t="e">
        <f t="shared" si="12"/>
        <v>#NULL!</v>
      </c>
      <c r="AE61" s="6" t="e">
        <f t="shared" si="12"/>
        <v>#NUM!</v>
      </c>
      <c r="AF61" s="6" t="e">
        <f t="shared" si="12"/>
        <v>#REF!</v>
      </c>
      <c r="AG61" s="6">
        <f>MAX(H61:J61)</f>
        <v>0</v>
      </c>
      <c r="AH61" s="6">
        <f t="array" ref="AH61:AM61">MAX(C61:J61)</f>
        <v>0.3</v>
      </c>
      <c r="AI61" s="6">
        <v>0.3</v>
      </c>
      <c r="AJ61" s="6">
        <v>0.3</v>
      </c>
      <c r="AK61" s="6">
        <v>0.3</v>
      </c>
      <c r="AL61" s="6">
        <v>0.3</v>
      </c>
      <c r="AM61" s="6">
        <v>0.3</v>
      </c>
      <c r="AN61" s="6" t="e">
        <f t="array" ref="AN61:AW61">MAX(J61:Q61)</f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6" t="e">
        <v>#VALUE!</v>
      </c>
      <c r="AW61" s="4" t="e">
        <v>#VALUE!</v>
      </c>
    </row>
    <row r="62" spans="1:49" x14ac:dyDescent="0.15">
      <c r="A62" s="36" t="s">
        <v>157</v>
      </c>
      <c r="B62" s="37" t="s">
        <v>541</v>
      </c>
      <c r="C62" s="4">
        <v>0</v>
      </c>
      <c r="D62" s="4">
        <v>0.1</v>
      </c>
      <c r="E62" s="4">
        <v>-2</v>
      </c>
      <c r="F62" s="4">
        <v>-3</v>
      </c>
      <c r="G62" s="4">
        <v>4</v>
      </c>
      <c r="H62" s="6"/>
      <c r="I62" s="17" t="s">
        <v>444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MAXA(C62:D62,D62:E62,E62:F62)</f>
        <v>0.1</v>
      </c>
      <c r="S62" s="6" t="e" vm="76">
        <f>MAXA(D62:E62,E62:F62,F62:G62,"")</f>
        <v>#VALUE!</v>
      </c>
      <c r="T62" s="6">
        <f>MAXA(E62,F62,J62,"29/02/1900")</f>
        <v>60</v>
      </c>
      <c r="U62" s="6">
        <f>MAXA(H62)</f>
        <v>0</v>
      </c>
      <c r="V62" s="6">
        <f>MAXA(G62,H62,I62)</f>
        <v>4</v>
      </c>
      <c r="W62" s="6">
        <f>MAXA(H62,I62,J62)</f>
        <v>1</v>
      </c>
      <c r="X62" s="6">
        <f>MAXA(I62,F62)</f>
        <v>0</v>
      </c>
      <c r="Y62" s="6">
        <f>MAXA(H62,F62)</f>
        <v>-3</v>
      </c>
      <c r="Z62" s="6" t="e">
        <f t="shared" ref="Z62:AF62" si="13">MAXA(K62:L62)</f>
        <v>#VALUE!</v>
      </c>
      <c r="AA62" s="6" t="e">
        <f t="shared" si="13"/>
        <v>#N/A</v>
      </c>
      <c r="AB62" s="6" t="e">
        <f t="shared" si="13"/>
        <v>#DIV/0!</v>
      </c>
      <c r="AC62" s="6" t="e">
        <f t="shared" si="13"/>
        <v>#NAME?</v>
      </c>
      <c r="AD62" s="6" t="e">
        <f t="shared" si="13"/>
        <v>#NULL!</v>
      </c>
      <c r="AE62" s="6" t="e">
        <f t="shared" si="13"/>
        <v>#NUM!</v>
      </c>
      <c r="AF62" s="6" t="e">
        <f t="shared" si="13"/>
        <v>#REF!</v>
      </c>
      <c r="AG62" s="6">
        <f>MAXA(H62:J62)</f>
        <v>1</v>
      </c>
      <c r="AH62" s="6">
        <f t="array" ref="AH62:AM62">MAXA(C62:J62)</f>
        <v>4</v>
      </c>
      <c r="AI62" s="6">
        <v>4</v>
      </c>
      <c r="AJ62" s="6">
        <v>4</v>
      </c>
      <c r="AK62" s="6">
        <v>4</v>
      </c>
      <c r="AL62" s="6">
        <v>4</v>
      </c>
      <c r="AM62" s="6">
        <v>4</v>
      </c>
      <c r="AN62" s="6" t="e">
        <f t="array" ref="AN62:AW62">MAXA(J62:Q62)</f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6" t="e">
        <v>#VALUE!</v>
      </c>
      <c r="AW62" s="4" t="e">
        <v>#VALUE!</v>
      </c>
    </row>
    <row r="63" spans="1:49" x14ac:dyDescent="0.15">
      <c r="A63" s="36" t="s">
        <v>158</v>
      </c>
      <c r="B63" s="37" t="s">
        <v>541</v>
      </c>
      <c r="C63" s="4">
        <v>1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17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_xlfn.MAXIFS(E63:F63, C63:D63,1,E63:F63,2.3)</f>
        <v>2.2999999999999998</v>
      </c>
      <c r="S63" s="6">
        <f>_xlfn.MAXIFS(F63:G63,D63:E63,"1")</f>
        <v>10</v>
      </c>
      <c r="T63" s="6">
        <f>_xlfn.MAXIFS(G63:H63, E63:F63,"&gt;1")</f>
        <v>-1</v>
      </c>
      <c r="U63" s="6">
        <f>_xlfn.MAXIFS(G63:H63,F63:G63,"&lt;&gt;-1")</f>
        <v>-1</v>
      </c>
      <c r="V63" s="6">
        <f>_xlfn.MAXIFS(I63:J63,G63:H63,1)</f>
        <v>0</v>
      </c>
      <c r="W63" s="6">
        <f>_xlfn.MAXIFS(D63:E63,H63:I63,H63)</f>
        <v>0</v>
      </c>
      <c r="X63" s="6">
        <f>_xlfn.MAXIFS(E63:F63,I63:J63,I63)</f>
        <v>2.2999999999999998</v>
      </c>
      <c r="Y63" s="6">
        <f>_xlfn.MAXIFS(F63:G63,I63:J63,"&lt;=TRUE")</f>
        <v>-1</v>
      </c>
      <c r="Z63" s="6" t="e">
        <f t="shared" ref="Z63:AF63" si="14">_xlfn.MAXIFS(K63:L63,I63:J63,I63)</f>
        <v>#VALUE!</v>
      </c>
      <c r="AA63" s="6" t="e">
        <f t="shared" si="14"/>
        <v>#N/A</v>
      </c>
      <c r="AB63" s="6" t="e">
        <f t="shared" si="14"/>
        <v>#DIV/0!</v>
      </c>
      <c r="AC63" s="6" t="e">
        <f t="shared" si="14"/>
        <v>#NAME?</v>
      </c>
      <c r="AD63" s="6" t="e">
        <f t="shared" si="14"/>
        <v>#NULL!</v>
      </c>
      <c r="AE63" s="6" t="e">
        <f t="shared" si="14"/>
        <v>#NUM!</v>
      </c>
      <c r="AF63" s="6" t="e">
        <f t="shared" si="14"/>
        <v>#REF!</v>
      </c>
      <c r="AG63" s="6" t="e">
        <f t="array" ref="AG63">_xlfn.MAXIFS(E63:I63,D63:H63,{1,"&gt;3"}, C63:F63,{0,1})</f>
        <v>#VALUE!</v>
      </c>
      <c r="AH63" s="6">
        <f t="array" ref="AH63:AW63">_xlfn.MAXIFS(C63:G63,F63:J63,{"*ao","","TRUE",TRUE,"*a?"},D63:H63, "&gt;0")</f>
        <v>0</v>
      </c>
      <c r="AI63" s="6">
        <v>2.2999999999999998</v>
      </c>
      <c r="AJ63" s="6">
        <v>0</v>
      </c>
      <c r="AK63" s="6">
        <v>0</v>
      </c>
      <c r="AL63" s="6">
        <v>0</v>
      </c>
      <c r="AM63" s="6" t="e">
        <v>#N/A</v>
      </c>
      <c r="AN63" s="6" t="e">
        <v>#N/A</v>
      </c>
      <c r="AO63" s="6" t="e">
        <v>#N/A</v>
      </c>
      <c r="AP63" s="6" t="e">
        <v>#N/A</v>
      </c>
      <c r="AQ63" s="6" t="e">
        <v>#N/A</v>
      </c>
      <c r="AR63" s="6" t="e">
        <v>#N/A</v>
      </c>
      <c r="AS63" s="6" t="e">
        <v>#N/A</v>
      </c>
      <c r="AT63" s="6" t="e">
        <v>#N/A</v>
      </c>
      <c r="AU63" s="6" t="e">
        <v>#N/A</v>
      </c>
      <c r="AV63" s="6" t="e">
        <v>#N/A</v>
      </c>
      <c r="AW63" s="4" t="e">
        <v>#N/A</v>
      </c>
    </row>
    <row r="64" spans="1:49" x14ac:dyDescent="0.15">
      <c r="A64" s="36" t="s">
        <v>159</v>
      </c>
      <c r="B64" s="37" t="s">
        <v>541</v>
      </c>
      <c r="C64" s="4">
        <v>0</v>
      </c>
      <c r="D64" s="4">
        <v>-0.1</v>
      </c>
      <c r="E64" s="4">
        <v>-0.2</v>
      </c>
      <c r="F64" s="4">
        <v>-0.3</v>
      </c>
      <c r="G64" s="4">
        <v>0.1</v>
      </c>
      <c r="H64" s="6"/>
      <c r="I64" s="17" t="s">
        <v>444</v>
      </c>
      <c r="J64" s="6" t="b">
        <v>1</v>
      </c>
      <c r="K64" s="6" t="e">
        <v>#VALUE!</v>
      </c>
      <c r="L64" s="6" t="e">
        <v>#N/A</v>
      </c>
      <c r="M64" s="7" t="e">
        <v>#DIV/0!</v>
      </c>
      <c r="N64" s="7" t="e">
        <v>#NAME?</v>
      </c>
      <c r="O64" s="7" t="e">
        <v>#NULL!</v>
      </c>
      <c r="P64" s="7" t="e">
        <v>#NUM!</v>
      </c>
      <c r="Q64" s="7" t="e">
        <v>#REF!</v>
      </c>
      <c r="R64" s="6">
        <f>MEDIAN(C64:D64,D64:E64,E64:F64)</f>
        <v>-0.15000000000000002</v>
      </c>
      <c r="S64" s="6" t="e" vm="77">
        <f>MEDIAN(D64:E64,E64:F64,F64:G64,"")</f>
        <v>#VALUE!</v>
      </c>
      <c r="T64" s="6">
        <f>MEDIAN(E64:F64,F64:G64,G64:H64,"29/02/1900")</f>
        <v>-4.9999999999999989E-2</v>
      </c>
      <c r="U64" s="6" t="e">
        <f>MEDIAN(H64)</f>
        <v>#NUM!</v>
      </c>
      <c r="V64" s="6">
        <f>MEDIAN(G64:H64,H64:I64,I64:J64)</f>
        <v>0.1</v>
      </c>
      <c r="W64" s="6">
        <f>MEDIAN(G64:H64)</f>
        <v>0.1</v>
      </c>
      <c r="X64" s="6">
        <f>MEDIAN(I64,G64)</f>
        <v>0.1</v>
      </c>
      <c r="Y64" s="6">
        <f>MEDIAN(J64,G64)</f>
        <v>0.1</v>
      </c>
      <c r="Z64" s="6" t="e">
        <f t="shared" ref="Z64:AF64" si="15">MEDIAN(K64:L64)</f>
        <v>#VALUE!</v>
      </c>
      <c r="AA64" s="6" t="e">
        <f t="shared" si="15"/>
        <v>#N/A</v>
      </c>
      <c r="AB64" s="6" t="e">
        <f t="shared" si="15"/>
        <v>#DIV/0!</v>
      </c>
      <c r="AC64" s="6" t="e">
        <f t="shared" si="15"/>
        <v>#NAME?</v>
      </c>
      <c r="AD64" s="6" t="e">
        <f t="shared" si="15"/>
        <v>#NULL!</v>
      </c>
      <c r="AE64" s="6" t="e">
        <f t="shared" si="15"/>
        <v>#NUM!</v>
      </c>
      <c r="AF64" s="6" t="e">
        <f t="shared" si="15"/>
        <v>#REF!</v>
      </c>
      <c r="AG64" s="6" t="e">
        <f>MEDIAN(H64:J64)</f>
        <v>#NUM!</v>
      </c>
      <c r="AH64" s="6">
        <f t="array" ref="AH64:AM64">MEDIAN(C64:J64)</f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>
        <v>-0.1</v>
      </c>
      <c r="AN64" s="6" t="e">
        <f t="array" ref="AN64:AW64">MEDIAN(J64:Q64)</f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6" t="e">
        <v>#VALUE!</v>
      </c>
      <c r="AW64" s="4" t="e">
        <v>#VALUE!</v>
      </c>
    </row>
    <row r="65" spans="1:49" x14ac:dyDescent="0.15">
      <c r="A65" s="36" t="s">
        <v>19</v>
      </c>
      <c r="B65" s="37" t="s">
        <v>541</v>
      </c>
      <c r="C65" s="4">
        <v>0</v>
      </c>
      <c r="D65" s="4">
        <v>-0.1</v>
      </c>
      <c r="E65" s="4">
        <v>-0.2</v>
      </c>
      <c r="F65" s="4">
        <v>-0.3</v>
      </c>
      <c r="G65" s="4">
        <v>0.1</v>
      </c>
      <c r="H65" s="6"/>
      <c r="I65" s="17" t="s">
        <v>444</v>
      </c>
      <c r="J65" s="6" t="b">
        <v>1</v>
      </c>
      <c r="K65" s="6" t="e">
        <v>#VALUE!</v>
      </c>
      <c r="L65" s="6" t="e">
        <v>#N/A</v>
      </c>
      <c r="M65" s="7" t="e">
        <v>#DIV/0!</v>
      </c>
      <c r="N65" s="7" t="e">
        <v>#NAME?</v>
      </c>
      <c r="O65" s="7" t="e">
        <v>#NULL!</v>
      </c>
      <c r="P65" s="7" t="e">
        <v>#NUM!</v>
      </c>
      <c r="Q65" s="7" t="e">
        <v>#REF!</v>
      </c>
      <c r="R65" s="6">
        <f>MIN(C65:D65,D65:E65,E65:F65)</f>
        <v>-0.3</v>
      </c>
      <c r="S65" s="6" t="e" vm="78">
        <f>MIN(D65:E65,E65:F65,F65:G65,"")</f>
        <v>#VALUE!</v>
      </c>
      <c r="T65" s="6">
        <f>MIN(E65:F65,F65:G65,G65:H65,"29/02/1900")</f>
        <v>-0.3</v>
      </c>
      <c r="U65" s="6">
        <f>MIN(H65)</f>
        <v>0</v>
      </c>
      <c r="V65" s="6">
        <f>MIN(G65:H65,H65:I65,I65:J65)</f>
        <v>0.1</v>
      </c>
      <c r="W65" s="6">
        <f>MIN(G65:H65)</f>
        <v>0.1</v>
      </c>
      <c r="X65" s="6">
        <f>MIN(I65,G65)</f>
        <v>0.1</v>
      </c>
      <c r="Y65" s="6">
        <f>MIN(J65,G65)</f>
        <v>0.1</v>
      </c>
      <c r="Z65" s="6" t="e">
        <f t="shared" ref="Z65:AF65" si="16">MIN(K65:L65)</f>
        <v>#VALUE!</v>
      </c>
      <c r="AA65" s="6" t="e">
        <f t="shared" si="16"/>
        <v>#N/A</v>
      </c>
      <c r="AB65" s="6" t="e">
        <f t="shared" si="16"/>
        <v>#DIV/0!</v>
      </c>
      <c r="AC65" s="6" t="e">
        <f t="shared" si="16"/>
        <v>#NAME?</v>
      </c>
      <c r="AD65" s="6" t="e">
        <f t="shared" si="16"/>
        <v>#NULL!</v>
      </c>
      <c r="AE65" s="6" t="e">
        <f t="shared" si="16"/>
        <v>#NUM!</v>
      </c>
      <c r="AF65" s="6" t="e">
        <f t="shared" si="16"/>
        <v>#REF!</v>
      </c>
      <c r="AG65" s="6">
        <f>MIN(H65:J65)</f>
        <v>0</v>
      </c>
      <c r="AH65" s="6">
        <f t="array" ref="AH65:AM65">MIN(C65:J65)</f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>
        <v>-0.3</v>
      </c>
      <c r="AN65" s="6" t="e">
        <f t="array" ref="AN65:AW65">MIN(J65:Q65)</f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6" t="e">
        <v>#VALUE!</v>
      </c>
      <c r="AW65" s="4" t="e">
        <v>#VALUE!</v>
      </c>
    </row>
    <row r="66" spans="1:49" x14ac:dyDescent="0.15">
      <c r="A66" s="36" t="s">
        <v>161</v>
      </c>
      <c r="B66" s="37" t="s">
        <v>541</v>
      </c>
      <c r="C66" s="4">
        <v>0</v>
      </c>
      <c r="D66" s="4">
        <v>-0.1</v>
      </c>
      <c r="E66" s="4">
        <v>2</v>
      </c>
      <c r="F66" s="4">
        <v>3</v>
      </c>
      <c r="G66" s="4">
        <v>4</v>
      </c>
      <c r="H66" s="6"/>
      <c r="I66" s="17" t="s">
        <v>444</v>
      </c>
      <c r="J66" s="6" t="b">
        <v>1</v>
      </c>
      <c r="K66" s="6" t="e"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MINA(C66:D66,D66:E66,E66:F66)</f>
        <v>-0.1</v>
      </c>
      <c r="S66" s="6" t="e" vm="79">
        <f>MINA(D66:E66,E66:F66,F66:G66,"")</f>
        <v>#VALUE!</v>
      </c>
      <c r="T66" s="6">
        <f>MINA(E66,F66,J66,"29/02/1900")</f>
        <v>1</v>
      </c>
      <c r="U66" s="6">
        <f>MINA(H66)</f>
        <v>0</v>
      </c>
      <c r="V66" s="6">
        <f>MINA(G66,H66,I66)</f>
        <v>0</v>
      </c>
      <c r="W66" s="6">
        <f>MINA(H66,I66,J66)</f>
        <v>0</v>
      </c>
      <c r="X66" s="6">
        <f>MINA(I66,G66)</f>
        <v>0</v>
      </c>
      <c r="Y66" s="6">
        <f>MINA(J66,G66)</f>
        <v>1</v>
      </c>
      <c r="Z66" s="6" t="e">
        <f t="shared" ref="Z66:AF66" si="17">MINA(K66:L66)</f>
        <v>#VALUE!</v>
      </c>
      <c r="AA66" s="6" t="e">
        <f t="shared" si="17"/>
        <v>#N/A</v>
      </c>
      <c r="AB66" s="6" t="e">
        <f t="shared" si="17"/>
        <v>#DIV/0!</v>
      </c>
      <c r="AC66" s="6" t="e">
        <f t="shared" si="17"/>
        <v>#NAME?</v>
      </c>
      <c r="AD66" s="6" t="e">
        <f t="shared" si="17"/>
        <v>#NULL!</v>
      </c>
      <c r="AE66" s="6" t="e">
        <f t="shared" si="17"/>
        <v>#NUM!</v>
      </c>
      <c r="AF66" s="6" t="e">
        <f t="shared" si="17"/>
        <v>#REF!</v>
      </c>
      <c r="AG66" s="6">
        <f>MINA(H66:J66)</f>
        <v>0</v>
      </c>
      <c r="AH66" s="6">
        <f t="array" ref="AH66:AM66">MINA(C66:J66)</f>
        <v>-0.1</v>
      </c>
      <c r="AI66" s="6">
        <v>-0.1</v>
      </c>
      <c r="AJ66" s="6">
        <v>-0.1</v>
      </c>
      <c r="AK66" s="6">
        <v>-0.1</v>
      </c>
      <c r="AL66" s="6">
        <v>-0.1</v>
      </c>
      <c r="AM66" s="6">
        <v>-0.1</v>
      </c>
      <c r="AN66" s="6" t="e">
        <f t="array" ref="AN66:AW66">MINA(J66:Q66)</f>
        <v>#VALUE!</v>
      </c>
      <c r="AO66" s="6" t="e">
        <v>#VALUE!</v>
      </c>
      <c r="AP66" s="6" t="e">
        <v>#VALUE!</v>
      </c>
      <c r="AQ66" s="6" t="e">
        <v>#VALUE!</v>
      </c>
      <c r="AR66" s="6" t="e">
        <v>#VALUE!</v>
      </c>
      <c r="AS66" s="6" t="e">
        <v>#VALUE!</v>
      </c>
      <c r="AT66" s="6" t="e">
        <v>#VALUE!</v>
      </c>
      <c r="AU66" s="6" t="e">
        <v>#VALUE!</v>
      </c>
      <c r="AV66" s="6" t="e">
        <v>#VALUE!</v>
      </c>
      <c r="AW66" s="4" t="e">
        <v>#VALUE!</v>
      </c>
    </row>
    <row r="67" spans="1:49" x14ac:dyDescent="0.15">
      <c r="A67" s="36" t="s">
        <v>160</v>
      </c>
      <c r="B67" s="37" t="s">
        <v>541</v>
      </c>
      <c r="C67" s="4">
        <v>1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17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>_xlfn.MINIFS(E67:F67, C67:D67,1,E67:F67,2.3)</f>
        <v>2.2999999999999998</v>
      </c>
      <c r="S67" s="6">
        <f>_xlfn.MINIFS(F67:G67,D67:E67,"1")</f>
        <v>10</v>
      </c>
      <c r="T67" s="6">
        <f>_xlfn.MINIFS(G67:H67, E67:F67,"&gt;1")</f>
        <v>-1</v>
      </c>
      <c r="U67" s="6">
        <f>_xlfn.MINIFS(G67:H67,F67:G67,"&lt;&gt;-1")</f>
        <v>-1</v>
      </c>
      <c r="V67" s="6">
        <f>_xlfn.MINIFS(I67:J67,G67:H67,1)</f>
        <v>0</v>
      </c>
      <c r="W67" s="6">
        <f>_xlfn.MINIFS(D67:E67,H67:I67,H67)</f>
        <v>0</v>
      </c>
      <c r="X67" s="6">
        <f>_xlfn.MINIFS(E67:F67,I67:J67,I67)</f>
        <v>2.2999999999999998</v>
      </c>
      <c r="Y67" s="6">
        <f>_xlfn.MINIFS(F67:G67,I67:J67,"&lt;=TRUE")</f>
        <v>-1</v>
      </c>
      <c r="Z67" s="6" t="e">
        <f t="shared" ref="Z67:AF67" si="18">_xlfn.MINIFS(K67:L67,I67:J67,I67)</f>
        <v>#VALUE!</v>
      </c>
      <c r="AA67" s="6" t="e">
        <f t="shared" si="18"/>
        <v>#N/A</v>
      </c>
      <c r="AB67" s="6" t="e">
        <f t="shared" si="18"/>
        <v>#DIV/0!</v>
      </c>
      <c r="AC67" s="6" t="e">
        <f t="shared" si="18"/>
        <v>#NAME?</v>
      </c>
      <c r="AD67" s="6" t="e">
        <f t="shared" si="18"/>
        <v>#NULL!</v>
      </c>
      <c r="AE67" s="6" t="e">
        <f t="shared" si="18"/>
        <v>#NUM!</v>
      </c>
      <c r="AF67" s="6" t="e">
        <f t="shared" si="18"/>
        <v>#REF!</v>
      </c>
      <c r="AG67" s="6" t="e">
        <f t="array" ref="AG67">_xlfn.MINIFS(E67:I67,D67:H67,{1,"&gt;3"}, C67:F67,{0,1})</f>
        <v>#VALUE!</v>
      </c>
      <c r="AH67" s="6">
        <f t="array" ref="AH67:AW67">_xlfn.MINIFS(C67:G67,F67:J67,{"*ao","","TRUE",TRUE,"*a?"},D67:H67, "&gt;0")</f>
        <v>0</v>
      </c>
      <c r="AI67" s="6">
        <v>2.2999999999999998</v>
      </c>
      <c r="AJ67" s="6">
        <v>0</v>
      </c>
      <c r="AK67" s="6">
        <v>0</v>
      </c>
      <c r="AL67" s="6">
        <v>0</v>
      </c>
      <c r="AM67" s="6" t="e">
        <v>#N/A</v>
      </c>
      <c r="AN67" s="6" t="e">
        <v>#N/A</v>
      </c>
      <c r="AO67" s="6" t="e">
        <v>#N/A</v>
      </c>
      <c r="AP67" s="6" t="e">
        <v>#N/A</v>
      </c>
      <c r="AQ67" s="6" t="e">
        <v>#N/A</v>
      </c>
      <c r="AR67" s="6" t="e">
        <v>#N/A</v>
      </c>
      <c r="AS67" s="6" t="e">
        <v>#N/A</v>
      </c>
      <c r="AT67" s="6" t="e">
        <v>#N/A</v>
      </c>
      <c r="AU67" s="6" t="e">
        <v>#N/A</v>
      </c>
      <c r="AV67" s="6" t="e">
        <v>#N/A</v>
      </c>
      <c r="AW67" s="4" t="e">
        <v>#N/A</v>
      </c>
    </row>
    <row r="68" spans="1:49" x14ac:dyDescent="0.15">
      <c r="A68" s="41" t="s">
        <v>162</v>
      </c>
    </row>
    <row r="69" spans="1:49" x14ac:dyDescent="0.15">
      <c r="A69" s="41" t="s">
        <v>163</v>
      </c>
    </row>
    <row r="70" spans="1:49" x14ac:dyDescent="0.15">
      <c r="A70" s="41" t="s">
        <v>164</v>
      </c>
    </row>
    <row r="71" spans="1:49" x14ac:dyDescent="0.15">
      <c r="A71" s="36" t="s">
        <v>165</v>
      </c>
      <c r="B71" s="37" t="s">
        <v>541</v>
      </c>
      <c r="C71" s="4">
        <v>0</v>
      </c>
      <c r="D71" s="4">
        <v>-0.1</v>
      </c>
      <c r="E71" s="4">
        <v>0.7</v>
      </c>
      <c r="F71" s="4">
        <v>3</v>
      </c>
      <c r="G71" s="4">
        <v>4</v>
      </c>
      <c r="H71" s="6"/>
      <c r="I71" s="17" t="s">
        <v>444</v>
      </c>
      <c r="J71" s="6" t="b">
        <v>1</v>
      </c>
      <c r="K71" s="6" t="e">
        <v>#VALUE!</v>
      </c>
      <c r="L71" s="6" t="e">
        <v>#N/A</v>
      </c>
      <c r="M71" s="7" t="e">
        <v>#DIV/0!</v>
      </c>
      <c r="N71" s="7" t="e">
        <v>#NAME?</v>
      </c>
      <c r="O71" s="7" t="e">
        <v>#NULL!</v>
      </c>
      <c r="P71" s="7" t="e">
        <v>#NUM!</v>
      </c>
      <c r="Q71" s="7" t="e">
        <v>#REF!</v>
      </c>
      <c r="R71" s="6" t="e">
        <f>_xlfn.NORM.DIST(C71,,,)</f>
        <v>#NUM!</v>
      </c>
      <c r="S71" s="6">
        <f>_xlfn.NORM.DIST(D71,1,2,FALSE)</f>
        <v>0.17147192750969195</v>
      </c>
      <c r="T71" s="6">
        <f>_xlfn.NORM.DIST(E71,"1","3",5)</f>
        <v>0.46017216272297101</v>
      </c>
      <c r="U71" s="6">
        <f>_xlfn.NORM.DIST(F71,-1,2,"TRUE")</f>
        <v>0.97724986805182079</v>
      </c>
      <c r="V71" s="6" t="e">
        <f>_xlfn.NORM.DIST(G71, 0,0,1)</f>
        <v>#NUM!</v>
      </c>
      <c r="W71" s="6">
        <f>_xlfn.NORM.DIST(H71,H71,G71,1)</f>
        <v>0.5</v>
      </c>
      <c r="X71" s="6">
        <f>_xlfn.NORM.DIST(I71,,I71,1)</f>
        <v>0.84134474606854304</v>
      </c>
      <c r="Y71" s="6">
        <f>_xlfn.NORM.DIST(J71,I71,E71,1)</f>
        <v>0</v>
      </c>
      <c r="Z71" s="6" t="e">
        <f t="shared" ref="Z71:AF71" si="19">_xlfn.NORM.DIST(K71,I71,G71,1)</f>
        <v>#VALUE!</v>
      </c>
      <c r="AA71" s="6" t="e">
        <f t="shared" si="19"/>
        <v>#N/A</v>
      </c>
      <c r="AB71" s="6" t="e">
        <f t="shared" si="19"/>
        <v>#DIV/0!</v>
      </c>
      <c r="AC71" s="6" t="e">
        <f t="shared" si="19"/>
        <v>#NAME?</v>
      </c>
      <c r="AD71" s="6" t="e">
        <f t="shared" si="19"/>
        <v>#NULL!</v>
      </c>
      <c r="AE71" s="6" t="e">
        <f t="shared" si="19"/>
        <v>#NUM!</v>
      </c>
      <c r="AF71" s="6" t="e">
        <f t="shared" si="19"/>
        <v>#REF!</v>
      </c>
      <c r="AG71" s="6">
        <f t="array" ref="AG71">_xlfn.NORM.DIST(C71:Q71,3,3,1)</f>
        <v>0.15865525393145699</v>
      </c>
      <c r="AH71" s="6">
        <f t="array" ref="AH71:AW71">_xlfn.NORM.DIST(C71:Q71,3,4,1)</f>
        <v>0.22662735237686821</v>
      </c>
      <c r="AI71" s="6">
        <v>0.21916982979337737</v>
      </c>
      <c r="AJ71" s="6">
        <v>0.28264564849720064</v>
      </c>
      <c r="AK71" s="6">
        <v>0.5</v>
      </c>
      <c r="AL71" s="6">
        <v>0.5987063256829237</v>
      </c>
      <c r="AM71" s="6">
        <v>0.22662735237686821</v>
      </c>
      <c r="AN71" s="6">
        <v>1</v>
      </c>
      <c r="AO71" s="6">
        <v>0.30853753872598688</v>
      </c>
      <c r="AP71" s="6" t="e">
        <v>#VALUE!</v>
      </c>
      <c r="AQ71" s="6" t="e">
        <v>#N/A</v>
      </c>
      <c r="AR71" s="6" t="e">
        <v>#DIV/0!</v>
      </c>
      <c r="AS71" s="6" t="e">
        <v>#NAME?</v>
      </c>
      <c r="AT71" s="6" t="e">
        <v>#NULL!</v>
      </c>
      <c r="AU71" s="6" t="e">
        <v>#NUM!</v>
      </c>
      <c r="AV71" s="6" t="e">
        <v>#REF!</v>
      </c>
      <c r="AW71" s="4" t="e">
        <v>#N/A</v>
      </c>
    </row>
    <row r="72" spans="1:49" x14ac:dyDescent="0.15">
      <c r="A72" s="36" t="s">
        <v>167</v>
      </c>
      <c r="B72" s="37" t="s">
        <v>541</v>
      </c>
      <c r="C72" s="4">
        <v>0</v>
      </c>
      <c r="D72" s="4">
        <v>-0.1</v>
      </c>
      <c r="E72" s="4">
        <v>0.7</v>
      </c>
      <c r="F72" s="4">
        <v>3</v>
      </c>
      <c r="G72" s="4">
        <v>4</v>
      </c>
      <c r="H72" s="6"/>
      <c r="I72" s="17" t="s">
        <v>444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_xlfn.NORM.S.DIST(C72,)</f>
        <v>0.3989422804014327</v>
      </c>
      <c r="S72" s="6">
        <f>_xlfn.NORM.S.DIST(D72,FALSE)</f>
        <v>0.39695254747701181</v>
      </c>
      <c r="T72" s="6" t="e" vm="80">
        <f>_xlfn.NORM.S.DIST(E72,"1")</f>
        <v>#VALUE!</v>
      </c>
      <c r="U72" s="6">
        <f>_xlfn.NORM.S.DIST(F72,"TRUE")</f>
        <v>0.9986501019683699</v>
      </c>
      <c r="V72" s="6">
        <f>_xlfn.NORM.S.DIST(G72,1)</f>
        <v>0.99996832875816688</v>
      </c>
      <c r="W72" s="6">
        <f t="shared" ref="W72:AF72" si="20">_xlfn.NORM.S.DIST(H72,1)</f>
        <v>0.5</v>
      </c>
      <c r="X72" s="6">
        <f>_xlfn.NORM.S.DIST(I72,1)</f>
        <v>1</v>
      </c>
      <c r="Y72" s="6">
        <f>_xlfn.NORM.S.DIST(J72,1)</f>
        <v>0.84134474606854304</v>
      </c>
      <c r="Z72" s="6" t="e">
        <f t="shared" si="20"/>
        <v>#VALUE!</v>
      </c>
      <c r="AA72" s="6" t="e">
        <f t="shared" si="20"/>
        <v>#N/A</v>
      </c>
      <c r="AB72" s="6" t="e">
        <f t="shared" si="20"/>
        <v>#DIV/0!</v>
      </c>
      <c r="AC72" s="6" t="e">
        <f t="shared" si="20"/>
        <v>#NAME?</v>
      </c>
      <c r="AD72" s="6" t="e">
        <f t="shared" si="20"/>
        <v>#NULL!</v>
      </c>
      <c r="AE72" s="6" t="e">
        <f t="shared" si="20"/>
        <v>#NUM!</v>
      </c>
      <c r="AF72" s="6" t="e">
        <f t="shared" si="20"/>
        <v>#REF!</v>
      </c>
      <c r="AG72" s="6">
        <f t="array" ref="AG72">_xlfn.NORM.S.DIST(C72:Q72,1)</f>
        <v>0.5</v>
      </c>
      <c r="AH72" s="6">
        <f t="array" ref="AH72:AW72">_xlfn.NORM.S.DIST(C72:Q72,1)</f>
        <v>0.5</v>
      </c>
      <c r="AI72" s="6">
        <v>0.46017216272297101</v>
      </c>
      <c r="AJ72" s="6">
        <v>0.75803634777692697</v>
      </c>
      <c r="AK72" s="6">
        <v>0.9986501019683699</v>
      </c>
      <c r="AL72" s="6">
        <v>0.99996832875816688</v>
      </c>
      <c r="AM72" s="6">
        <v>0.5</v>
      </c>
      <c r="AN72" s="6">
        <v>1</v>
      </c>
      <c r="AO72" s="6">
        <v>0.84134474606854304</v>
      </c>
      <c r="AP72" s="6" t="e">
        <v>#VALUE!</v>
      </c>
      <c r="AQ72" s="6" t="e">
        <v>#N/A</v>
      </c>
      <c r="AR72" s="6" t="e">
        <v>#DIV/0!</v>
      </c>
      <c r="AS72" s="6" t="e">
        <v>#NAME?</v>
      </c>
      <c r="AT72" s="6" t="e">
        <v>#NULL!</v>
      </c>
      <c r="AU72" s="6" t="e">
        <v>#NUM!</v>
      </c>
      <c r="AV72" s="6" t="e">
        <v>#REF!</v>
      </c>
      <c r="AW72" s="4" t="e">
        <v>#N/A</v>
      </c>
    </row>
    <row r="73" spans="1:49" x14ac:dyDescent="0.15">
      <c r="A73" s="36" t="s">
        <v>168</v>
      </c>
      <c r="B73" s="37" t="s">
        <v>541</v>
      </c>
      <c r="C73" s="4">
        <v>0</v>
      </c>
      <c r="D73" s="4">
        <v>-0.1</v>
      </c>
      <c r="E73" s="4">
        <v>0.7</v>
      </c>
      <c r="F73" s="4">
        <v>2E-3</v>
      </c>
      <c r="G73" s="4">
        <v>4</v>
      </c>
      <c r="H73" s="6"/>
      <c r="I73" s="17" t="s">
        <v>444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 t="e">
        <f>_xlfn.NORM.S.INV(C73)</f>
        <v>#NUM!</v>
      </c>
      <c r="S73" s="6" t="e">
        <f>_xlfn.NORM.S.INV(D73)</f>
        <v>#NUM!</v>
      </c>
      <c r="T73" s="6">
        <f>_xlfn.NORM.S.INV(E73)</f>
        <v>0.52440051270804078</v>
      </c>
      <c r="U73" s="6">
        <f t="shared" ref="U73:AE73" si="21">_xlfn.NORM.S.INV(F73)</f>
        <v>-2.8781617390954826</v>
      </c>
      <c r="V73" s="6" t="e">
        <f t="shared" si="21"/>
        <v>#NUM!</v>
      </c>
      <c r="W73" s="6" t="e">
        <f t="shared" si="21"/>
        <v>#NUM!</v>
      </c>
      <c r="X73" s="6" t="e">
        <f t="shared" si="21"/>
        <v>#NUM!</v>
      </c>
      <c r="Y73" s="6" t="e">
        <f>_xlfn.NORM.S.INV(J73)</f>
        <v>#NUM!</v>
      </c>
      <c r="Z73" s="6" t="e">
        <f>_xlfn.NORM.S.INV(K73)</f>
        <v>#VALUE!</v>
      </c>
      <c r="AA73" s="6" t="e">
        <f t="shared" si="21"/>
        <v>#N/A</v>
      </c>
      <c r="AB73" s="6" t="e">
        <f t="shared" si="21"/>
        <v>#DIV/0!</v>
      </c>
      <c r="AC73" s="6" t="e">
        <f t="shared" si="21"/>
        <v>#NAME?</v>
      </c>
      <c r="AD73" s="6" t="e">
        <f t="shared" si="21"/>
        <v>#NULL!</v>
      </c>
      <c r="AE73" s="6" t="e">
        <f t="shared" si="21"/>
        <v>#NUM!</v>
      </c>
      <c r="AF73" s="6" t="e">
        <f>_xlfn.NORM.S.INV(Q73)</f>
        <v>#REF!</v>
      </c>
      <c r="AG73" s="6" t="e">
        <f t="array" ref="AG73">_xlfn.NORM.S.INV(C73:Q73)</f>
        <v>#NUM!</v>
      </c>
      <c r="AH73" s="6" t="e">
        <f t="array" ref="AH73:AW73">_xlfn.NORM.S.INV(C73:Q73)</f>
        <v>#NUM!</v>
      </c>
      <c r="AI73" s="6" t="e">
        <v>#NUM!</v>
      </c>
      <c r="AJ73" s="6">
        <v>0.52440051270804078</v>
      </c>
      <c r="AK73" s="6">
        <v>-2.8781617390954826</v>
      </c>
      <c r="AL73" s="6" t="e">
        <v>#NUM!</v>
      </c>
      <c r="AM73" s="6" t="e">
        <v>#NUM!</v>
      </c>
      <c r="AN73" s="6" t="e">
        <v>#NUM!</v>
      </c>
      <c r="AO73" s="6" t="e">
        <v>#NUM!</v>
      </c>
      <c r="AP73" s="6" t="e">
        <v>#VALUE!</v>
      </c>
      <c r="AQ73" s="6" t="e">
        <v>#N/A</v>
      </c>
      <c r="AR73" s="6" t="e">
        <v>#DIV/0!</v>
      </c>
      <c r="AS73" s="6" t="e">
        <v>#NAME?</v>
      </c>
      <c r="AT73" s="6" t="e">
        <v>#NULL!</v>
      </c>
      <c r="AU73" s="6" t="e">
        <v>#NUM!</v>
      </c>
      <c r="AV73" s="6" t="e">
        <v>#REF!</v>
      </c>
      <c r="AW73" s="4" t="e">
        <v>#N/A</v>
      </c>
    </row>
    <row r="74" spans="1:49" x14ac:dyDescent="0.15">
      <c r="A74" s="38" t="s">
        <v>470</v>
      </c>
      <c r="B74" s="37" t="s">
        <v>541</v>
      </c>
      <c r="C74" s="4">
        <v>0</v>
      </c>
      <c r="D74" s="4">
        <v>-0.1</v>
      </c>
      <c r="E74" s="4">
        <v>0.7</v>
      </c>
      <c r="F74" s="4">
        <v>2E-3</v>
      </c>
      <c r="G74" s="4">
        <v>4</v>
      </c>
      <c r="H74" s="6"/>
      <c r="I74" s="17" t="s">
        <v>444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 t="e">
        <f>NORMINV(C74,4,4)</f>
        <v>#NUM!</v>
      </c>
      <c r="S74" s="6" t="e">
        <f>NORMINV(D74,2,2)</f>
        <v>#NUM!</v>
      </c>
      <c r="T74" s="6">
        <f>NORMINV(0.4,2,E74)</f>
        <v>1.8226570278049401</v>
      </c>
      <c r="U74" s="6">
        <f>NORMINV(F74,4,3)</f>
        <v>-4.6344852172864481</v>
      </c>
      <c r="V74" s="6" t="e">
        <f>NORMINV(G74,D74,E74)</f>
        <v>#NUM!</v>
      </c>
      <c r="W74" s="6" t="e">
        <f>NORMINV(H74,3,2)</f>
        <v>#NUM!</v>
      </c>
      <c r="X74" s="6">
        <f>NORMINV(0.3,I74,2)</f>
        <v>58.951198974583917</v>
      </c>
      <c r="Y74" s="6">
        <f>NORMINV(0.3,J74,2)</f>
        <v>-4.8801025416081778E-2</v>
      </c>
      <c r="Z74" s="6" t="e">
        <f t="shared" ref="Z74:AF74" si="22">NORMINV(K74,C74,E74)</f>
        <v>#VALUE!</v>
      </c>
      <c r="AA74" s="6" t="e">
        <f t="shared" si="22"/>
        <v>#N/A</v>
      </c>
      <c r="AB74" s="6" t="e">
        <f t="shared" si="22"/>
        <v>#DIV/0!</v>
      </c>
      <c r="AC74" s="6" t="e">
        <f t="shared" si="22"/>
        <v>#NAME?</v>
      </c>
      <c r="AD74" s="6" t="e">
        <f t="shared" si="22"/>
        <v>#NULL!</v>
      </c>
      <c r="AE74" s="6" t="e">
        <f t="shared" si="22"/>
        <v>#NUM!</v>
      </c>
      <c r="AF74" s="6" t="e">
        <f t="shared" si="22"/>
        <v>#REF!</v>
      </c>
      <c r="AG74" s="6" t="e">
        <f t="array" ref="AG74">NORMINV(C74:Q74,3,3)</f>
        <v>#NUM!</v>
      </c>
      <c r="AH74" s="6" t="e">
        <f t="array" ref="AH74:AW74">NORMINV(C74:Q74, 3,2)</f>
        <v>#NUM!</v>
      </c>
      <c r="AI74" s="6" t="e">
        <v>#NUM!</v>
      </c>
      <c r="AJ74" s="6">
        <v>4.0488010254160818</v>
      </c>
      <c r="AK74" s="6">
        <v>-2.7563234781909651</v>
      </c>
      <c r="AL74" s="6" t="e">
        <v>#NUM!</v>
      </c>
      <c r="AM74" s="6" t="e">
        <v>#NUM!</v>
      </c>
      <c r="AN74" s="6" t="e">
        <v>#NUM!</v>
      </c>
      <c r="AO74" s="6" t="e">
        <v>#NUM!</v>
      </c>
      <c r="AP74" s="6" t="e">
        <v>#VALUE!</v>
      </c>
      <c r="AQ74" s="6" t="e">
        <v>#N/A</v>
      </c>
      <c r="AR74" s="6" t="e">
        <v>#DIV/0!</v>
      </c>
      <c r="AS74" s="6" t="e">
        <v>#NAME?</v>
      </c>
      <c r="AT74" s="6" t="e">
        <v>#NULL!</v>
      </c>
      <c r="AU74" s="6" t="e">
        <v>#NUM!</v>
      </c>
      <c r="AV74" s="6" t="e">
        <v>#REF!</v>
      </c>
      <c r="AW74" s="4" t="e">
        <v>#N/A</v>
      </c>
    </row>
    <row r="75" spans="1:49" x14ac:dyDescent="0.15">
      <c r="A75" s="41" t="s">
        <v>169</v>
      </c>
    </row>
    <row r="76" spans="1:49" x14ac:dyDescent="0.15">
      <c r="A76" s="36" t="s">
        <v>170</v>
      </c>
      <c r="B76" s="37" t="s">
        <v>541</v>
      </c>
      <c r="C76" s="4">
        <v>0</v>
      </c>
      <c r="D76" s="4">
        <v>-10</v>
      </c>
      <c r="E76" s="4">
        <v>0.9</v>
      </c>
      <c r="F76" s="4">
        <v>0.1</v>
      </c>
      <c r="G76" s="4">
        <v>-0.1</v>
      </c>
      <c r="H76" s="6"/>
      <c r="I76" s="17" t="s">
        <v>448</v>
      </c>
      <c r="J76" s="6" t="b">
        <v>1</v>
      </c>
      <c r="K76" s="6" t="e">
        <v>#VALUE!</v>
      </c>
      <c r="L76" s="6" t="e">
        <v>#N/A</v>
      </c>
      <c r="M76" s="7" t="e">
        <v>#DIV/0!</v>
      </c>
      <c r="N76" s="7" t="e">
        <v>#NAME?</v>
      </c>
      <c r="O76" s="7" t="e">
        <v>#NULL!</v>
      </c>
      <c r="P76" s="7" t="e">
        <v>#NUM!</v>
      </c>
      <c r="Q76" s="7" t="e">
        <v>#REF!</v>
      </c>
      <c r="R76" s="6">
        <f>_xlfn.PERCENTILE.EXC(C76:F76,".2")</f>
        <v>-10</v>
      </c>
      <c r="S76" s="6" t="e">
        <f>_xlfn.PERCENTILE.EXC(C76:H76,E76)</f>
        <v>#NUM!</v>
      </c>
      <c r="T76" s="6" t="e">
        <f>_xlfn.PERCENTILE.EXC(D76:F76,F76)</f>
        <v>#NUM!</v>
      </c>
      <c r="U76" s="6" t="e">
        <f>_xlfn.PERCENTILE.EXC(F76:G76,G76)</f>
        <v>#NUM!</v>
      </c>
      <c r="V76" s="6" t="e">
        <f>_xlfn.PERCENTILE.EXC(G76:H76,H76)</f>
        <v>#NUM!</v>
      </c>
      <c r="W76" s="6" t="e">
        <f>_xlfn.PERCENTILE.EXC(D76:E76,I76)</f>
        <v>#NUM!</v>
      </c>
      <c r="X76" s="6" t="e">
        <f>_xlfn.PERCENTILE.EXC(E76:I76,J76)</f>
        <v>#NUM!</v>
      </c>
      <c r="Y76" s="6" t="e">
        <f>_xlfn.PERCENTILE.EXC(I76:J76,K76)</f>
        <v>#VALUE!</v>
      </c>
      <c r="Z76" s="6" t="e">
        <f t="shared" ref="Z76:AF76" si="23">_xlfn.PERCENTILE.EXC(K76:L76,L76)</f>
        <v>#N/A</v>
      </c>
      <c r="AA76" s="6" t="e">
        <f t="shared" si="23"/>
        <v>#DIV/0!</v>
      </c>
      <c r="AB76" s="6" t="e">
        <f t="shared" si="23"/>
        <v>#NAME?</v>
      </c>
      <c r="AC76" s="6" t="e">
        <f t="shared" si="23"/>
        <v>#NULL!</v>
      </c>
      <c r="AD76" s="6" t="e">
        <f t="shared" si="23"/>
        <v>#NUM!</v>
      </c>
      <c r="AE76" s="6" t="e">
        <f t="shared" si="23"/>
        <v>#REF!</v>
      </c>
      <c r="AF76" s="6" t="e">
        <f t="shared" si="23"/>
        <v>#REF!</v>
      </c>
      <c r="AG76" s="6" t="e">
        <f t="array" ref="AG76">_xlfn.PERCENTILE.EXC(C76:G76,0.03)</f>
        <v>#NUM!</v>
      </c>
      <c r="AH76" s="6" t="e">
        <f t="array" ref="AH76:AW76">_xlfn.PERCENTILE.EXC(C76:J76,C76:Q76)</f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#NUM!</v>
      </c>
      <c r="AP76" s="6" t="e">
        <v>#VALUE!</v>
      </c>
      <c r="AQ76" s="6" t="e">
        <v>#N/A</v>
      </c>
      <c r="AR76" s="6" t="e">
        <v>#DIV/0!</v>
      </c>
      <c r="AS76" s="6" t="e">
        <v>#NAME?</v>
      </c>
      <c r="AT76" s="6" t="e">
        <v>#NULL!</v>
      </c>
      <c r="AU76" s="6" t="e">
        <v>#NUM!</v>
      </c>
      <c r="AV76" s="6" t="e">
        <v>#REF!</v>
      </c>
      <c r="AW76" s="4" t="e">
        <v>#N/A</v>
      </c>
    </row>
    <row r="77" spans="1:49" x14ac:dyDescent="0.15">
      <c r="A77" s="36" t="s">
        <v>171</v>
      </c>
      <c r="B77" s="37" t="s">
        <v>541</v>
      </c>
      <c r="C77" s="4">
        <v>0</v>
      </c>
      <c r="D77" s="4">
        <v>-10</v>
      </c>
      <c r="E77" s="4">
        <v>0.9</v>
      </c>
      <c r="F77" s="4">
        <v>0.1</v>
      </c>
      <c r="G77" s="4">
        <v>-0.1</v>
      </c>
      <c r="H77" s="6"/>
      <c r="I77" s="17" t="s">
        <v>448</v>
      </c>
      <c r="J77" s="6" t="b">
        <v>1</v>
      </c>
      <c r="K77" s="6" t="e">
        <v>#VALUE!</v>
      </c>
      <c r="L77" s="6" t="e">
        <v>#N/A</v>
      </c>
      <c r="M77" s="7" t="e">
        <v>#DIV/0!</v>
      </c>
      <c r="N77" s="7" t="e">
        <v>#NAME?</v>
      </c>
      <c r="O77" s="7" t="e">
        <v>#NULL!</v>
      </c>
      <c r="P77" s="7" t="e">
        <v>#NUM!</v>
      </c>
      <c r="Q77" s="7" t="e">
        <v>#REF!</v>
      </c>
      <c r="R77" s="6">
        <f>_xlfn.PERCENTILE.INC(C77:D77,".2")</f>
        <v>-8</v>
      </c>
      <c r="S77" s="6">
        <f>_xlfn.PERCENTILE.INC(C77:J77,E77)</f>
        <v>0.57999999999999974</v>
      </c>
      <c r="T77" s="6">
        <f>_xlfn.PERCENTILE.INC(E77:F77,F77)</f>
        <v>0.18000000000000008</v>
      </c>
      <c r="U77" s="6" t="e">
        <f>_xlfn.PERCENTILE.INC(F77:G77,G77)</f>
        <v>#NUM!</v>
      </c>
      <c r="V77" s="6">
        <f>_xlfn.PERCENTILE.INC(G77:H77,H77)</f>
        <v>-0.1</v>
      </c>
      <c r="W77" s="6">
        <f>_xlfn.PERCENTILE.INC(D77:E77,I77)</f>
        <v>0.9</v>
      </c>
      <c r="X77" s="6">
        <f>_xlfn.PERCENTILE.INC(E77:I77,J77)</f>
        <v>0.9</v>
      </c>
      <c r="Y77" s="6" t="e">
        <f>_xlfn.PERCENTILE.INC(I77:J77,K77)</f>
        <v>#VALUE!</v>
      </c>
      <c r="Z77" s="6" t="e">
        <f t="shared" ref="Z77:AF77" si="24">_xlfn.PERCENTILE.INC(K77:L77,L77)</f>
        <v>#N/A</v>
      </c>
      <c r="AA77" s="6" t="e">
        <f t="shared" si="24"/>
        <v>#DIV/0!</v>
      </c>
      <c r="AB77" s="6" t="e">
        <f t="shared" si="24"/>
        <v>#NAME?</v>
      </c>
      <c r="AC77" s="6" t="e">
        <f t="shared" si="24"/>
        <v>#NULL!</v>
      </c>
      <c r="AD77" s="6" t="e">
        <f t="shared" si="24"/>
        <v>#NUM!</v>
      </c>
      <c r="AE77" s="6" t="e">
        <f t="shared" si="24"/>
        <v>#REF!</v>
      </c>
      <c r="AF77" s="6" t="e">
        <f t="shared" si="24"/>
        <v>#REF!</v>
      </c>
      <c r="AG77" s="6">
        <f t="array" ref="AG77">_xlfn.PERCENTILE.INC(C77:G77,0.03)</f>
        <v>-8.8119999999999994</v>
      </c>
      <c r="AH77" s="6">
        <f t="array" ref="AH77:AW77">_xlfn.PERCENTILE.INC(C77:J77,C77:Q77)</f>
        <v>-10</v>
      </c>
      <c r="AI77" s="6" t="e">
        <v>#NUM!</v>
      </c>
      <c r="AJ77" s="6">
        <v>0.57999999999999974</v>
      </c>
      <c r="AK77" s="6">
        <v>-6.0400000000000009</v>
      </c>
      <c r="AL77" s="6" t="e">
        <v>#NUM!</v>
      </c>
      <c r="AM77" s="6">
        <v>-10</v>
      </c>
      <c r="AN77" s="6">
        <v>0.9</v>
      </c>
      <c r="AO77" s="6">
        <v>0.9</v>
      </c>
      <c r="AP77" s="6" t="e">
        <v>#VALUE!</v>
      </c>
      <c r="AQ77" s="6" t="e">
        <v>#N/A</v>
      </c>
      <c r="AR77" s="6" t="e">
        <v>#DIV/0!</v>
      </c>
      <c r="AS77" s="6" t="e">
        <v>#NAME?</v>
      </c>
      <c r="AT77" s="6" t="e">
        <v>#NULL!</v>
      </c>
      <c r="AU77" s="6" t="e">
        <v>#NUM!</v>
      </c>
      <c r="AV77" s="6" t="e">
        <v>#REF!</v>
      </c>
      <c r="AW77" s="4" t="e">
        <v>#N/A</v>
      </c>
    </row>
    <row r="78" spans="1:49" x14ac:dyDescent="0.15">
      <c r="A78" s="41" t="s">
        <v>172</v>
      </c>
      <c r="H78" s="6"/>
      <c r="I78" s="17"/>
      <c r="J78" s="6"/>
      <c r="K78" s="6"/>
      <c r="L78" s="6"/>
      <c r="M78" s="7"/>
      <c r="N78" s="7"/>
      <c r="O78" s="7"/>
      <c r="P78" s="7"/>
      <c r="Q78" s="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1" t="s">
        <v>173</v>
      </c>
      <c r="C79" s="11"/>
      <c r="D79" s="11"/>
      <c r="E79" s="11"/>
      <c r="F79" s="11"/>
      <c r="G79" s="11"/>
      <c r="H79" s="30"/>
      <c r="I79" s="31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11"/>
    </row>
    <row r="80" spans="1:49" x14ac:dyDescent="0.15">
      <c r="A80" s="41" t="s">
        <v>174</v>
      </c>
    </row>
    <row r="81" spans="1:49" x14ac:dyDescent="0.15">
      <c r="A81" s="41" t="s">
        <v>175</v>
      </c>
    </row>
    <row r="82" spans="1:49" x14ac:dyDescent="0.15">
      <c r="A82" s="41" t="s">
        <v>176</v>
      </c>
    </row>
    <row r="83" spans="1:49" x14ac:dyDescent="0.15">
      <c r="A83" s="41" t="s">
        <v>177</v>
      </c>
    </row>
    <row r="84" spans="1:49" x14ac:dyDescent="0.15">
      <c r="A84" s="41" t="s">
        <v>178</v>
      </c>
    </row>
    <row r="85" spans="1:49" x14ac:dyDescent="0.15">
      <c r="A85" s="36" t="s">
        <v>179</v>
      </c>
      <c r="B85" s="37" t="s">
        <v>541</v>
      </c>
      <c r="C85" s="4">
        <v>0</v>
      </c>
      <c r="D85" s="4">
        <v>-10</v>
      </c>
      <c r="E85" s="4">
        <v>0.9</v>
      </c>
      <c r="F85" s="4">
        <v>2.2000000000000002</v>
      </c>
      <c r="G85" s="4">
        <v>-0.1</v>
      </c>
      <c r="H85" s="6"/>
      <c r="I85" s="17" t="s">
        <v>448</v>
      </c>
      <c r="J85" s="6" t="b">
        <v>1</v>
      </c>
      <c r="K85" s="6" t="e">
        <v>#VALUE!</v>
      </c>
      <c r="L85" s="6" t="e">
        <v>#N/A</v>
      </c>
      <c r="M85" s="7" t="e">
        <v>#DIV/0!</v>
      </c>
      <c r="N85" s="7" t="e">
        <v>#NAME?</v>
      </c>
      <c r="O85" s="7" t="e">
        <v>#NULL!</v>
      </c>
      <c r="P85" s="7" t="e">
        <v>#NUM!</v>
      </c>
      <c r="Q85" s="7" t="e">
        <v>#REF!</v>
      </c>
      <c r="R85" s="6">
        <f>_xlfn.QUARTILE.EXC(C85:D85,"2")</f>
        <v>-5</v>
      </c>
      <c r="S85" s="6">
        <f>_xlfn.QUARTILE.EXC(C85:G85,2)</f>
        <v>0</v>
      </c>
      <c r="T85" s="6">
        <f>_xlfn.QUARTILE.EXC(E85:F85,F85)</f>
        <v>1.5500000000000003</v>
      </c>
      <c r="U85" s="6" t="e">
        <f>_xlfn.QUARTILE.EXC(E85:F85,1)</f>
        <v>#NUM!</v>
      </c>
      <c r="V85" s="6" t="e">
        <f>_xlfn.QUARTILE.EXC(D85:H85,H85)</f>
        <v>#NUM!</v>
      </c>
      <c r="W85" s="6" t="e">
        <f>_xlfn.QUARTILE.EXC(D85:E85,I85)</f>
        <v>#NUM!</v>
      </c>
      <c r="X85" s="6">
        <f>_xlfn.QUARTILE.EXC(E85:I85,J85)</f>
        <v>-0.1</v>
      </c>
      <c r="Y85" s="6" t="e">
        <f>_xlfn.QUARTILE.EXC(I85:J85,K85)</f>
        <v>#VALUE!</v>
      </c>
      <c r="Z85" s="6" t="e">
        <f t="shared" ref="Z85:AF85" si="25">_xlfn.QUARTILE.EXC(K85:L85,L85)</f>
        <v>#N/A</v>
      </c>
      <c r="AA85" s="6" t="e">
        <f t="shared" si="25"/>
        <v>#DIV/0!</v>
      </c>
      <c r="AB85" s="6" t="e">
        <f t="shared" si="25"/>
        <v>#NAME?</v>
      </c>
      <c r="AC85" s="6" t="e">
        <f t="shared" si="25"/>
        <v>#NULL!</v>
      </c>
      <c r="AD85" s="6" t="e">
        <f t="shared" si="25"/>
        <v>#NUM!</v>
      </c>
      <c r="AE85" s="6" t="e">
        <f t="shared" si="25"/>
        <v>#REF!</v>
      </c>
      <c r="AF85" s="6" t="e">
        <f t="shared" si="25"/>
        <v>#REF!</v>
      </c>
      <c r="AG85" s="6">
        <f t="array" ref="AG85">_xlfn.QUARTILE.EXC(C85:G85,3)</f>
        <v>1.5500000000000003</v>
      </c>
      <c r="AH85" s="6" t="e">
        <f t="array" ref="AH85:AW85">_xlfn.QUARTILE.EXC(C85:J85,C85:Q85)</f>
        <v>#NUM!</v>
      </c>
      <c r="AI85" s="6" t="e">
        <v>#NUM!</v>
      </c>
      <c r="AJ85" s="6" t="e">
        <v>#NUM!</v>
      </c>
      <c r="AK85" s="6">
        <v>0</v>
      </c>
      <c r="AL85" s="6" t="e">
        <v>#NUM!</v>
      </c>
      <c r="AM85" s="6" t="e">
        <v>#NUM!</v>
      </c>
      <c r="AN85" s="6">
        <v>-5.05</v>
      </c>
      <c r="AO85" s="6">
        <v>-5.05</v>
      </c>
      <c r="AP85" s="6" t="e">
        <v>#VALUE!</v>
      </c>
      <c r="AQ85" s="6" t="e">
        <v>#N/A</v>
      </c>
      <c r="AR85" s="6" t="e">
        <v>#DIV/0!</v>
      </c>
      <c r="AS85" s="6" t="e">
        <v>#NAME?</v>
      </c>
      <c r="AT85" s="6" t="e">
        <v>#NULL!</v>
      </c>
      <c r="AU85" s="6" t="e">
        <v>#NUM!</v>
      </c>
      <c r="AV85" s="6" t="e">
        <v>#REF!</v>
      </c>
      <c r="AW85" s="4" t="e">
        <v>#N/A</v>
      </c>
    </row>
    <row r="86" spans="1:49" x14ac:dyDescent="0.15">
      <c r="A86" s="36" t="s">
        <v>180</v>
      </c>
      <c r="B86" s="37" t="s">
        <v>541</v>
      </c>
      <c r="C86" s="11">
        <v>0</v>
      </c>
      <c r="D86" s="11">
        <v>-10</v>
      </c>
      <c r="E86" s="11">
        <v>0.9</v>
      </c>
      <c r="F86" s="11">
        <v>2.2000000000000002</v>
      </c>
      <c r="G86" s="11">
        <v>-0.1</v>
      </c>
      <c r="H86" s="30"/>
      <c r="I86" s="31" t="s">
        <v>448</v>
      </c>
      <c r="J86" s="30" t="b">
        <v>1</v>
      </c>
      <c r="K86" s="30" t="e">
        <v>#VALUE!</v>
      </c>
      <c r="L86" s="30" t="e">
        <v>#N/A</v>
      </c>
      <c r="M86" s="30" t="e">
        <v>#DIV/0!</v>
      </c>
      <c r="N86" s="30" t="e">
        <v>#NAME?</v>
      </c>
      <c r="O86" s="30" t="e">
        <v>#NULL!</v>
      </c>
      <c r="P86" s="30" t="e">
        <v>#NUM!</v>
      </c>
      <c r="Q86" s="30" t="e">
        <v>#REF!</v>
      </c>
      <c r="R86" s="30">
        <f>_xlfn.QUARTILE.INC(C86:D86,"2")</f>
        <v>-5</v>
      </c>
      <c r="S86" s="30">
        <f>_xlfn.QUARTILE.INC(C86:G86,2)</f>
        <v>0</v>
      </c>
      <c r="T86" s="30">
        <f>_xlfn.QUARTILE.INC(E86:F86,F86)</f>
        <v>1.5500000000000003</v>
      </c>
      <c r="U86" s="30">
        <f>_xlfn.QUARTILE.INC(E86:F86,1)</f>
        <v>1.2250000000000001</v>
      </c>
      <c r="V86" s="30">
        <f>_xlfn.QUARTILE.INC(D86:H86,H86)</f>
        <v>-10</v>
      </c>
      <c r="W86" s="30">
        <f>_xlfn.QUARTILE.INC(D86:E86,I86)</f>
        <v>-7.2750000000000004</v>
      </c>
      <c r="X86" s="30">
        <f>_xlfn.QUARTILE.INC(E86:I86,J86)</f>
        <v>0.4</v>
      </c>
      <c r="Y86" s="30" t="e">
        <f>_xlfn.QUARTILE.INC(I86:J86,K86)</f>
        <v>#VALUE!</v>
      </c>
      <c r="Z86" s="30" t="e">
        <f t="shared" ref="Z86:AF86" si="26">_xlfn.QUARTILE.INC(K86:L86,L86)</f>
        <v>#N/A</v>
      </c>
      <c r="AA86" s="30" t="e">
        <f t="shared" si="26"/>
        <v>#DIV/0!</v>
      </c>
      <c r="AB86" s="30" t="e">
        <f t="shared" si="26"/>
        <v>#NAME?</v>
      </c>
      <c r="AC86" s="30" t="e">
        <f t="shared" si="26"/>
        <v>#NULL!</v>
      </c>
      <c r="AD86" s="30" t="e">
        <f t="shared" si="26"/>
        <v>#NUM!</v>
      </c>
      <c r="AE86" s="30" t="e">
        <f t="shared" si="26"/>
        <v>#REF!</v>
      </c>
      <c r="AF86" s="30" t="e">
        <f t="shared" si="26"/>
        <v>#REF!</v>
      </c>
      <c r="AG86" s="30">
        <f t="array" ref="AG86">_xlfn.QUARTILE.INC(C86:G86,3)</f>
        <v>0.9</v>
      </c>
      <c r="AH86" s="30">
        <f t="array" ref="AH86:AW86">_xlfn.QUARTILE.INC(C86:J86,C86:Q86)</f>
        <v>-10</v>
      </c>
      <c r="AI86" s="30" t="e">
        <v>#NUM!</v>
      </c>
      <c r="AJ86" s="30">
        <v>-10</v>
      </c>
      <c r="AK86" s="30">
        <v>0</v>
      </c>
      <c r="AL86" s="30" t="e">
        <v>#NUM!</v>
      </c>
      <c r="AM86" s="30">
        <v>-10</v>
      </c>
      <c r="AN86" s="30">
        <v>-0.1</v>
      </c>
      <c r="AO86" s="30">
        <v>-0.1</v>
      </c>
      <c r="AP86" s="30" t="e">
        <v>#VALUE!</v>
      </c>
      <c r="AQ86" s="30" t="e">
        <v>#N/A</v>
      </c>
      <c r="AR86" s="30" t="e">
        <v>#DIV/0!</v>
      </c>
      <c r="AS86" s="30" t="e">
        <v>#NAME?</v>
      </c>
      <c r="AT86" s="30" t="e">
        <v>#NULL!</v>
      </c>
      <c r="AU86" s="30" t="e">
        <v>#NUM!</v>
      </c>
      <c r="AV86" s="30" t="e">
        <v>#REF!</v>
      </c>
      <c r="AW86" s="11" t="e">
        <v>#N/A</v>
      </c>
    </row>
    <row r="87" spans="1:49" x14ac:dyDescent="0.15">
      <c r="A87" s="41" t="s">
        <v>181</v>
      </c>
    </row>
    <row r="88" spans="1:49" x14ac:dyDescent="0.15">
      <c r="A88" s="41" t="s">
        <v>182</v>
      </c>
    </row>
    <row r="89" spans="1:49" x14ac:dyDescent="0.15">
      <c r="A89" s="41" t="s">
        <v>183</v>
      </c>
    </row>
    <row r="90" spans="1:49" x14ac:dyDescent="0.15">
      <c r="A90" s="41" t="s">
        <v>184</v>
      </c>
    </row>
    <row r="91" spans="1:49" x14ac:dyDescent="0.15">
      <c r="A91" s="41" t="s">
        <v>185</v>
      </c>
    </row>
    <row r="92" spans="1:49" x14ac:dyDescent="0.15">
      <c r="A92" s="36" t="s">
        <v>186</v>
      </c>
      <c r="B92" s="37" t="s">
        <v>541</v>
      </c>
      <c r="O92" s="4">
        <f>SLOPE({3,4},{8,9})</f>
        <v>1</v>
      </c>
    </row>
    <row r="93" spans="1:49" x14ac:dyDescent="0.15">
      <c r="A93" s="36" t="s">
        <v>187</v>
      </c>
      <c r="B93" s="37" t="s">
        <v>541</v>
      </c>
      <c r="C93" s="4">
        <v>0</v>
      </c>
      <c r="D93" s="4">
        <v>-10</v>
      </c>
      <c r="E93" s="4">
        <v>0.9</v>
      </c>
      <c r="F93" s="4">
        <v>2.2000000000000002</v>
      </c>
      <c r="G93" s="4">
        <v>-0.1</v>
      </c>
      <c r="H93" s="6"/>
      <c r="I93" s="17" t="s">
        <v>448</v>
      </c>
      <c r="J93" s="6" t="b">
        <v>1</v>
      </c>
      <c r="K93" s="6" t="e">
        <v>#VALUE!</v>
      </c>
      <c r="L93" s="6" t="e">
        <v>#N/A</v>
      </c>
      <c r="M93" s="7" t="e">
        <v>#DIV/0!</v>
      </c>
      <c r="N93" s="7" t="e">
        <v>#NAME?</v>
      </c>
      <c r="O93" s="7" t="e">
        <v>#NULL!</v>
      </c>
      <c r="P93" s="7" t="e">
        <v>#NUM!</v>
      </c>
      <c r="Q93" s="7" t="e">
        <v>#REF!</v>
      </c>
      <c r="R93" s="6">
        <f>SMALL($C93:$J93,"1")</f>
        <v>-10</v>
      </c>
      <c r="S93" s="6">
        <f>SMALL($C93:$J93,2)</f>
        <v>-0.1</v>
      </c>
      <c r="T93" s="6">
        <f>SMALL($C93:$J93,3)</f>
        <v>0</v>
      </c>
      <c r="U93" s="6">
        <f>SMALL($C93:$J93,3)</f>
        <v>0</v>
      </c>
      <c r="V93" s="6">
        <f>SMALL($C93:$J93,4)</f>
        <v>0.9</v>
      </c>
      <c r="W93" s="6" t="e">
        <f>SMALL($C93:$J93,H93)</f>
        <v>#NUM!</v>
      </c>
      <c r="X93" s="6" t="e" vm="81">
        <f>SMALL($C93:$J93,"c")</f>
        <v>#VALUE!</v>
      </c>
      <c r="Y93" s="6">
        <f>SMALL($C93:$J93,J93)</f>
        <v>-10</v>
      </c>
      <c r="Z93" s="6" t="e">
        <f t="shared" ref="Z93:AF93" si="27">SMALL($C93:$K93,K93)</f>
        <v>#VALUE!</v>
      </c>
      <c r="AA93" s="6" t="e">
        <f t="shared" si="27"/>
        <v>#N/A</v>
      </c>
      <c r="AB93" s="6" t="e">
        <f t="shared" si="27"/>
        <v>#DIV/0!</v>
      </c>
      <c r="AC93" s="6" t="e">
        <f t="shared" si="27"/>
        <v>#NAME?</v>
      </c>
      <c r="AD93" s="6" t="e">
        <f t="shared" si="27"/>
        <v>#NULL!</v>
      </c>
      <c r="AE93" s="6" t="e">
        <f t="shared" si="27"/>
        <v>#NUM!</v>
      </c>
      <c r="AF93" s="6" t="e">
        <f t="shared" si="27"/>
        <v>#REF!</v>
      </c>
      <c r="AG93" s="6" t="e">
        <f t="array" ref="AG93">SMALL($C93:$J93,E93:F93)</f>
        <v>#NUM!</v>
      </c>
      <c r="AH93" s="6" t="e">
        <f t="array" ref="AH93:AW93">SMALL($C93:$J93,C93:Q93)</f>
        <v>#NUM!</v>
      </c>
      <c r="AI93" s="6" t="e">
        <v>#NUM!</v>
      </c>
      <c r="AJ93" s="6" t="e">
        <v>#NUM!</v>
      </c>
      <c r="AK93" s="6">
        <v>-0.1</v>
      </c>
      <c r="AL93" s="6" t="e">
        <v>#NUM!</v>
      </c>
      <c r="AM93" s="6" t="e">
        <v>#NUM!</v>
      </c>
      <c r="AN93" s="6">
        <v>-10</v>
      </c>
      <c r="AO93" s="6">
        <v>-10</v>
      </c>
      <c r="AP93" s="6" t="e">
        <v>#VALUE!</v>
      </c>
      <c r="AQ93" s="6" t="e">
        <v>#N/A</v>
      </c>
      <c r="AR93" s="6" t="e">
        <v>#DIV/0!</v>
      </c>
      <c r="AS93" s="6" t="e">
        <v>#NAME?</v>
      </c>
      <c r="AT93" s="6" t="e">
        <v>#NULL!</v>
      </c>
      <c r="AU93" s="6" t="e">
        <v>#NUM!</v>
      </c>
      <c r="AV93" s="6" t="e">
        <v>#REF!</v>
      </c>
      <c r="AW93" s="4" t="e">
        <v>#N/A</v>
      </c>
    </row>
    <row r="94" spans="1:49" x14ac:dyDescent="0.15">
      <c r="A94" s="41" t="s">
        <v>188</v>
      </c>
    </row>
    <row r="95" spans="1:49" x14ac:dyDescent="0.15">
      <c r="A95" s="36" t="s">
        <v>189</v>
      </c>
      <c r="B95" s="37" t="s">
        <v>541</v>
      </c>
      <c r="C95" s="4">
        <v>0</v>
      </c>
      <c r="D95" s="4">
        <v>-10</v>
      </c>
      <c r="E95" s="4">
        <v>0.9</v>
      </c>
      <c r="F95" s="4">
        <v>2.2000000000000002</v>
      </c>
      <c r="G95" s="4">
        <v>-0.1</v>
      </c>
      <c r="H95" s="6"/>
      <c r="I95" s="17" t="s">
        <v>448</v>
      </c>
      <c r="J95" s="6" t="b">
        <v>1</v>
      </c>
      <c r="K95" s="6" t="e">
        <v>#VALUE!</v>
      </c>
      <c r="L95" s="6" t="e">
        <v>#N/A</v>
      </c>
      <c r="M95" s="7" t="e">
        <v>#DIV/0!</v>
      </c>
      <c r="N95" s="7" t="e">
        <v>#NAME?</v>
      </c>
      <c r="O95" s="7" t="e">
        <v>#NULL!</v>
      </c>
      <c r="P95" s="7" t="e">
        <v>#NUM!</v>
      </c>
      <c r="Q95" s="7" t="e">
        <v>#REF!</v>
      </c>
      <c r="R95" s="6">
        <f>_xlfn.STDEV.P(C95:D95,D95:E95,E95:F95,"2")</f>
        <v>5.1054592629570834</v>
      </c>
      <c r="S95" s="6" t="e" vm="82">
        <f>_xlfn.STDEV.P(D95:E95,E95:F95,F95:G95,"")</f>
        <v>#VALUE!</v>
      </c>
      <c r="T95" s="6">
        <f>_xlfn.STDEV.P(E95:F95,F95:G95,G95:H95,"29/02/1900")</f>
        <v>22.00066286880163</v>
      </c>
      <c r="U95" s="6" t="e">
        <f>_xlfn.STDEV.P(H95)</f>
        <v>#DIV/0!</v>
      </c>
      <c r="V95" s="6">
        <f>_xlfn.STDEV.P(G95:H95,H95:I95,I95:J95)</f>
        <v>0</v>
      </c>
      <c r="W95" s="6">
        <f>_xlfn.STDEV.P(G95:H95)</f>
        <v>0</v>
      </c>
      <c r="X95" s="6">
        <f>_xlfn.STDEV.P(I95,G95)</f>
        <v>0</v>
      </c>
      <c r="Y95" s="6">
        <f>_xlfn.STDEV.P(J95,G95)</f>
        <v>0</v>
      </c>
      <c r="Z95" s="6" t="e">
        <f t="shared" ref="Z95:AF95" si="28">_xlfn.STDEV.P(K95:L95)</f>
        <v>#VALUE!</v>
      </c>
      <c r="AA95" s="6" t="e">
        <f t="shared" si="28"/>
        <v>#N/A</v>
      </c>
      <c r="AB95" s="6" t="e">
        <f t="shared" si="28"/>
        <v>#DIV/0!</v>
      </c>
      <c r="AC95" s="6" t="e">
        <f t="shared" si="28"/>
        <v>#NAME?</v>
      </c>
      <c r="AD95" s="6" t="e">
        <f t="shared" si="28"/>
        <v>#NULL!</v>
      </c>
      <c r="AE95" s="6" t="e">
        <f t="shared" si="28"/>
        <v>#NUM!</v>
      </c>
      <c r="AF95" s="6" t="e">
        <f t="shared" si="28"/>
        <v>#REF!</v>
      </c>
      <c r="AG95" s="6">
        <f>_xlfn.STDEV.P(F95:J95)</f>
        <v>1.1500000000000001</v>
      </c>
      <c r="AH95" s="6">
        <f t="array" ref="AH95:AM95">_xlfn.STDEV.P(C95:J95)</f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>
        <v>4.3785842460777209</v>
      </c>
      <c r="AN95" s="6" t="e">
        <f t="array" ref="AN95:AW95">_xlfn.STDEV.P(J95:Q95)</f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6" t="e">
        <v>#VALUE!</v>
      </c>
      <c r="AW95" s="4" t="e">
        <v>#VALUE!</v>
      </c>
    </row>
    <row r="96" spans="1:49" x14ac:dyDescent="0.15">
      <c r="A96" s="36" t="s">
        <v>190</v>
      </c>
      <c r="B96" s="37" t="s">
        <v>541</v>
      </c>
      <c r="C96" s="4">
        <v>0</v>
      </c>
      <c r="D96" s="4">
        <v>-10</v>
      </c>
      <c r="E96" s="4">
        <v>0.9</v>
      </c>
      <c r="F96" s="4">
        <v>2.2000000000000002</v>
      </c>
      <c r="G96" s="4">
        <v>-0.1</v>
      </c>
      <c r="H96" s="6"/>
      <c r="I96" s="17" t="s">
        <v>448</v>
      </c>
      <c r="J96" s="6" t="b">
        <v>1</v>
      </c>
      <c r="K96" s="6" t="e">
        <v>#VALUE!</v>
      </c>
      <c r="L96" s="6" t="e">
        <v>#N/A</v>
      </c>
      <c r="M96" s="7" t="e">
        <v>#DIV/0!</v>
      </c>
      <c r="N96" s="7" t="e">
        <v>#NAME?</v>
      </c>
      <c r="O96" s="7" t="e">
        <v>#NULL!</v>
      </c>
      <c r="P96" s="7" t="e">
        <v>#NUM!</v>
      </c>
      <c r="Q96" s="7" t="e">
        <v>#REF!</v>
      </c>
      <c r="R96" s="6">
        <f>_xlfn.STDEV.S(C96:D96,D96:E96,E96:F96,"2")</f>
        <v>5.5145262715848942</v>
      </c>
      <c r="S96" s="6" t="e" vm="83">
        <f>_xlfn.STDEV.S(D96:E96,E96:F96,F96:G96,"")</f>
        <v>#VALUE!</v>
      </c>
      <c r="T96" s="6">
        <f>_xlfn.STDEV.S(E96:F96,F96:G96,G96:H96,"29/02/1900")</f>
        <v>24.100518666617944</v>
      </c>
      <c r="U96" s="6" t="e">
        <f>_xlfn.STDEV.S(G96:H96)</f>
        <v>#DIV/0!</v>
      </c>
      <c r="V96" s="6">
        <f>_xlfn.STDEV.S(F96:H96,H96:I96,I96:J96)</f>
        <v>1.6263455967290594</v>
      </c>
      <c r="W96" s="6" t="e">
        <f>_xlfn.STDEV.S(G96:H96)</f>
        <v>#DIV/0!</v>
      </c>
      <c r="X96" s="6">
        <f>_xlfn.STDEV.S(I96,G96,E96)</f>
        <v>0.70710678118654757</v>
      </c>
      <c r="Y96" s="6" t="e">
        <f>_xlfn.STDEV.S(J96,G96)</f>
        <v>#DIV/0!</v>
      </c>
      <c r="Z96" s="6" t="e">
        <f t="shared" ref="Z96:AF96" si="29">_xlfn.STDEV.S(K96:L96)</f>
        <v>#VALUE!</v>
      </c>
      <c r="AA96" s="6" t="e">
        <f t="shared" si="29"/>
        <v>#N/A</v>
      </c>
      <c r="AB96" s="6" t="e">
        <f t="shared" si="29"/>
        <v>#DIV/0!</v>
      </c>
      <c r="AC96" s="6" t="e">
        <f t="shared" si="29"/>
        <v>#NAME?</v>
      </c>
      <c r="AD96" s="6" t="e">
        <f t="shared" si="29"/>
        <v>#NULL!</v>
      </c>
      <c r="AE96" s="6" t="e">
        <f t="shared" si="29"/>
        <v>#NUM!</v>
      </c>
      <c r="AF96" s="6" t="e">
        <f t="shared" si="29"/>
        <v>#REF!</v>
      </c>
      <c r="AG96" s="6">
        <f>_xlfn.STDEV.S(F96:J96)</f>
        <v>1.6263455967290594</v>
      </c>
      <c r="AH96" s="6">
        <f t="array" ref="AH96:AM96">_xlfn.STDEV.S(C96:J96)</f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>
        <v>4.8954060097197249</v>
      </c>
      <c r="AN96" s="6" t="e">
        <f t="array" ref="AN96:AW96">_xlfn.STDEV.S(J96:Q96)</f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6" t="e">
        <v>#VALUE!</v>
      </c>
      <c r="AW96" s="4" t="e">
        <v>#VALUE!</v>
      </c>
    </row>
    <row r="97" spans="1:49" x14ac:dyDescent="0.15">
      <c r="A97" s="36" t="s">
        <v>191</v>
      </c>
      <c r="B97" s="37" t="s">
        <v>541</v>
      </c>
      <c r="C97" s="4">
        <v>0</v>
      </c>
      <c r="D97" s="4">
        <v>-10</v>
      </c>
      <c r="E97" s="4">
        <v>0.9</v>
      </c>
      <c r="F97" s="4">
        <v>2.2000000000000002</v>
      </c>
      <c r="G97" s="4">
        <v>-0.1</v>
      </c>
      <c r="H97" s="6"/>
      <c r="I97" s="17" t="s">
        <v>448</v>
      </c>
      <c r="J97" s="6" t="b">
        <v>1</v>
      </c>
      <c r="K97" s="6" t="e">
        <v>#VALUE!</v>
      </c>
      <c r="L97" s="6" t="e">
        <v>#N/A</v>
      </c>
      <c r="M97" s="7" t="e">
        <v>#DIV/0!</v>
      </c>
      <c r="N97" s="7" t="e">
        <v>#NAME?</v>
      </c>
      <c r="O97" s="7" t="e">
        <v>#NULL!</v>
      </c>
      <c r="P97" s="7" t="e">
        <v>#NUM!</v>
      </c>
      <c r="Q97" s="7" t="e">
        <v>#REF!</v>
      </c>
      <c r="R97" s="6">
        <f>STDEVA(C97:D97,D97:E97,E97:F97,"2")</f>
        <v>5.5145262715848942</v>
      </c>
      <c r="S97" s="6" t="e" vm="84">
        <f>STDEVA(D97:E97,E97:F97,F97:G97,"")</f>
        <v>#VALUE!</v>
      </c>
      <c r="T97" s="6">
        <f>STDEVA(E97:F97,F97:G97,G97:H97,"29/02/1900")</f>
        <v>24.100518666617944</v>
      </c>
      <c r="U97" s="6" t="e">
        <f>STDEVA(G97:H97)</f>
        <v>#DIV/0!</v>
      </c>
      <c r="V97" s="6">
        <f>STDEVA(F97:H97,H97:I97,I97:J97)</f>
        <v>0.99095913134699964</v>
      </c>
      <c r="W97" s="6" t="e">
        <f>STDEVA(G97:H97)</f>
        <v>#DIV/0!</v>
      </c>
      <c r="X97" s="6">
        <f>STDEVA(I97,G97,E97)</f>
        <v>0.55075705472861025</v>
      </c>
      <c r="Y97" s="6">
        <f>STDEVA(J97,G97)</f>
        <v>0.7778174593052023</v>
      </c>
      <c r="Z97" s="6" t="e">
        <f t="shared" ref="Z97:AF97" si="30">STDEVA(K97:L97)</f>
        <v>#VALUE!</v>
      </c>
      <c r="AA97" s="6" t="e">
        <f t="shared" si="30"/>
        <v>#N/A</v>
      </c>
      <c r="AB97" s="6" t="e">
        <f t="shared" si="30"/>
        <v>#DIV/0!</v>
      </c>
      <c r="AC97" s="6" t="e">
        <f t="shared" si="30"/>
        <v>#NAME?</v>
      </c>
      <c r="AD97" s="6" t="e">
        <f t="shared" si="30"/>
        <v>#NULL!</v>
      </c>
      <c r="AE97" s="6" t="e">
        <f t="shared" si="30"/>
        <v>#NUM!</v>
      </c>
      <c r="AF97" s="6" t="e">
        <f t="shared" si="30"/>
        <v>#REF!</v>
      </c>
      <c r="AG97" s="6">
        <f>STDEVA(F97:J97)</f>
        <v>1.0719919153924</v>
      </c>
      <c r="AH97" s="6">
        <f t="array" ref="AH97:AM97">STDEVA(C97:J97)</f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>
        <v>4.113334876900228</v>
      </c>
      <c r="AN97" s="6" t="e">
        <f t="array" ref="AN97:AW97">STDEVA(J97:Q97)</f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6" t="e">
        <v>#VALUE!</v>
      </c>
      <c r="AW97" s="4" t="e">
        <v>#VALUE!</v>
      </c>
    </row>
    <row r="98" spans="1:49" x14ac:dyDescent="0.15">
      <c r="A98" s="36" t="s">
        <v>192</v>
      </c>
      <c r="B98" s="37" t="s">
        <v>541</v>
      </c>
      <c r="C98" s="4">
        <v>0</v>
      </c>
      <c r="D98" s="4">
        <v>-10</v>
      </c>
      <c r="E98" s="4">
        <v>0.9</v>
      </c>
      <c r="F98" s="4">
        <v>2.2000000000000002</v>
      </c>
      <c r="G98" s="4">
        <v>-0.1</v>
      </c>
      <c r="H98" s="6"/>
      <c r="I98" s="17" t="s">
        <v>448</v>
      </c>
      <c r="J98" s="6" t="b">
        <v>1</v>
      </c>
      <c r="K98" s="6" t="e">
        <v>#VALUE!</v>
      </c>
      <c r="L98" s="6" t="e">
        <v>#N/A</v>
      </c>
      <c r="M98" s="7" t="e">
        <v>#DIV/0!</v>
      </c>
      <c r="N98" s="7" t="e">
        <v>#NAME?</v>
      </c>
      <c r="O98" s="7" t="e">
        <v>#NULL!</v>
      </c>
      <c r="P98" s="7" t="e">
        <v>#NUM!</v>
      </c>
      <c r="Q98" s="7" t="e">
        <v>#REF!</v>
      </c>
      <c r="R98" s="6">
        <f>STDEVPA(C98:D98,D98:E98,E98:F98,"2")</f>
        <v>5.1054592629570834</v>
      </c>
      <c r="S98" s="6" t="e" vm="85">
        <f>STDEVPA(D98:E98,E98:F98,F98:G98,"")</f>
        <v>#VALUE!</v>
      </c>
      <c r="T98" s="6">
        <f>STDEVPA(E98:F98,F98:G98,G98:H98,"29/02/1900")</f>
        <v>22.00066286880163</v>
      </c>
      <c r="U98" s="6" t="e">
        <f>STDEVPA(H98)</f>
        <v>#DIV/0!</v>
      </c>
      <c r="V98" s="6">
        <f>STDEVPA(G98:H98,H98:I98,I98:J98)</f>
        <v>0.44930501889028573</v>
      </c>
      <c r="W98" s="6">
        <f>STDEVPA(G98:H98)</f>
        <v>0</v>
      </c>
      <c r="X98" s="6">
        <f>STDEVPA(I98,G98)</f>
        <v>0.05</v>
      </c>
      <c r="Y98" s="6">
        <f>STDEVPA(J98,G98)</f>
        <v>0.55000000000000004</v>
      </c>
      <c r="Z98" s="6" t="e">
        <f t="shared" ref="Z98:AF98" si="31">STDEVPA(K98:L98)</f>
        <v>#VALUE!</v>
      </c>
      <c r="AA98" s="6" t="e">
        <f t="shared" si="31"/>
        <v>#N/A</v>
      </c>
      <c r="AB98" s="6" t="e">
        <f t="shared" si="31"/>
        <v>#DIV/0!</v>
      </c>
      <c r="AC98" s="6" t="e">
        <f t="shared" si="31"/>
        <v>#NAME?</v>
      </c>
      <c r="AD98" s="6" t="e">
        <f t="shared" si="31"/>
        <v>#NULL!</v>
      </c>
      <c r="AE98" s="6" t="e">
        <f t="shared" si="31"/>
        <v>#NUM!</v>
      </c>
      <c r="AF98" s="6" t="e">
        <f t="shared" si="31"/>
        <v>#REF!</v>
      </c>
      <c r="AG98" s="6">
        <f>STDEVPA(F98:J98)</f>
        <v>0.92837223138135716</v>
      </c>
      <c r="AH98" s="6">
        <f t="array" ref="AH98:AM98">STDEVPA(C98:J98)</f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>
        <v>3.8082081061296846</v>
      </c>
      <c r="AN98" s="6" t="e">
        <f t="array" ref="AN98:AW98">STDEVPA(J98:Q98)</f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6" t="e">
        <v>#VALUE!</v>
      </c>
      <c r="AW98" s="4" t="e">
        <v>#VALUE!</v>
      </c>
    </row>
    <row r="99" spans="1:49" x14ac:dyDescent="0.15">
      <c r="A99" s="41" t="s">
        <v>193</v>
      </c>
    </row>
    <row r="100" spans="1:49" ht="15" x14ac:dyDescent="0.2">
      <c r="A100" s="41" t="s">
        <v>194</v>
      </c>
      <c r="U100" s="16"/>
    </row>
    <row r="101" spans="1:49" x14ac:dyDescent="0.15">
      <c r="A101" s="41" t="s">
        <v>206</v>
      </c>
    </row>
    <row r="102" spans="1:49" x14ac:dyDescent="0.15">
      <c r="A102" s="41" t="s">
        <v>195</v>
      </c>
    </row>
    <row r="103" spans="1:49" x14ac:dyDescent="0.15">
      <c r="A103" s="41" t="s">
        <v>196</v>
      </c>
    </row>
    <row r="104" spans="1:49" x14ac:dyDescent="0.15">
      <c r="A104" s="41" t="s">
        <v>207</v>
      </c>
    </row>
    <row r="105" spans="1:49" x14ac:dyDescent="0.15">
      <c r="A105" s="41" t="s">
        <v>197</v>
      </c>
    </row>
    <row r="106" spans="1:49" x14ac:dyDescent="0.15">
      <c r="A106" s="41" t="s">
        <v>198</v>
      </c>
    </row>
    <row r="107" spans="1:49" x14ac:dyDescent="0.15">
      <c r="A107" s="41" t="s">
        <v>199</v>
      </c>
    </row>
    <row r="108" spans="1:49" x14ac:dyDescent="0.15">
      <c r="A108" s="36" t="s">
        <v>200</v>
      </c>
      <c r="B108" s="37" t="s">
        <v>541</v>
      </c>
      <c r="C108" s="4">
        <v>0</v>
      </c>
      <c r="D108" s="4">
        <v>-10</v>
      </c>
      <c r="E108" s="4">
        <v>0.9</v>
      </c>
      <c r="F108" s="4">
        <v>2.2000000000000002</v>
      </c>
      <c r="G108" s="4">
        <v>-0.1</v>
      </c>
      <c r="H108" s="6"/>
      <c r="I108" s="17" t="s">
        <v>448</v>
      </c>
      <c r="J108" s="6" t="b">
        <v>1</v>
      </c>
      <c r="K108" s="6" t="e">
        <v>#VALUE!</v>
      </c>
      <c r="L108" s="6" t="e">
        <v>#N/A</v>
      </c>
      <c r="M108" s="7" t="e">
        <v>#DIV/0!</v>
      </c>
      <c r="N108" s="7" t="e">
        <v>#NAME?</v>
      </c>
      <c r="O108" s="7" t="e">
        <v>#NULL!</v>
      </c>
      <c r="P108" s="7" t="e">
        <v>#NUM!</v>
      </c>
      <c r="Q108" s="7" t="e">
        <v>#REF!</v>
      </c>
      <c r="R108" s="6">
        <f>_xlfn.VAR.P(C108:D108,D108:E108,E108:F108,"2")</f>
        <v>26.065714285714282</v>
      </c>
      <c r="S108" s="6" t="e" vm="86">
        <f>_xlfn.VAR.P(D108:E108,E108:F108,F108:G108,"")</f>
        <v>#VALUE!</v>
      </c>
      <c r="T108" s="6">
        <f>_xlfn.VAR.P(E108:F108,F108:G108,G108:H108,"29/02/1900")</f>
        <v>484.02916666666675</v>
      </c>
      <c r="U108" s="6" t="e">
        <f>_xlfn.VAR.P(H108)</f>
        <v>#DIV/0!</v>
      </c>
      <c r="V108" s="6">
        <f>_xlfn.VAR.P(G108:H108,H108:I108,I108:J108)</f>
        <v>0</v>
      </c>
      <c r="W108" s="6">
        <f>_xlfn.VAR.P(G108:H108)</f>
        <v>0</v>
      </c>
      <c r="X108" s="6">
        <f>_xlfn.VAR.P(I108,G108)</f>
        <v>0</v>
      </c>
      <c r="Y108" s="6">
        <f>_xlfn.VAR.P(J108,G108)</f>
        <v>0</v>
      </c>
      <c r="Z108" s="6" t="e">
        <f>_xlfn.VAR.P(K108:L108)</f>
        <v>#VALUE!</v>
      </c>
      <c r="AA108" s="6" t="e">
        <f t="shared" ref="AA108:AF108" si="32">_xlfn.VAR.P(L108:M108)</f>
        <v>#N/A</v>
      </c>
      <c r="AB108" s="6" t="e">
        <f t="shared" si="32"/>
        <v>#DIV/0!</v>
      </c>
      <c r="AC108" s="6" t="e">
        <f t="shared" si="32"/>
        <v>#NAME?</v>
      </c>
      <c r="AD108" s="6" t="e">
        <f t="shared" si="32"/>
        <v>#NULL!</v>
      </c>
      <c r="AE108" s="6" t="e">
        <f t="shared" si="32"/>
        <v>#NUM!</v>
      </c>
      <c r="AF108" s="6" t="e">
        <f t="shared" si="32"/>
        <v>#REF!</v>
      </c>
      <c r="AG108" s="6">
        <f>_xlfn.VAR.P(F108:J108)</f>
        <v>1.3225000000000002</v>
      </c>
      <c r="AH108" s="6">
        <f t="array" ref="AH108:AM108">_xlfn.VAR.P(C108:J108)</f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>
        <v>19.172000000000004</v>
      </c>
      <c r="AN108" s="6" t="e">
        <f t="array" ref="AN108:AW108">_xlfn.VAR.P(J108:Q108)</f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6" t="e">
        <v>#VALUE!</v>
      </c>
      <c r="AW108" s="4" t="e">
        <v>#VALUE!</v>
      </c>
    </row>
    <row r="109" spans="1:49" x14ac:dyDescent="0.15">
      <c r="A109" s="36" t="s">
        <v>201</v>
      </c>
      <c r="B109" s="37" t="s">
        <v>541</v>
      </c>
      <c r="C109" s="4">
        <v>0</v>
      </c>
      <c r="D109" s="4">
        <v>-10</v>
      </c>
      <c r="E109" s="4">
        <v>0.9</v>
      </c>
      <c r="F109" s="4">
        <v>2.2000000000000002</v>
      </c>
      <c r="G109" s="4">
        <v>-0.1</v>
      </c>
      <c r="H109" s="6"/>
      <c r="I109" s="17" t="s">
        <v>448</v>
      </c>
      <c r="J109" s="6" t="b">
        <v>1</v>
      </c>
      <c r="K109" s="6" t="e">
        <v>#VALUE!</v>
      </c>
      <c r="L109" s="6" t="e">
        <v>#N/A</v>
      </c>
      <c r="M109" s="7" t="e">
        <v>#DIV/0!</v>
      </c>
      <c r="N109" s="7" t="e">
        <v>#NAME?</v>
      </c>
      <c r="O109" s="7" t="e">
        <v>#NULL!</v>
      </c>
      <c r="P109" s="7" t="e">
        <v>#NUM!</v>
      </c>
      <c r="Q109" s="7" t="e">
        <v>#REF!</v>
      </c>
      <c r="R109" s="6">
        <f>_xlfn.VAR.S(C109:D109,D109:E109,E109:F109,"2")</f>
        <v>30.409999999999997</v>
      </c>
      <c r="S109" s="6" t="e" vm="87">
        <f>_xlfn.VAR.S(D109:E109,E109:F109,F109:G109,"")</f>
        <v>#VALUE!</v>
      </c>
      <c r="T109" s="6">
        <f>_xlfn.VAR.S(E109:F109,F109:G109,G109:H109,"29/02/1900")</f>
        <v>580.83500000000004</v>
      </c>
      <c r="U109" s="6" t="e">
        <f>_xlfn.VAR.S(G109:H109)</f>
        <v>#DIV/0!</v>
      </c>
      <c r="V109" s="6">
        <f>_xlfn.VAR.S(F109:H109,H109:I109,I109:J109)</f>
        <v>2.6450000000000005</v>
      </c>
      <c r="W109" s="6" t="e">
        <f>_xlfn.VAR.S(G109:H109)</f>
        <v>#DIV/0!</v>
      </c>
      <c r="X109" s="6">
        <f>_xlfn.VAR.S(I109,G109,E109)</f>
        <v>0.5</v>
      </c>
      <c r="Y109" s="6" t="e">
        <f>_xlfn.VAR.S(J109,G109)</f>
        <v>#DIV/0!</v>
      </c>
      <c r="Z109" s="6" t="e">
        <f>_xlfn.VAR.S(K109:L109)</f>
        <v>#VALUE!</v>
      </c>
      <c r="AA109" s="6" t="e">
        <f t="shared" ref="AA109:AF109" si="33">_xlfn.VAR.S(L109:M109)</f>
        <v>#N/A</v>
      </c>
      <c r="AB109" s="6" t="e">
        <f t="shared" si="33"/>
        <v>#DIV/0!</v>
      </c>
      <c r="AC109" s="6" t="e">
        <f t="shared" si="33"/>
        <v>#NAME?</v>
      </c>
      <c r="AD109" s="6" t="e">
        <f t="shared" si="33"/>
        <v>#NULL!</v>
      </c>
      <c r="AE109" s="6" t="e">
        <f t="shared" si="33"/>
        <v>#NUM!</v>
      </c>
      <c r="AF109" s="6" t="e">
        <f t="shared" si="33"/>
        <v>#REF!</v>
      </c>
      <c r="AG109" s="6">
        <f>_xlfn.VAR.S(F109:J109)</f>
        <v>2.6450000000000005</v>
      </c>
      <c r="AH109" s="6">
        <f t="array" ref="AH109:AM109">_xlfn.VAR.S(C109:J109)</f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>
        <v>23.965000000000003</v>
      </c>
      <c r="AN109" s="6" t="e">
        <f t="array" ref="AN109:AW109">_xlfn.VAR.S(J109:Q109)</f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6" t="e">
        <v>#VALUE!</v>
      </c>
      <c r="AW109" s="4" t="e">
        <v>#VALUE!</v>
      </c>
    </row>
    <row r="110" spans="1:49" x14ac:dyDescent="0.15">
      <c r="A110" s="36" t="s">
        <v>202</v>
      </c>
      <c r="B110" s="37" t="s">
        <v>541</v>
      </c>
      <c r="C110" s="4">
        <v>0</v>
      </c>
      <c r="D110" s="4">
        <v>-10</v>
      </c>
      <c r="E110" s="4">
        <v>0.9</v>
      </c>
      <c r="F110" s="4">
        <v>2.2000000000000002</v>
      </c>
      <c r="G110" s="4">
        <v>-0.1</v>
      </c>
      <c r="H110" s="6"/>
      <c r="I110" s="17" t="s">
        <v>448</v>
      </c>
      <c r="J110" s="6" t="b">
        <v>1</v>
      </c>
      <c r="K110" s="6" t="e">
        <v>#VALUE!</v>
      </c>
      <c r="L110" s="6" t="e">
        <v>#N/A</v>
      </c>
      <c r="M110" s="7" t="e">
        <v>#DIV/0!</v>
      </c>
      <c r="N110" s="7" t="e">
        <v>#NAME?</v>
      </c>
      <c r="O110" s="7" t="e">
        <v>#NULL!</v>
      </c>
      <c r="P110" s="7" t="e">
        <v>#NUM!</v>
      </c>
      <c r="Q110" s="7" t="e">
        <v>#REF!</v>
      </c>
      <c r="R110" s="6">
        <f>VARA(C110:D110,D110:E110,E110:F110,"2")</f>
        <v>30.409999999999997</v>
      </c>
      <c r="S110" s="6" t="e" vm="88">
        <f>VARA(D110:E110,E110:F110,F110:G110,"")</f>
        <v>#VALUE!</v>
      </c>
      <c r="T110" s="6">
        <f>VARA(E110:F110,F110:G110,G110:H110,"29/02/1900")</f>
        <v>580.83500000000004</v>
      </c>
      <c r="U110" s="6" t="e">
        <f>VARA(G110:H110)</f>
        <v>#DIV/0!</v>
      </c>
      <c r="V110" s="6">
        <f>VARA(F110:H110,H110:I110,I110:J110)</f>
        <v>0.9820000000000001</v>
      </c>
      <c r="W110" s="6" t="e">
        <f>VARA(G110:H110)</f>
        <v>#DIV/0!</v>
      </c>
      <c r="X110" s="6">
        <f>VARA(I110,G110,E110)</f>
        <v>0.30333333333333334</v>
      </c>
      <c r="Y110" s="6">
        <f>VARA(J110,G110)</f>
        <v>0.60499999999999998</v>
      </c>
      <c r="Z110" s="6" t="e">
        <f>VARA(K110:L110)</f>
        <v>#VALUE!</v>
      </c>
      <c r="AA110" s="6" t="e">
        <f t="shared" ref="AA110:AF110" si="34">VARA(L110:M110)</f>
        <v>#N/A</v>
      </c>
      <c r="AB110" s="6" t="e">
        <f t="shared" si="34"/>
        <v>#DIV/0!</v>
      </c>
      <c r="AC110" s="6" t="e">
        <f t="shared" si="34"/>
        <v>#NAME?</v>
      </c>
      <c r="AD110" s="6" t="e">
        <f t="shared" si="34"/>
        <v>#NULL!</v>
      </c>
      <c r="AE110" s="6" t="e">
        <f t="shared" si="34"/>
        <v>#NUM!</v>
      </c>
      <c r="AF110" s="6" t="e">
        <f t="shared" si="34"/>
        <v>#REF!</v>
      </c>
      <c r="AG110" s="6">
        <f>VARA(F110:J110)</f>
        <v>1.1491666666666667</v>
      </c>
      <c r="AH110" s="6">
        <f t="array" ref="AH110:AM110">VARA(C110:J110)</f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>
        <v>16.919523809523813</v>
      </c>
      <c r="AN110" s="6" t="e">
        <f t="array" ref="AN110:AW110">VARA(J110:Q110)</f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6" t="e">
        <v>#VALUE!</v>
      </c>
      <c r="AW110" s="4" t="e">
        <v>#VALUE!</v>
      </c>
    </row>
    <row r="111" spans="1:49" x14ac:dyDescent="0.15">
      <c r="A111" s="36" t="s">
        <v>203</v>
      </c>
      <c r="B111" s="37" t="s">
        <v>541</v>
      </c>
      <c r="C111" s="4">
        <v>0</v>
      </c>
      <c r="D111" s="4">
        <v>-10</v>
      </c>
      <c r="E111" s="4">
        <v>0.9</v>
      </c>
      <c r="F111" s="4">
        <v>2.2000000000000002</v>
      </c>
      <c r="G111" s="4">
        <v>-0.1</v>
      </c>
      <c r="H111" s="6"/>
      <c r="I111" s="17" t="s">
        <v>448</v>
      </c>
      <c r="J111" s="6" t="b">
        <v>1</v>
      </c>
      <c r="K111" s="6" t="e">
        <v>#VALUE!</v>
      </c>
      <c r="L111" s="6" t="e">
        <v>#N/A</v>
      </c>
      <c r="M111" s="7" t="e">
        <v>#DIV/0!</v>
      </c>
      <c r="N111" s="7" t="e">
        <v>#NAME?</v>
      </c>
      <c r="O111" s="7" t="e">
        <v>#NULL!</v>
      </c>
      <c r="P111" s="7" t="e">
        <v>#NUM!</v>
      </c>
      <c r="Q111" s="7" t="e">
        <v>#REF!</v>
      </c>
      <c r="R111" s="6">
        <f>VARPA(C111:D111,D111:E111,E111:F111,"2")</f>
        <v>26.065714285714282</v>
      </c>
      <c r="S111" s="6" t="e" vm="89">
        <f>VARPA(D111:E111,E111:F111,F111:G111,"")</f>
        <v>#VALUE!</v>
      </c>
      <c r="T111" s="6">
        <f>VARPA(E111:F111,F111:G111,G111:H111,"29/02/1900")</f>
        <v>484.02916666666675</v>
      </c>
      <c r="U111" s="6" t="e">
        <f>VARPA(H111)</f>
        <v>#DIV/0!</v>
      </c>
      <c r="V111" s="6">
        <f>VARPA(G111:H111,H111:I111,I111:J111)</f>
        <v>0.201875</v>
      </c>
      <c r="W111" s="6">
        <f>VARPA(G111:H111)</f>
        <v>0</v>
      </c>
      <c r="X111" s="6">
        <f>VARPA(I111,G111)</f>
        <v>2.5000000000000005E-3</v>
      </c>
      <c r="Y111" s="6">
        <f>VARPA(J111,G111)</f>
        <v>0.30249999999999999</v>
      </c>
      <c r="Z111" s="6" t="e">
        <f>VARPA(K111:L111)</f>
        <v>#VALUE!</v>
      </c>
      <c r="AA111" s="6" t="e">
        <f t="shared" ref="AA111:AF111" si="35">VARPA(L111:M111)</f>
        <v>#N/A</v>
      </c>
      <c r="AB111" s="6" t="e">
        <f t="shared" si="35"/>
        <v>#DIV/0!</v>
      </c>
      <c r="AC111" s="6" t="e">
        <f t="shared" si="35"/>
        <v>#NAME?</v>
      </c>
      <c r="AD111" s="6" t="e">
        <f t="shared" si="35"/>
        <v>#NULL!</v>
      </c>
      <c r="AE111" s="6" t="e">
        <f t="shared" si="35"/>
        <v>#NUM!</v>
      </c>
      <c r="AF111" s="6" t="e">
        <f t="shared" si="35"/>
        <v>#REF!</v>
      </c>
      <c r="AG111" s="6">
        <f>VARPA(F111:J111)</f>
        <v>0.86187500000000006</v>
      </c>
      <c r="AH111" s="6">
        <f t="array" ref="AH111:AM111">VARPA(C111:J111)</f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>
        <v>14.50244897959184</v>
      </c>
      <c r="AN111" s="6" t="e">
        <f t="array" ref="AN111:AW111">VARPA(J111:Q111)</f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6" t="e">
        <v>#VALUE!</v>
      </c>
      <c r="AW111" s="4" t="e">
        <v>#VALUE!</v>
      </c>
    </row>
    <row r="112" spans="1:49" x14ac:dyDescent="0.15">
      <c r="A112" s="41" t="s">
        <v>204</v>
      </c>
    </row>
    <row r="113" spans="1:1" x14ac:dyDescent="0.15">
      <c r="A113" s="41" t="s">
        <v>205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BK52"/>
  <sheetViews>
    <sheetView zoomScaleNormal="100" workbookViewId="0"/>
  </sheetViews>
  <sheetFormatPr baseColWidth="10" defaultColWidth="10.83203125" defaultRowHeight="11" x14ac:dyDescent="0.15"/>
  <cols>
    <col min="1" max="1" width="9.33203125" style="44" bestFit="1" customWidth="1"/>
    <col min="2" max="2" width="5.1640625" style="43" bestFit="1" customWidth="1"/>
    <col min="3" max="3" width="1.5" style="4" bestFit="1" customWidth="1"/>
    <col min="4" max="5" width="2.83203125" style="4" bestFit="1" customWidth="1"/>
    <col min="6" max="6" width="2.1640625" style="4" bestFit="1" customWidth="1"/>
    <col min="7" max="7" width="1.83203125" style="4" bestFit="1" customWidth="1"/>
    <col min="8" max="8" width="5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3.6640625" style="4" bestFit="1" customWidth="1"/>
    <col min="20" max="24" width="5.6640625" style="4" bestFit="1" customWidth="1"/>
    <col min="25" max="25" width="3.6640625" style="4" bestFit="1" customWidth="1"/>
    <col min="26" max="26" width="5.6640625" style="4" bestFit="1" customWidth="1"/>
    <col min="27" max="27" width="3.6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10.33203125" style="4" bestFit="1" customWidth="1"/>
    <col min="34" max="36" width="5.6640625" style="4" bestFit="1" customWidth="1"/>
    <col min="37" max="43" width="5.83203125" style="4" bestFit="1" customWidth="1"/>
    <col min="44" max="44" width="5.33203125" style="4" bestFit="1" customWidth="1"/>
    <col min="45" max="45" width="5.83203125" style="4" bestFit="1" customWidth="1"/>
    <col min="46" max="46" width="5.1640625" style="4" bestFit="1" customWidth="1"/>
    <col min="47" max="47" width="5.33203125" style="4" bestFit="1" customWidth="1"/>
    <col min="48" max="48" width="5.83203125" style="4" bestFit="1" customWidth="1"/>
    <col min="49" max="49" width="5.1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COUNTIF(B3:B263,"=DONE")/COUNTA(A3:A263)</f>
        <v>0.38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63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63" x14ac:dyDescent="0.15">
      <c r="A3" s="44" t="s">
        <v>504</v>
      </c>
    </row>
    <row r="4" spans="1:63" x14ac:dyDescent="0.15">
      <c r="A4" s="41" t="s">
        <v>281</v>
      </c>
    </row>
    <row r="5" spans="1:63" x14ac:dyDescent="0.15">
      <c r="A5" s="41" t="s">
        <v>282</v>
      </c>
    </row>
    <row r="6" spans="1:63" x14ac:dyDescent="0.15">
      <c r="A6" s="36" t="s">
        <v>283</v>
      </c>
      <c r="B6" s="37" t="s">
        <v>541</v>
      </c>
      <c r="C6" s="4">
        <v>0</v>
      </c>
      <c r="D6" s="4">
        <v>157</v>
      </c>
      <c r="E6" s="4">
        <v>65</v>
      </c>
      <c r="F6" s="4">
        <v>65.8</v>
      </c>
      <c r="G6" s="4">
        <v>-1</v>
      </c>
      <c r="H6" s="17"/>
      <c r="I6" s="6" t="s">
        <v>32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e">
        <f t="shared" ref="R6:AF6" si="0">CHAR(C6)</f>
        <v>#VALUE!</v>
      </c>
      <c r="S6" s="6" t="str">
        <f t="shared" si="0"/>
        <v>ù</v>
      </c>
      <c r="T6" s="6" t="str">
        <f t="shared" si="0"/>
        <v>A</v>
      </c>
      <c r="U6" s="6" t="str">
        <f t="shared" si="0"/>
        <v>A</v>
      </c>
      <c r="V6" s="6" t="e">
        <f t="shared" si="0"/>
        <v>#VALUE!</v>
      </c>
      <c r="W6" s="6" t="e">
        <f t="shared" si="0"/>
        <v>#VALUE!</v>
      </c>
      <c r="X6" s="6" t="e" vm="90">
        <f t="shared" si="0"/>
        <v>#VALUE!</v>
      </c>
      <c r="Y6" s="6" t="str">
        <f t="shared" si="0"/>
        <v>_x0001_</v>
      </c>
      <c r="Z6" s="6" t="e">
        <f t="shared" si="0"/>
        <v>#VALUE!</v>
      </c>
      <c r="AA6" s="6" t="e">
        <f t="shared" si="0"/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6" t="str">
        <f t="array" ref="AG6">CHAR(D6:F6)</f>
        <v>ù</v>
      </c>
      <c r="AH6" s="6" t="e">
        <f t="array" ref="AH6:AW6">CHAR(C6:Q6)</f>
        <v>#VALUE!</v>
      </c>
      <c r="AI6" s="6" t="str">
        <v>ù</v>
      </c>
      <c r="AJ6" s="6" t="str">
        <v>A</v>
      </c>
      <c r="AK6" s="6" t="str">
        <v>A</v>
      </c>
      <c r="AL6" s="6" t="e">
        <v>#VALUE!</v>
      </c>
      <c r="AM6" s="6" t="e">
        <v>#VALUE!</v>
      </c>
      <c r="AN6" s="6" t="e" vm="90">
        <v>#VALUE!</v>
      </c>
      <c r="AO6" s="6" t="str">
        <v>_x0001_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63" x14ac:dyDescent="0.15">
      <c r="A7" s="41" t="s">
        <v>284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36" t="s">
        <v>285</v>
      </c>
      <c r="B8" s="37" t="s">
        <v>541</v>
      </c>
      <c r="C8" s="22">
        <v>0</v>
      </c>
      <c r="D8" s="22">
        <v>1.9</v>
      </c>
      <c r="E8" s="22">
        <v>2.2999999999999998</v>
      </c>
      <c r="F8" s="22">
        <v>10</v>
      </c>
      <c r="G8" s="22">
        <v>-1</v>
      </c>
      <c r="H8" s="6"/>
      <c r="I8" s="6" t="s">
        <v>413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>
        <f t="shared" ref="R8:AF8" si="1">CODE(C8)</f>
        <v>48</v>
      </c>
      <c r="S8" s="4">
        <f t="shared" si="1"/>
        <v>49</v>
      </c>
      <c r="T8" s="4">
        <f t="shared" si="1"/>
        <v>50</v>
      </c>
      <c r="U8" s="4">
        <f t="shared" si="1"/>
        <v>49</v>
      </c>
      <c r="V8" s="4">
        <f t="shared" si="1"/>
        <v>45</v>
      </c>
      <c r="W8" s="4" t="e">
        <f t="shared" si="1"/>
        <v>#VALUE!</v>
      </c>
      <c r="X8" s="4">
        <f>CODE(I8)</f>
        <v>99</v>
      </c>
      <c r="Y8" s="4">
        <f t="shared" si="1"/>
        <v>84</v>
      </c>
      <c r="Z8" s="4" t="e">
        <f t="shared" si="1"/>
        <v>#VALUE!</v>
      </c>
      <c r="AA8" s="4" t="e">
        <f t="shared" si="1"/>
        <v>#N/A</v>
      </c>
      <c r="AB8" s="4" t="e">
        <f t="shared" si="1"/>
        <v>#DIV/0!</v>
      </c>
      <c r="AC8" s="4" t="e">
        <f t="shared" si="1"/>
        <v>#NAME?</v>
      </c>
      <c r="AD8" s="4" t="e">
        <f t="shared" si="1"/>
        <v>#NULL!</v>
      </c>
      <c r="AE8" s="4" t="e">
        <f t="shared" si="1"/>
        <v>#NUM!</v>
      </c>
      <c r="AF8" s="4" t="e">
        <f t="shared" si="1"/>
        <v>#REF!</v>
      </c>
      <c r="AG8" s="4">
        <f t="array" ref="AG8">CODE(C8:G8)</f>
        <v>48</v>
      </c>
      <c r="AH8" s="4">
        <f t="array" ref="AH8:AW8">CODE(C8:Q8)</f>
        <v>48</v>
      </c>
      <c r="AI8" s="4">
        <v>49</v>
      </c>
      <c r="AJ8" s="4">
        <v>50</v>
      </c>
      <c r="AK8" s="4">
        <v>49</v>
      </c>
      <c r="AL8" s="4">
        <v>45</v>
      </c>
      <c r="AM8" s="4" t="e">
        <v>#VALUE!</v>
      </c>
      <c r="AN8" s="4">
        <v>99</v>
      </c>
      <c r="AO8" s="4">
        <v>84</v>
      </c>
      <c r="AP8" s="4" t="e">
        <v>#VALUE!</v>
      </c>
      <c r="AQ8" s="4" t="e">
        <v>#N/A</v>
      </c>
      <c r="AR8" s="4" t="e">
        <v>#DIV/0!</v>
      </c>
      <c r="AS8" s="4" t="e">
        <v>#NAME?</v>
      </c>
      <c r="AT8" s="4" t="e">
        <v>#NULL!</v>
      </c>
      <c r="AU8" s="4" t="e">
        <v>#NUM!</v>
      </c>
      <c r="AV8" s="4" t="e">
        <v>#REF!</v>
      </c>
      <c r="AW8" s="4" t="e">
        <v>#N/A</v>
      </c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36" t="s">
        <v>286</v>
      </c>
      <c r="B9" s="37" t="s">
        <v>541</v>
      </c>
      <c r="C9" s="4">
        <v>0</v>
      </c>
      <c r="D9" s="4">
        <v>2</v>
      </c>
      <c r="E9" s="4">
        <v>3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 t="shared" ref="R9:AF9" si="2">_xlfn.CONCAT(C9,D9,E9)</f>
        <v>023</v>
      </c>
      <c r="S9" s="6" t="str">
        <f t="shared" si="2"/>
        <v>2310</v>
      </c>
      <c r="T9" s="6" t="str">
        <f t="shared" si="2"/>
        <v>310-1</v>
      </c>
      <c r="U9" s="6" t="str">
        <f t="shared" si="2"/>
        <v>10-1</v>
      </c>
      <c r="V9" s="6" t="str">
        <f t="shared" si="2"/>
        <v>-1ciao</v>
      </c>
      <c r="W9" s="6" t="str">
        <f t="shared" si="2"/>
        <v>ciaoTRUE</v>
      </c>
      <c r="X9" s="6" t="e">
        <f t="shared" si="2"/>
        <v>#VALUE!</v>
      </c>
      <c r="Y9" s="6" t="e">
        <f t="shared" si="2"/>
        <v>#VALUE!</v>
      </c>
      <c r="Z9" s="6" t="e">
        <f t="shared" si="2"/>
        <v>#VALUE!</v>
      </c>
      <c r="AA9" s="6" t="e">
        <f t="shared" si="2"/>
        <v>#N/A</v>
      </c>
      <c r="AB9" s="6" t="e">
        <f t="shared" si="2"/>
        <v>#DIV/0!</v>
      </c>
      <c r="AC9" s="6" t="e">
        <f t="shared" si="2"/>
        <v>#NAME?</v>
      </c>
      <c r="AD9" s="6" t="e">
        <f t="shared" si="2"/>
        <v>#NULL!</v>
      </c>
      <c r="AE9" s="6" t="e">
        <f t="shared" si="2"/>
        <v>#NUM!</v>
      </c>
      <c r="AF9" s="6" t="e">
        <f t="shared" si="2"/>
        <v>#REF!</v>
      </c>
      <c r="AG9" s="6" t="str">
        <f t="array" ref="AG9">_xlfn.CONCAT(C9:J9)</f>
        <v>02310-1ciaoTRUE</v>
      </c>
      <c r="AH9" s="4" t="str">
        <f t="array" ref="AH9:AK9">_xlfn.CONCAT(C9:F9,D9:E9)</f>
        <v>0231023</v>
      </c>
      <c r="AI9" s="6" t="str">
        <v>0231023</v>
      </c>
      <c r="AJ9" s="6" t="str">
        <v>0231023</v>
      </c>
      <c r="AK9" s="6" t="str">
        <v>0231023</v>
      </c>
      <c r="AL9" s="6" t="e">
        <f t="array" ref="AL9:AW9">_xlfn.CONCAT(M9:P9,J9:K9)</f>
        <v>#DIV/0!</v>
      </c>
      <c r="AM9" s="6" t="e">
        <v>#DIV/0!</v>
      </c>
      <c r="AN9" s="6" t="e">
        <v>#DIV/0!</v>
      </c>
      <c r="AO9" s="6" t="e">
        <v>#DIV/0!</v>
      </c>
      <c r="AP9" s="6" t="e">
        <v>#DIV/0!</v>
      </c>
      <c r="AQ9" s="6" t="e">
        <v>#DIV/0!</v>
      </c>
      <c r="AR9" s="6" t="e">
        <v>#DIV/0!</v>
      </c>
      <c r="AS9" s="6" t="e">
        <v>#DIV/0!</v>
      </c>
      <c r="AT9" s="6" t="e">
        <v>#DIV/0!</v>
      </c>
      <c r="AU9" s="6" t="e">
        <v>#DIV/0!</v>
      </c>
      <c r="AV9" s="6" t="e">
        <v>#DIV/0!</v>
      </c>
      <c r="AW9" s="4" t="e">
        <v>#DIV/0!</v>
      </c>
    </row>
    <row r="10" spans="1:63" x14ac:dyDescent="0.15">
      <c r="A10" s="36" t="s">
        <v>287</v>
      </c>
      <c r="B10" s="37" t="s">
        <v>541</v>
      </c>
      <c r="C10" s="4">
        <v>0</v>
      </c>
      <c r="D10" s="4">
        <v>2</v>
      </c>
      <c r="E10" s="4">
        <v>3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str">
        <f>CONCATENATE(C10,D10,E10)</f>
        <v>023</v>
      </c>
      <c r="S10" s="6" t="str">
        <f t="shared" ref="S10:Y10" si="3">CONCATENATE(D10,E10,F10)</f>
        <v>2310</v>
      </c>
      <c r="T10" s="6" t="str">
        <f t="shared" si="3"/>
        <v>310-1</v>
      </c>
      <c r="U10" s="6" t="str">
        <f t="shared" si="3"/>
        <v>10-1</v>
      </c>
      <c r="V10" s="6" t="str">
        <f t="shared" si="3"/>
        <v>-1ciao</v>
      </c>
      <c r="W10" s="6" t="str">
        <f t="shared" si="3"/>
        <v>ciaoTRUE</v>
      </c>
      <c r="X10" s="6" t="e">
        <f t="shared" si="3"/>
        <v>#VALUE!</v>
      </c>
      <c r="Y10" s="6" t="e">
        <f t="shared" si="3"/>
        <v>#VALUE!</v>
      </c>
      <c r="Z10" s="6" t="e">
        <f t="shared" ref="Z10:AF10" si="4">CONCATENATE(K10,L10,M10)</f>
        <v>#VALUE!</v>
      </c>
      <c r="AA10" s="6" t="e">
        <f t="shared" si="4"/>
        <v>#N/A</v>
      </c>
      <c r="AB10" s="6" t="e">
        <f t="shared" si="4"/>
        <v>#DIV/0!</v>
      </c>
      <c r="AC10" s="6" t="e">
        <f t="shared" si="4"/>
        <v>#NAME?</v>
      </c>
      <c r="AD10" s="6" t="e">
        <f t="shared" si="4"/>
        <v>#NULL!</v>
      </c>
      <c r="AE10" s="6" t="e">
        <f t="shared" si="4"/>
        <v>#NUM!</v>
      </c>
      <c r="AF10" s="6" t="e">
        <f t="shared" si="4"/>
        <v>#REF!</v>
      </c>
      <c r="AG10" s="6" t="str">
        <f t="array" ref="AG10">CONCATENATE(C10:J10)</f>
        <v>0</v>
      </c>
      <c r="AH10" s="4" t="str">
        <f t="array" ref="AH10:AW10">CONCATENATE(C10:P10,D10:Q10)</f>
        <v>02</v>
      </c>
      <c r="AI10" s="4" t="str">
        <v>23</v>
      </c>
      <c r="AJ10" s="4" t="str">
        <v>310</v>
      </c>
      <c r="AK10" s="4" t="str">
        <v>10-1</v>
      </c>
      <c r="AL10" s="4" t="str">
        <v>-1</v>
      </c>
      <c r="AM10" s="4" t="str">
        <v>ciao</v>
      </c>
      <c r="AN10" s="4" t="str">
        <v>ciaoTRUE</v>
      </c>
      <c r="AO10" s="4" t="e">
        <v>#VALUE!</v>
      </c>
      <c r="AP10" s="4" t="e">
        <v>#VALUE!</v>
      </c>
      <c r="AQ10" s="4" t="e">
        <v>#N/A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#N/A</v>
      </c>
      <c r="AW10" s="4" t="e">
        <v>#N/A</v>
      </c>
    </row>
    <row r="11" spans="1:63" x14ac:dyDescent="0.15">
      <c r="A11" s="41" t="s">
        <v>288</v>
      </c>
    </row>
    <row r="12" spans="1:63" x14ac:dyDescent="0.15">
      <c r="A12" s="41" t="s">
        <v>556</v>
      </c>
    </row>
    <row r="13" spans="1:63" x14ac:dyDescent="0.15">
      <c r="A13" s="41" t="s">
        <v>289</v>
      </c>
    </row>
    <row r="14" spans="1:63" x14ac:dyDescent="0.15">
      <c r="A14" s="41" t="s">
        <v>290</v>
      </c>
    </row>
    <row r="15" spans="1:63" x14ac:dyDescent="0.15">
      <c r="A15" s="36" t="s">
        <v>291</v>
      </c>
      <c r="B15" s="37" t="s">
        <v>541</v>
      </c>
      <c r="C15" s="4">
        <v>0</v>
      </c>
      <c r="D15" s="4">
        <v>2</v>
      </c>
      <c r="E15" s="4">
        <v>3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e">
        <f>FIND("ia",C15)</f>
        <v>#VALUE!</v>
      </c>
      <c r="S15" s="4">
        <f>FIND("ia","ciao",D15)</f>
        <v>2</v>
      </c>
      <c r="T15" s="4" t="e">
        <f>FIND("ia","ciao",E15)</f>
        <v>#VALUE!</v>
      </c>
      <c r="U15" s="4" t="e">
        <f>FIND("q","ciao",F15)</f>
        <v>#VALUE!</v>
      </c>
      <c r="V15" s="4" t="e">
        <f>FIND("v","ciao",G15)</f>
        <v>#VALUE!</v>
      </c>
      <c r="W15" s="4" t="e">
        <f>FIND("ia","ciao",H15)</f>
        <v>#VALUE!</v>
      </c>
      <c r="X15" s="4" t="e" vm="91">
        <f>FIND("ia","ciao",I15)</f>
        <v>#VALUE!</v>
      </c>
      <c r="Y15" s="4">
        <f t="shared" ref="Y15:AF15" si="5">FIND("ia","ciao",J15)</f>
        <v>2</v>
      </c>
      <c r="Z15" s="4" t="e">
        <f t="shared" si="5"/>
        <v>#VALUE!</v>
      </c>
      <c r="AA15" s="4" t="e">
        <f t="shared" si="5"/>
        <v>#N/A</v>
      </c>
      <c r="AB15" s="4" t="e">
        <f t="shared" si="5"/>
        <v>#DIV/0!</v>
      </c>
      <c r="AC15" s="4" t="e">
        <f t="shared" si="5"/>
        <v>#NAME?</v>
      </c>
      <c r="AD15" s="4" t="e">
        <f t="shared" si="5"/>
        <v>#NULL!</v>
      </c>
      <c r="AE15" s="4" t="e">
        <f t="shared" si="5"/>
        <v>#NUM!</v>
      </c>
      <c r="AF15" s="4" t="e">
        <f t="shared" si="5"/>
        <v>#REF!</v>
      </c>
      <c r="AG15" s="4">
        <f t="array" ref="AG15">FIND("ia",{"ciao","bau"},1)</f>
        <v>2</v>
      </c>
      <c r="AH15" s="4">
        <f t="array" ref="AH15:AJ15">FIND({"a","b"},{"ciao","bau"})</f>
        <v>3</v>
      </c>
      <c r="AI15" s="4">
        <v>1</v>
      </c>
      <c r="AJ15" s="4" t="e">
        <v>#N/A</v>
      </c>
      <c r="AK15" s="4" t="e">
        <f t="array" ref="AK15:AW15">FIND("ia", "ciao",C15:Q15)</f>
        <v>#VALUE!</v>
      </c>
      <c r="AL15" s="4">
        <v>2</v>
      </c>
      <c r="AM15" s="4" t="e">
        <v>#VALUE!</v>
      </c>
      <c r="AN15" s="4" t="e">
        <v>#VALUE!</v>
      </c>
      <c r="AO15" s="4" t="e">
        <v>#VALUE!</v>
      </c>
      <c r="AP15" s="4" t="e">
        <v>#VALUE!</v>
      </c>
      <c r="AQ15" s="4" t="e" vm="91">
        <v>#VALUE!</v>
      </c>
      <c r="AR15" s="4">
        <v>2</v>
      </c>
      <c r="AS15" s="4" t="e">
        <v>#VALUE!</v>
      </c>
      <c r="AT15" s="4" t="e">
        <v>#N/A</v>
      </c>
      <c r="AU15" s="4" t="e">
        <v>#DIV/0!</v>
      </c>
      <c r="AV15" s="4" t="e">
        <v>#NAME?</v>
      </c>
      <c r="AW15" s="4" t="e">
        <v>#NULL!</v>
      </c>
    </row>
    <row r="16" spans="1:63" x14ac:dyDescent="0.15">
      <c r="A16" s="41" t="s">
        <v>292</v>
      </c>
      <c r="AP16" s="6"/>
      <c r="AQ16" s="6"/>
      <c r="AR16" s="6"/>
      <c r="AS16" s="6"/>
      <c r="AT16" s="6"/>
      <c r="AU16" s="7"/>
      <c r="AV16" s="7"/>
      <c r="AW16" s="7"/>
    </row>
    <row r="17" spans="1:49" x14ac:dyDescent="0.15">
      <c r="A17" s="41" t="s">
        <v>293</v>
      </c>
    </row>
    <row r="18" spans="1:49" x14ac:dyDescent="0.15">
      <c r="A18" s="41" t="s">
        <v>594</v>
      </c>
    </row>
    <row r="19" spans="1:49" x14ac:dyDescent="0.15">
      <c r="A19" s="36" t="s">
        <v>294</v>
      </c>
      <c r="B19" s="37" t="s">
        <v>541</v>
      </c>
      <c r="C19" s="4">
        <v>0</v>
      </c>
      <c r="D19" s="4">
        <v>1.9</v>
      </c>
      <c r="E19" s="4">
        <v>2.2999999999999998</v>
      </c>
      <c r="F19" s="4">
        <v>10</v>
      </c>
      <c r="G19" s="4">
        <v>-1</v>
      </c>
      <c r="H19" s="6"/>
      <c r="I19" s="6" t="s">
        <v>32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4" t="str">
        <f>LEFT("ciao",C19)</f>
        <v/>
      </c>
      <c r="S19" s="4" t="str">
        <f>LEFT("ciao",D19)</f>
        <v>c</v>
      </c>
      <c r="T19" s="4" t="str">
        <f>LEFT(E19,2)</f>
        <v>2.</v>
      </c>
      <c r="U19" s="4" t="str">
        <f>LEFT("ciao",F19)</f>
        <v>ciao</v>
      </c>
      <c r="V19" s="4" t="e">
        <f>LEFT("ciao",G19)</f>
        <v>#VALUE!</v>
      </c>
      <c r="W19" s="4" t="str">
        <f>LEFT("ciao",H19)</f>
        <v/>
      </c>
      <c r="X19" s="4" t="e" vm="92">
        <f>LEFT("ciao",I19)</f>
        <v>#VALUE!</v>
      </c>
      <c r="Y19" s="4" t="str">
        <f>LEFT("ciao",J19)</f>
        <v>c</v>
      </c>
      <c r="Z19" s="4" t="e">
        <f t="shared" ref="Z19:AF19" si="6">LEFT("ciao",K19)</f>
        <v>#VALUE!</v>
      </c>
      <c r="AA19" s="4" t="e">
        <f t="shared" si="6"/>
        <v>#N/A</v>
      </c>
      <c r="AB19" s="4" t="e">
        <f t="shared" si="6"/>
        <v>#DIV/0!</v>
      </c>
      <c r="AC19" s="4" t="e">
        <f t="shared" si="6"/>
        <v>#NAME?</v>
      </c>
      <c r="AD19" s="4" t="e">
        <f t="shared" si="6"/>
        <v>#NULL!</v>
      </c>
      <c r="AE19" s="4" t="e">
        <f t="shared" si="6"/>
        <v>#NUM!</v>
      </c>
      <c r="AF19" s="4" t="e">
        <f t="shared" si="6"/>
        <v>#REF!</v>
      </c>
      <c r="AG19" s="4" t="str">
        <f t="array" ref="AG19">LEFT({TRUE,"bau"},3)</f>
        <v>TRU</v>
      </c>
      <c r="AH19" s="4" t="str">
        <f t="array" ref="AH19:AJ19">LEFT({"ciao","bau"},C19:D19)</f>
        <v/>
      </c>
      <c r="AI19" s="4" t="str">
        <v>b</v>
      </c>
      <c r="AJ19" s="4" t="e">
        <v>#N/A</v>
      </c>
      <c r="AK19" s="4" t="str">
        <f t="array" ref="AK19:AW19">LEFT("ciao",C19:Q19)</f>
        <v/>
      </c>
      <c r="AL19" s="4" t="str">
        <v>c</v>
      </c>
      <c r="AM19" s="4" t="str">
        <v>ci</v>
      </c>
      <c r="AN19" s="4" t="str">
        <v>ciao</v>
      </c>
      <c r="AO19" s="4" t="e">
        <v>#VALUE!</v>
      </c>
      <c r="AP19" s="4" t="str">
        <v/>
      </c>
      <c r="AQ19" s="4" t="e" vm="92">
        <v>#VALUE!</v>
      </c>
      <c r="AR19" s="4" t="str">
        <v>c</v>
      </c>
      <c r="AS19" s="4" t="e">
        <v>#VALUE!</v>
      </c>
      <c r="AT19" s="4" t="e">
        <v>#N/A</v>
      </c>
      <c r="AU19" s="4" t="e">
        <v>#DIV/0!</v>
      </c>
      <c r="AV19" s="4" t="e">
        <v>#NAME?</v>
      </c>
      <c r="AW19" s="4" t="e">
        <v>#NULL!</v>
      </c>
    </row>
    <row r="20" spans="1:49" x14ac:dyDescent="0.15">
      <c r="A20" s="41" t="s">
        <v>295</v>
      </c>
    </row>
    <row r="21" spans="1:49" x14ac:dyDescent="0.15">
      <c r="A21" s="36" t="s">
        <v>296</v>
      </c>
      <c r="B21" s="37" t="s">
        <v>541</v>
      </c>
      <c r="C21" s="4">
        <v>0</v>
      </c>
      <c r="D21" s="4">
        <v>1.9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>
        <f>LEN(C21)</f>
        <v>1</v>
      </c>
      <c r="S21" s="4">
        <f t="shared" ref="S21:AF21" si="7">LEN(D21)</f>
        <v>3</v>
      </c>
      <c r="T21" s="4">
        <f t="shared" si="7"/>
        <v>3</v>
      </c>
      <c r="U21" s="4">
        <f t="shared" si="7"/>
        <v>2</v>
      </c>
      <c r="V21" s="4">
        <f t="shared" si="7"/>
        <v>2</v>
      </c>
      <c r="W21" s="4">
        <f t="shared" si="7"/>
        <v>0</v>
      </c>
      <c r="X21" s="4">
        <f t="shared" si="7"/>
        <v>4</v>
      </c>
      <c r="Y21" s="4">
        <f t="shared" si="7"/>
        <v>4</v>
      </c>
      <c r="Z21" s="4" t="e">
        <f t="shared" si="7"/>
        <v>#VALUE!</v>
      </c>
      <c r="AA21" s="4" t="e">
        <f t="shared" si="7"/>
        <v>#N/A</v>
      </c>
      <c r="AB21" s="4" t="e">
        <f t="shared" si="7"/>
        <v>#DIV/0!</v>
      </c>
      <c r="AC21" s="4" t="e">
        <f t="shared" si="7"/>
        <v>#NAME?</v>
      </c>
      <c r="AD21" s="4" t="e">
        <f t="shared" si="7"/>
        <v>#NULL!</v>
      </c>
      <c r="AE21" s="4" t="e">
        <f t="shared" si="7"/>
        <v>#NUM!</v>
      </c>
      <c r="AF21" s="4" t="e">
        <f t="shared" si="7"/>
        <v>#REF!</v>
      </c>
      <c r="AG21" s="4">
        <f t="array" ref="AG21">LEN(C21:D21)</f>
        <v>1</v>
      </c>
      <c r="AH21" s="4">
        <f t="array" ref="AH21:AW21">LEN(C21:Q21)</f>
        <v>1</v>
      </c>
      <c r="AI21" s="4">
        <v>3</v>
      </c>
      <c r="AJ21" s="4">
        <v>3</v>
      </c>
      <c r="AK21" s="4">
        <v>2</v>
      </c>
      <c r="AL21" s="4">
        <v>2</v>
      </c>
      <c r="AM21" s="4">
        <v>0</v>
      </c>
      <c r="AN21" s="4">
        <v>4</v>
      </c>
      <c r="AO21" s="4">
        <v>4</v>
      </c>
      <c r="AP21" s="4" t="e">
        <v>#VALUE!</v>
      </c>
      <c r="AQ21" s="4" t="e">
        <v>#N/A</v>
      </c>
      <c r="AR21" s="4" t="e">
        <v>#DIV/0!</v>
      </c>
      <c r="AS21" s="4" t="e">
        <v>#NAME?</v>
      </c>
      <c r="AT21" s="4" t="e">
        <v>#NULL!</v>
      </c>
      <c r="AU21" s="4" t="e">
        <v>#NUM!</v>
      </c>
      <c r="AV21" s="4" t="e">
        <v>#REF!</v>
      </c>
      <c r="AW21" s="4" t="e">
        <v>#N/A</v>
      </c>
    </row>
    <row r="22" spans="1:49" x14ac:dyDescent="0.15">
      <c r="A22" s="41" t="s">
        <v>297</v>
      </c>
    </row>
    <row r="23" spans="1:49" x14ac:dyDescent="0.15">
      <c r="A23" s="36" t="s">
        <v>298</v>
      </c>
      <c r="B23" s="37" t="s">
        <v>541</v>
      </c>
      <c r="C23" s="4">
        <v>0</v>
      </c>
      <c r="D23" s="4">
        <v>1.9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 t="str">
        <f>LOWER(C23)</f>
        <v>0</v>
      </c>
      <c r="S23" s="4" t="str">
        <f t="shared" ref="S23:AF23" si="8">LOWER(D23)</f>
        <v>1.9</v>
      </c>
      <c r="T23" s="4" t="str">
        <f t="shared" si="8"/>
        <v>2.3</v>
      </c>
      <c r="U23" s="4" t="str">
        <f t="shared" si="8"/>
        <v>10</v>
      </c>
      <c r="V23" s="4" t="str">
        <f t="shared" si="8"/>
        <v>-1</v>
      </c>
      <c r="W23" s="4" t="str">
        <f t="shared" si="8"/>
        <v/>
      </c>
      <c r="X23" s="4" t="str">
        <f t="shared" si="8"/>
        <v>ciao</v>
      </c>
      <c r="Y23" s="4" t="str">
        <f t="shared" si="8"/>
        <v>true</v>
      </c>
      <c r="Z23" s="4" t="e">
        <f t="shared" si="8"/>
        <v>#VALUE!</v>
      </c>
      <c r="AA23" s="4" t="e">
        <f t="shared" si="8"/>
        <v>#N/A</v>
      </c>
      <c r="AB23" s="4" t="e">
        <f t="shared" si="8"/>
        <v>#DIV/0!</v>
      </c>
      <c r="AC23" s="4" t="e">
        <f t="shared" si="8"/>
        <v>#NAME?</v>
      </c>
      <c r="AD23" s="4" t="e">
        <f t="shared" si="8"/>
        <v>#NULL!</v>
      </c>
      <c r="AE23" s="4" t="e">
        <f t="shared" si="8"/>
        <v>#NUM!</v>
      </c>
      <c r="AF23" s="4" t="e">
        <f t="shared" si="8"/>
        <v>#REF!</v>
      </c>
      <c r="AG23" s="4" t="str">
        <f t="array" ref="AG23">LOWER(C23:D23)</f>
        <v>0</v>
      </c>
      <c r="AH23" s="4" t="str">
        <f t="array" ref="AH23:AW23">LOWER(C23:Q23)</f>
        <v>0</v>
      </c>
      <c r="AI23" s="4" t="str">
        <v>1.9</v>
      </c>
      <c r="AJ23" s="4" t="str">
        <v>2.3</v>
      </c>
      <c r="AK23" s="4" t="str">
        <v>10</v>
      </c>
      <c r="AL23" s="4" t="str">
        <v>-1</v>
      </c>
      <c r="AM23" s="4" t="str">
        <v/>
      </c>
      <c r="AN23" s="4" t="str">
        <v>ciao</v>
      </c>
      <c r="AO23" s="4" t="str">
        <v>true</v>
      </c>
      <c r="AP23" s="4" t="e">
        <v>#VALUE!</v>
      </c>
      <c r="AQ23" s="4" t="e">
        <v>#N/A</v>
      </c>
      <c r="AR23" s="4" t="e">
        <v>#DIV/0!</v>
      </c>
      <c r="AS23" s="4" t="e">
        <v>#NAME?</v>
      </c>
      <c r="AT23" s="4" t="e">
        <v>#NULL!</v>
      </c>
      <c r="AU23" s="4" t="e">
        <v>#NUM!</v>
      </c>
      <c r="AV23" s="4" t="e">
        <v>#REF!</v>
      </c>
      <c r="AW23" s="4" t="e">
        <v>#N/A</v>
      </c>
    </row>
    <row r="24" spans="1:49" x14ac:dyDescent="0.15">
      <c r="A24" s="36" t="s">
        <v>299</v>
      </c>
      <c r="B24" s="37" t="s">
        <v>541</v>
      </c>
      <c r="C24" s="4">
        <v>0</v>
      </c>
      <c r="D24" s="4">
        <v>1.9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 t="str">
        <f>MID("ciao",2,C24)</f>
        <v/>
      </c>
      <c r="S24" s="4" t="str">
        <f>MID("ciao",D24,2)</f>
        <v>ci</v>
      </c>
      <c r="T24" s="4" t="str">
        <f>MID(E24,1,2)</f>
        <v>2.</v>
      </c>
      <c r="U24" s="4" t="str">
        <f>MID("ciao",F24,2)</f>
        <v/>
      </c>
      <c r="V24" s="4" t="e">
        <f>MID("ciao",2,G24)</f>
        <v>#VALUE!</v>
      </c>
      <c r="W24" s="4" t="e">
        <f>MID("ciao",H24,2)</f>
        <v>#VALUE!</v>
      </c>
      <c r="X24" s="4" t="e" vm="93">
        <f>MID("ciao",I24,E24)</f>
        <v>#VALUE!</v>
      </c>
      <c r="Y24" s="4" t="str">
        <f>MID("ciao",J24,H24)</f>
        <v/>
      </c>
      <c r="Z24" s="4" t="e">
        <f>MID("ciao",K24,2)</f>
        <v>#VALUE!</v>
      </c>
      <c r="AA24" s="4" t="e">
        <f t="shared" ref="AA24:AF24" si="9">MID("ciao",L24,2)</f>
        <v>#N/A</v>
      </c>
      <c r="AB24" s="4" t="e">
        <f t="shared" si="9"/>
        <v>#DIV/0!</v>
      </c>
      <c r="AC24" s="4" t="e">
        <f t="shared" si="9"/>
        <v>#NAME?</v>
      </c>
      <c r="AD24" s="4" t="e">
        <f t="shared" si="9"/>
        <v>#NULL!</v>
      </c>
      <c r="AE24" s="4" t="e">
        <f t="shared" si="9"/>
        <v>#NUM!</v>
      </c>
      <c r="AF24" s="4" t="e">
        <f t="shared" si="9"/>
        <v>#REF!</v>
      </c>
      <c r="AG24" s="4" t="str">
        <f t="array" ref="AG24">MID({"ciao","bau"},3,2)</f>
        <v>ao</v>
      </c>
      <c r="AH24" s="4" t="e">
        <f t="array" ref="AH24:AJ24">MID({"ciao","bau"},C24:D24,D24:E24)</f>
        <v>#VALUE!</v>
      </c>
      <c r="AI24" s="4" t="str">
        <v>ba</v>
      </c>
      <c r="AJ24" s="4" t="e">
        <v>#N/A</v>
      </c>
      <c r="AK24" s="4" t="str">
        <f t="array" ref="AK24:AW24">MID("ciao",1,C24:Q24)</f>
        <v/>
      </c>
      <c r="AL24" s="4" t="str">
        <v>c</v>
      </c>
      <c r="AM24" s="4" t="str">
        <v>ci</v>
      </c>
      <c r="AN24" s="4" t="str">
        <v>ciao</v>
      </c>
      <c r="AO24" s="4" t="e">
        <v>#VALUE!</v>
      </c>
      <c r="AP24" s="4" t="str">
        <v/>
      </c>
      <c r="AQ24" s="4" t="e" vm="93">
        <v>#VALUE!</v>
      </c>
      <c r="AR24" s="4" t="str">
        <v>c</v>
      </c>
      <c r="AS24" s="4" t="e">
        <v>#VALUE!</v>
      </c>
      <c r="AT24" s="4" t="e">
        <v>#N/A</v>
      </c>
      <c r="AU24" s="4" t="e">
        <v>#DIV/0!</v>
      </c>
      <c r="AV24" s="4" t="e">
        <v>#NAME?</v>
      </c>
      <c r="AW24" s="4" t="e">
        <v>#NULL!</v>
      </c>
    </row>
    <row r="25" spans="1:49" x14ac:dyDescent="0.15">
      <c r="A25" s="41" t="s">
        <v>300</v>
      </c>
    </row>
    <row r="26" spans="1:49" x14ac:dyDescent="0.15">
      <c r="A26" s="41" t="s">
        <v>301</v>
      </c>
    </row>
    <row r="27" spans="1:49" x14ac:dyDescent="0.15">
      <c r="A27" s="41" t="s">
        <v>302</v>
      </c>
    </row>
    <row r="28" spans="1:49" x14ac:dyDescent="0.15">
      <c r="A28" s="41" t="s">
        <v>303</v>
      </c>
    </row>
    <row r="29" spans="1:49" x14ac:dyDescent="0.15">
      <c r="A29" s="41" t="s">
        <v>560</v>
      </c>
    </row>
    <row r="30" spans="1:49" x14ac:dyDescent="0.15">
      <c r="A30" s="41" t="s">
        <v>561</v>
      </c>
    </row>
    <row r="31" spans="1:49" x14ac:dyDescent="0.15">
      <c r="A31" s="41" t="s">
        <v>562</v>
      </c>
    </row>
    <row r="32" spans="1:49" x14ac:dyDescent="0.15">
      <c r="A32" s="36" t="s">
        <v>304</v>
      </c>
      <c r="B32" s="37" t="s">
        <v>541</v>
      </c>
      <c r="C32" s="4">
        <v>0</v>
      </c>
      <c r="D32" s="4">
        <v>1.9</v>
      </c>
      <c r="E32" s="4">
        <v>2.2999999999999998</v>
      </c>
      <c r="F32" s="4">
        <v>10</v>
      </c>
      <c r="G32" s="4">
        <v>-1</v>
      </c>
      <c r="H32" s="6"/>
      <c r="I32" s="6" t="s">
        <v>32</v>
      </c>
      <c r="J32" s="6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REPLACE("ciao",2,C32,"vvv")</f>
        <v>cvvviao</v>
      </c>
      <c r="S32" s="4" t="str">
        <f>REPLACE("ciao",D32,2,"cc")</f>
        <v>ccao</v>
      </c>
      <c r="T32" s="4" t="str">
        <f>REPLACE(E32,1,2,"c")</f>
        <v>c3</v>
      </c>
      <c r="U32" s="4" t="str">
        <f>REPLACE("ciao",F32,2,3)</f>
        <v>ciao3</v>
      </c>
      <c r="V32" s="4" t="e">
        <f>REPLACE("ciao",2,G32,TRUE)</f>
        <v>#VALUE!</v>
      </c>
      <c r="W32" s="4" t="e">
        <f>REPLACE("ciao",H32,2,2)</f>
        <v>#VALUE!</v>
      </c>
      <c r="X32" s="4" t="e" vm="94">
        <f>REPLACE("ciao",I32,E32,2)</f>
        <v>#VALUE!</v>
      </c>
      <c r="Y32" s="4" t="str">
        <f>REPLACE("ciao",J32,H32,"a")</f>
        <v>aciao</v>
      </c>
      <c r="Z32" s="4" t="e">
        <f>REPLACE("ciao",K32,2,"vv")</f>
        <v>#VALUE!</v>
      </c>
      <c r="AA32" s="4" t="e">
        <f t="shared" ref="AA32:AF32" si="10">REPLACE("ciao",L32,2,"vv")</f>
        <v>#N/A</v>
      </c>
      <c r="AB32" s="4" t="e">
        <f t="shared" si="10"/>
        <v>#DIV/0!</v>
      </c>
      <c r="AC32" s="4" t="e">
        <f t="shared" si="10"/>
        <v>#NAME?</v>
      </c>
      <c r="AD32" s="4" t="e">
        <f t="shared" si="10"/>
        <v>#NULL!</v>
      </c>
      <c r="AE32" s="4" t="e">
        <f t="shared" si="10"/>
        <v>#NUM!</v>
      </c>
      <c r="AF32" s="4" t="e">
        <f t="shared" si="10"/>
        <v>#REF!</v>
      </c>
      <c r="AG32" s="4" t="str">
        <f t="array" ref="AG32">REPLACE({"ciao","bau"},3,2,{"ss","ee"})</f>
        <v>ciss</v>
      </c>
      <c r="AH32" s="4" t="str">
        <f t="array" ref="AH32:AJ32">REPLACE({"ciao","bau"},2,D32:E32, {"ss","ee"})</f>
        <v>cssao</v>
      </c>
      <c r="AI32" s="4" t="str">
        <v>bee</v>
      </c>
      <c r="AJ32" s="4" t="e">
        <v>#N/A</v>
      </c>
      <c r="AK32" s="4" t="str">
        <f t="array" ref="AK32:AW32">REPLACE("ciao",1,C32:Q32,"cc")</f>
        <v>ccciao</v>
      </c>
      <c r="AL32" s="4" t="str">
        <v>cciao</v>
      </c>
      <c r="AM32" s="4" t="str">
        <v>ccao</v>
      </c>
      <c r="AN32" s="4" t="str">
        <v>cc</v>
      </c>
      <c r="AO32" s="4" t="e">
        <v>#VALUE!</v>
      </c>
      <c r="AP32" s="4" t="str">
        <v>ccciao</v>
      </c>
      <c r="AQ32" s="4" t="e" vm="94">
        <v>#VALUE!</v>
      </c>
      <c r="AR32" s="4" t="str">
        <v>cciao</v>
      </c>
      <c r="AS32" s="4" t="e">
        <v>#VALUE!</v>
      </c>
      <c r="AT32" s="4" t="e">
        <v>#N/A</v>
      </c>
      <c r="AU32" s="4" t="e">
        <v>#DIV/0!</v>
      </c>
      <c r="AV32" s="4" t="e">
        <v>#NAME?</v>
      </c>
      <c r="AW32" s="4" t="e">
        <v>#NULL!</v>
      </c>
    </row>
    <row r="33" spans="1:49" x14ac:dyDescent="0.15">
      <c r="A33" s="41" t="s">
        <v>305</v>
      </c>
    </row>
    <row r="34" spans="1:49" x14ac:dyDescent="0.15">
      <c r="A34" s="41" t="s">
        <v>306</v>
      </c>
    </row>
    <row r="35" spans="1:49" x14ac:dyDescent="0.15">
      <c r="A35" s="36" t="s">
        <v>307</v>
      </c>
      <c r="B35" s="37" t="s">
        <v>541</v>
      </c>
      <c r="C35" s="4">
        <v>0</v>
      </c>
      <c r="D35" s="4">
        <v>1.9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RIGHT("ciao",C35)</f>
        <v/>
      </c>
      <c r="S35" s="4" t="str">
        <f>RIGHT("ciao",D35)</f>
        <v>o</v>
      </c>
      <c r="T35" s="4" t="str">
        <f>RIGHT(E35,1)</f>
        <v>3</v>
      </c>
      <c r="U35" s="4" t="str">
        <f t="shared" ref="U35:AF35" si="11">RIGHT("ciao",F35)</f>
        <v>ciao</v>
      </c>
      <c r="V35" s="4" t="e">
        <f t="shared" si="11"/>
        <v>#VALUE!</v>
      </c>
      <c r="W35" s="4" t="str">
        <f t="shared" si="11"/>
        <v/>
      </c>
      <c r="X35" s="4" t="e" vm="95">
        <f t="shared" si="11"/>
        <v>#VALUE!</v>
      </c>
      <c r="Y35" s="4" t="str">
        <f t="shared" si="11"/>
        <v>o</v>
      </c>
      <c r="Z35" s="4" t="e">
        <f t="shared" si="11"/>
        <v>#VALUE!</v>
      </c>
      <c r="AA35" s="4" t="e">
        <f t="shared" si="11"/>
        <v>#N/A</v>
      </c>
      <c r="AB35" s="4" t="e">
        <f t="shared" si="11"/>
        <v>#DIV/0!</v>
      </c>
      <c r="AC35" s="4" t="e">
        <f t="shared" si="11"/>
        <v>#NAME?</v>
      </c>
      <c r="AD35" s="4" t="e">
        <f t="shared" si="11"/>
        <v>#NULL!</v>
      </c>
      <c r="AE35" s="4" t="e">
        <f t="shared" si="11"/>
        <v>#NUM!</v>
      </c>
      <c r="AF35" s="4" t="e">
        <f t="shared" si="11"/>
        <v>#REF!</v>
      </c>
      <c r="AG35" s="4" t="str">
        <f t="array" ref="AG35">RIGHT({"ciao","bau"},3)</f>
        <v>iao</v>
      </c>
      <c r="AH35" s="4" t="str">
        <f t="array" ref="AH35:AJ35">RIGHT({"ciao","bau"},C35:D35)</f>
        <v/>
      </c>
      <c r="AI35" s="4" t="str">
        <v>u</v>
      </c>
      <c r="AJ35" s="4" t="e">
        <v>#N/A</v>
      </c>
      <c r="AK35" s="4" t="str">
        <f t="array" ref="AK35:AW35">RIGHT("ciao",C35:Q35)</f>
        <v/>
      </c>
      <c r="AL35" s="4" t="str">
        <v>o</v>
      </c>
      <c r="AM35" s="4" t="str">
        <v>ao</v>
      </c>
      <c r="AN35" s="4" t="str">
        <v>ciao</v>
      </c>
      <c r="AO35" s="4" t="e">
        <v>#VALUE!</v>
      </c>
      <c r="AP35" s="4" t="str">
        <v/>
      </c>
      <c r="AQ35" s="4" t="e" vm="95">
        <v>#VALUE!</v>
      </c>
      <c r="AR35" s="4" t="str">
        <v>o</v>
      </c>
      <c r="AS35" s="4" t="e">
        <v>#VALUE!</v>
      </c>
      <c r="AT35" s="4" t="e">
        <v>#N/A</v>
      </c>
      <c r="AU35" s="4" t="e">
        <v>#DIV/0!</v>
      </c>
      <c r="AV35" s="4" t="e">
        <v>#NAME?</v>
      </c>
      <c r="AW35" s="4" t="e">
        <v>#NULL!</v>
      </c>
    </row>
    <row r="36" spans="1:49" x14ac:dyDescent="0.15">
      <c r="A36" s="41" t="s">
        <v>308</v>
      </c>
    </row>
    <row r="37" spans="1:49" x14ac:dyDescent="0.15">
      <c r="A37" s="36" t="s">
        <v>309</v>
      </c>
      <c r="B37" s="37" t="s">
        <v>541</v>
      </c>
      <c r="C37" s="4">
        <v>0</v>
      </c>
      <c r="D37" s="4">
        <v>1.9</v>
      </c>
      <c r="E37" s="4">
        <v>2.2999999999999998</v>
      </c>
      <c r="F37" s="4">
        <v>10</v>
      </c>
      <c r="G37" s="4">
        <v>-1</v>
      </c>
      <c r="H37" s="6"/>
      <c r="I37" s="6" t="s">
        <v>32</v>
      </c>
      <c r="J37" s="6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e">
        <f>SEARCH("BASE","database",C37)</f>
        <v>#VALUE!</v>
      </c>
      <c r="S37" s="4">
        <f t="shared" ref="S37:AA37" si="12">SEARCH("BASE","database",D37)</f>
        <v>5</v>
      </c>
      <c r="T37" s="4">
        <f t="shared" si="12"/>
        <v>5</v>
      </c>
      <c r="U37" s="4" t="e">
        <f>SEARCH("BASE","database",F37)</f>
        <v>#VALUE!</v>
      </c>
      <c r="V37" s="4" t="e">
        <f>SEARCH("BASE","database",G37)</f>
        <v>#VALUE!</v>
      </c>
      <c r="W37" s="4" t="e">
        <f>SEARCH("BASE","database",H37)</f>
        <v>#VALUE!</v>
      </c>
      <c r="X37" s="4" t="e" vm="96">
        <f>SEARCH("BASE","database",I37)</f>
        <v>#VALUE!</v>
      </c>
      <c r="Y37" s="4">
        <f t="shared" si="12"/>
        <v>5</v>
      </c>
      <c r="Z37" s="4" t="e">
        <f t="shared" si="12"/>
        <v>#VALUE!</v>
      </c>
      <c r="AA37" s="4" t="e">
        <f t="shared" si="12"/>
        <v>#N/A</v>
      </c>
      <c r="AB37" s="4" t="e">
        <f>SEARCH("BASE","database",M37)</f>
        <v>#DIV/0!</v>
      </c>
      <c r="AC37" s="4" t="e">
        <f>SEARCH("BASE","database",N37)</f>
        <v>#NAME?</v>
      </c>
      <c r="AD37" s="4" t="e">
        <f>SEARCH("BASE","database",O37)</f>
        <v>#NULL!</v>
      </c>
      <c r="AE37" s="4" t="e">
        <f>SEARCH("BASE","database",P37)</f>
        <v>#NUM!</v>
      </c>
      <c r="AF37" s="4" t="e">
        <f>SEARCH("BASE","database",Q37)</f>
        <v>#REF!</v>
      </c>
      <c r="AG37" s="4">
        <f t="array" ref="AG37">SEARCH({"BASE","bau"},"database")</f>
        <v>5</v>
      </c>
      <c r="AH37" s="4">
        <f t="array" ref="AH37:AJ37">SEARCH({"BASE","bau"},"database")</f>
        <v>5</v>
      </c>
      <c r="AI37" s="4" t="e">
        <v>#VALUE!</v>
      </c>
      <c r="AJ37" s="4" t="e">
        <v>#N/A</v>
      </c>
      <c r="AK37" s="4" t="e">
        <f t="array" ref="AK37:AM37">SEARCH({"bau","BASE"},"database",C37:D37)</f>
        <v>#VALUE!</v>
      </c>
      <c r="AL37" s="4">
        <v>5</v>
      </c>
      <c r="AM37" s="4" t="e">
        <v>#N/A</v>
      </c>
      <c r="AN37" s="4" t="e">
        <f t="array" ref="AN37:AW37">SEARCH({"bau","BASE",3},"database",C37:E37)</f>
        <v>#VALUE!</v>
      </c>
      <c r="AO37" s="4">
        <v>5</v>
      </c>
      <c r="AP37" s="4" t="e">
        <v>#VALUE!</v>
      </c>
      <c r="AQ37" s="4" t="e">
        <v>#N/A</v>
      </c>
      <c r="AR37" s="4" t="e">
        <v>#N/A</v>
      </c>
      <c r="AS37" s="4" t="e">
        <v>#N/A</v>
      </c>
      <c r="AT37" s="4" t="e">
        <v>#N/A</v>
      </c>
      <c r="AU37" s="4" t="e">
        <v>#N/A</v>
      </c>
      <c r="AV37" s="4" t="e">
        <v>#N/A</v>
      </c>
      <c r="AW37" s="4" t="e">
        <v>#N/A</v>
      </c>
    </row>
    <row r="38" spans="1:49" x14ac:dyDescent="0.15">
      <c r="A38" s="41" t="s">
        <v>310</v>
      </c>
    </row>
    <row r="39" spans="1:49" x14ac:dyDescent="0.15">
      <c r="A39" s="36" t="s">
        <v>311</v>
      </c>
      <c r="B39" s="37" t="s">
        <v>541</v>
      </c>
      <c r="C39" s="4">
        <v>0</v>
      </c>
      <c r="D39" s="4">
        <v>1.9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str">
        <f>SUBSTITUTE("0, 1.9,2.3,10,-1,ciao, TRUE",C39,"")</f>
        <v>, 1.9,2.3,1,-1,ciao, TRUE</v>
      </c>
      <c r="S39" s="4" t="str">
        <f t="shared" ref="S39:AF39" si="13">SUBSTITUTE("0, 1.9,2.3,10,-1,ciao, TRUE",D39,"")</f>
        <v>0, ,2.3,10,-1,ciao, TRUE</v>
      </c>
      <c r="T39" s="4" t="str">
        <f t="shared" si="13"/>
        <v>0, 1.9,,10,-1,ciao, TRUE</v>
      </c>
      <c r="U39" s="4" t="str">
        <f t="shared" si="13"/>
        <v>0, 1.9,2.3,,-1,ciao, TRUE</v>
      </c>
      <c r="V39" s="4" t="str">
        <f t="shared" si="13"/>
        <v>0, 1.9,2.3,10,,ciao, TRUE</v>
      </c>
      <c r="W39" s="4" t="str">
        <f>SUBSTITUTE("0, 1.9,2.3,10,-1,ciao, TRUE",H39,"")</f>
        <v>0, 1.9,2.3,10,-1,ciao, TRUE</v>
      </c>
      <c r="X39" s="4" t="str">
        <f t="shared" si="13"/>
        <v>0, 1.9,2.3,10,-1,, TRUE</v>
      </c>
      <c r="Y39" s="4" t="str">
        <f t="shared" si="13"/>
        <v xml:space="preserve">0, 1.9,2.3,10,-1,ciao, </v>
      </c>
      <c r="Z39" s="4" t="e">
        <f t="shared" si="13"/>
        <v>#VALUE!</v>
      </c>
      <c r="AA39" s="4" t="e">
        <f t="shared" si="13"/>
        <v>#N/A</v>
      </c>
      <c r="AB39" s="4" t="e">
        <f t="shared" si="13"/>
        <v>#DIV/0!</v>
      </c>
      <c r="AC39" s="4" t="e">
        <f t="shared" si="13"/>
        <v>#NAME?</v>
      </c>
      <c r="AD39" s="4" t="e">
        <f t="shared" si="13"/>
        <v>#NULL!</v>
      </c>
      <c r="AE39" s="4" t="e">
        <f t="shared" si="13"/>
        <v>#NUM!</v>
      </c>
      <c r="AF39" s="4" t="e">
        <f t="shared" si="13"/>
        <v>#REF!</v>
      </c>
      <c r="AG39" s="4" t="str">
        <f t="array" ref="AG39">SUBSTITUTE("0, 1.9,2.3,10,-1,ciao, TRUE",C39:J39,"")</f>
        <v>, 1.9,2.3,1,-1,ciao, TRUE</v>
      </c>
      <c r="AH39" s="4" t="str">
        <f t="array" ref="AH39:AW39">SUBSTITUTE("0, 1.9,2.3,10,-1,ciao, TRUE",C39:Q39,"")</f>
        <v>, 1.9,2.3,1,-1,ciao, TRUE</v>
      </c>
      <c r="AI39" s="4" t="str">
        <v>0, ,2.3,10,-1,ciao, TRUE</v>
      </c>
      <c r="AJ39" s="4" t="str">
        <v>0, 1.9,,10,-1,ciao, TRUE</v>
      </c>
      <c r="AK39" s="4" t="str">
        <v>0, 1.9,2.3,,-1,ciao, TRUE</v>
      </c>
      <c r="AL39" s="4" t="str">
        <v>0, 1.9,2.3,10,,ciao, TRUE</v>
      </c>
      <c r="AM39" s="4" t="str">
        <v>0, 1.9,2.3,10,-1,ciao, TRUE</v>
      </c>
      <c r="AN39" s="4" t="str">
        <v>0, 1.9,2.3,10,-1,, TRUE</v>
      </c>
      <c r="AO39" s="4" t="str">
        <v xml:space="preserve">0, 1.9,2.3,10,-1,ciao, </v>
      </c>
      <c r="AP39" s="4" t="e">
        <v>#VALUE!</v>
      </c>
      <c r="AQ39" s="4" t="e">
        <v>#N/A</v>
      </c>
      <c r="AR39" s="4" t="e">
        <v>#DIV/0!</v>
      </c>
      <c r="AS39" s="4" t="e">
        <v>#NAME?</v>
      </c>
      <c r="AT39" s="4" t="e">
        <v>#NULL!</v>
      </c>
      <c r="AU39" s="4" t="e">
        <v>#NUM!</v>
      </c>
      <c r="AV39" s="4" t="e">
        <v>#REF!</v>
      </c>
      <c r="AW39" s="4" t="e">
        <v>#N/A</v>
      </c>
    </row>
    <row r="40" spans="1:49" x14ac:dyDescent="0.15">
      <c r="A40" s="36" t="s">
        <v>312</v>
      </c>
      <c r="B40" s="37" t="s">
        <v>541</v>
      </c>
      <c r="C40" s="4">
        <v>0</v>
      </c>
      <c r="D40" s="4">
        <v>1.9</v>
      </c>
      <c r="E40" s="4">
        <v>2.2999999999999998</v>
      </c>
      <c r="F40" s="4">
        <v>10</v>
      </c>
      <c r="G40" s="4">
        <v>-1</v>
      </c>
      <c r="H40" s="6"/>
      <c r="I40" s="17" t="s">
        <v>490</v>
      </c>
      <c r="J40" s="6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b">
        <f>ISBLANK(T(C40))</f>
        <v>0</v>
      </c>
      <c r="S40" s="4" t="b">
        <f>ISTEXT(T(D40))</f>
        <v>1</v>
      </c>
      <c r="T40" s="4" t="str">
        <f t="shared" ref="T40:AF40" si="14">T(E40)</f>
        <v/>
      </c>
      <c r="U40" s="4" t="str">
        <f t="shared" si="14"/>
        <v/>
      </c>
      <c r="V40" s="4" t="str">
        <f t="shared" si="14"/>
        <v/>
      </c>
      <c r="W40" s="4" t="str">
        <f t="shared" si="14"/>
        <v/>
      </c>
      <c r="X40" s="4" t="str">
        <f t="shared" si="14"/>
        <v>26/08/1987</v>
      </c>
      <c r="Y40" s="4" t="str">
        <f t="shared" si="14"/>
        <v/>
      </c>
      <c r="Z40" s="4" t="e">
        <f t="shared" si="14"/>
        <v>#VALUE!</v>
      </c>
      <c r="AA40" s="4" t="e">
        <f t="shared" si="14"/>
        <v>#N/A</v>
      </c>
      <c r="AB40" s="4" t="e">
        <f t="shared" si="14"/>
        <v>#DIV/0!</v>
      </c>
      <c r="AC40" s="4" t="e">
        <f t="shared" si="14"/>
        <v>#NAME?</v>
      </c>
      <c r="AD40" s="4" t="e">
        <f t="shared" si="14"/>
        <v>#NULL!</v>
      </c>
      <c r="AE40" s="4" t="e">
        <f t="shared" si="14"/>
        <v>#NUM!</v>
      </c>
      <c r="AF40" s="4" t="e">
        <f t="shared" si="14"/>
        <v>#REF!</v>
      </c>
      <c r="AG40" s="4" t="str">
        <f t="array" ref="AG40">T(C40:Q40)</f>
        <v/>
      </c>
      <c r="AH40" s="4" t="str">
        <f t="array" ref="AH40:AK40">T(I40:Q40)</f>
        <v>26/08/1987</v>
      </c>
      <c r="AI40" s="4" t="str">
        <v>26/08/1987</v>
      </c>
      <c r="AJ40" s="4" t="str">
        <v>26/08/1987</v>
      </c>
      <c r="AK40" s="4" t="str">
        <v>26/08/1987</v>
      </c>
      <c r="AL40" s="4" t="e">
        <f t="array" ref="AL40:AN40">T(K40:Q40)</f>
        <v>#VALUE!</v>
      </c>
      <c r="AM40" s="4" t="e">
        <v>#VALUE!</v>
      </c>
      <c r="AN40" s="4" t="e">
        <v>#VALUE!</v>
      </c>
      <c r="AO40" s="4" t="str">
        <f t="array" ref="AO40:AW40">T(H40:P40)</f>
        <v/>
      </c>
      <c r="AP40" s="4" t="str">
        <v/>
      </c>
      <c r="AQ40" s="4" t="str">
        <v/>
      </c>
      <c r="AR40" s="4" t="str">
        <v/>
      </c>
      <c r="AS40" s="4" t="str">
        <v/>
      </c>
      <c r="AT40" s="4" t="str">
        <v/>
      </c>
      <c r="AU40" s="4" t="str">
        <v/>
      </c>
      <c r="AV40" s="4" t="str">
        <v/>
      </c>
      <c r="AW40" s="4" t="str">
        <v/>
      </c>
    </row>
    <row r="41" spans="1:49" x14ac:dyDescent="0.15">
      <c r="A41" s="36" t="s">
        <v>313</v>
      </c>
      <c r="B41" s="37" t="s">
        <v>541</v>
      </c>
      <c r="C41" s="4">
        <v>0</v>
      </c>
      <c r="D41" s="4">
        <v>1.9</v>
      </c>
      <c r="E41" s="4">
        <v>2.2999999999999998</v>
      </c>
      <c r="F41" s="4">
        <v>10</v>
      </c>
      <c r="G41" s="4">
        <v>-1</v>
      </c>
      <c r="H41" s="6"/>
      <c r="I41" s="17" t="s">
        <v>537</v>
      </c>
      <c r="J41" s="6" t="b">
        <v>1</v>
      </c>
      <c r="K41" s="6" t="e">
        <f>#VALUE!</f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 t="shared" ref="R41:W41" si="15">TEXT(C41,"#.00")</f>
        <v>.00</v>
      </c>
      <c r="S41" s="4" t="str">
        <f t="shared" si="15"/>
        <v>1.90</v>
      </c>
      <c r="T41" s="4" t="str">
        <f t="shared" si="15"/>
        <v>2.30</v>
      </c>
      <c r="U41" s="4" t="str">
        <f t="shared" si="15"/>
        <v>10.00</v>
      </c>
      <c r="V41" s="4" t="str">
        <f t="shared" si="15"/>
        <v>-1.00</v>
      </c>
      <c r="W41" s="4" t="str">
        <f t="shared" si="15"/>
        <v>.00</v>
      </c>
      <c r="X41" s="4" t="str">
        <f t="shared" ref="X41:AF41" si="16">TEXT(I41,"#.00")</f>
        <v>32015.00</v>
      </c>
      <c r="Y41" s="4" t="str">
        <f t="shared" si="16"/>
        <v>TRUE</v>
      </c>
      <c r="Z41" s="4" t="e">
        <f t="shared" si="16"/>
        <v>#VALUE!</v>
      </c>
      <c r="AA41" s="4" t="e">
        <f t="shared" si="16"/>
        <v>#N/A</v>
      </c>
      <c r="AB41" s="4" t="e">
        <f t="shared" si="16"/>
        <v>#DIV/0!</v>
      </c>
      <c r="AC41" s="4" t="e">
        <f t="shared" si="16"/>
        <v>#NAME?</v>
      </c>
      <c r="AD41" s="4" t="e">
        <f t="shared" si="16"/>
        <v>#NULL!</v>
      </c>
      <c r="AE41" s="4" t="e">
        <f t="shared" si="16"/>
        <v>#NUM!</v>
      </c>
      <c r="AF41" s="4" t="e">
        <f t="shared" si="16"/>
        <v>#REF!</v>
      </c>
      <c r="AG41" s="4" t="str">
        <f t="array" ref="AG41">TEXT(C41:D41,"#.00")</f>
        <v>.00</v>
      </c>
      <c r="AH41" s="4" t="str">
        <f t="array" ref="AH41:AW41">TEXT(C41:Q41,"#.00")</f>
        <v>.00</v>
      </c>
      <c r="AI41" s="4" t="str">
        <v>1.90</v>
      </c>
      <c r="AJ41" s="4" t="str">
        <v>2.30</v>
      </c>
      <c r="AK41" s="4" t="str">
        <v>10.00</v>
      </c>
      <c r="AL41" s="4" t="str">
        <v>-1.00</v>
      </c>
      <c r="AM41" s="4" t="str">
        <v>.00</v>
      </c>
      <c r="AN41" s="4" t="str">
        <v>32015.00</v>
      </c>
      <c r="AO41" s="4" t="str">
        <v>TRUE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41" t="s">
        <v>529</v>
      </c>
      <c r="H42" s="6"/>
      <c r="I42" s="17"/>
      <c r="J42" s="6"/>
      <c r="K42" s="6"/>
      <c r="L42" s="6"/>
      <c r="M42" s="7"/>
      <c r="N42" s="7"/>
      <c r="O42" s="7"/>
      <c r="P42" s="7"/>
      <c r="Q42" s="7"/>
    </row>
    <row r="43" spans="1:49" x14ac:dyDescent="0.15">
      <c r="A43" s="41" t="s">
        <v>530</v>
      </c>
      <c r="H43" s="6"/>
      <c r="I43" s="17"/>
      <c r="J43" s="6"/>
      <c r="K43" s="6"/>
      <c r="L43" s="6"/>
      <c r="M43" s="7"/>
      <c r="N43" s="7"/>
      <c r="O43" s="7"/>
      <c r="P43" s="7"/>
      <c r="Q43" s="7"/>
    </row>
    <row r="44" spans="1:49" x14ac:dyDescent="0.15">
      <c r="A44" s="36" t="s">
        <v>314</v>
      </c>
      <c r="B44" s="37" t="s">
        <v>541</v>
      </c>
      <c r="C44" s="4">
        <v>0</v>
      </c>
      <c r="D44" s="4">
        <v>1.9</v>
      </c>
      <c r="E44" s="4">
        <v>2.2999999999999998</v>
      </c>
      <c r="F44" s="4">
        <v>10</v>
      </c>
      <c r="G44" s="4">
        <v>-1</v>
      </c>
      <c r="H44" s="6"/>
      <c r="I44" s="17" t="s">
        <v>490</v>
      </c>
      <c r="J44" s="6" t="b">
        <v>1</v>
      </c>
      <c r="K44" s="6" t="e">
        <f>#VALUE!</f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str">
        <f>_xlfn.TEXTJOIN(",",FALSE,C44:I44)</f>
        <v>0,1.9,2.3,10,-1,,26/08/1987</v>
      </c>
      <c r="S44" s="4" t="str">
        <f>_xlfn.TEXTJOIN(",",TRUE,D44:J44)</f>
        <v>1.9,2.3,10,-1,26/08/1987,TRUE</v>
      </c>
      <c r="T44" s="4" t="str">
        <f>_xlfn.TEXTJOIN(",",TRUE,E44:F44)</f>
        <v>2.3,10</v>
      </c>
      <c r="U44" s="4" t="str">
        <f t="shared" ref="U44:AF44" si="17">_xlfn.TEXTJOIN(",",TRUE,F44:G44)</f>
        <v>10,-1</v>
      </c>
      <c r="V44" s="4" t="str">
        <f t="shared" si="17"/>
        <v>-1</v>
      </c>
      <c r="W44" s="4" t="str">
        <f t="shared" si="17"/>
        <v>26/08/1987</v>
      </c>
      <c r="X44" s="4" t="str">
        <f t="shared" si="17"/>
        <v>26/08/1987,TRUE</v>
      </c>
      <c r="Y44" s="4" t="e">
        <f t="shared" si="17"/>
        <v>#VALUE!</v>
      </c>
      <c r="Z44" s="4" t="e">
        <f t="shared" si="17"/>
        <v>#VALUE!</v>
      </c>
      <c r="AA44" s="4" t="e">
        <f t="shared" si="17"/>
        <v>#N/A</v>
      </c>
      <c r="AB44" s="4" t="e">
        <f t="shared" si="17"/>
        <v>#DIV/0!</v>
      </c>
      <c r="AC44" s="4" t="e">
        <f t="shared" si="17"/>
        <v>#NAME?</v>
      </c>
      <c r="AD44" s="4" t="e">
        <f t="shared" si="17"/>
        <v>#NULL!</v>
      </c>
      <c r="AE44" s="4" t="e">
        <f t="shared" si="17"/>
        <v>#NUM!</v>
      </c>
      <c r="AF44" s="4" t="e">
        <f t="shared" si="17"/>
        <v>#REF!</v>
      </c>
      <c r="AG44" s="4" t="str">
        <f>_xlfn.TEXTJOIN(",",TRUE,C44:J44)</f>
        <v>0,1.9,2.3,10,-1,26/08/1987,TRUE</v>
      </c>
      <c r="AH44" s="4" t="str">
        <f>_xlfn.TEXTJOIN({",",";"},TRUE,C44:D44)</f>
        <v>0,1.9</v>
      </c>
      <c r="AI44" s="4" t="str">
        <f t="array" ref="AI44:AW44">_xlfn.TEXTJOIN(",",FALSE, G47:I47)</f>
        <v>-1,,ciao</v>
      </c>
      <c r="AJ44" s="4" t="str">
        <v>-1,,ciao</v>
      </c>
      <c r="AK44" s="4" t="str">
        <v>-1,,ciao</v>
      </c>
      <c r="AL44" s="4" t="str">
        <v>-1,,ciao</v>
      </c>
      <c r="AM44" s="4" t="str">
        <v>-1,,ciao</v>
      </c>
      <c r="AN44" s="4" t="str">
        <v>-1,,ciao</v>
      </c>
      <c r="AO44" s="4" t="str">
        <v>-1,,ciao</v>
      </c>
      <c r="AP44" s="4" t="str">
        <v>-1,,ciao</v>
      </c>
      <c r="AQ44" s="4" t="str">
        <v>-1,,ciao</v>
      </c>
      <c r="AR44" s="4" t="str">
        <v>-1,,ciao</v>
      </c>
      <c r="AS44" s="4" t="str">
        <v>-1,,ciao</v>
      </c>
      <c r="AT44" s="4" t="str">
        <v>-1,,ciao</v>
      </c>
      <c r="AU44" s="4" t="str">
        <v>-1,,ciao</v>
      </c>
      <c r="AV44" s="4" t="str">
        <v>-1,,ciao</v>
      </c>
      <c r="AW44" s="4" t="str">
        <v>-1,,ciao</v>
      </c>
    </row>
    <row r="45" spans="1:49" x14ac:dyDescent="0.15">
      <c r="A45" s="41" t="s">
        <v>531</v>
      </c>
      <c r="H45" s="6"/>
      <c r="I45" s="17"/>
      <c r="J45" s="6"/>
      <c r="K45" s="6"/>
      <c r="L45" s="6"/>
      <c r="M45" s="7"/>
      <c r="N45" s="7"/>
      <c r="O45" s="7"/>
      <c r="P45" s="7"/>
      <c r="Q45" s="7"/>
    </row>
    <row r="46" spans="1:49" x14ac:dyDescent="0.15">
      <c r="A46" s="41" t="s">
        <v>564</v>
      </c>
      <c r="H46" s="6"/>
      <c r="I46" s="17"/>
      <c r="J46" s="6"/>
      <c r="K46" s="6"/>
      <c r="L46" s="6"/>
      <c r="M46" s="7"/>
      <c r="N46" s="7"/>
      <c r="O46" s="7"/>
      <c r="P46" s="7"/>
      <c r="Q46" s="7"/>
    </row>
    <row r="47" spans="1:49" x14ac:dyDescent="0.15">
      <c r="A47" s="36" t="s">
        <v>315</v>
      </c>
      <c r="B47" s="37" t="s">
        <v>541</v>
      </c>
      <c r="C47" s="4">
        <v>0</v>
      </c>
      <c r="D47" s="4">
        <v>1.9</v>
      </c>
      <c r="E47" s="4">
        <v>2.2999999999999998</v>
      </c>
      <c r="F47" s="4">
        <v>10</v>
      </c>
      <c r="G47" s="4">
        <v>-1</v>
      </c>
      <c r="H47" s="6"/>
      <c r="I47" s="6" t="s">
        <v>32</v>
      </c>
      <c r="J47" s="6" t="b">
        <v>1</v>
      </c>
      <c r="K47" s="6" t="e">
        <f>#VALUE!</f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>
        <f>TRIM(C47)</f>
        <v>0</v>
      </c>
      <c r="S47" s="4" t="str">
        <f t="shared" ref="S47:AF47" si="18">TRIM(D47)</f>
        <v>1.9</v>
      </c>
      <c r="T47" s="4" t="str">
        <f t="shared" si="18"/>
        <v>2.3</v>
      </c>
      <c r="U47" s="4" t="str">
        <f t="shared" si="18"/>
        <v>10</v>
      </c>
      <c r="V47" s="4" t="str">
        <f t="shared" si="18"/>
        <v>-1</v>
      </c>
      <c r="W47" s="4" t="str">
        <f t="shared" si="18"/>
        <v/>
      </c>
      <c r="X47" s="4" t="str">
        <f t="shared" si="18"/>
        <v>ciao</v>
      </c>
      <c r="Y47" s="4" t="str">
        <f t="shared" si="18"/>
        <v>TRUE</v>
      </c>
      <c r="Z47" s="4" t="e">
        <f t="shared" si="18"/>
        <v>#VALUE!</v>
      </c>
      <c r="AA47" s="4" t="e">
        <f t="shared" si="18"/>
        <v>#N/A</v>
      </c>
      <c r="AB47" s="4" t="e">
        <f t="shared" si="18"/>
        <v>#DIV/0!</v>
      </c>
      <c r="AC47" s="4" t="e">
        <f t="shared" si="18"/>
        <v>#NAME?</v>
      </c>
      <c r="AD47" s="4" t="e">
        <f t="shared" si="18"/>
        <v>#NULL!</v>
      </c>
      <c r="AE47" s="4" t="e">
        <f t="shared" si="18"/>
        <v>#NUM!</v>
      </c>
      <c r="AF47" s="4" t="e">
        <f t="shared" si="18"/>
        <v>#REF!</v>
      </c>
      <c r="AG47" s="4" t="str">
        <f t="array" ref="AG47">TRIM(C47:D47)</f>
        <v>0</v>
      </c>
      <c r="AH47" s="4" t="str">
        <f t="array" ref="AH47:AW47">TRIM(C47:Q47)</f>
        <v>0</v>
      </c>
      <c r="AI47" s="4" t="str">
        <v>1.9</v>
      </c>
      <c r="AJ47" s="4" t="str">
        <v>2.3</v>
      </c>
      <c r="AK47" s="4" t="str">
        <v>10</v>
      </c>
      <c r="AL47" s="4" t="str">
        <v>-1</v>
      </c>
      <c r="AM47" s="4" t="str">
        <v/>
      </c>
      <c r="AN47" s="4" t="str">
        <v>ciao</v>
      </c>
      <c r="AO47" s="4" t="str">
        <v>TRUE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41" t="s">
        <v>316</v>
      </c>
    </row>
    <row r="49" spans="1:49" x14ac:dyDescent="0.15">
      <c r="A49" s="41" t="s">
        <v>317</v>
      </c>
    </row>
    <row r="50" spans="1:49" x14ac:dyDescent="0.15">
      <c r="A50" s="36" t="s">
        <v>318</v>
      </c>
      <c r="B50" s="37" t="s">
        <v>541</v>
      </c>
      <c r="C50" s="4">
        <v>0</v>
      </c>
      <c r="D50" s="4">
        <v>1.9</v>
      </c>
      <c r="E50" s="4">
        <v>2.2999999999999998</v>
      </c>
      <c r="F50" s="4">
        <v>10</v>
      </c>
      <c r="G50" s="4">
        <v>-1</v>
      </c>
      <c r="H50" s="6"/>
      <c r="I50" s="6" t="s">
        <v>32</v>
      </c>
      <c r="J50" s="6" t="b">
        <v>1</v>
      </c>
      <c r="K50" s="6" t="e">
        <f>#VALUE!</f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4" t="str">
        <f>UPPER(C50)</f>
        <v>0</v>
      </c>
      <c r="S50" s="4" t="str">
        <f t="shared" ref="S50:AF50" si="19">UPPER(D50)</f>
        <v>1.9</v>
      </c>
      <c r="T50" s="4" t="str">
        <f t="shared" si="19"/>
        <v>2.3</v>
      </c>
      <c r="U50" s="4" t="str">
        <f t="shared" si="19"/>
        <v>10</v>
      </c>
      <c r="V50" s="4" t="str">
        <f t="shared" si="19"/>
        <v>-1</v>
      </c>
      <c r="W50" s="4" t="str">
        <f t="shared" si="19"/>
        <v/>
      </c>
      <c r="X50" s="4" t="str">
        <f t="shared" si="19"/>
        <v>CIAO</v>
      </c>
      <c r="Y50" s="4" t="str">
        <f t="shared" si="19"/>
        <v>TRUE</v>
      </c>
      <c r="Z50" s="4" t="e">
        <f t="shared" si="19"/>
        <v>#VALUE!</v>
      </c>
      <c r="AA50" s="4" t="e">
        <f t="shared" si="19"/>
        <v>#N/A</v>
      </c>
      <c r="AB50" s="4" t="e">
        <f t="shared" si="19"/>
        <v>#DIV/0!</v>
      </c>
      <c r="AC50" s="4" t="e">
        <f t="shared" si="19"/>
        <v>#NAME?</v>
      </c>
      <c r="AD50" s="4" t="e">
        <f t="shared" si="19"/>
        <v>#NULL!</v>
      </c>
      <c r="AE50" s="4" t="e">
        <f t="shared" si="19"/>
        <v>#NUM!</v>
      </c>
      <c r="AF50" s="4" t="e">
        <f t="shared" si="19"/>
        <v>#REF!</v>
      </c>
      <c r="AG50" s="4" t="str">
        <f t="array" ref="AG50">UPPER(C50:D50)</f>
        <v>0</v>
      </c>
      <c r="AH50" s="4" t="str">
        <f t="array" ref="AH50:AW50">UPPER(C50:Q50)</f>
        <v>0</v>
      </c>
      <c r="AI50" s="4" t="str">
        <v>1.9</v>
      </c>
      <c r="AJ50" s="4" t="str">
        <v>2.3</v>
      </c>
      <c r="AK50" s="4" t="str">
        <v>10</v>
      </c>
      <c r="AL50" s="4" t="str">
        <v>-1</v>
      </c>
      <c r="AM50" s="4" t="str">
        <v/>
      </c>
      <c r="AN50" s="4" t="str">
        <v>CIAO</v>
      </c>
      <c r="AO50" s="4" t="str">
        <v>TRUE</v>
      </c>
      <c r="AP50" s="4" t="e">
        <v>#VALUE!</v>
      </c>
      <c r="AQ50" s="4" t="e">
        <v>#N/A</v>
      </c>
      <c r="AR50" s="4" t="e">
        <v>#DIV/0!</v>
      </c>
      <c r="AS50" s="4" t="e">
        <v>#NAME?</v>
      </c>
      <c r="AT50" s="4" t="e">
        <v>#NULL!</v>
      </c>
      <c r="AU50" s="4" t="e">
        <v>#NUM!</v>
      </c>
      <c r="AV50" s="4" t="e">
        <v>#REF!</v>
      </c>
      <c r="AW50" s="4" t="e">
        <v>#N/A</v>
      </c>
    </row>
    <row r="51" spans="1:49" x14ac:dyDescent="0.15">
      <c r="A51" s="36" t="s">
        <v>319</v>
      </c>
      <c r="B51" s="37" t="s">
        <v>541</v>
      </c>
      <c r="C51" s="4">
        <v>0</v>
      </c>
      <c r="D51" s="4">
        <v>1.9</v>
      </c>
      <c r="E51" s="4">
        <v>2.2999999999999998</v>
      </c>
      <c r="F51" s="4">
        <v>10</v>
      </c>
      <c r="G51" s="4">
        <v>-1</v>
      </c>
      <c r="H51" s="6"/>
      <c r="I51" s="17" t="s">
        <v>537</v>
      </c>
      <c r="J51" s="6" t="b">
        <v>1</v>
      </c>
      <c r="K51" s="6" t="e">
        <f>#VALUE!</f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>
        <f t="shared" ref="R51:AF51" si="20">VALUE(C51)</f>
        <v>0</v>
      </c>
      <c r="S51" s="4">
        <f t="shared" si="20"/>
        <v>1.9</v>
      </c>
      <c r="T51" s="4">
        <f t="shared" si="20"/>
        <v>2.2999999999999998</v>
      </c>
      <c r="U51" s="4">
        <f t="shared" si="20"/>
        <v>10</v>
      </c>
      <c r="V51" s="4">
        <f t="shared" si="20"/>
        <v>-1</v>
      </c>
      <c r="W51" s="4">
        <f t="shared" si="20"/>
        <v>0</v>
      </c>
      <c r="X51" s="4">
        <f t="shared" si="20"/>
        <v>32015</v>
      </c>
      <c r="Y51" s="4" t="e">
        <f t="shared" si="20"/>
        <v>#VALUE!</v>
      </c>
      <c r="Z51" s="4" t="e">
        <f t="shared" si="20"/>
        <v>#VALUE!</v>
      </c>
      <c r="AA51" s="4" t="e">
        <f t="shared" si="20"/>
        <v>#N/A</v>
      </c>
      <c r="AB51" s="4" t="e">
        <f t="shared" si="20"/>
        <v>#DIV/0!</v>
      </c>
      <c r="AC51" s="4" t="e">
        <f t="shared" si="20"/>
        <v>#NAME?</v>
      </c>
      <c r="AD51" s="4" t="e">
        <f t="shared" si="20"/>
        <v>#NULL!</v>
      </c>
      <c r="AE51" s="4" t="e">
        <f t="shared" si="20"/>
        <v>#NUM!</v>
      </c>
      <c r="AF51" s="4" t="e">
        <f t="shared" si="20"/>
        <v>#REF!</v>
      </c>
      <c r="AG51" s="4">
        <f t="array" ref="AG51">VALUE(C51:D51)</f>
        <v>0</v>
      </c>
      <c r="AH51" s="4">
        <f t="array" ref="AH51:AW51">VALUE(C51:Q51)</f>
        <v>0</v>
      </c>
      <c r="AI51" s="4">
        <v>1.9</v>
      </c>
      <c r="AJ51" s="4">
        <v>2.2999999999999998</v>
      </c>
      <c r="AK51" s="4">
        <v>10</v>
      </c>
      <c r="AL51" s="4">
        <v>-1</v>
      </c>
      <c r="AM51" s="4">
        <v>0</v>
      </c>
      <c r="AN51" s="4">
        <v>32015</v>
      </c>
      <c r="AO51" s="4" t="e">
        <v>#VALUE!</v>
      </c>
      <c r="AP51" s="4" t="e">
        <v>#VALUE!</v>
      </c>
      <c r="AQ51" s="4" t="e">
        <v>#N/A</v>
      </c>
      <c r="AR51" s="4" t="e">
        <v>#DIV/0!</v>
      </c>
      <c r="AS51" s="4" t="e">
        <v>#NAME?</v>
      </c>
      <c r="AT51" s="4" t="e">
        <v>#NULL!</v>
      </c>
      <c r="AU51" s="4" t="e">
        <v>#NUM!</v>
      </c>
      <c r="AV51" s="4" t="e">
        <v>#REF!</v>
      </c>
      <c r="AW51" s="4" t="e">
        <v>#N/A</v>
      </c>
    </row>
    <row r="52" spans="1:49" x14ac:dyDescent="0.15">
      <c r="A52" s="44" t="s">
        <v>511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9F8-0499-124A-9F2A-B7803AD457D2}">
  <sheetPr codeName="Sheet15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40" t="s">
        <v>26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ht="11" customHeight="1" x14ac:dyDescent="0.2">
      <c r="A3" s="41" t="s">
        <v>587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ht="11" customHeight="1" x14ac:dyDescent="0.2">
      <c r="A4" s="41" t="s">
        <v>589</v>
      </c>
      <c r="B4" s="47"/>
      <c r="J4" s="6"/>
    </row>
    <row r="5" spans="1:49" ht="11" customHeight="1" x14ac:dyDescent="0.2">
      <c r="A5" s="41" t="s">
        <v>599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sortState xmlns:xlrd2="http://schemas.microsoft.com/office/spreadsheetml/2017/richdata2" ref="A3:A5">
    <sortCondition ref="A3:A5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B050"/>
  </sheetPr>
  <dimension ref="A1:AW81"/>
  <sheetViews>
    <sheetView workbookViewId="0"/>
  </sheetViews>
  <sheetFormatPr baseColWidth="10" defaultColWidth="10.83203125" defaultRowHeight="11" x14ac:dyDescent="0.15"/>
  <cols>
    <col min="1" max="1" width="6.83203125" style="43" bestFit="1" customWidth="1"/>
    <col min="2" max="2" width="5.1640625" style="43" bestFit="1" customWidth="1"/>
    <col min="3" max="3" width="3.5" style="4" bestFit="1" customWidth="1"/>
    <col min="4" max="4" width="4.6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1" width="5.6640625" style="4" bestFit="1" customWidth="1"/>
    <col min="22" max="22" width="4.832031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3" t="s">
        <v>542</v>
      </c>
      <c r="B1" s="42">
        <f>COUNTIF(B3:B300,"=DONE")/COUNTA(A3:A300)</f>
        <v>1</v>
      </c>
      <c r="C1" s="66" t="s">
        <v>33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 t="s">
        <v>34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</row>
    <row r="2" spans="1:49" x14ac:dyDescent="0.15">
      <c r="A2" s="12" t="s">
        <v>340</v>
      </c>
      <c r="B2" s="12" t="s">
        <v>540</v>
      </c>
      <c r="C2" s="66" t="s">
        <v>27</v>
      </c>
      <c r="D2" s="66"/>
      <c r="E2" s="66"/>
      <c r="F2" s="66"/>
      <c r="G2" s="66"/>
      <c r="H2" s="12" t="s">
        <v>38</v>
      </c>
      <c r="I2" s="12" t="s">
        <v>28</v>
      </c>
      <c r="J2" s="12" t="s">
        <v>94</v>
      </c>
      <c r="K2" s="66" t="s">
        <v>29</v>
      </c>
      <c r="L2" s="66"/>
      <c r="M2" s="66"/>
      <c r="N2" s="66"/>
      <c r="O2" s="66"/>
      <c r="P2" s="66"/>
      <c r="Q2" s="66"/>
      <c r="R2" s="66" t="s">
        <v>27</v>
      </c>
      <c r="S2" s="66"/>
      <c r="T2" s="66"/>
      <c r="U2" s="66"/>
      <c r="V2" s="66"/>
      <c r="W2" s="12" t="s">
        <v>38</v>
      </c>
      <c r="X2" s="12" t="s">
        <v>28</v>
      </c>
      <c r="Y2" s="12" t="s">
        <v>94</v>
      </c>
      <c r="Z2" s="66" t="s">
        <v>29</v>
      </c>
      <c r="AA2" s="66"/>
      <c r="AB2" s="66"/>
      <c r="AC2" s="66"/>
      <c r="AD2" s="66"/>
      <c r="AE2" s="66"/>
      <c r="AF2" s="66"/>
      <c r="AG2" s="12" t="s">
        <v>30</v>
      </c>
      <c r="AH2" s="66" t="s">
        <v>31</v>
      </c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</row>
    <row r="3" spans="1:49" x14ac:dyDescent="0.15">
      <c r="A3" s="45" t="s">
        <v>341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C3+D3</f>
        <v>1</v>
      </c>
      <c r="S3" s="6">
        <f t="shared" ref="S3:AF3" si="0">D3+E3</f>
        <v>3.3</v>
      </c>
      <c r="T3" s="6">
        <f t="shared" si="0"/>
        <v>12.3</v>
      </c>
      <c r="U3" s="6">
        <f t="shared" si="0"/>
        <v>9</v>
      </c>
      <c r="V3" s="6">
        <f t="shared" si="0"/>
        <v>-1</v>
      </c>
      <c r="W3" s="6" t="e" vm="97">
        <f t="shared" si="0"/>
        <v>#VALUE!</v>
      </c>
      <c r="X3" s="6" t="e" vm="97">
        <f>I3+"a"</f>
        <v>#VALUE!</v>
      </c>
      <c r="Y3" s="6">
        <f>J3+D3</f>
        <v>2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>
        <f t="array" ref="AG3">C3:G3+D3</f>
        <v>1</v>
      </c>
      <c r="AH3" s="8">
        <f t="array" ref="AH3:AK3">C3:P3+3</f>
        <v>3</v>
      </c>
      <c r="AI3" s="6">
        <v>4</v>
      </c>
      <c r="AJ3" s="6">
        <v>5.3</v>
      </c>
      <c r="AK3" s="6">
        <v>13</v>
      </c>
      <c r="AL3" s="6">
        <f t="array" ref="AL3:AW3">F3:P3+G3:Q3</f>
        <v>9</v>
      </c>
      <c r="AM3" s="6">
        <v>-1</v>
      </c>
      <c r="AN3" s="6" t="e" vm="97">
        <v>#VALUE!</v>
      </c>
      <c r="AO3" s="6" t="e" vm="97">
        <v>#VALUE!</v>
      </c>
      <c r="AP3" s="6" t="e">
        <v>#VALUE!</v>
      </c>
      <c r="AQ3" s="6" t="e">
        <v>#VALUE!</v>
      </c>
      <c r="AR3" s="6" t="e">
        <v>#N/A</v>
      </c>
      <c r="AS3" s="6" t="e">
        <v>#DIV/0!</v>
      </c>
      <c r="AT3" s="6" t="e">
        <v>#NAME?</v>
      </c>
      <c r="AU3" s="6" t="e">
        <v>#NULL!</v>
      </c>
      <c r="AV3" s="6" t="e">
        <v>#NUM!</v>
      </c>
      <c r="AW3" s="4" t="e">
        <v>#N/A</v>
      </c>
    </row>
    <row r="4" spans="1:49" x14ac:dyDescent="0.15">
      <c r="A4" s="45" t="s">
        <v>342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C4-D4</f>
        <v>-1</v>
      </c>
      <c r="S4" s="6">
        <f t="shared" ref="S4:AF4" si="1">D4-E4</f>
        <v>-1.2999999999999998</v>
      </c>
      <c r="T4" s="6">
        <f t="shared" si="1"/>
        <v>-7.7</v>
      </c>
      <c r="U4" s="6">
        <f t="shared" si="1"/>
        <v>11</v>
      </c>
      <c r="V4" s="6">
        <f t="shared" si="1"/>
        <v>-1</v>
      </c>
      <c r="W4" s="6" t="e" vm="98">
        <f t="shared" si="1"/>
        <v>#VALUE!</v>
      </c>
      <c r="X4" s="6" t="e" vm="98">
        <f>I4-"a"</f>
        <v>#VALUE!</v>
      </c>
      <c r="Y4" s="6">
        <f>J4-D4</f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>
        <f t="array" ref="AG4">C4:G4-D4</f>
        <v>-1</v>
      </c>
      <c r="AH4" s="8">
        <f t="array" ref="AH4:AK4">C4:P4-3</f>
        <v>-3</v>
      </c>
      <c r="AI4" s="6">
        <v>-2</v>
      </c>
      <c r="AJ4" s="6">
        <v>-0.70000000000000018</v>
      </c>
      <c r="AK4" s="6">
        <v>7</v>
      </c>
      <c r="AL4" s="6">
        <f t="array" ref="AL4:AW4">F4:P4-G4:Q4</f>
        <v>11</v>
      </c>
      <c r="AM4" s="6">
        <v>-1</v>
      </c>
      <c r="AN4" s="6" t="e" vm="98">
        <v>#VALUE!</v>
      </c>
      <c r="AO4" s="6" t="e" vm="98">
        <v>#VALUE!</v>
      </c>
      <c r="AP4" s="6" t="e">
        <v>#VALUE!</v>
      </c>
      <c r="AQ4" s="6" t="e">
        <v>#VALUE!</v>
      </c>
      <c r="AR4" s="6" t="e">
        <v>#N/A</v>
      </c>
      <c r="AS4" s="6" t="e">
        <v>#DIV/0!</v>
      </c>
      <c r="AT4" s="6" t="e">
        <v>#NAME?</v>
      </c>
      <c r="AU4" s="6" t="e">
        <v>#NULL!</v>
      </c>
      <c r="AV4" s="6" t="e">
        <v>#NUM!</v>
      </c>
      <c r="AW4" s="4" t="e">
        <v>#N/A</v>
      </c>
    </row>
    <row r="5" spans="1:49" ht="11" customHeight="1" x14ac:dyDescent="0.15">
      <c r="A5" s="37" t="s">
        <v>343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-C5</f>
        <v>0</v>
      </c>
      <c r="S5" s="6">
        <f t="shared" ref="S5:AF5" si="2">-D5</f>
        <v>-1</v>
      </c>
      <c r="T5" s="6">
        <f t="shared" si="2"/>
        <v>-2.2999999999999998</v>
      </c>
      <c r="U5" s="6">
        <f t="shared" si="2"/>
        <v>-10</v>
      </c>
      <c r="V5" s="6">
        <f t="shared" si="2"/>
        <v>1</v>
      </c>
      <c r="W5" s="6">
        <f t="shared" si="2"/>
        <v>0</v>
      </c>
      <c r="X5" s="6" t="e" vm="99">
        <f t="shared" si="2"/>
        <v>#VALUE!</v>
      </c>
      <c r="Y5" s="6">
        <f t="shared" si="2"/>
        <v>-1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>
        <f t="array" ref="AG5">-C5:G5</f>
        <v>0</v>
      </c>
      <c r="AH5" s="8">
        <f t="array" ref="AH5:AW5">-C5:Q5</f>
        <v>0</v>
      </c>
      <c r="AI5" s="6">
        <v>-1</v>
      </c>
      <c r="AJ5" s="6">
        <v>-2.2999999999999998</v>
      </c>
      <c r="AK5" s="6">
        <v>-10</v>
      </c>
      <c r="AL5" s="6">
        <v>1</v>
      </c>
      <c r="AM5" s="6">
        <v>0</v>
      </c>
      <c r="AN5" s="6" t="e" vm="99">
        <v>#VALUE!</v>
      </c>
      <c r="AO5" s="6">
        <v>-1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ht="11" customHeight="1" x14ac:dyDescent="0.15">
      <c r="A6" s="37" t="s">
        <v>344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+C6</f>
        <v>0</v>
      </c>
      <c r="S6" s="6">
        <f t="shared" ref="S6:AF6" si="3">+D6</f>
        <v>1</v>
      </c>
      <c r="T6" s="6">
        <f t="shared" si="3"/>
        <v>2.2999999999999998</v>
      </c>
      <c r="U6" s="6">
        <f t="shared" si="3"/>
        <v>10</v>
      </c>
      <c r="V6" s="6">
        <f t="shared" si="3"/>
        <v>-1</v>
      </c>
      <c r="W6" s="6">
        <f t="shared" si="3"/>
        <v>0</v>
      </c>
      <c r="X6" s="6" t="str">
        <f t="shared" si="3"/>
        <v>ciao</v>
      </c>
      <c r="Y6" s="6" t="b">
        <f t="shared" si="3"/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>
        <f t="array" ref="AG6">+C6:G6</f>
        <v>0</v>
      </c>
      <c r="AH6" s="8">
        <f t="array" ref="AH6:AW6">+C6:Q6</f>
        <v>0</v>
      </c>
      <c r="AI6" s="6">
        <v>1</v>
      </c>
      <c r="AJ6" s="6">
        <v>2.2999999999999998</v>
      </c>
      <c r="AK6" s="6">
        <v>10</v>
      </c>
      <c r="AL6" s="6">
        <v>-1</v>
      </c>
      <c r="AM6" s="6">
        <v>0</v>
      </c>
      <c r="AN6" s="6" t="str">
        <v>ciao</v>
      </c>
      <c r="AO6" s="6" t="b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ht="11" customHeight="1" x14ac:dyDescent="0.15">
      <c r="A7" s="45" t="s">
        <v>345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C7*D7</f>
        <v>0</v>
      </c>
      <c r="S7" s="6">
        <f t="shared" ref="S7:AF7" si="4">D7*E7</f>
        <v>2.2999999999999998</v>
      </c>
      <c r="T7" s="6">
        <f t="shared" si="4"/>
        <v>23</v>
      </c>
      <c r="U7" s="6">
        <f t="shared" si="4"/>
        <v>-10</v>
      </c>
      <c r="V7" s="6">
        <f t="shared" si="4"/>
        <v>0</v>
      </c>
      <c r="W7" s="6" t="e" vm="100">
        <f t="shared" si="4"/>
        <v>#VALUE!</v>
      </c>
      <c r="X7" s="6" t="e" vm="100">
        <f>I7*"a"</f>
        <v>#VALUE!</v>
      </c>
      <c r="Y7" s="6">
        <f>J7*D7</f>
        <v>1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>
        <f t="array" ref="AG7">C7:G7*D7</f>
        <v>0</v>
      </c>
      <c r="AH7" s="8">
        <f t="array" ref="AH7:AK7">C7:P7*3</f>
        <v>0</v>
      </c>
      <c r="AI7" s="6">
        <v>3</v>
      </c>
      <c r="AJ7" s="6">
        <v>6.8999999999999995</v>
      </c>
      <c r="AK7" s="6">
        <v>30</v>
      </c>
      <c r="AL7" s="6">
        <f t="array" ref="AL7:AW7">F7:P7*G7:Q7</f>
        <v>-10</v>
      </c>
      <c r="AM7" s="6">
        <v>0</v>
      </c>
      <c r="AN7" s="6" t="e" vm="100">
        <v>#VALUE!</v>
      </c>
      <c r="AO7" s="6" t="e" vm="100">
        <v>#VALUE!</v>
      </c>
      <c r="AP7" s="6" t="e">
        <v>#VALUE!</v>
      </c>
      <c r="AQ7" s="6" t="e">
        <v>#VALUE!</v>
      </c>
      <c r="AR7" s="6" t="e">
        <v>#N/A</v>
      </c>
      <c r="AS7" s="6" t="e">
        <v>#DIV/0!</v>
      </c>
      <c r="AT7" s="6" t="e">
        <v>#NAME?</v>
      </c>
      <c r="AU7" s="6" t="e">
        <v>#NULL!</v>
      </c>
      <c r="AV7" s="6" t="e">
        <v>#NUM!</v>
      </c>
      <c r="AW7" s="4" t="e">
        <v>#N/A</v>
      </c>
    </row>
    <row r="8" spans="1:49" ht="11" customHeight="1" x14ac:dyDescent="0.15">
      <c r="A8" s="45" t="s">
        <v>346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>
        <f>C8/D8</f>
        <v>0</v>
      </c>
      <c r="S8" s="6">
        <f t="shared" ref="S8:AF8" si="5">D8/E8</f>
        <v>0.43478260869565222</v>
      </c>
      <c r="T8" s="6">
        <f t="shared" si="5"/>
        <v>0.22999999999999998</v>
      </c>
      <c r="U8" s="6">
        <f t="shared" si="5"/>
        <v>-10</v>
      </c>
      <c r="V8" s="6" t="e">
        <f t="shared" si="5"/>
        <v>#DIV/0!</v>
      </c>
      <c r="W8" s="6" t="e" vm="101">
        <f t="shared" si="5"/>
        <v>#VALUE!</v>
      </c>
      <c r="X8" s="6" t="e" vm="101">
        <f>I8/"a"</f>
        <v>#VALUE!</v>
      </c>
      <c r="Y8" s="6">
        <f>J8/D8</f>
        <v>1</v>
      </c>
      <c r="Z8" s="6" t="e">
        <f t="shared" si="5"/>
        <v>#VALUE!</v>
      </c>
      <c r="AA8" s="6" t="e">
        <f t="shared" si="5"/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8">
        <f t="array" ref="AG8">C8:G8/D8</f>
        <v>0</v>
      </c>
      <c r="AH8" s="8">
        <f t="array" ref="AH8:AK8">C8:P8/3</f>
        <v>0</v>
      </c>
      <c r="AI8" s="6">
        <v>0.33333333333333331</v>
      </c>
      <c r="AJ8" s="6">
        <v>0.76666666666666661</v>
      </c>
      <c r="AK8" s="6">
        <v>3.3333333333333335</v>
      </c>
      <c r="AL8" s="6">
        <f t="array" ref="AL8:AW8">F8:P8/G8:Q8</f>
        <v>-10</v>
      </c>
      <c r="AM8" s="6" t="e">
        <v>#DIV/0!</v>
      </c>
      <c r="AN8" s="6" t="e" vm="101">
        <v>#VALUE!</v>
      </c>
      <c r="AO8" s="6" t="e" vm="101">
        <v>#VALUE!</v>
      </c>
      <c r="AP8" s="6" t="e">
        <v>#VALUE!</v>
      </c>
      <c r="AQ8" s="6" t="e">
        <v>#VALUE!</v>
      </c>
      <c r="AR8" s="6" t="e">
        <v>#N/A</v>
      </c>
      <c r="AS8" s="6" t="e">
        <v>#DIV/0!</v>
      </c>
      <c r="AT8" s="6" t="e">
        <v>#NAME?</v>
      </c>
      <c r="AU8" s="6" t="e">
        <v>#NULL!</v>
      </c>
      <c r="AV8" s="6" t="e">
        <v>#NUM!</v>
      </c>
      <c r="AW8" s="4" t="e">
        <v>#N/A</v>
      </c>
    </row>
    <row r="9" spans="1:49" ht="11" customHeight="1" x14ac:dyDescent="0.15">
      <c r="A9" s="45" t="s">
        <v>347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>
        <f>C9^D9</f>
        <v>0</v>
      </c>
      <c r="S9" s="6">
        <f t="shared" ref="S9:AF9" si="6">D9^E9</f>
        <v>1</v>
      </c>
      <c r="T9" s="6">
        <f t="shared" si="6"/>
        <v>4142.6511213648964</v>
      </c>
      <c r="U9" s="6">
        <f t="shared" si="6"/>
        <v>0.1</v>
      </c>
      <c r="V9" s="6">
        <f t="shared" si="6"/>
        <v>1</v>
      </c>
      <c r="W9" s="6" t="e" vm="102">
        <f t="shared" si="6"/>
        <v>#VALUE!</v>
      </c>
      <c r="X9" s="4" t="e" vm="102">
        <f>I9^"a"</f>
        <v>#VALUE!</v>
      </c>
      <c r="Y9" s="6">
        <f>J9^D9</f>
        <v>1</v>
      </c>
      <c r="Z9" s="6" t="e">
        <f t="shared" si="6"/>
        <v>#VALUE!</v>
      </c>
      <c r="AA9" s="6" t="e">
        <f t="shared" si="6"/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8">
        <f t="array" ref="AG9">C9:G9^D9</f>
        <v>0</v>
      </c>
      <c r="AH9" s="8">
        <f t="array" ref="AH9:AK9">C9:P9^3</f>
        <v>0</v>
      </c>
      <c r="AI9" s="6">
        <v>1</v>
      </c>
      <c r="AJ9" s="6">
        <v>12.166999999999996</v>
      </c>
      <c r="AK9" s="6">
        <v>1000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9" ht="11" customHeight="1" x14ac:dyDescent="0.15">
      <c r="A10" s="45" t="s">
        <v>348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C10&lt;D10</f>
        <v>1</v>
      </c>
      <c r="S10" s="6" t="b">
        <f t="shared" ref="S10:AF10" si="7">D10&lt;E10</f>
        <v>1</v>
      </c>
      <c r="T10" s="6" t="b">
        <f t="shared" si="7"/>
        <v>1</v>
      </c>
      <c r="U10" s="6" t="b">
        <f t="shared" si="7"/>
        <v>0</v>
      </c>
      <c r="V10" s="6" t="b">
        <f t="shared" si="7"/>
        <v>1</v>
      </c>
      <c r="W10" s="6" t="b">
        <f t="shared" si="7"/>
        <v>1</v>
      </c>
      <c r="X10" s="6" t="b">
        <f t="shared" si="7"/>
        <v>1</v>
      </c>
      <c r="Y10" s="6" t="b">
        <f>J10&lt;D10</f>
        <v>0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8" t="b">
        <f t="array" ref="AG10">C10:G10&lt;D10</f>
        <v>1</v>
      </c>
      <c r="AH10" s="8" t="b">
        <f t="array" ref="AH10:AK10">C10:P10&lt;3</f>
        <v>1</v>
      </c>
      <c r="AI10" s="6" t="b">
        <v>1</v>
      </c>
      <c r="AJ10" s="6" t="b">
        <v>1</v>
      </c>
      <c r="AK10" s="6" t="b">
        <v>0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9" ht="11" customHeight="1" x14ac:dyDescent="0.15">
      <c r="A11" s="45" t="s">
        <v>349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C11&lt;=D11</f>
        <v>1</v>
      </c>
      <c r="S11" s="6" t="b">
        <f t="shared" ref="S11:AF11" si="8">D11&lt;=E11</f>
        <v>1</v>
      </c>
      <c r="T11" s="6" t="b">
        <f t="shared" si="8"/>
        <v>1</v>
      </c>
      <c r="U11" s="6" t="b">
        <f t="shared" si="8"/>
        <v>0</v>
      </c>
      <c r="V11" s="6" t="b">
        <f t="shared" si="8"/>
        <v>1</v>
      </c>
      <c r="W11" s="6" t="b">
        <f t="shared" si="8"/>
        <v>1</v>
      </c>
      <c r="X11" s="6" t="b">
        <f t="shared" si="8"/>
        <v>1</v>
      </c>
      <c r="Y11" s="6" t="b">
        <f>J11&lt;=D11</f>
        <v>0</v>
      </c>
      <c r="Z11" s="6" t="e">
        <f t="shared" si="8"/>
        <v>#VALUE!</v>
      </c>
      <c r="AA11" s="6" t="e">
        <f t="shared" si="8"/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8" t="b">
        <f t="array" ref="AG11">C11:G11&lt;=D11</f>
        <v>1</v>
      </c>
      <c r="AH11" s="8" t="b">
        <f t="array" ref="AH11:AK11">C11:P11&lt;=3</f>
        <v>1</v>
      </c>
      <c r="AI11" s="6" t="b">
        <v>1</v>
      </c>
      <c r="AJ11" s="6" t="b">
        <v>1</v>
      </c>
      <c r="AK11" s="6" t="b"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9" ht="11" customHeight="1" x14ac:dyDescent="0.15">
      <c r="A12" s="45" t="s">
        <v>350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C12&gt;D12</f>
        <v>0</v>
      </c>
      <c r="S12" s="6" t="b">
        <f t="shared" ref="S12:AF12" si="9">D12&gt;E12</f>
        <v>0</v>
      </c>
      <c r="T12" s="6" t="b">
        <f t="shared" si="9"/>
        <v>0</v>
      </c>
      <c r="U12" s="6" t="b">
        <f t="shared" si="9"/>
        <v>1</v>
      </c>
      <c r="V12" s="6" t="b">
        <f t="shared" si="9"/>
        <v>0</v>
      </c>
      <c r="W12" s="6" t="b">
        <f t="shared" si="9"/>
        <v>0</v>
      </c>
      <c r="X12" s="6" t="b">
        <f t="shared" si="9"/>
        <v>0</v>
      </c>
      <c r="Y12" s="6" t="b">
        <f>J12&gt;D12</f>
        <v>1</v>
      </c>
      <c r="Z12" s="6" t="e">
        <f t="shared" si="9"/>
        <v>#VALUE!</v>
      </c>
      <c r="AA12" s="6" t="e">
        <f t="shared" si="9"/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8" t="b">
        <f t="array" ref="AG12">C12:G12&gt;D12</f>
        <v>0</v>
      </c>
      <c r="AH12" s="8" t="b">
        <f t="array" ref="AH12:AK12">C12:P12&gt;3</f>
        <v>0</v>
      </c>
      <c r="AI12" s="6" t="b">
        <v>0</v>
      </c>
      <c r="AJ12" s="6" t="b">
        <v>0</v>
      </c>
      <c r="AK12" s="6" t="b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9" ht="11" customHeight="1" x14ac:dyDescent="0.15">
      <c r="A13" s="45" t="s">
        <v>351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C13&gt;=D13</f>
        <v>0</v>
      </c>
      <c r="S13" s="6" t="b">
        <f t="shared" ref="S13:AF13" si="10">D13&gt;=E13</f>
        <v>0</v>
      </c>
      <c r="T13" s="6" t="b">
        <f t="shared" si="10"/>
        <v>0</v>
      </c>
      <c r="U13" s="6" t="b">
        <f t="shared" si="10"/>
        <v>1</v>
      </c>
      <c r="V13" s="6" t="b">
        <f t="shared" si="10"/>
        <v>0</v>
      </c>
      <c r="W13" s="6" t="b">
        <f t="shared" si="10"/>
        <v>0</v>
      </c>
      <c r="X13" s="6" t="b">
        <f t="shared" si="10"/>
        <v>0</v>
      </c>
      <c r="Y13" s="6" t="b">
        <f>J13&gt;=D13</f>
        <v>1</v>
      </c>
      <c r="Z13" s="6" t="e">
        <f t="shared" si="10"/>
        <v>#VALUE!</v>
      </c>
      <c r="AA13" s="6" t="e">
        <f t="shared" si="10"/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8" t="b">
        <f t="array" ref="AG13">C13:G13&gt;=D13</f>
        <v>0</v>
      </c>
      <c r="AH13" s="8" t="b">
        <f t="array" ref="AH13:AK13">C13:P13&gt;=3</f>
        <v>0</v>
      </c>
      <c r="AI13" s="6" t="b">
        <v>0</v>
      </c>
      <c r="AJ13" s="6" t="b">
        <v>0</v>
      </c>
      <c r="AK13" s="6" t="b">
        <v>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9" ht="11" customHeight="1" x14ac:dyDescent="0.15">
      <c r="A14" s="45" t="s">
        <v>352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b">
        <f>C14=D14</f>
        <v>0</v>
      </c>
      <c r="S14" s="6" t="b">
        <f t="shared" ref="S14:AF14" si="11">D14=E14</f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 t="shared" si="11"/>
        <v>0</v>
      </c>
      <c r="Y14" s="6" t="b">
        <f>J14=D14</f>
        <v>0</v>
      </c>
      <c r="Z14" s="6" t="e">
        <f t="shared" si="11"/>
        <v>#VALUE!</v>
      </c>
      <c r="AA14" s="6" t="e">
        <f t="shared" si="11"/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8" t="b">
        <f t="array" ref="AG14">C14:G14=D14</f>
        <v>0</v>
      </c>
      <c r="AH14" s="8" t="b">
        <f t="array" ref="AH14:AK14">C14:P14=3</f>
        <v>0</v>
      </c>
      <c r="AI14" s="6" t="b">
        <v>0</v>
      </c>
      <c r="AJ14" s="6" t="b">
        <v>0</v>
      </c>
      <c r="AK14" s="6" t="b">
        <v>0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9" ht="11" customHeight="1" x14ac:dyDescent="0.15">
      <c r="A15" s="45" t="s">
        <v>353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C15&lt;&gt;D15</f>
        <v>1</v>
      </c>
      <c r="S15" s="6" t="b">
        <f t="shared" ref="S15:AF15" si="12">D15&lt;&gt;E15</f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 t="shared" si="12"/>
        <v>1</v>
      </c>
      <c r="Y15" s="6" t="b">
        <f>J15&lt;&gt;D15</f>
        <v>1</v>
      </c>
      <c r="Z15" s="6" t="e">
        <f t="shared" si="12"/>
        <v>#VALUE!</v>
      </c>
      <c r="AA15" s="6" t="e">
        <f t="shared" si="12"/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8" t="b">
        <f t="array" ref="AG15">C15:G15&lt;&gt;D15</f>
        <v>1</v>
      </c>
      <c r="AH15" s="8" t="b">
        <f t="array" ref="AH15:AK15">C15:P15&lt;&gt;3</f>
        <v>1</v>
      </c>
      <c r="AI15" s="6" t="b">
        <v>1</v>
      </c>
      <c r="AJ15" s="6" t="b">
        <v>1</v>
      </c>
      <c r="AK15" s="6" t="b">
        <v>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ht="11" customHeight="1" x14ac:dyDescent="0.15">
      <c r="A16" s="45" t="s">
        <v>354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str">
        <f>C16&amp;D16</f>
        <v>01</v>
      </c>
      <c r="S16" s="6" t="str">
        <f t="shared" ref="S16:AF16" si="13">D16&amp;E16</f>
        <v>12.3</v>
      </c>
      <c r="T16" s="6" t="str">
        <f t="shared" si="13"/>
        <v>2.310</v>
      </c>
      <c r="U16" s="6" t="str">
        <f t="shared" si="13"/>
        <v>10-1</v>
      </c>
      <c r="V16" s="6" t="str">
        <f t="shared" si="13"/>
        <v>-1</v>
      </c>
      <c r="W16" s="6" t="str">
        <f t="shared" si="13"/>
        <v>ciao</v>
      </c>
      <c r="X16" s="6" t="str">
        <f t="shared" si="13"/>
        <v>ciaoTRUE</v>
      </c>
      <c r="Y16" s="6" t="str">
        <f>J16&amp;D16</f>
        <v>TRUE1</v>
      </c>
      <c r="Z16" s="6" t="e">
        <f t="shared" si="13"/>
        <v>#VALUE!</v>
      </c>
      <c r="AA16" s="6" t="e">
        <f t="shared" si="13"/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8" t="str">
        <f t="array" ref="AG16">C16:G16&amp;D16</f>
        <v>01</v>
      </c>
      <c r="AH16" s="8" t="str">
        <f t="array" ref="AH16:AK16">C16:P16&amp;3</f>
        <v>03</v>
      </c>
      <c r="AI16" s="6" t="str">
        <v>13</v>
      </c>
      <c r="AJ16" s="6" t="str">
        <v>2.33</v>
      </c>
      <c r="AK16" s="6" t="str">
        <v>103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1" customHeight="1" x14ac:dyDescent="0.15">
      <c r="A17" s="45" t="s">
        <v>355</v>
      </c>
      <c r="B17" s="37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C17%</f>
        <v>0</v>
      </c>
      <c r="S17" s="6">
        <f t="shared" ref="S17:AF17" si="14">D17%</f>
        <v>0.01</v>
      </c>
      <c r="T17" s="6">
        <f t="shared" si="14"/>
        <v>2.3E-2</v>
      </c>
      <c r="U17" s="6">
        <f t="shared" si="14"/>
        <v>0.1</v>
      </c>
      <c r="V17" s="6">
        <f t="shared" si="14"/>
        <v>-0.01</v>
      </c>
      <c r="W17" s="6">
        <f t="shared" si="14"/>
        <v>0</v>
      </c>
      <c r="X17" s="6" t="e" vm="99">
        <f t="shared" si="14"/>
        <v>#VALUE!</v>
      </c>
      <c r="Y17" s="6">
        <f>J17%</f>
        <v>0.01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 t="shared" si="14"/>
        <v>#NULL!</v>
      </c>
      <c r="AE17" s="6" t="e">
        <f t="shared" si="14"/>
        <v>#NUM!</v>
      </c>
      <c r="AF17" s="6" t="e">
        <f t="shared" si="14"/>
        <v>#REF!</v>
      </c>
      <c r="AG17" s="8">
        <f t="array" ref="AG17">C17:G17%</f>
        <v>0</v>
      </c>
      <c r="AH17" s="8">
        <f t="array" ref="AH17:AK17">C17:P17%</f>
        <v>0</v>
      </c>
      <c r="AI17" s="6">
        <v>0.01</v>
      </c>
      <c r="AJ17" s="6">
        <v>2.3E-2</v>
      </c>
      <c r="AK17" s="6">
        <v>0.1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1" customHeight="1" x14ac:dyDescent="0.15"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1" customHeight="1" x14ac:dyDescent="0.15"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1" customHeight="1" x14ac:dyDescent="0.15"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C286"/>
  <sheetViews>
    <sheetView workbookViewId="0"/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29" x14ac:dyDescent="0.2">
      <c r="F1">
        <v>1</v>
      </c>
    </row>
    <row r="2" spans="2:29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29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29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29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29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29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29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29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29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29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503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29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29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502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29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 vm="103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499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29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 vm="104">
        <f>SUM("2","4", "")</f>
        <v>#VALUE!</v>
      </c>
      <c r="K15">
        <f>IFERROR(K14,1)</f>
        <v>3</v>
      </c>
      <c r="M15">
        <v>9</v>
      </c>
      <c r="N15">
        <v>1</v>
      </c>
      <c r="T15" t="s">
        <v>500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29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  <c r="T16" t="s">
        <v>501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499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499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499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65"/>
      <c r="N20" s="65"/>
      <c r="O20" s="65"/>
    </row>
    <row r="21" spans="1:29" ht="18" x14ac:dyDescent="0.2">
      <c r="F21">
        <f>C19+1</f>
        <v>1</v>
      </c>
      <c r="H21">
        <v>1</v>
      </c>
      <c r="J21" s="23"/>
      <c r="L21" t="b">
        <f>ISERROR(J18)</f>
        <v>1</v>
      </c>
      <c r="M21">
        <f ca="1">SUM(L18:O20)</f>
        <v>33</v>
      </c>
      <c r="AA21">
        <f>LOOKUP!R76</f>
        <v>2</v>
      </c>
    </row>
    <row r="22" spans="1:29" x14ac:dyDescent="0.2">
      <c r="C22" s="21">
        <v>60</v>
      </c>
      <c r="D22">
        <f>C22+1</f>
        <v>61</v>
      </c>
      <c r="H22">
        <v>0</v>
      </c>
      <c r="J22" s="1" t="s">
        <v>488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487</v>
      </c>
      <c r="E25" t="e">
        <f>REF!#REF!</f>
        <v>#REF!</v>
      </c>
      <c r="F25">
        <f>_1234\5678\90+_1234\5678\91</f>
        <v>1</v>
      </c>
      <c r="M25" s="70" t="str">
        <f>"Exchange(1 "&amp;NAMEDCELL123&amp;"=)"</f>
        <v>Exchange(1 'ciao=)</v>
      </c>
      <c r="N25" s="70"/>
      <c r="O25" s="70"/>
      <c r="V25" cm="1">
        <f t="array" ref="V25:X27">'123'!A1:C3</f>
        <v>1</v>
      </c>
      <c r="W25">
        <v>2</v>
      </c>
      <c r="X25">
        <v>3</v>
      </c>
      <c r="Z25" s="33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494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491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492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493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2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O32" s="1" t="s">
        <v>445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F52" s="2"/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F53" s="2"/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F54" s="2"/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 s="2"/>
      <c r="F55" s="2"/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F56" s="2"/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F57" s="2"/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F58" s="2"/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</row>
    <row r="65" spans="1:3" x14ac:dyDescent="0.2">
      <c r="A65">
        <v>34</v>
      </c>
      <c r="B65" t="str">
        <f t="shared" si="0"/>
        <v>"</v>
      </c>
      <c r="C65">
        <f t="shared" si="1"/>
        <v>34</v>
      </c>
    </row>
    <row r="66" spans="1:3" x14ac:dyDescent="0.2">
      <c r="A66">
        <v>35</v>
      </c>
      <c r="B66" t="str">
        <f t="shared" si="0"/>
        <v>#</v>
      </c>
      <c r="C66">
        <f t="shared" si="1"/>
        <v>35</v>
      </c>
    </row>
    <row r="67" spans="1:3" x14ac:dyDescent="0.2">
      <c r="A67">
        <v>36</v>
      </c>
      <c r="B67" t="str">
        <f t="shared" si="0"/>
        <v>$</v>
      </c>
      <c r="C67">
        <f t="shared" si="1"/>
        <v>36</v>
      </c>
    </row>
    <row r="68" spans="1:3" x14ac:dyDescent="0.2">
      <c r="A68">
        <v>37</v>
      </c>
      <c r="B68" t="str">
        <f t="shared" si="0"/>
        <v>%</v>
      </c>
      <c r="C68">
        <f t="shared" si="1"/>
        <v>37</v>
      </c>
    </row>
    <row r="69" spans="1:3" x14ac:dyDescent="0.2">
      <c r="A69">
        <v>38</v>
      </c>
      <c r="B69" t="str">
        <f t="shared" si="0"/>
        <v>&amp;</v>
      </c>
      <c r="C69">
        <f t="shared" si="1"/>
        <v>38</v>
      </c>
    </row>
    <row r="70" spans="1:3" x14ac:dyDescent="0.2">
      <c r="A70">
        <v>39</v>
      </c>
      <c r="B70" t="str">
        <f t="shared" si="0"/>
        <v>'</v>
      </c>
      <c r="C70">
        <f t="shared" si="1"/>
        <v>39</v>
      </c>
    </row>
    <row r="71" spans="1:3" x14ac:dyDescent="0.2">
      <c r="A71">
        <v>40</v>
      </c>
      <c r="B71" t="str">
        <f t="shared" si="0"/>
        <v>(</v>
      </c>
      <c r="C71">
        <f t="shared" si="1"/>
        <v>40</v>
      </c>
    </row>
    <row r="72" spans="1:3" x14ac:dyDescent="0.2">
      <c r="A72">
        <v>41</v>
      </c>
      <c r="B72" t="str">
        <f t="shared" si="0"/>
        <v>)</v>
      </c>
      <c r="C72">
        <f t="shared" si="1"/>
        <v>41</v>
      </c>
    </row>
    <row r="73" spans="1:3" x14ac:dyDescent="0.2">
      <c r="A73">
        <v>42</v>
      </c>
      <c r="B73" t="str">
        <f t="shared" si="0"/>
        <v>*</v>
      </c>
      <c r="C73">
        <f t="shared" si="1"/>
        <v>42</v>
      </c>
    </row>
    <row r="74" spans="1:3" x14ac:dyDescent="0.2">
      <c r="A74">
        <v>43</v>
      </c>
      <c r="B74" t="str">
        <f t="shared" si="0"/>
        <v>+</v>
      </c>
      <c r="C74">
        <f t="shared" si="1"/>
        <v>43</v>
      </c>
    </row>
    <row r="75" spans="1:3" x14ac:dyDescent="0.2">
      <c r="A75">
        <v>44</v>
      </c>
      <c r="B75" t="str">
        <f t="shared" si="0"/>
        <v>,</v>
      </c>
      <c r="C75">
        <f t="shared" si="1"/>
        <v>44</v>
      </c>
    </row>
    <row r="76" spans="1:3" x14ac:dyDescent="0.2">
      <c r="A76">
        <v>45</v>
      </c>
      <c r="B76" t="str">
        <f t="shared" si="0"/>
        <v>-</v>
      </c>
      <c r="C76">
        <f t="shared" si="1"/>
        <v>45</v>
      </c>
    </row>
    <row r="77" spans="1:3" x14ac:dyDescent="0.2">
      <c r="A77">
        <v>46</v>
      </c>
      <c r="B77" t="str">
        <f t="shared" si="0"/>
        <v>.</v>
      </c>
      <c r="C77">
        <f t="shared" si="1"/>
        <v>46</v>
      </c>
    </row>
    <row r="78" spans="1:3" x14ac:dyDescent="0.2">
      <c r="A78">
        <v>47</v>
      </c>
      <c r="B78" t="str">
        <f t="shared" si="0"/>
        <v>/</v>
      </c>
      <c r="C78">
        <f t="shared" si="1"/>
        <v>47</v>
      </c>
    </row>
    <row r="79" spans="1:3" x14ac:dyDescent="0.2">
      <c r="A79">
        <v>48</v>
      </c>
      <c r="B79" t="str">
        <f t="shared" si="0"/>
        <v>0</v>
      </c>
      <c r="C79">
        <f t="shared" si="1"/>
        <v>48</v>
      </c>
    </row>
    <row r="80" spans="1:3" x14ac:dyDescent="0.2">
      <c r="A80">
        <v>49</v>
      </c>
      <c r="B80" t="str">
        <f t="shared" si="0"/>
        <v>1</v>
      </c>
      <c r="C80">
        <f t="shared" si="1"/>
        <v>49</v>
      </c>
    </row>
    <row r="81" spans="1:3" x14ac:dyDescent="0.2">
      <c r="A81">
        <v>50</v>
      </c>
      <c r="B81" t="str">
        <f t="shared" si="0"/>
        <v>2</v>
      </c>
      <c r="C81">
        <f t="shared" si="1"/>
        <v>50</v>
      </c>
    </row>
    <row r="82" spans="1:3" x14ac:dyDescent="0.2">
      <c r="A82">
        <v>51</v>
      </c>
      <c r="B82" t="str">
        <f t="shared" si="0"/>
        <v>3</v>
      </c>
      <c r="C82">
        <f t="shared" si="1"/>
        <v>51</v>
      </c>
    </row>
    <row r="83" spans="1:3" x14ac:dyDescent="0.2">
      <c r="A83">
        <v>52</v>
      </c>
      <c r="B83" t="str">
        <f t="shared" si="0"/>
        <v>4</v>
      </c>
      <c r="C83">
        <f t="shared" si="1"/>
        <v>52</v>
      </c>
    </row>
    <row r="84" spans="1:3" x14ac:dyDescent="0.2">
      <c r="A84">
        <v>53</v>
      </c>
      <c r="B84" t="str">
        <f t="shared" si="0"/>
        <v>5</v>
      </c>
      <c r="C84">
        <f t="shared" si="1"/>
        <v>53</v>
      </c>
    </row>
    <row r="85" spans="1:3" x14ac:dyDescent="0.2">
      <c r="A85">
        <v>54</v>
      </c>
      <c r="B85" t="str">
        <f t="shared" si="0"/>
        <v>6</v>
      </c>
      <c r="C85">
        <f t="shared" si="1"/>
        <v>54</v>
      </c>
    </row>
    <row r="86" spans="1:3" x14ac:dyDescent="0.2">
      <c r="A86">
        <v>55</v>
      </c>
      <c r="B86" t="str">
        <f t="shared" si="0"/>
        <v>7</v>
      </c>
      <c r="C86">
        <f t="shared" si="1"/>
        <v>55</v>
      </c>
    </row>
    <row r="87" spans="1:3" x14ac:dyDescent="0.2">
      <c r="A87">
        <v>56</v>
      </c>
      <c r="B87" t="str">
        <f t="shared" si="0"/>
        <v>8</v>
      </c>
      <c r="C87">
        <f t="shared" si="1"/>
        <v>56</v>
      </c>
    </row>
    <row r="88" spans="1:3" x14ac:dyDescent="0.2">
      <c r="A88">
        <v>57</v>
      </c>
      <c r="B88" t="str">
        <f t="shared" si="0"/>
        <v>9</v>
      </c>
      <c r="C88">
        <f t="shared" si="1"/>
        <v>57</v>
      </c>
    </row>
    <row r="89" spans="1:3" x14ac:dyDescent="0.2">
      <c r="A89">
        <v>58</v>
      </c>
      <c r="B89" t="str">
        <f t="shared" si="0"/>
        <v>:</v>
      </c>
      <c r="C89">
        <f t="shared" si="1"/>
        <v>58</v>
      </c>
    </row>
    <row r="90" spans="1:3" x14ac:dyDescent="0.2">
      <c r="A90">
        <v>59</v>
      </c>
      <c r="B90" t="str">
        <f t="shared" si="0"/>
        <v>;</v>
      </c>
      <c r="C90">
        <f t="shared" si="1"/>
        <v>59</v>
      </c>
    </row>
    <row r="91" spans="1:3" x14ac:dyDescent="0.2">
      <c r="A91">
        <v>60</v>
      </c>
      <c r="B91" t="str">
        <f t="shared" si="0"/>
        <v>&lt;</v>
      </c>
      <c r="C91">
        <f t="shared" si="1"/>
        <v>60</v>
      </c>
    </row>
    <row r="92" spans="1:3" x14ac:dyDescent="0.2">
      <c r="A92">
        <v>61</v>
      </c>
      <c r="B92" t="str">
        <f t="shared" si="0"/>
        <v>=</v>
      </c>
      <c r="C92">
        <f t="shared" si="1"/>
        <v>61</v>
      </c>
    </row>
    <row r="93" spans="1:3" x14ac:dyDescent="0.2">
      <c r="A93">
        <v>62</v>
      </c>
      <c r="B93" t="str">
        <f t="shared" si="0"/>
        <v>&gt;</v>
      </c>
      <c r="C93">
        <f t="shared" si="1"/>
        <v>62</v>
      </c>
    </row>
    <row r="94" spans="1:3" x14ac:dyDescent="0.2">
      <c r="A94">
        <v>63</v>
      </c>
      <c r="B94" t="str">
        <f t="shared" si="0"/>
        <v>?</v>
      </c>
      <c r="C94">
        <f t="shared" si="1"/>
        <v>63</v>
      </c>
    </row>
    <row r="95" spans="1:3" x14ac:dyDescent="0.2">
      <c r="A95">
        <v>64</v>
      </c>
      <c r="B95" t="str">
        <f t="shared" si="0"/>
        <v>@</v>
      </c>
      <c r="C95">
        <f t="shared" si="1"/>
        <v>64</v>
      </c>
    </row>
    <row r="96" spans="1:3" x14ac:dyDescent="0.2">
      <c r="A96">
        <v>65</v>
      </c>
      <c r="B96" t="str">
        <f t="shared" si="0"/>
        <v>A</v>
      </c>
      <c r="C96">
        <f t="shared" si="1"/>
        <v>65</v>
      </c>
    </row>
    <row r="97" spans="1:3" x14ac:dyDescent="0.2">
      <c r="A97">
        <v>66</v>
      </c>
      <c r="B97" t="str">
        <f t="shared" ref="B97:B160" si="2">CHAR(A97)</f>
        <v>B</v>
      </c>
      <c r="C97">
        <f t="shared" ref="C97:C160" si="3">CODE(B97)</f>
        <v>66</v>
      </c>
    </row>
    <row r="98" spans="1:3" x14ac:dyDescent="0.2">
      <c r="A98">
        <v>67</v>
      </c>
      <c r="B98" t="str">
        <f t="shared" si="2"/>
        <v>C</v>
      </c>
      <c r="C98">
        <f t="shared" si="3"/>
        <v>67</v>
      </c>
    </row>
    <row r="99" spans="1:3" x14ac:dyDescent="0.2">
      <c r="A99">
        <v>68</v>
      </c>
      <c r="B99" t="str">
        <f t="shared" si="2"/>
        <v>D</v>
      </c>
      <c r="C99">
        <f t="shared" si="3"/>
        <v>68</v>
      </c>
    </row>
    <row r="100" spans="1:3" x14ac:dyDescent="0.2">
      <c r="A100">
        <v>69</v>
      </c>
      <c r="B100" t="str">
        <f t="shared" si="2"/>
        <v>E</v>
      </c>
      <c r="C100">
        <f t="shared" si="3"/>
        <v>69</v>
      </c>
    </row>
    <row r="101" spans="1:3" x14ac:dyDescent="0.2">
      <c r="A101">
        <v>70</v>
      </c>
      <c r="B101" t="str">
        <f t="shared" si="2"/>
        <v>F</v>
      </c>
      <c r="C101">
        <f t="shared" si="3"/>
        <v>70</v>
      </c>
    </row>
    <row r="102" spans="1:3" x14ac:dyDescent="0.2">
      <c r="A102">
        <v>71</v>
      </c>
      <c r="B102" t="str">
        <f t="shared" si="2"/>
        <v>G</v>
      </c>
      <c r="C102">
        <f t="shared" si="3"/>
        <v>71</v>
      </c>
    </row>
    <row r="103" spans="1:3" x14ac:dyDescent="0.2">
      <c r="A103">
        <v>72</v>
      </c>
      <c r="B103" t="str">
        <f t="shared" si="2"/>
        <v>H</v>
      </c>
      <c r="C103">
        <f t="shared" si="3"/>
        <v>72</v>
      </c>
    </row>
    <row r="104" spans="1:3" x14ac:dyDescent="0.2">
      <c r="A104">
        <v>73</v>
      </c>
      <c r="B104" t="str">
        <f t="shared" si="2"/>
        <v>I</v>
      </c>
      <c r="C104">
        <f t="shared" si="3"/>
        <v>73</v>
      </c>
    </row>
    <row r="105" spans="1:3" x14ac:dyDescent="0.2">
      <c r="A105">
        <v>74</v>
      </c>
      <c r="B105" t="str">
        <f t="shared" si="2"/>
        <v>J</v>
      </c>
      <c r="C105">
        <f t="shared" si="3"/>
        <v>74</v>
      </c>
    </row>
    <row r="106" spans="1:3" x14ac:dyDescent="0.2">
      <c r="A106">
        <v>75</v>
      </c>
      <c r="B106" t="str">
        <f t="shared" si="2"/>
        <v>K</v>
      </c>
      <c r="C106">
        <f t="shared" si="3"/>
        <v>75</v>
      </c>
    </row>
    <row r="107" spans="1:3" x14ac:dyDescent="0.2">
      <c r="A107">
        <v>76</v>
      </c>
      <c r="B107" t="str">
        <f t="shared" si="2"/>
        <v>L</v>
      </c>
      <c r="C107">
        <f t="shared" si="3"/>
        <v>76</v>
      </c>
    </row>
    <row r="108" spans="1:3" x14ac:dyDescent="0.2">
      <c r="A108">
        <v>77</v>
      </c>
      <c r="B108" t="str">
        <f t="shared" si="2"/>
        <v>M</v>
      </c>
      <c r="C108">
        <f t="shared" si="3"/>
        <v>77</v>
      </c>
    </row>
    <row r="109" spans="1:3" x14ac:dyDescent="0.2">
      <c r="A109">
        <v>78</v>
      </c>
      <c r="B109" t="str">
        <f t="shared" si="2"/>
        <v>N</v>
      </c>
      <c r="C109">
        <f t="shared" si="3"/>
        <v>78</v>
      </c>
    </row>
    <row r="110" spans="1:3" x14ac:dyDescent="0.2">
      <c r="A110">
        <v>79</v>
      </c>
      <c r="B110" t="str">
        <f t="shared" si="2"/>
        <v>O</v>
      </c>
      <c r="C110">
        <f t="shared" si="3"/>
        <v>79</v>
      </c>
    </row>
    <row r="111" spans="1:3" x14ac:dyDescent="0.2">
      <c r="A111">
        <v>80</v>
      </c>
      <c r="B111" t="str">
        <f t="shared" si="2"/>
        <v>P</v>
      </c>
      <c r="C111">
        <f t="shared" si="3"/>
        <v>80</v>
      </c>
    </row>
    <row r="112" spans="1:3" x14ac:dyDescent="0.2">
      <c r="A112">
        <v>81</v>
      </c>
      <c r="B112" t="str">
        <f t="shared" si="2"/>
        <v>Q</v>
      </c>
      <c r="C112">
        <f t="shared" si="3"/>
        <v>81</v>
      </c>
    </row>
    <row r="113" spans="1:3" x14ac:dyDescent="0.2">
      <c r="A113">
        <v>82</v>
      </c>
      <c r="B113" t="str">
        <f t="shared" si="2"/>
        <v>R</v>
      </c>
      <c r="C113">
        <f t="shared" si="3"/>
        <v>82</v>
      </c>
    </row>
    <row r="114" spans="1:3" x14ac:dyDescent="0.2">
      <c r="A114">
        <v>83</v>
      </c>
      <c r="B114" t="str">
        <f t="shared" si="2"/>
        <v>S</v>
      </c>
      <c r="C114">
        <f t="shared" si="3"/>
        <v>83</v>
      </c>
    </row>
    <row r="115" spans="1:3" x14ac:dyDescent="0.2">
      <c r="A115">
        <v>84</v>
      </c>
      <c r="B115" t="str">
        <f t="shared" si="2"/>
        <v>T</v>
      </c>
      <c r="C115">
        <f t="shared" si="3"/>
        <v>84</v>
      </c>
    </row>
    <row r="116" spans="1:3" x14ac:dyDescent="0.2">
      <c r="A116">
        <v>85</v>
      </c>
      <c r="B116" t="str">
        <f t="shared" si="2"/>
        <v>U</v>
      </c>
      <c r="C116">
        <f t="shared" si="3"/>
        <v>85</v>
      </c>
    </row>
    <row r="117" spans="1:3" x14ac:dyDescent="0.2">
      <c r="A117">
        <v>86</v>
      </c>
      <c r="B117" t="str">
        <f t="shared" si="2"/>
        <v>V</v>
      </c>
      <c r="C117">
        <f t="shared" si="3"/>
        <v>86</v>
      </c>
    </row>
    <row r="118" spans="1:3" x14ac:dyDescent="0.2">
      <c r="A118">
        <v>87</v>
      </c>
      <c r="B118" t="str">
        <f t="shared" si="2"/>
        <v>W</v>
      </c>
      <c r="C118">
        <f t="shared" si="3"/>
        <v>87</v>
      </c>
    </row>
    <row r="119" spans="1:3" x14ac:dyDescent="0.2">
      <c r="A119">
        <v>88</v>
      </c>
      <c r="B119" t="str">
        <f t="shared" si="2"/>
        <v>X</v>
      </c>
      <c r="C119">
        <f t="shared" si="3"/>
        <v>88</v>
      </c>
    </row>
    <row r="120" spans="1:3" x14ac:dyDescent="0.2">
      <c r="A120">
        <v>89</v>
      </c>
      <c r="B120" t="str">
        <f t="shared" si="2"/>
        <v>Y</v>
      </c>
      <c r="C120">
        <f t="shared" si="3"/>
        <v>89</v>
      </c>
    </row>
    <row r="121" spans="1:3" x14ac:dyDescent="0.2">
      <c r="A121">
        <v>90</v>
      </c>
      <c r="B121" t="str">
        <f t="shared" si="2"/>
        <v>Z</v>
      </c>
      <c r="C121">
        <f t="shared" si="3"/>
        <v>90</v>
      </c>
    </row>
    <row r="122" spans="1:3" x14ac:dyDescent="0.2">
      <c r="A122">
        <v>91</v>
      </c>
      <c r="B122" t="str">
        <f t="shared" si="2"/>
        <v>[</v>
      </c>
      <c r="C122">
        <f t="shared" si="3"/>
        <v>91</v>
      </c>
    </row>
    <row r="123" spans="1:3" x14ac:dyDescent="0.2">
      <c r="A123">
        <v>92</v>
      </c>
      <c r="B123" t="str">
        <f t="shared" si="2"/>
        <v>\</v>
      </c>
      <c r="C123">
        <f t="shared" si="3"/>
        <v>92</v>
      </c>
    </row>
    <row r="124" spans="1:3" x14ac:dyDescent="0.2">
      <c r="A124">
        <v>93</v>
      </c>
      <c r="B124" t="str">
        <f t="shared" si="2"/>
        <v>]</v>
      </c>
      <c r="C124">
        <f t="shared" si="3"/>
        <v>93</v>
      </c>
    </row>
    <row r="125" spans="1:3" x14ac:dyDescent="0.2">
      <c r="A125">
        <v>94</v>
      </c>
      <c r="B125" t="str">
        <f t="shared" si="2"/>
        <v>^</v>
      </c>
      <c r="C125">
        <f t="shared" si="3"/>
        <v>94</v>
      </c>
    </row>
    <row r="126" spans="1:3" x14ac:dyDescent="0.2">
      <c r="A126">
        <v>95</v>
      </c>
      <c r="B126" t="str">
        <f t="shared" si="2"/>
        <v>_</v>
      </c>
      <c r="C126">
        <f t="shared" si="3"/>
        <v>95</v>
      </c>
    </row>
    <row r="127" spans="1:3" x14ac:dyDescent="0.2">
      <c r="A127">
        <v>96</v>
      </c>
      <c r="B127" t="str">
        <f t="shared" si="2"/>
        <v>`</v>
      </c>
      <c r="C127">
        <f t="shared" si="3"/>
        <v>96</v>
      </c>
    </row>
    <row r="128" spans="1:3" x14ac:dyDescent="0.2">
      <c r="A128">
        <v>97</v>
      </c>
      <c r="B128" t="str">
        <f t="shared" si="2"/>
        <v>a</v>
      </c>
      <c r="C128">
        <f t="shared" si="3"/>
        <v>97</v>
      </c>
    </row>
    <row r="129" spans="1:3" x14ac:dyDescent="0.2">
      <c r="A129">
        <v>98</v>
      </c>
      <c r="B129" t="str">
        <f t="shared" si="2"/>
        <v>b</v>
      </c>
      <c r="C129">
        <f t="shared" si="3"/>
        <v>98</v>
      </c>
    </row>
    <row r="130" spans="1:3" x14ac:dyDescent="0.2">
      <c r="A130">
        <v>99</v>
      </c>
      <c r="B130" t="str">
        <f t="shared" si="2"/>
        <v>c</v>
      </c>
      <c r="C130">
        <f t="shared" si="3"/>
        <v>99</v>
      </c>
    </row>
    <row r="131" spans="1:3" x14ac:dyDescent="0.2">
      <c r="A131">
        <v>100</v>
      </c>
      <c r="B131" t="str">
        <f t="shared" si="2"/>
        <v>d</v>
      </c>
      <c r="C131">
        <f t="shared" si="3"/>
        <v>100</v>
      </c>
    </row>
    <row r="132" spans="1:3" x14ac:dyDescent="0.2">
      <c r="A132">
        <v>101</v>
      </c>
      <c r="B132" t="str">
        <f t="shared" si="2"/>
        <v>e</v>
      </c>
      <c r="C132">
        <f t="shared" si="3"/>
        <v>101</v>
      </c>
    </row>
    <row r="133" spans="1:3" x14ac:dyDescent="0.2">
      <c r="A133">
        <v>102</v>
      </c>
      <c r="B133" t="str">
        <f t="shared" si="2"/>
        <v>f</v>
      </c>
      <c r="C133">
        <f t="shared" si="3"/>
        <v>102</v>
      </c>
    </row>
    <row r="134" spans="1:3" x14ac:dyDescent="0.2">
      <c r="A134">
        <v>103</v>
      </c>
      <c r="B134" t="str">
        <f t="shared" si="2"/>
        <v>g</v>
      </c>
      <c r="C134">
        <f t="shared" si="3"/>
        <v>103</v>
      </c>
    </row>
    <row r="135" spans="1:3" x14ac:dyDescent="0.2">
      <c r="A135">
        <v>104</v>
      </c>
      <c r="B135" t="str">
        <f t="shared" si="2"/>
        <v>h</v>
      </c>
      <c r="C135">
        <f t="shared" si="3"/>
        <v>104</v>
      </c>
    </row>
    <row r="136" spans="1:3" x14ac:dyDescent="0.2">
      <c r="A136">
        <v>105</v>
      </c>
      <c r="B136" t="str">
        <f t="shared" si="2"/>
        <v>i</v>
      </c>
      <c r="C136">
        <f t="shared" si="3"/>
        <v>105</v>
      </c>
    </row>
    <row r="137" spans="1:3" x14ac:dyDescent="0.2">
      <c r="A137">
        <v>106</v>
      </c>
      <c r="B137" t="str">
        <f t="shared" si="2"/>
        <v>j</v>
      </c>
      <c r="C137">
        <f t="shared" si="3"/>
        <v>106</v>
      </c>
    </row>
    <row r="138" spans="1:3" x14ac:dyDescent="0.2">
      <c r="A138">
        <v>107</v>
      </c>
      <c r="B138" t="str">
        <f t="shared" si="2"/>
        <v>k</v>
      </c>
      <c r="C138">
        <f t="shared" si="3"/>
        <v>107</v>
      </c>
    </row>
    <row r="139" spans="1:3" x14ac:dyDescent="0.2">
      <c r="A139">
        <v>108</v>
      </c>
      <c r="B139" t="str">
        <f t="shared" si="2"/>
        <v>l</v>
      </c>
      <c r="C139">
        <f t="shared" si="3"/>
        <v>108</v>
      </c>
    </row>
    <row r="140" spans="1:3" x14ac:dyDescent="0.2">
      <c r="A140">
        <v>109</v>
      </c>
      <c r="B140" t="str">
        <f t="shared" si="2"/>
        <v>m</v>
      </c>
      <c r="C140">
        <f t="shared" si="3"/>
        <v>109</v>
      </c>
    </row>
    <row r="141" spans="1:3" x14ac:dyDescent="0.2">
      <c r="A141">
        <v>110</v>
      </c>
      <c r="B141" t="str">
        <f t="shared" si="2"/>
        <v>n</v>
      </c>
      <c r="C141">
        <f t="shared" si="3"/>
        <v>110</v>
      </c>
    </row>
    <row r="142" spans="1:3" x14ac:dyDescent="0.2">
      <c r="A142">
        <v>111</v>
      </c>
      <c r="B142" t="str">
        <f t="shared" si="2"/>
        <v>o</v>
      </c>
      <c r="C142">
        <f t="shared" si="3"/>
        <v>111</v>
      </c>
    </row>
    <row r="143" spans="1:3" x14ac:dyDescent="0.2">
      <c r="A143">
        <v>112</v>
      </c>
      <c r="B143" t="str">
        <f t="shared" si="2"/>
        <v>p</v>
      </c>
      <c r="C143">
        <f t="shared" si="3"/>
        <v>112</v>
      </c>
    </row>
    <row r="144" spans="1:3" x14ac:dyDescent="0.2">
      <c r="A144">
        <v>113</v>
      </c>
      <c r="B144" t="str">
        <f t="shared" si="2"/>
        <v>q</v>
      </c>
      <c r="C144">
        <f t="shared" si="3"/>
        <v>113</v>
      </c>
    </row>
    <row r="145" spans="1:3" x14ac:dyDescent="0.2">
      <c r="A145">
        <v>114</v>
      </c>
      <c r="B145" t="str">
        <f t="shared" si="2"/>
        <v>r</v>
      </c>
      <c r="C145">
        <f t="shared" si="3"/>
        <v>114</v>
      </c>
    </row>
    <row r="146" spans="1:3" x14ac:dyDescent="0.2">
      <c r="A146">
        <v>115</v>
      </c>
      <c r="B146" t="str">
        <f t="shared" si="2"/>
        <v>s</v>
      </c>
      <c r="C146">
        <f t="shared" si="3"/>
        <v>115</v>
      </c>
    </row>
    <row r="147" spans="1:3" x14ac:dyDescent="0.2">
      <c r="A147">
        <v>116</v>
      </c>
      <c r="B147" t="str">
        <f t="shared" si="2"/>
        <v>t</v>
      </c>
      <c r="C147">
        <f t="shared" si="3"/>
        <v>116</v>
      </c>
    </row>
    <row r="148" spans="1:3" x14ac:dyDescent="0.2">
      <c r="A148">
        <v>117</v>
      </c>
      <c r="B148" t="str">
        <f t="shared" si="2"/>
        <v>u</v>
      </c>
      <c r="C148">
        <f t="shared" si="3"/>
        <v>117</v>
      </c>
    </row>
    <row r="149" spans="1:3" x14ac:dyDescent="0.2">
      <c r="A149">
        <v>118</v>
      </c>
      <c r="B149" t="str">
        <f t="shared" si="2"/>
        <v>v</v>
      </c>
      <c r="C149">
        <f t="shared" si="3"/>
        <v>118</v>
      </c>
    </row>
    <row r="150" spans="1:3" x14ac:dyDescent="0.2">
      <c r="A150">
        <v>119</v>
      </c>
      <c r="B150" t="str">
        <f t="shared" si="2"/>
        <v>w</v>
      </c>
      <c r="C150">
        <f t="shared" si="3"/>
        <v>119</v>
      </c>
    </row>
    <row r="151" spans="1:3" x14ac:dyDescent="0.2">
      <c r="A151">
        <v>120</v>
      </c>
      <c r="B151" t="str">
        <f t="shared" si="2"/>
        <v>x</v>
      </c>
      <c r="C151">
        <f t="shared" si="3"/>
        <v>120</v>
      </c>
    </row>
    <row r="152" spans="1:3" x14ac:dyDescent="0.2">
      <c r="A152">
        <v>121</v>
      </c>
      <c r="B152" t="str">
        <f t="shared" si="2"/>
        <v>y</v>
      </c>
      <c r="C152">
        <f t="shared" si="3"/>
        <v>121</v>
      </c>
    </row>
    <row r="153" spans="1:3" x14ac:dyDescent="0.2">
      <c r="A153">
        <v>122</v>
      </c>
      <c r="B153" t="str">
        <f t="shared" si="2"/>
        <v>z</v>
      </c>
      <c r="C153">
        <f t="shared" si="3"/>
        <v>122</v>
      </c>
    </row>
    <row r="154" spans="1:3" x14ac:dyDescent="0.2">
      <c r="A154">
        <v>123</v>
      </c>
      <c r="B154" t="str">
        <f t="shared" si="2"/>
        <v>{</v>
      </c>
      <c r="C154">
        <f t="shared" si="3"/>
        <v>123</v>
      </c>
    </row>
    <row r="155" spans="1:3" x14ac:dyDescent="0.2">
      <c r="A155">
        <v>124</v>
      </c>
      <c r="B155" t="str">
        <f t="shared" si="2"/>
        <v>|</v>
      </c>
      <c r="C155">
        <f t="shared" si="3"/>
        <v>124</v>
      </c>
    </row>
    <row r="156" spans="1:3" x14ac:dyDescent="0.2">
      <c r="A156">
        <v>125</v>
      </c>
      <c r="B156" t="str">
        <f t="shared" si="2"/>
        <v>}</v>
      </c>
      <c r="C156">
        <f t="shared" si="3"/>
        <v>125</v>
      </c>
    </row>
    <row r="157" spans="1:3" x14ac:dyDescent="0.2">
      <c r="A157">
        <v>126</v>
      </c>
      <c r="B157" t="str">
        <f t="shared" si="2"/>
        <v>~</v>
      </c>
      <c r="C157">
        <f t="shared" si="3"/>
        <v>126</v>
      </c>
    </row>
    <row r="158" spans="1:3" x14ac:dyDescent="0.2">
      <c r="A158">
        <v>127</v>
      </c>
      <c r="B158" t="str">
        <f t="shared" si="2"/>
        <v></v>
      </c>
      <c r="C158">
        <f t="shared" si="3"/>
        <v>127</v>
      </c>
    </row>
    <row r="159" spans="1:3" x14ac:dyDescent="0.2">
      <c r="A159">
        <v>128</v>
      </c>
      <c r="B159" t="str">
        <f t="shared" si="2"/>
        <v>Ä</v>
      </c>
      <c r="C159">
        <f t="shared" si="3"/>
        <v>128</v>
      </c>
    </row>
    <row r="160" spans="1:3" x14ac:dyDescent="0.2">
      <c r="A160">
        <v>129</v>
      </c>
      <c r="B160" t="str">
        <f t="shared" si="2"/>
        <v>Å</v>
      </c>
      <c r="C160">
        <f t="shared" si="3"/>
        <v>129</v>
      </c>
    </row>
    <row r="161" spans="1:3" x14ac:dyDescent="0.2">
      <c r="A161">
        <v>130</v>
      </c>
      <c r="B161" t="str">
        <f t="shared" ref="B161:B224" si="4">CHAR(A161)</f>
        <v>Ç</v>
      </c>
      <c r="C161">
        <f t="shared" ref="C161:C224" si="5">CODE(B161)</f>
        <v>130</v>
      </c>
    </row>
    <row r="162" spans="1:3" x14ac:dyDescent="0.2">
      <c r="A162">
        <v>131</v>
      </c>
      <c r="B162" t="str">
        <f t="shared" si="4"/>
        <v>É</v>
      </c>
      <c r="C162">
        <f t="shared" si="5"/>
        <v>131</v>
      </c>
    </row>
    <row r="163" spans="1:3" x14ac:dyDescent="0.2">
      <c r="A163">
        <v>132</v>
      </c>
      <c r="B163" t="str">
        <f t="shared" si="4"/>
        <v>Ñ</v>
      </c>
      <c r="C163">
        <f t="shared" si="5"/>
        <v>132</v>
      </c>
    </row>
    <row r="164" spans="1:3" x14ac:dyDescent="0.2">
      <c r="A164">
        <v>133</v>
      </c>
      <c r="B164" t="str">
        <f t="shared" si="4"/>
        <v>Ö</v>
      </c>
      <c r="C164">
        <f t="shared" si="5"/>
        <v>133</v>
      </c>
    </row>
    <row r="165" spans="1:3" x14ac:dyDescent="0.2">
      <c r="A165">
        <v>134</v>
      </c>
      <c r="B165" t="str">
        <f t="shared" si="4"/>
        <v>Ü</v>
      </c>
      <c r="C165">
        <f t="shared" si="5"/>
        <v>134</v>
      </c>
    </row>
    <row r="166" spans="1:3" x14ac:dyDescent="0.2">
      <c r="A166">
        <v>135</v>
      </c>
      <c r="B166" t="str">
        <f t="shared" si="4"/>
        <v>á</v>
      </c>
      <c r="C166">
        <f t="shared" si="5"/>
        <v>135</v>
      </c>
    </row>
    <row r="167" spans="1:3" x14ac:dyDescent="0.2">
      <c r="A167">
        <v>136</v>
      </c>
      <c r="B167" t="str">
        <f t="shared" si="4"/>
        <v>à</v>
      </c>
      <c r="C167">
        <f t="shared" si="5"/>
        <v>136</v>
      </c>
    </row>
    <row r="168" spans="1:3" x14ac:dyDescent="0.2">
      <c r="A168">
        <v>137</v>
      </c>
      <c r="B168" t="str">
        <f t="shared" si="4"/>
        <v>â</v>
      </c>
      <c r="C168">
        <f t="shared" si="5"/>
        <v>137</v>
      </c>
    </row>
    <row r="169" spans="1:3" x14ac:dyDescent="0.2">
      <c r="A169">
        <v>138</v>
      </c>
      <c r="B169" t="str">
        <f t="shared" si="4"/>
        <v>ä</v>
      </c>
      <c r="C169">
        <f t="shared" si="5"/>
        <v>138</v>
      </c>
    </row>
    <row r="170" spans="1:3" x14ac:dyDescent="0.2">
      <c r="A170">
        <v>139</v>
      </c>
      <c r="B170" t="str">
        <f t="shared" si="4"/>
        <v>ã</v>
      </c>
      <c r="C170">
        <f t="shared" si="5"/>
        <v>139</v>
      </c>
    </row>
    <row r="171" spans="1:3" x14ac:dyDescent="0.2">
      <c r="A171">
        <v>140</v>
      </c>
      <c r="B171" t="str">
        <f t="shared" si="4"/>
        <v>å</v>
      </c>
      <c r="C171">
        <f t="shared" si="5"/>
        <v>140</v>
      </c>
    </row>
    <row r="172" spans="1:3" x14ac:dyDescent="0.2">
      <c r="A172">
        <v>141</v>
      </c>
      <c r="B172" t="str">
        <f t="shared" si="4"/>
        <v>ç</v>
      </c>
      <c r="C172">
        <f t="shared" si="5"/>
        <v>141</v>
      </c>
    </row>
    <row r="173" spans="1:3" x14ac:dyDescent="0.2">
      <c r="A173">
        <v>142</v>
      </c>
      <c r="B173" t="str">
        <f t="shared" si="4"/>
        <v>é</v>
      </c>
      <c r="C173">
        <f t="shared" si="5"/>
        <v>142</v>
      </c>
    </row>
    <row r="174" spans="1:3" x14ac:dyDescent="0.2">
      <c r="A174">
        <v>143</v>
      </c>
      <c r="B174" t="str">
        <f t="shared" si="4"/>
        <v>è</v>
      </c>
      <c r="C174">
        <f t="shared" si="5"/>
        <v>143</v>
      </c>
    </row>
    <row r="175" spans="1:3" x14ac:dyDescent="0.2">
      <c r="A175">
        <v>144</v>
      </c>
      <c r="B175" t="str">
        <f t="shared" si="4"/>
        <v>ê</v>
      </c>
      <c r="C175">
        <f t="shared" si="5"/>
        <v>144</v>
      </c>
    </row>
    <row r="176" spans="1:3" x14ac:dyDescent="0.2">
      <c r="A176">
        <v>145</v>
      </c>
      <c r="B176" t="str">
        <f t="shared" si="4"/>
        <v>ë</v>
      </c>
      <c r="C176">
        <f t="shared" si="5"/>
        <v>145</v>
      </c>
    </row>
    <row r="177" spans="1:3" x14ac:dyDescent="0.2">
      <c r="A177">
        <v>146</v>
      </c>
      <c r="B177" t="str">
        <f t="shared" si="4"/>
        <v>í</v>
      </c>
      <c r="C177">
        <f t="shared" si="5"/>
        <v>146</v>
      </c>
    </row>
    <row r="178" spans="1:3" x14ac:dyDescent="0.2">
      <c r="A178">
        <v>147</v>
      </c>
      <c r="B178" t="str">
        <f t="shared" si="4"/>
        <v>ì</v>
      </c>
      <c r="C178">
        <f t="shared" si="5"/>
        <v>147</v>
      </c>
    </row>
    <row r="179" spans="1:3" x14ac:dyDescent="0.2">
      <c r="A179">
        <v>148</v>
      </c>
      <c r="B179" t="str">
        <f t="shared" si="4"/>
        <v>î</v>
      </c>
      <c r="C179">
        <f t="shared" si="5"/>
        <v>148</v>
      </c>
    </row>
    <row r="180" spans="1:3" x14ac:dyDescent="0.2">
      <c r="A180">
        <v>149</v>
      </c>
      <c r="B180" t="str">
        <f t="shared" si="4"/>
        <v>ï</v>
      </c>
      <c r="C180">
        <f t="shared" si="5"/>
        <v>149</v>
      </c>
    </row>
    <row r="181" spans="1:3" x14ac:dyDescent="0.2">
      <c r="A181">
        <v>150</v>
      </c>
      <c r="B181" t="str">
        <f t="shared" si="4"/>
        <v>ñ</v>
      </c>
      <c r="C181">
        <f t="shared" si="5"/>
        <v>150</v>
      </c>
    </row>
    <row r="182" spans="1:3" x14ac:dyDescent="0.2">
      <c r="A182">
        <v>151</v>
      </c>
      <c r="B182" t="str">
        <f t="shared" si="4"/>
        <v>ó</v>
      </c>
      <c r="C182">
        <f t="shared" si="5"/>
        <v>151</v>
      </c>
    </row>
    <row r="183" spans="1:3" x14ac:dyDescent="0.2">
      <c r="A183">
        <v>152</v>
      </c>
      <c r="B183" t="str">
        <f t="shared" si="4"/>
        <v>ò</v>
      </c>
      <c r="C183">
        <f t="shared" si="5"/>
        <v>152</v>
      </c>
    </row>
    <row r="184" spans="1:3" x14ac:dyDescent="0.2">
      <c r="A184">
        <v>153</v>
      </c>
      <c r="B184" t="str">
        <f t="shared" si="4"/>
        <v>ô</v>
      </c>
      <c r="C184">
        <f t="shared" si="5"/>
        <v>153</v>
      </c>
    </row>
    <row r="185" spans="1:3" x14ac:dyDescent="0.2">
      <c r="A185">
        <v>154</v>
      </c>
      <c r="B185" t="str">
        <f t="shared" si="4"/>
        <v>ö</v>
      </c>
      <c r="C185">
        <f t="shared" si="5"/>
        <v>154</v>
      </c>
    </row>
    <row r="186" spans="1:3" x14ac:dyDescent="0.2">
      <c r="A186">
        <v>155</v>
      </c>
      <c r="B186" t="str">
        <f t="shared" si="4"/>
        <v>õ</v>
      </c>
      <c r="C186">
        <f t="shared" si="5"/>
        <v>155</v>
      </c>
    </row>
    <row r="187" spans="1:3" x14ac:dyDescent="0.2">
      <c r="A187">
        <v>156</v>
      </c>
      <c r="B187" t="str">
        <f t="shared" si="4"/>
        <v>ú</v>
      </c>
      <c r="C187">
        <f t="shared" si="5"/>
        <v>156</v>
      </c>
    </row>
    <row r="188" spans="1:3" x14ac:dyDescent="0.2">
      <c r="A188">
        <v>157</v>
      </c>
      <c r="B188" t="str">
        <f t="shared" si="4"/>
        <v>ù</v>
      </c>
      <c r="C188">
        <f t="shared" si="5"/>
        <v>157</v>
      </c>
    </row>
    <row r="189" spans="1:3" x14ac:dyDescent="0.2">
      <c r="A189">
        <v>158</v>
      </c>
      <c r="B189" t="str">
        <f t="shared" si="4"/>
        <v>û</v>
      </c>
      <c r="C189">
        <f t="shared" si="5"/>
        <v>158</v>
      </c>
    </row>
    <row r="190" spans="1:3" x14ac:dyDescent="0.2">
      <c r="A190">
        <v>159</v>
      </c>
      <c r="B190" t="str">
        <f t="shared" si="4"/>
        <v>ü</v>
      </c>
      <c r="C190">
        <f t="shared" si="5"/>
        <v>159</v>
      </c>
    </row>
    <row r="191" spans="1:3" x14ac:dyDescent="0.2">
      <c r="A191">
        <v>160</v>
      </c>
      <c r="B191" t="str">
        <f t="shared" si="4"/>
        <v>†</v>
      </c>
      <c r="C191">
        <f t="shared" si="5"/>
        <v>160</v>
      </c>
    </row>
    <row r="192" spans="1:3" x14ac:dyDescent="0.2">
      <c r="A192">
        <v>161</v>
      </c>
      <c r="B192" t="str">
        <f t="shared" si="4"/>
        <v>°</v>
      </c>
      <c r="C192">
        <f t="shared" si="5"/>
        <v>161</v>
      </c>
    </row>
    <row r="193" spans="1:3" x14ac:dyDescent="0.2">
      <c r="A193">
        <v>162</v>
      </c>
      <c r="B193" t="str">
        <f t="shared" si="4"/>
        <v>¢</v>
      </c>
      <c r="C193">
        <f t="shared" si="5"/>
        <v>162</v>
      </c>
    </row>
    <row r="194" spans="1:3" x14ac:dyDescent="0.2">
      <c r="A194">
        <v>163</v>
      </c>
      <c r="B194" t="str">
        <f t="shared" si="4"/>
        <v>£</v>
      </c>
      <c r="C194">
        <f t="shared" si="5"/>
        <v>163</v>
      </c>
    </row>
    <row r="195" spans="1:3" x14ac:dyDescent="0.2">
      <c r="A195">
        <v>164</v>
      </c>
      <c r="B195" t="str">
        <f t="shared" si="4"/>
        <v>§</v>
      </c>
      <c r="C195">
        <f t="shared" si="5"/>
        <v>164</v>
      </c>
    </row>
    <row r="196" spans="1:3" x14ac:dyDescent="0.2">
      <c r="A196">
        <v>165</v>
      </c>
      <c r="B196" t="str">
        <f t="shared" si="4"/>
        <v>•</v>
      </c>
      <c r="C196">
        <f t="shared" si="5"/>
        <v>165</v>
      </c>
    </row>
    <row r="197" spans="1:3" x14ac:dyDescent="0.2">
      <c r="A197">
        <v>166</v>
      </c>
      <c r="B197" t="str">
        <f t="shared" si="4"/>
        <v>¶</v>
      </c>
      <c r="C197">
        <f t="shared" si="5"/>
        <v>166</v>
      </c>
    </row>
    <row r="198" spans="1:3" x14ac:dyDescent="0.2">
      <c r="A198">
        <v>167</v>
      </c>
      <c r="B198" t="str">
        <f t="shared" si="4"/>
        <v>ß</v>
      </c>
      <c r="C198">
        <f t="shared" si="5"/>
        <v>167</v>
      </c>
    </row>
    <row r="199" spans="1:3" x14ac:dyDescent="0.2">
      <c r="A199">
        <v>168</v>
      </c>
      <c r="B199" t="str">
        <f t="shared" si="4"/>
        <v>®</v>
      </c>
      <c r="C199">
        <f t="shared" si="5"/>
        <v>168</v>
      </c>
    </row>
    <row r="200" spans="1:3" x14ac:dyDescent="0.2">
      <c r="A200">
        <v>169</v>
      </c>
      <c r="B200" t="str">
        <f t="shared" si="4"/>
        <v>©</v>
      </c>
      <c r="C200">
        <f t="shared" si="5"/>
        <v>169</v>
      </c>
    </row>
    <row r="201" spans="1:3" x14ac:dyDescent="0.2">
      <c r="A201">
        <v>170</v>
      </c>
      <c r="B201" t="str">
        <f t="shared" si="4"/>
        <v>™</v>
      </c>
      <c r="C201">
        <f t="shared" si="5"/>
        <v>170</v>
      </c>
    </row>
    <row r="202" spans="1:3" x14ac:dyDescent="0.2">
      <c r="A202">
        <v>171</v>
      </c>
      <c r="B202" t="str">
        <f t="shared" si="4"/>
        <v>´</v>
      </c>
      <c r="C202">
        <f t="shared" si="5"/>
        <v>171</v>
      </c>
    </row>
    <row r="203" spans="1:3" x14ac:dyDescent="0.2">
      <c r="A203">
        <v>172</v>
      </c>
      <c r="B203" t="str">
        <f t="shared" si="4"/>
        <v>¨</v>
      </c>
      <c r="C203">
        <f t="shared" si="5"/>
        <v>172</v>
      </c>
    </row>
    <row r="204" spans="1:3" x14ac:dyDescent="0.2">
      <c r="A204">
        <v>173</v>
      </c>
      <c r="B204" t="str">
        <f t="shared" si="4"/>
        <v>≠</v>
      </c>
      <c r="C204">
        <f t="shared" si="5"/>
        <v>173</v>
      </c>
    </row>
    <row r="205" spans="1:3" x14ac:dyDescent="0.2">
      <c r="A205">
        <v>174</v>
      </c>
      <c r="B205" t="str">
        <f t="shared" si="4"/>
        <v>Æ</v>
      </c>
      <c r="C205">
        <f t="shared" si="5"/>
        <v>174</v>
      </c>
    </row>
    <row r="206" spans="1:3" x14ac:dyDescent="0.2">
      <c r="A206">
        <v>175</v>
      </c>
      <c r="B206" t="str">
        <f t="shared" si="4"/>
        <v>Ø</v>
      </c>
      <c r="C206">
        <f t="shared" si="5"/>
        <v>175</v>
      </c>
    </row>
    <row r="207" spans="1:3" x14ac:dyDescent="0.2">
      <c r="A207">
        <v>176</v>
      </c>
      <c r="B207" t="str">
        <f t="shared" si="4"/>
        <v>∞</v>
      </c>
      <c r="C207">
        <f t="shared" si="5"/>
        <v>176</v>
      </c>
    </row>
    <row r="208" spans="1:3" x14ac:dyDescent="0.2">
      <c r="A208">
        <v>177</v>
      </c>
      <c r="B208" t="str">
        <f t="shared" si="4"/>
        <v>±</v>
      </c>
      <c r="C208">
        <f t="shared" si="5"/>
        <v>177</v>
      </c>
    </row>
    <row r="209" spans="1:3" x14ac:dyDescent="0.2">
      <c r="A209">
        <v>178</v>
      </c>
      <c r="B209" t="str">
        <f t="shared" si="4"/>
        <v>≤</v>
      </c>
      <c r="C209">
        <f t="shared" si="5"/>
        <v>178</v>
      </c>
    </row>
    <row r="210" spans="1:3" x14ac:dyDescent="0.2">
      <c r="A210">
        <v>179</v>
      </c>
      <c r="B210" t="str">
        <f t="shared" si="4"/>
        <v>≥</v>
      </c>
      <c r="C210">
        <f t="shared" si="5"/>
        <v>179</v>
      </c>
    </row>
    <row r="211" spans="1:3" x14ac:dyDescent="0.2">
      <c r="A211">
        <v>180</v>
      </c>
      <c r="B211" t="str">
        <f t="shared" si="4"/>
        <v>¥</v>
      </c>
      <c r="C211">
        <f t="shared" si="5"/>
        <v>180</v>
      </c>
    </row>
    <row r="212" spans="1:3" x14ac:dyDescent="0.2">
      <c r="A212">
        <v>181</v>
      </c>
      <c r="B212" t="str">
        <f t="shared" si="4"/>
        <v>µ</v>
      </c>
      <c r="C212">
        <f t="shared" si="5"/>
        <v>181</v>
      </c>
    </row>
    <row r="213" spans="1:3" x14ac:dyDescent="0.2">
      <c r="A213">
        <v>182</v>
      </c>
      <c r="B213" t="str">
        <f t="shared" si="4"/>
        <v>∂</v>
      </c>
      <c r="C213">
        <f t="shared" si="5"/>
        <v>182</v>
      </c>
    </row>
    <row r="214" spans="1:3" x14ac:dyDescent="0.2">
      <c r="A214">
        <v>183</v>
      </c>
      <c r="B214" t="str">
        <f t="shared" si="4"/>
        <v>∑</v>
      </c>
      <c r="C214">
        <f t="shared" si="5"/>
        <v>183</v>
      </c>
    </row>
    <row r="215" spans="1:3" x14ac:dyDescent="0.2">
      <c r="A215">
        <v>184</v>
      </c>
      <c r="B215" t="str">
        <f t="shared" si="4"/>
        <v>∏</v>
      </c>
      <c r="C215">
        <f t="shared" si="5"/>
        <v>184</v>
      </c>
    </row>
    <row r="216" spans="1:3" x14ac:dyDescent="0.2">
      <c r="A216">
        <v>185</v>
      </c>
      <c r="B216" t="str">
        <f t="shared" si="4"/>
        <v>π</v>
      </c>
      <c r="C216">
        <f t="shared" si="5"/>
        <v>185</v>
      </c>
    </row>
    <row r="217" spans="1:3" x14ac:dyDescent="0.2">
      <c r="A217">
        <v>186</v>
      </c>
      <c r="B217" t="str">
        <f t="shared" si="4"/>
        <v>∫</v>
      </c>
      <c r="C217">
        <f t="shared" si="5"/>
        <v>186</v>
      </c>
    </row>
    <row r="218" spans="1:3" x14ac:dyDescent="0.2">
      <c r="A218">
        <v>187</v>
      </c>
      <c r="B218" t="str">
        <f t="shared" si="4"/>
        <v>ª</v>
      </c>
      <c r="C218">
        <f t="shared" si="5"/>
        <v>187</v>
      </c>
    </row>
    <row r="219" spans="1:3" x14ac:dyDescent="0.2">
      <c r="A219">
        <v>188</v>
      </c>
      <c r="B219" t="str">
        <f t="shared" si="4"/>
        <v>º</v>
      </c>
      <c r="C219">
        <f t="shared" si="5"/>
        <v>188</v>
      </c>
    </row>
    <row r="220" spans="1:3" x14ac:dyDescent="0.2">
      <c r="A220">
        <v>189</v>
      </c>
      <c r="B220" t="str">
        <f t="shared" si="4"/>
        <v>Ω</v>
      </c>
      <c r="C220">
        <f t="shared" si="5"/>
        <v>189</v>
      </c>
    </row>
    <row r="221" spans="1:3" x14ac:dyDescent="0.2">
      <c r="A221">
        <v>190</v>
      </c>
      <c r="B221" t="str">
        <f t="shared" si="4"/>
        <v>æ</v>
      </c>
      <c r="C221">
        <f t="shared" si="5"/>
        <v>190</v>
      </c>
    </row>
    <row r="222" spans="1:3" x14ac:dyDescent="0.2">
      <c r="A222">
        <v>191</v>
      </c>
      <c r="B222" t="str">
        <f t="shared" si="4"/>
        <v>ø</v>
      </c>
      <c r="C222">
        <f t="shared" si="5"/>
        <v>191</v>
      </c>
    </row>
    <row r="223" spans="1:3" x14ac:dyDescent="0.2">
      <c r="A223">
        <v>192</v>
      </c>
      <c r="B223" t="str">
        <f t="shared" si="4"/>
        <v>¿</v>
      </c>
      <c r="C223">
        <f t="shared" si="5"/>
        <v>192</v>
      </c>
    </row>
    <row r="224" spans="1:3" x14ac:dyDescent="0.2">
      <c r="A224">
        <v>193</v>
      </c>
      <c r="B224" t="str">
        <f t="shared" si="4"/>
        <v>¡</v>
      </c>
      <c r="C224">
        <f t="shared" si="5"/>
        <v>193</v>
      </c>
    </row>
    <row r="225" spans="1:3" x14ac:dyDescent="0.2">
      <c r="A225">
        <v>194</v>
      </c>
      <c r="B225" t="str">
        <f t="shared" ref="B225:B286" si="6">CHAR(A225)</f>
        <v>¬</v>
      </c>
      <c r="C225">
        <f t="shared" ref="C225:C286" si="7">CODE(B225)</f>
        <v>194</v>
      </c>
    </row>
    <row r="226" spans="1:3" x14ac:dyDescent="0.2">
      <c r="A226">
        <v>195</v>
      </c>
      <c r="B226" t="str">
        <f t="shared" si="6"/>
        <v>√</v>
      </c>
      <c r="C226">
        <f t="shared" si="7"/>
        <v>195</v>
      </c>
    </row>
    <row r="227" spans="1:3" x14ac:dyDescent="0.2">
      <c r="A227">
        <v>196</v>
      </c>
      <c r="B227" t="str">
        <f t="shared" si="6"/>
        <v>ƒ</v>
      </c>
      <c r="C227">
        <f t="shared" si="7"/>
        <v>196</v>
      </c>
    </row>
    <row r="228" spans="1:3" x14ac:dyDescent="0.2">
      <c r="A228">
        <v>197</v>
      </c>
      <c r="B228" t="str">
        <f t="shared" si="6"/>
        <v>≈</v>
      </c>
      <c r="C228">
        <f t="shared" si="7"/>
        <v>197</v>
      </c>
    </row>
    <row r="229" spans="1:3" x14ac:dyDescent="0.2">
      <c r="A229">
        <v>198</v>
      </c>
      <c r="B229" t="str">
        <f t="shared" si="6"/>
        <v>∆</v>
      </c>
      <c r="C229">
        <f t="shared" si="7"/>
        <v>198</v>
      </c>
    </row>
    <row r="230" spans="1:3" x14ac:dyDescent="0.2">
      <c r="A230">
        <v>199</v>
      </c>
      <c r="B230" t="str">
        <f t="shared" si="6"/>
        <v>«</v>
      </c>
      <c r="C230">
        <f t="shared" si="7"/>
        <v>199</v>
      </c>
    </row>
    <row r="231" spans="1:3" x14ac:dyDescent="0.2">
      <c r="A231">
        <v>200</v>
      </c>
      <c r="B231" t="str">
        <f t="shared" si="6"/>
        <v>»</v>
      </c>
      <c r="C231">
        <f t="shared" si="7"/>
        <v>200</v>
      </c>
    </row>
    <row r="232" spans="1:3" x14ac:dyDescent="0.2">
      <c r="A232">
        <v>201</v>
      </c>
      <c r="B232" t="str">
        <f t="shared" si="6"/>
        <v>…</v>
      </c>
      <c r="C232">
        <f t="shared" si="7"/>
        <v>201</v>
      </c>
    </row>
    <row r="233" spans="1:3" x14ac:dyDescent="0.2">
      <c r="A233">
        <v>202</v>
      </c>
      <c r="B233" t="str">
        <f t="shared" si="6"/>
        <v> </v>
      </c>
      <c r="C233">
        <f t="shared" si="7"/>
        <v>202</v>
      </c>
    </row>
    <row r="234" spans="1:3" x14ac:dyDescent="0.2">
      <c r="A234">
        <v>203</v>
      </c>
      <c r="B234" t="str">
        <f t="shared" si="6"/>
        <v>À</v>
      </c>
      <c r="C234">
        <f t="shared" si="7"/>
        <v>203</v>
      </c>
    </row>
    <row r="235" spans="1:3" x14ac:dyDescent="0.2">
      <c r="A235">
        <v>204</v>
      </c>
      <c r="B235" t="str">
        <f t="shared" si="6"/>
        <v>Ã</v>
      </c>
      <c r="C235">
        <f t="shared" si="7"/>
        <v>204</v>
      </c>
    </row>
    <row r="236" spans="1:3" x14ac:dyDescent="0.2">
      <c r="A236">
        <v>205</v>
      </c>
      <c r="B236" t="str">
        <f t="shared" si="6"/>
        <v>Õ</v>
      </c>
      <c r="C236">
        <f t="shared" si="7"/>
        <v>205</v>
      </c>
    </row>
    <row r="237" spans="1:3" x14ac:dyDescent="0.2">
      <c r="A237">
        <v>206</v>
      </c>
      <c r="B237" t="str">
        <f t="shared" si="6"/>
        <v>Œ</v>
      </c>
      <c r="C237">
        <f t="shared" si="7"/>
        <v>206</v>
      </c>
    </row>
    <row r="238" spans="1:3" x14ac:dyDescent="0.2">
      <c r="A238">
        <v>207</v>
      </c>
      <c r="B238" t="str">
        <f t="shared" si="6"/>
        <v>œ</v>
      </c>
      <c r="C238">
        <f t="shared" si="7"/>
        <v>207</v>
      </c>
    </row>
    <row r="239" spans="1:3" x14ac:dyDescent="0.2">
      <c r="A239">
        <v>208</v>
      </c>
      <c r="B239" t="str">
        <f t="shared" si="6"/>
        <v>–</v>
      </c>
      <c r="C239">
        <f t="shared" si="7"/>
        <v>208</v>
      </c>
    </row>
    <row r="240" spans="1:3" x14ac:dyDescent="0.2">
      <c r="A240">
        <v>209</v>
      </c>
      <c r="B240" t="str">
        <f t="shared" si="6"/>
        <v>—</v>
      </c>
      <c r="C240">
        <f t="shared" si="7"/>
        <v>209</v>
      </c>
    </row>
    <row r="241" spans="1:3" x14ac:dyDescent="0.2">
      <c r="A241">
        <v>210</v>
      </c>
      <c r="B241" t="str">
        <f t="shared" si="6"/>
        <v>“</v>
      </c>
      <c r="C241">
        <f t="shared" si="7"/>
        <v>210</v>
      </c>
    </row>
    <row r="242" spans="1:3" x14ac:dyDescent="0.2">
      <c r="A242">
        <v>211</v>
      </c>
      <c r="B242" t="str">
        <f t="shared" si="6"/>
        <v>”</v>
      </c>
      <c r="C242">
        <f t="shared" si="7"/>
        <v>211</v>
      </c>
    </row>
    <row r="243" spans="1:3" x14ac:dyDescent="0.2">
      <c r="A243">
        <v>212</v>
      </c>
      <c r="B243" t="str">
        <f t="shared" si="6"/>
        <v>‘</v>
      </c>
      <c r="C243">
        <f t="shared" si="7"/>
        <v>212</v>
      </c>
    </row>
    <row r="244" spans="1:3" x14ac:dyDescent="0.2">
      <c r="A244">
        <v>213</v>
      </c>
      <c r="B244" t="str">
        <f t="shared" si="6"/>
        <v>’</v>
      </c>
      <c r="C244">
        <f t="shared" si="7"/>
        <v>213</v>
      </c>
    </row>
    <row r="245" spans="1:3" x14ac:dyDescent="0.2">
      <c r="A245">
        <v>214</v>
      </c>
      <c r="B245" t="str">
        <f t="shared" si="6"/>
        <v>÷</v>
      </c>
      <c r="C245">
        <f t="shared" si="7"/>
        <v>214</v>
      </c>
    </row>
    <row r="246" spans="1:3" x14ac:dyDescent="0.2">
      <c r="A246">
        <v>215</v>
      </c>
      <c r="B246" t="str">
        <f t="shared" si="6"/>
        <v>◊</v>
      </c>
      <c r="C246">
        <f t="shared" si="7"/>
        <v>215</v>
      </c>
    </row>
    <row r="247" spans="1:3" x14ac:dyDescent="0.2">
      <c r="A247">
        <v>216</v>
      </c>
      <c r="B247" t="str">
        <f t="shared" si="6"/>
        <v>ÿ</v>
      </c>
      <c r="C247">
        <f t="shared" si="7"/>
        <v>216</v>
      </c>
    </row>
    <row r="248" spans="1:3" x14ac:dyDescent="0.2">
      <c r="A248">
        <v>217</v>
      </c>
      <c r="B248" t="str">
        <f t="shared" si="6"/>
        <v>Ÿ</v>
      </c>
      <c r="C248">
        <f t="shared" si="7"/>
        <v>217</v>
      </c>
    </row>
    <row r="249" spans="1:3" x14ac:dyDescent="0.2">
      <c r="A249">
        <v>218</v>
      </c>
      <c r="B249" t="str">
        <f t="shared" si="6"/>
        <v>⁄</v>
      </c>
      <c r="C249">
        <f t="shared" si="7"/>
        <v>218</v>
      </c>
    </row>
    <row r="250" spans="1:3" x14ac:dyDescent="0.2">
      <c r="A250">
        <v>219</v>
      </c>
      <c r="B250" t="str">
        <f t="shared" si="6"/>
        <v>€</v>
      </c>
      <c r="C250">
        <f t="shared" si="7"/>
        <v>219</v>
      </c>
    </row>
    <row r="251" spans="1:3" x14ac:dyDescent="0.2">
      <c r="A251">
        <v>220</v>
      </c>
      <c r="B251" t="str">
        <f t="shared" si="6"/>
        <v>‹</v>
      </c>
      <c r="C251">
        <f t="shared" si="7"/>
        <v>220</v>
      </c>
    </row>
    <row r="252" spans="1:3" x14ac:dyDescent="0.2">
      <c r="A252">
        <v>221</v>
      </c>
      <c r="B252" t="str">
        <f t="shared" si="6"/>
        <v>›</v>
      </c>
      <c r="C252">
        <f t="shared" si="7"/>
        <v>221</v>
      </c>
    </row>
    <row r="253" spans="1:3" x14ac:dyDescent="0.2">
      <c r="A253">
        <v>222</v>
      </c>
      <c r="B253" t="str">
        <f t="shared" si="6"/>
        <v>ﬁ</v>
      </c>
      <c r="C253">
        <f t="shared" si="7"/>
        <v>222</v>
      </c>
    </row>
    <row r="254" spans="1:3" x14ac:dyDescent="0.2">
      <c r="A254">
        <v>223</v>
      </c>
      <c r="B254" t="str">
        <f t="shared" si="6"/>
        <v>ﬂ</v>
      </c>
      <c r="C254">
        <f t="shared" si="7"/>
        <v>223</v>
      </c>
    </row>
    <row r="255" spans="1:3" x14ac:dyDescent="0.2">
      <c r="A255">
        <v>224</v>
      </c>
      <c r="B255" t="str">
        <f t="shared" si="6"/>
        <v>‡</v>
      </c>
      <c r="C255">
        <f t="shared" si="7"/>
        <v>224</v>
      </c>
    </row>
    <row r="256" spans="1:3" x14ac:dyDescent="0.2">
      <c r="A256">
        <v>225</v>
      </c>
      <c r="B256" t="str">
        <f t="shared" si="6"/>
        <v>·</v>
      </c>
      <c r="C256">
        <f t="shared" si="7"/>
        <v>225</v>
      </c>
    </row>
    <row r="257" spans="1:3" x14ac:dyDescent="0.2">
      <c r="A257">
        <v>226</v>
      </c>
      <c r="B257" t="str">
        <f t="shared" si="6"/>
        <v>‚</v>
      </c>
      <c r="C257">
        <f t="shared" si="7"/>
        <v>226</v>
      </c>
    </row>
    <row r="258" spans="1:3" x14ac:dyDescent="0.2">
      <c r="A258">
        <v>227</v>
      </c>
      <c r="B258" t="str">
        <f t="shared" si="6"/>
        <v>„</v>
      </c>
      <c r="C258">
        <f t="shared" si="7"/>
        <v>227</v>
      </c>
    </row>
    <row r="259" spans="1:3" x14ac:dyDescent="0.2">
      <c r="A259">
        <v>228</v>
      </c>
      <c r="B259" t="str">
        <f t="shared" si="6"/>
        <v>‰</v>
      </c>
      <c r="C259">
        <f t="shared" si="7"/>
        <v>228</v>
      </c>
    </row>
    <row r="260" spans="1:3" x14ac:dyDescent="0.2">
      <c r="A260">
        <v>229</v>
      </c>
      <c r="B260" t="str">
        <f t="shared" si="6"/>
        <v>Â</v>
      </c>
      <c r="C260">
        <f t="shared" si="7"/>
        <v>229</v>
      </c>
    </row>
    <row r="261" spans="1:3" x14ac:dyDescent="0.2">
      <c r="A261">
        <v>230</v>
      </c>
      <c r="B261" t="str">
        <f t="shared" si="6"/>
        <v>Ê</v>
      </c>
      <c r="C261">
        <f t="shared" si="7"/>
        <v>230</v>
      </c>
    </row>
    <row r="262" spans="1:3" x14ac:dyDescent="0.2">
      <c r="A262">
        <v>231</v>
      </c>
      <c r="B262" t="str">
        <f t="shared" si="6"/>
        <v>Á</v>
      </c>
      <c r="C262">
        <f t="shared" si="7"/>
        <v>231</v>
      </c>
    </row>
    <row r="263" spans="1:3" x14ac:dyDescent="0.2">
      <c r="A263">
        <v>232</v>
      </c>
      <c r="B263" t="str">
        <f t="shared" si="6"/>
        <v>Ë</v>
      </c>
      <c r="C263">
        <f t="shared" si="7"/>
        <v>232</v>
      </c>
    </row>
    <row r="264" spans="1:3" x14ac:dyDescent="0.2">
      <c r="A264">
        <v>233</v>
      </c>
      <c r="B264" t="str">
        <f t="shared" si="6"/>
        <v>È</v>
      </c>
      <c r="C264">
        <f t="shared" si="7"/>
        <v>233</v>
      </c>
    </row>
    <row r="265" spans="1:3" x14ac:dyDescent="0.2">
      <c r="A265">
        <v>234</v>
      </c>
      <c r="B265" t="str">
        <f t="shared" si="6"/>
        <v>Í</v>
      </c>
      <c r="C265">
        <f t="shared" si="7"/>
        <v>234</v>
      </c>
    </row>
    <row r="266" spans="1:3" x14ac:dyDescent="0.2">
      <c r="A266">
        <v>235</v>
      </c>
      <c r="B266" t="str">
        <f t="shared" si="6"/>
        <v>Î</v>
      </c>
      <c r="C266">
        <f t="shared" si="7"/>
        <v>235</v>
      </c>
    </row>
    <row r="267" spans="1:3" x14ac:dyDescent="0.2">
      <c r="A267">
        <v>236</v>
      </c>
      <c r="B267" t="str">
        <f t="shared" si="6"/>
        <v>Ï</v>
      </c>
      <c r="C267">
        <f t="shared" si="7"/>
        <v>236</v>
      </c>
    </row>
    <row r="268" spans="1:3" x14ac:dyDescent="0.2">
      <c r="A268">
        <v>237</v>
      </c>
      <c r="B268" t="str">
        <f t="shared" si="6"/>
        <v>Ì</v>
      </c>
      <c r="C268">
        <f t="shared" si="7"/>
        <v>237</v>
      </c>
    </row>
    <row r="269" spans="1:3" x14ac:dyDescent="0.2">
      <c r="A269">
        <v>238</v>
      </c>
      <c r="B269" t="str">
        <f t="shared" si="6"/>
        <v>Ó</v>
      </c>
      <c r="C269">
        <f t="shared" si="7"/>
        <v>238</v>
      </c>
    </row>
    <row r="270" spans="1:3" x14ac:dyDescent="0.2">
      <c r="A270">
        <v>239</v>
      </c>
      <c r="B270" t="str">
        <f t="shared" si="6"/>
        <v>Ô</v>
      </c>
      <c r="C270">
        <f t="shared" si="7"/>
        <v>239</v>
      </c>
    </row>
    <row r="271" spans="1:3" x14ac:dyDescent="0.2">
      <c r="A271">
        <v>240</v>
      </c>
      <c r="B271" t="str">
        <f t="shared" si="6"/>
        <v></v>
      </c>
      <c r="C271">
        <f t="shared" si="7"/>
        <v>240</v>
      </c>
    </row>
    <row r="272" spans="1:3" x14ac:dyDescent="0.2">
      <c r="A272">
        <v>241</v>
      </c>
      <c r="B272" t="str">
        <f t="shared" si="6"/>
        <v>Ò</v>
      </c>
      <c r="C272">
        <f t="shared" si="7"/>
        <v>241</v>
      </c>
    </row>
    <row r="273" spans="1:3" x14ac:dyDescent="0.2">
      <c r="A273">
        <v>242</v>
      </c>
      <c r="B273" t="str">
        <f t="shared" si="6"/>
        <v>Ú</v>
      </c>
      <c r="C273">
        <f t="shared" si="7"/>
        <v>242</v>
      </c>
    </row>
    <row r="274" spans="1:3" x14ac:dyDescent="0.2">
      <c r="A274">
        <v>243</v>
      </c>
      <c r="B274" t="str">
        <f t="shared" si="6"/>
        <v>Û</v>
      </c>
      <c r="C274">
        <f t="shared" si="7"/>
        <v>243</v>
      </c>
    </row>
    <row r="275" spans="1:3" x14ac:dyDescent="0.2">
      <c r="A275">
        <v>244</v>
      </c>
      <c r="B275" t="str">
        <f t="shared" si="6"/>
        <v>Ù</v>
      </c>
      <c r="C275">
        <f t="shared" si="7"/>
        <v>244</v>
      </c>
    </row>
    <row r="276" spans="1:3" x14ac:dyDescent="0.2">
      <c r="A276">
        <v>245</v>
      </c>
      <c r="B276" t="str">
        <f t="shared" si="6"/>
        <v>ı</v>
      </c>
      <c r="C276">
        <f t="shared" si="7"/>
        <v>245</v>
      </c>
    </row>
    <row r="277" spans="1:3" x14ac:dyDescent="0.2">
      <c r="A277">
        <v>246</v>
      </c>
      <c r="B277" t="str">
        <f t="shared" si="6"/>
        <v>ˆ</v>
      </c>
      <c r="C277">
        <f t="shared" si="7"/>
        <v>246</v>
      </c>
    </row>
    <row r="278" spans="1:3" x14ac:dyDescent="0.2">
      <c r="A278">
        <v>247</v>
      </c>
      <c r="B278" t="str">
        <f t="shared" si="6"/>
        <v>˜</v>
      </c>
      <c r="C278">
        <f t="shared" si="7"/>
        <v>247</v>
      </c>
    </row>
    <row r="279" spans="1:3" x14ac:dyDescent="0.2">
      <c r="A279">
        <v>248</v>
      </c>
      <c r="B279" t="str">
        <f t="shared" si="6"/>
        <v>¯</v>
      </c>
      <c r="C279">
        <f t="shared" si="7"/>
        <v>248</v>
      </c>
    </row>
    <row r="280" spans="1:3" x14ac:dyDescent="0.2">
      <c r="A280">
        <v>249</v>
      </c>
      <c r="B280" t="str">
        <f t="shared" si="6"/>
        <v>˘</v>
      </c>
      <c r="C280">
        <f t="shared" si="7"/>
        <v>249</v>
      </c>
    </row>
    <row r="281" spans="1:3" x14ac:dyDescent="0.2">
      <c r="A281">
        <v>250</v>
      </c>
      <c r="B281" t="str">
        <f t="shared" si="6"/>
        <v>˙</v>
      </c>
      <c r="C281">
        <f t="shared" si="7"/>
        <v>250</v>
      </c>
    </row>
    <row r="282" spans="1:3" x14ac:dyDescent="0.2">
      <c r="A282">
        <v>251</v>
      </c>
      <c r="B282" t="str">
        <f t="shared" si="6"/>
        <v>˚</v>
      </c>
      <c r="C282">
        <f t="shared" si="7"/>
        <v>251</v>
      </c>
    </row>
    <row r="283" spans="1:3" x14ac:dyDescent="0.2">
      <c r="A283">
        <v>252</v>
      </c>
      <c r="B283" t="str">
        <f t="shared" si="6"/>
        <v>¸</v>
      </c>
      <c r="C283">
        <f t="shared" si="7"/>
        <v>252</v>
      </c>
    </row>
    <row r="284" spans="1:3" x14ac:dyDescent="0.2">
      <c r="A284">
        <v>253</v>
      </c>
      <c r="B284" t="str">
        <f t="shared" si="6"/>
        <v>˝</v>
      </c>
      <c r="C284">
        <f t="shared" si="7"/>
        <v>253</v>
      </c>
    </row>
    <row r="285" spans="1:3" x14ac:dyDescent="0.2">
      <c r="A285">
        <v>254</v>
      </c>
      <c r="B285" t="str">
        <f t="shared" si="6"/>
        <v>˛</v>
      </c>
      <c r="C285">
        <f t="shared" si="7"/>
        <v>254</v>
      </c>
    </row>
    <row r="286" spans="1:3" x14ac:dyDescent="0.2">
      <c r="A286">
        <v>255</v>
      </c>
      <c r="B286" t="str">
        <f t="shared" si="6"/>
        <v>ˇ</v>
      </c>
      <c r="C286">
        <f t="shared" si="7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sheetPr codeName="Sheet18"/>
  <dimension ref="A1:Q160"/>
  <sheetViews>
    <sheetView workbookViewId="0"/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16" x14ac:dyDescent="0.2">
      <c r="A1" t="s">
        <v>313</v>
      </c>
      <c r="B1" s="65" t="s">
        <v>93</v>
      </c>
      <c r="C1" s="65"/>
      <c r="D1" s="65"/>
      <c r="E1" s="65"/>
    </row>
    <row r="2" spans="1:1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16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16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16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16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16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16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16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16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16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16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16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</row>
    <row r="14" spans="1:16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  <c r="J14">
        <v>1</v>
      </c>
      <c r="L14">
        <v>5</v>
      </c>
      <c r="M14" t="s">
        <v>498</v>
      </c>
    </row>
    <row r="15" spans="1:16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</row>
    <row r="16" spans="1:16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</row>
    <row r="17" spans="1:17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</row>
    <row r="18" spans="1:17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17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</row>
    <row r="20" spans="1:17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  <c r="F20">
        <v>1</v>
      </c>
      <c r="I20" t="e" cm="1" vm="23">
        <f t="array" ref="I20">_xlfn._xlws.FILTER({"a",2.1,"b",4.1},{FALSE,FALSE,FALSE,FALSE})</f>
        <v>#VALUE!</v>
      </c>
      <c r="J20" t="s">
        <v>496</v>
      </c>
      <c r="K20" t="str">
        <f t="array" ref="K20:K21">_xlfn._xlws.FILTER({"a",2.1,"b",4.1},{FALSE,FALSE,FALSE,FALSE}, J20:J21)</f>
        <v>A</v>
      </c>
      <c r="N20">
        <v>2.1</v>
      </c>
    </row>
    <row r="21" spans="1:17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  <c r="G21">
        <v>1</v>
      </c>
      <c r="J21" t="s">
        <v>497</v>
      </c>
      <c r="K21" t="str">
        <v>B</v>
      </c>
      <c r="N21" t="str">
        <v>b</v>
      </c>
    </row>
    <row r="22" spans="1:17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</row>
    <row r="23" spans="1:17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17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17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17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17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17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17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17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17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17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/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/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/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1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1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1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1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1:5" x14ac:dyDescent="0.2">
      <c r="A53" t="str">
        <f>TEXT(130,"MM/DD/YY")</f>
        <v>05/09/00</v>
      </c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1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1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1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1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1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1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1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1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1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1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1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B5"/>
  <sheetViews>
    <sheetView workbookViewId="0"/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sheetPr codeName="Sheet20"/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COVERAGE</vt:lpstr>
      <vt:lpstr>AUTOMATION</vt:lpstr>
      <vt:lpstr>COMPATIBILITY</vt:lpstr>
      <vt:lpstr>CUBE</vt:lpstr>
      <vt:lpstr>DATABASE</vt:lpstr>
      <vt:lpstr>DATE &amp; TIME</vt:lpstr>
      <vt:lpstr>ENGINEERING</vt:lpstr>
      <vt:lpstr>FINANCIAL</vt:lpstr>
      <vt:lpstr>INFORMATION</vt:lpstr>
      <vt:lpstr>LOGICAL</vt:lpstr>
      <vt:lpstr>LOOKUP</vt:lpstr>
      <vt:lpstr>MATH &amp; TRIG</vt:lpstr>
      <vt:lpstr>STATISTICAL</vt:lpstr>
      <vt:lpstr>TEXT</vt:lpstr>
      <vt:lpstr>WEB</vt:lpstr>
      <vt:lpstr>OPERATORS</vt:lpstr>
      <vt:lpstr>CORE</vt:lpstr>
      <vt:lpstr>EXTRA</vt:lpstr>
      <vt:lpstr>REF</vt:lpstr>
      <vt:lpstr>123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2025-06-23T14:02:47Z</dcterms:modified>
</cp:coreProperties>
</file>