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43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FinDB'!$E$5:$E$348</definedName>
    <definedName name="ISIN_Output">Bonds!$E$11:$E$355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FinDB'!$G$5:$R$349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L31" i="38" l="1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J23" i="28"/>
  <c r="R22" i="43"/>
  <c r="G45" i="43" a="1"/>
  <c r="G74" i="43" a="1"/>
  <c r="R100" i="43"/>
  <c r="G133" i="43" a="1"/>
  <c r="R159" i="43"/>
  <c r="G190" i="43" a="1"/>
  <c r="R10" i="43"/>
  <c r="R50" i="43"/>
  <c r="G83" i="43" a="1"/>
  <c r="R118" i="43"/>
  <c r="G148" i="43" a="1"/>
  <c r="R177" i="43"/>
  <c r="R206" i="43"/>
  <c r="R237" i="43"/>
  <c r="G277" i="43" a="1"/>
  <c r="R316" i="43"/>
  <c r="R29" i="43"/>
  <c r="R55" i="43"/>
  <c r="R83" i="43"/>
  <c r="G120" i="43" a="1"/>
  <c r="G25" i="43" a="1"/>
  <c r="R77" i="43"/>
  <c r="G135" i="43" a="1"/>
  <c r="G177" i="43" a="1"/>
  <c r="R219" i="43"/>
  <c r="R249" i="43"/>
  <c r="G286" i="43" a="1"/>
  <c r="G314" i="43" a="1"/>
  <c r="G347" i="43" a="1"/>
  <c r="G56" i="43" a="1"/>
  <c r="R48" i="43"/>
  <c r="G105" i="43" a="1"/>
  <c r="G160" i="43" a="1"/>
  <c r="G211" i="43" a="1"/>
  <c r="R247" i="43"/>
  <c r="R287" i="43"/>
  <c r="R319" i="43"/>
  <c r="R11" i="43"/>
  <c r="R53" i="43"/>
  <c r="G95" i="43" a="1"/>
  <c r="R142" i="43"/>
  <c r="G58" i="43" a="1"/>
  <c r="G144" i="43" a="1"/>
  <c r="R221" i="43"/>
  <c r="R289" i="43"/>
  <c r="G336" i="43" a="1"/>
  <c r="G68" i="43" a="1"/>
  <c r="R166" i="43"/>
  <c r="R215" i="43"/>
  <c r="R256" i="43"/>
  <c r="R324" i="43"/>
  <c r="R106" i="43"/>
  <c r="R238" i="43"/>
  <c r="R345" i="43"/>
  <c r="G181" i="43" a="1"/>
  <c r="G296" i="43" a="1"/>
  <c r="R132" i="43"/>
  <c r="R78" i="43"/>
  <c r="R145" i="43"/>
  <c r="G204" i="43" a="1"/>
  <c r="G253" i="43" a="1"/>
  <c r="R285" i="43"/>
  <c r="R333" i="43"/>
  <c r="G87" i="43" a="1"/>
  <c r="G153" i="43" a="1"/>
  <c r="R204" i="43"/>
  <c r="G245" i="43" a="1"/>
  <c r="R286" i="43"/>
  <c r="G345" i="43" a="1"/>
  <c r="R168" i="43"/>
  <c r="R275" i="43"/>
  <c r="R63" i="43"/>
  <c r="G207" i="43" a="1"/>
  <c r="R317" i="43"/>
  <c r="G141" i="43" a="1"/>
  <c r="R261" i="43"/>
  <c r="G188" i="43" a="1"/>
  <c r="G338" i="43" a="1"/>
  <c r="R288" i="43"/>
  <c r="G231" i="43" a="1"/>
  <c r="G252" i="43" a="1"/>
  <c r="R193" i="43"/>
  <c r="G328" i="43" a="1"/>
  <c r="R225" i="43"/>
  <c r="G182" i="43" a="1"/>
  <c r="G241" i="43" a="1"/>
  <c r="G162" i="43" a="1"/>
  <c r="G224" i="43" a="1"/>
  <c r="R173" i="43"/>
  <c r="G24" i="43" a="1"/>
  <c r="G223" i="43" a="1"/>
  <c r="R24" i="43"/>
  <c r="R49" i="43"/>
  <c r="G78" i="43" a="1"/>
  <c r="R103" i="43"/>
  <c r="G136" i="43" a="1"/>
  <c r="R163" i="43"/>
  <c r="G194" i="43" a="1"/>
  <c r="R14" i="43"/>
  <c r="R52" i="43"/>
  <c r="R91" i="43"/>
  <c r="G122" i="43" a="1"/>
  <c r="G152" i="43" a="1"/>
  <c r="R181" i="43"/>
  <c r="G213" i="43" a="1"/>
  <c r="R240" i="43"/>
  <c r="R284" i="43"/>
  <c r="G319" i="43" a="1"/>
  <c r="G33" i="43" a="1"/>
  <c r="G59" i="43" a="1"/>
  <c r="R92" i="43"/>
  <c r="G123" i="43" a="1"/>
  <c r="G30" i="43" a="1"/>
  <c r="G88" i="43" a="1"/>
  <c r="G140" i="43" a="1"/>
  <c r="R182" i="43"/>
  <c r="R223" i="43"/>
  <c r="R253" i="43"/>
  <c r="G290" i="43" a="1"/>
  <c r="G324" i="43" a="1"/>
  <c r="G349" i="43" a="1"/>
  <c r="G61" i="43" a="1"/>
  <c r="G53" i="43" a="1"/>
  <c r="R115" i="43"/>
  <c r="R165" i="43"/>
  <c r="G216" i="43" a="1"/>
  <c r="G251" i="43" a="1"/>
  <c r="R290" i="43"/>
  <c r="R321" i="43"/>
  <c r="G17" i="43" a="1"/>
  <c r="G57" i="43" a="1"/>
  <c r="G100" i="43" a="1"/>
  <c r="R148" i="43"/>
  <c r="G66" i="43" a="1"/>
  <c r="R157" i="43"/>
  <c r="R226" i="43"/>
  <c r="G298" i="43" a="1"/>
  <c r="G339" i="43" a="1"/>
  <c r="G77" i="43" a="1"/>
  <c r="G173" i="43" a="1"/>
  <c r="G222" i="43" a="1"/>
  <c r="R262" i="43"/>
  <c r="R343" i="43"/>
  <c r="R130" i="43"/>
  <c r="R254" i="43"/>
  <c r="G13" i="43" a="1"/>
  <c r="R199" i="43"/>
  <c r="G327" i="43" a="1"/>
  <c r="G163" i="43" a="1"/>
  <c r="R86" i="43"/>
  <c r="G159" i="43" a="1"/>
  <c r="R209" i="43"/>
  <c r="G260" i="43" a="1"/>
  <c r="G291" i="43" a="1"/>
  <c r="R344" i="43"/>
  <c r="R96" i="43"/>
  <c r="R161" i="43"/>
  <c r="R210" i="43"/>
  <c r="R248" i="43"/>
  <c r="R294" i="43"/>
  <c r="R20" i="43"/>
  <c r="G186" i="43" a="1"/>
  <c r="R291" i="43"/>
  <c r="R82" i="43"/>
  <c r="R218" i="43"/>
  <c r="R334" i="43"/>
  <c r="G150" i="43" a="1"/>
  <c r="R277" i="43"/>
  <c r="R213" i="43"/>
  <c r="R171" i="43"/>
  <c r="R346" i="43"/>
  <c r="R276" i="43"/>
  <c r="G266" i="43" a="1"/>
  <c r="G219" i="43" a="1"/>
  <c r="R341" i="43"/>
  <c r="R304" i="43"/>
  <c r="R245" i="43"/>
  <c r="R12" i="43"/>
  <c r="G99" i="43" a="1"/>
  <c r="R195" i="43"/>
  <c r="R295" i="43"/>
  <c r="G26" i="43" a="1"/>
  <c r="G73" i="43" a="1"/>
  <c r="R178" i="43"/>
  <c r="G261" i="43" a="1"/>
  <c r="R330" i="43"/>
  <c r="R67" i="43"/>
  <c r="G161" i="43" a="1"/>
  <c r="R172" i="43"/>
  <c r="G348" i="43" a="1"/>
  <c r="G184" i="43" a="1"/>
  <c r="G340" i="43" a="1"/>
  <c r="G72" i="43" a="1"/>
  <c r="R18" i="43"/>
  <c r="R222" i="43"/>
  <c r="G299" i="43" a="1"/>
  <c r="R174" i="43"/>
  <c r="R27" i="43"/>
  <c r="G52" i="43" a="1"/>
  <c r="G82" i="43" a="1"/>
  <c r="R107" i="43"/>
  <c r="R139" i="43"/>
  <c r="G171" i="43" a="1"/>
  <c r="R197" i="43"/>
  <c r="G18" i="43" a="1"/>
  <c r="R57" i="43"/>
  <c r="R94" i="43"/>
  <c r="G127" i="43" a="1"/>
  <c r="R153" i="43"/>
  <c r="R184" i="43"/>
  <c r="G217" i="43" a="1"/>
  <c r="G247" i="43" a="1"/>
  <c r="G287" i="43" a="1"/>
  <c r="G8" i="43" a="1"/>
  <c r="G35" i="43" a="1"/>
  <c r="R61" i="43"/>
  <c r="G96" i="43" a="1"/>
  <c r="R124" i="43"/>
  <c r="G32" i="43" a="1"/>
  <c r="G93" i="43" a="1"/>
  <c r="R151" i="43"/>
  <c r="R190" i="43"/>
  <c r="G228" i="43" a="1"/>
  <c r="R258" i="43"/>
  <c r="R292" i="43"/>
  <c r="R326" i="43"/>
  <c r="R15" i="43"/>
  <c r="R7" i="43"/>
  <c r="G67" i="43" a="1"/>
  <c r="R121" i="43"/>
  <c r="G170" i="43" a="1"/>
  <c r="R220" i="43"/>
  <c r="G257" i="43" a="1"/>
  <c r="R296" i="43"/>
  <c r="R327" i="43"/>
  <c r="R19" i="43"/>
  <c r="G62" i="43" a="1"/>
  <c r="R105" i="43"/>
  <c r="R155" i="43"/>
  <c r="G76" i="43" a="1"/>
  <c r="G166" i="43" a="1"/>
  <c r="R236" i="43"/>
  <c r="R300" i="43"/>
  <c r="R342" i="43"/>
  <c r="G86" i="43" a="1"/>
  <c r="G178" i="43" a="1"/>
  <c r="G227" i="43" a="1"/>
  <c r="R271" i="43"/>
  <c r="R325" i="43"/>
  <c r="G149" i="43" a="1"/>
  <c r="G265" i="43" a="1"/>
  <c r="G28" i="43" a="1"/>
  <c r="R212" i="43"/>
  <c r="G341" i="43" a="1"/>
  <c r="G11" i="43" a="1"/>
  <c r="R95" i="43"/>
  <c r="G167" i="43" a="1"/>
  <c r="R216" i="43"/>
  <c r="G263" i="43" a="1"/>
  <c r="G294" i="43" a="1"/>
  <c r="R348" i="43"/>
  <c r="G104" i="43" a="1"/>
  <c r="R167" i="43"/>
  <c r="R217" i="43"/>
  <c r="G254" i="43" a="1"/>
  <c r="G303" i="43" a="1"/>
  <c r="R62" i="43"/>
  <c r="G199" i="43" a="1"/>
  <c r="R307" i="43"/>
  <c r="G98" i="43" a="1"/>
  <c r="R230" i="43"/>
  <c r="G346" i="43" a="1"/>
  <c r="R170" i="43"/>
  <c r="G293" i="43" a="1"/>
  <c r="G235" i="43" a="1"/>
  <c r="G220" i="43" a="1"/>
  <c r="G124" i="43" a="1"/>
  <c r="R320" i="43"/>
  <c r="R281" i="43"/>
  <c r="G240" i="43" a="1"/>
  <c r="G109" i="43" a="1"/>
  <c r="R331" i="43"/>
  <c r="G309" i="43" a="1"/>
  <c r="G31" i="43" a="1"/>
  <c r="R54" i="43"/>
  <c r="R84" i="43"/>
  <c r="R110" i="43"/>
  <c r="R143" i="43"/>
  <c r="G175" i="43" a="1"/>
  <c r="R201" i="43"/>
  <c r="R25" i="43"/>
  <c r="R60" i="43"/>
  <c r="R98" i="43"/>
  <c r="G131" i="43" a="1"/>
  <c r="R156" i="43"/>
  <c r="R187" i="43"/>
  <c r="G221" i="43" a="1"/>
  <c r="G250" i="43" a="1"/>
  <c r="G295" i="43" a="1"/>
  <c r="R39" i="43"/>
  <c r="G65" i="43" a="1"/>
  <c r="R102" i="43"/>
  <c r="R128" i="43"/>
  <c r="R35" i="43"/>
  <c r="R154" i="43"/>
  <c r="G232" i="43" a="1"/>
  <c r="R263" i="43"/>
  <c r="R329" i="43"/>
  <c r="R16" i="43"/>
  <c r="G125" i="43" a="1"/>
  <c r="G225" i="43" a="1"/>
  <c r="R301" i="43"/>
  <c r="G23" i="43" a="1"/>
  <c r="G111" i="43" a="1"/>
  <c r="R85" i="43"/>
  <c r="R306" i="43"/>
  <c r="R111" i="43"/>
  <c r="R232" i="43"/>
  <c r="G279" i="43" a="1"/>
  <c r="G288" i="43" a="1"/>
  <c r="R13" i="43"/>
  <c r="G103" i="43" a="1"/>
  <c r="R266" i="43"/>
  <c r="G113" i="43" a="1"/>
  <c r="G6" i="43" a="1"/>
  <c r="R56" i="43"/>
  <c r="G114" i="43" a="1"/>
  <c r="R176" i="43"/>
  <c r="R31" i="43"/>
  <c r="R101" i="43"/>
  <c r="R160" i="43"/>
  <c r="R224" i="43"/>
  <c r="R302" i="43"/>
  <c r="G43" i="43" a="1"/>
  <c r="G106" i="43" a="1"/>
  <c r="G41" i="43" a="1"/>
  <c r="R158" i="43"/>
  <c r="R235" i="43"/>
  <c r="G301" i="43" a="1"/>
  <c r="R32" i="43"/>
  <c r="R79" i="43"/>
  <c r="G187" i="43" a="1"/>
  <c r="R270" i="43"/>
  <c r="R335" i="43"/>
  <c r="R73" i="43"/>
  <c r="G9" i="43" a="1"/>
  <c r="R188" i="43"/>
  <c r="G310" i="43" a="1"/>
  <c r="R119" i="43"/>
  <c r="G237" i="43" a="1"/>
  <c r="G12" i="43" a="1"/>
  <c r="R303" i="43"/>
  <c r="R250" i="43"/>
  <c r="R23" i="43"/>
  <c r="G179" i="43" a="1"/>
  <c r="G272" i="43" a="1"/>
  <c r="R43" i="43"/>
  <c r="R179" i="43"/>
  <c r="R257" i="43"/>
  <c r="G330" i="43" a="1"/>
  <c r="G230" i="43" a="1"/>
  <c r="G21" i="43" a="1"/>
  <c r="G276" i="43" a="1"/>
  <c r="R75" i="43"/>
  <c r="G84" i="43" a="1"/>
  <c r="R315" i="43"/>
  <c r="R133" i="43"/>
  <c r="R338" i="43"/>
  <c r="R194" i="43"/>
  <c r="R318" i="43"/>
  <c r="G14" i="43" a="1"/>
  <c r="G126" i="43" a="1"/>
  <c r="R41" i="43"/>
  <c r="G168" i="43" a="1"/>
  <c r="R313" i="43"/>
  <c r="R112" i="43"/>
  <c r="G169" i="43" a="1"/>
  <c r="G308" i="43" a="1"/>
  <c r="G94" i="43" a="1"/>
  <c r="G282" i="43" a="1"/>
  <c r="G85" i="43" a="1"/>
  <c r="G208" i="43" a="1"/>
  <c r="G145" i="43" a="1"/>
  <c r="R70" i="43"/>
  <c r="G273" i="43" a="1"/>
  <c r="R189" i="43"/>
  <c r="R69" i="43"/>
  <c r="G267" i="43" a="1"/>
  <c r="G258" i="43" a="1"/>
  <c r="G304" i="43" a="1"/>
  <c r="R251" i="43"/>
  <c r="G92" i="43" a="1"/>
  <c r="G300" i="43" a="1"/>
  <c r="R21" i="43"/>
  <c r="G130" i="43" a="1"/>
  <c r="R186" i="43"/>
  <c r="R114" i="43"/>
  <c r="R234" i="43"/>
  <c r="G54" i="43" a="1"/>
  <c r="R71" i="43"/>
  <c r="G246" i="43" a="1"/>
  <c r="R47" i="43"/>
  <c r="G202" i="43" a="1"/>
  <c r="R8" i="43"/>
  <c r="G50" i="43" a="1"/>
  <c r="R332" i="43"/>
  <c r="R252" i="43"/>
  <c r="R336" i="43"/>
  <c r="G69" i="43" a="1"/>
  <c r="G283" i="43" a="1"/>
  <c r="G198" i="43" a="1"/>
  <c r="G97" i="43" a="1"/>
  <c r="G155" i="43" a="1"/>
  <c r="R207" i="43"/>
  <c r="G200" i="43" a="1"/>
  <c r="R255" i="43"/>
  <c r="G34" i="43" a="1"/>
  <c r="G147" i="43" a="1"/>
  <c r="G64" i="43" a="1"/>
  <c r="G191" i="43" a="1"/>
  <c r="G16" i="43" a="1"/>
  <c r="G142" i="43" a="1"/>
  <c r="R200" i="43"/>
  <c r="G333" i="43" a="1"/>
  <c r="R131" i="43"/>
  <c r="G306" i="43" a="1"/>
  <c r="R33" i="43"/>
  <c r="G248" i="43" a="1"/>
  <c r="G189" i="43" a="1"/>
  <c r="R282" i="43"/>
  <c r="G90" i="43" a="1"/>
  <c r="G112" i="43" a="1"/>
  <c r="G302" i="43" a="1"/>
  <c r="G229" i="43" a="1"/>
  <c r="R113" i="43"/>
  <c r="R169" i="43"/>
  <c r="R246" i="43"/>
  <c r="G201" i="43" a="1"/>
  <c r="R268" i="43"/>
  <c r="G317" i="43" a="1"/>
  <c r="G255" i="43" a="1"/>
  <c r="G321" i="43" a="1"/>
  <c r="R305" i="43"/>
  <c r="G226" i="43" a="1"/>
  <c r="R97" i="43"/>
  <c r="G7" i="43" a="1"/>
  <c r="R202" i="43"/>
  <c r="G27" i="43" a="1"/>
  <c r="R129" i="43"/>
  <c r="G281" i="43" a="1"/>
  <c r="R147" i="43"/>
  <c r="R9" i="43"/>
  <c r="G63" i="43" a="1"/>
  <c r="R117" i="43"/>
  <c r="R180" i="43"/>
  <c r="R36" i="43"/>
  <c r="R104" i="43"/>
  <c r="R164" i="43"/>
  <c r="R228" i="43"/>
  <c r="R311" i="43"/>
  <c r="G44" i="43" a="1"/>
  <c r="G110" i="43" a="1"/>
  <c r="R51" i="43"/>
  <c r="G164" i="43" a="1"/>
  <c r="G239" i="43" a="1"/>
  <c r="G305" i="43" a="1"/>
  <c r="G42" i="43" a="1"/>
  <c r="G89" i="43" a="1"/>
  <c r="G192" i="43" a="1"/>
  <c r="G275" i="43" a="1"/>
  <c r="R337" i="43"/>
  <c r="G80" i="43" a="1"/>
  <c r="R17" i="43"/>
  <c r="G203" i="43" a="1"/>
  <c r="G313" i="43" a="1"/>
  <c r="R127" i="43"/>
  <c r="R241" i="43"/>
  <c r="G47" i="43" a="1"/>
  <c r="G320" i="43" a="1"/>
  <c r="R260" i="43"/>
  <c r="R30" i="43"/>
  <c r="G185" i="43" a="1"/>
  <c r="G274" i="43" a="1"/>
  <c r="G60" i="43" a="1"/>
  <c r="R185" i="43"/>
  <c r="G264" i="43" a="1"/>
  <c r="G334" i="43" a="1"/>
  <c r="G249" i="43" a="1"/>
  <c r="G115" i="43" a="1"/>
  <c r="G292" i="43" a="1"/>
  <c r="G143" i="43" a="1"/>
  <c r="R150" i="43"/>
  <c r="G342" i="43" a="1"/>
  <c r="G29" i="43" a="1"/>
  <c r="G101" i="43" a="1"/>
  <c r="G256" i="43" a="1"/>
  <c r="R64" i="43"/>
  <c r="R66" i="43"/>
  <c r="R183" i="43"/>
  <c r="R108" i="43"/>
  <c r="R231" i="43"/>
  <c r="G48" i="43" a="1"/>
  <c r="R65" i="43"/>
  <c r="R242" i="43"/>
  <c r="R44" i="43"/>
  <c r="R196" i="43"/>
  <c r="G344" i="43" a="1"/>
  <c r="R37" i="43"/>
  <c r="G329" i="43" a="1"/>
  <c r="R243" i="43"/>
  <c r="G326" i="43" a="1"/>
  <c r="R59" i="43"/>
  <c r="R279" i="43"/>
  <c r="R191" i="43"/>
  <c r="R81" i="43"/>
  <c r="G139" i="43" a="1"/>
  <c r="G183" i="43" a="1"/>
  <c r="G118" i="43" a="1"/>
  <c r="G165" i="43" a="1"/>
  <c r="G335" i="43" a="1"/>
  <c r="G70" i="43" a="1"/>
  <c r="G46" i="43" a="1"/>
  <c r="G172" i="43" a="1"/>
  <c r="R314" i="43"/>
  <c r="G116" i="43" a="1"/>
  <c r="G174" i="43" a="1"/>
  <c r="G311" i="43" a="1"/>
  <c r="R99" i="43"/>
  <c r="G284" i="43" a="1"/>
  <c r="R89" i="43"/>
  <c r="R214" i="43"/>
  <c r="G158" i="43" a="1"/>
  <c r="R88" i="43"/>
  <c r="R283" i="43"/>
  <c r="G197" i="43" a="1"/>
  <c r="G81" i="43" a="1"/>
  <c r="R274" i="43"/>
  <c r="R267" i="43"/>
  <c r="G22" i="43" a="1"/>
  <c r="R265" i="43"/>
  <c r="G157" i="43" a="1"/>
  <c r="R328" i="43"/>
  <c r="R87" i="43"/>
  <c r="R205" i="43"/>
  <c r="G134" i="43" a="1"/>
  <c r="R259" i="43"/>
  <c r="R68" i="43"/>
  <c r="R109" i="43"/>
  <c r="G269" i="43" a="1"/>
  <c r="R26" i="43"/>
  <c r="R229" i="43"/>
  <c r="R116" i="43"/>
  <c r="G102" i="43" a="1"/>
  <c r="G10" i="43" a="1"/>
  <c r="G180" i="43" a="1"/>
  <c r="R28" i="43"/>
  <c r="R227" i="43"/>
  <c r="R122" i="43"/>
  <c r="G280" i="43" a="1"/>
  <c r="G323" i="43" a="1"/>
  <c r="R34" i="43"/>
  <c r="R280" i="43"/>
  <c r="G214" i="43" a="1"/>
  <c r="R175" i="43"/>
  <c r="R340" i="43"/>
  <c r="R323" i="43"/>
  <c r="R299" i="43"/>
  <c r="R40" i="43"/>
  <c r="G156" i="43" a="1"/>
  <c r="G79" i="43" a="1"/>
  <c r="R273" i="43"/>
  <c r="R80" i="43"/>
  <c r="G215" i="43" a="1"/>
  <c r="R45" i="43"/>
  <c r="G244" i="43" a="1"/>
  <c r="G36" i="43" a="1"/>
  <c r="R90" i="43"/>
  <c r="G151" i="43" a="1"/>
  <c r="R208" i="43"/>
  <c r="G71" i="43" a="1"/>
  <c r="G137" i="43" a="1"/>
  <c r="G195" i="43" a="1"/>
  <c r="R264" i="43"/>
  <c r="G19" i="43" a="1"/>
  <c r="R72" i="43"/>
  <c r="G146" i="43" a="1"/>
  <c r="R120" i="43"/>
  <c r="G206" i="43" a="1"/>
  <c r="R272" i="43"/>
  <c r="G337" i="43" a="1"/>
  <c r="G37" i="43" a="1"/>
  <c r="R135" i="43"/>
  <c r="G233" i="43" a="1"/>
  <c r="R308" i="43"/>
  <c r="G39" i="43" a="1"/>
  <c r="R125" i="43"/>
  <c r="G119" i="43" a="1"/>
  <c r="G262" i="43" a="1"/>
  <c r="G38" i="43" a="1"/>
  <c r="G196" i="43" a="1"/>
  <c r="R293" i="43"/>
  <c r="R192" i="43"/>
  <c r="G107" i="43" a="1"/>
  <c r="G40" i="43" a="1"/>
  <c r="G121" i="43" a="1"/>
  <c r="R233" i="43"/>
  <c r="R310" i="43"/>
  <c r="G129" i="43" a="1"/>
  <c r="G234" i="43" a="1"/>
  <c r="G312" i="43" a="1"/>
  <c r="R138" i="43"/>
  <c r="G331" i="43" a="1"/>
  <c r="G193" i="43" a="1"/>
  <c r="G55" i="43" a="1"/>
  <c r="R309" i="43"/>
  <c r="G297" i="43" a="1"/>
  <c r="G259" i="43" a="1"/>
  <c r="G236" i="43" a="1"/>
  <c r="G285" i="43" a="1"/>
  <c r="G176" i="43" a="1"/>
  <c r="R38" i="43"/>
  <c r="R93" i="43"/>
  <c r="R152" i="43"/>
  <c r="G212" i="43" a="1"/>
  <c r="G75" i="43" a="1"/>
  <c r="R140" i="43"/>
  <c r="R198" i="43"/>
  <c r="R269" i="43"/>
  <c r="G20" i="43" a="1"/>
  <c r="R76" i="43"/>
  <c r="R6" i="43"/>
  <c r="R123" i="43"/>
  <c r="G210" i="43" a="1"/>
  <c r="R278" i="43"/>
  <c r="R339" i="43"/>
  <c r="R42" i="43"/>
  <c r="R141" i="43"/>
  <c r="R239" i="43"/>
  <c r="G316" i="43" a="1"/>
  <c r="R46" i="43"/>
  <c r="G132" i="43" a="1"/>
  <c r="R126" i="43"/>
  <c r="G271" i="43" a="1"/>
  <c r="G51" i="43" a="1"/>
  <c r="R203" i="43"/>
  <c r="R298" i="43"/>
  <c r="G205" i="43" a="1"/>
  <c r="R149" i="43"/>
  <c r="R74" i="43"/>
  <c r="G128" i="43" a="1"/>
  <c r="G242" i="43" a="1"/>
  <c r="G322" i="43" a="1"/>
  <c r="G138" i="43" a="1"/>
  <c r="G238" i="43" a="1"/>
  <c r="G154" i="43" a="1"/>
  <c r="G91" i="43" a="1"/>
  <c r="R297" i="43"/>
  <c r="R144" i="43"/>
  <c r="G15" i="43" a="1"/>
  <c r="G343" i="43" a="1"/>
  <c r="G318" i="43" a="1"/>
  <c r="G218" i="43" a="1"/>
  <c r="R322" i="43"/>
  <c r="R312" i="43"/>
  <c r="G307" i="43" a="1"/>
  <c r="G49" i="43" a="1"/>
  <c r="R162" i="43"/>
  <c r="R211" i="43"/>
  <c r="G315" i="43" a="1"/>
  <c r="R134" i="43"/>
  <c r="G268" i="43" a="1"/>
  <c r="R244" i="43"/>
  <c r="R146" i="43"/>
  <c r="G243" i="43" a="1"/>
  <c r="R136" i="43"/>
  <c r="G108" i="43" a="1"/>
  <c r="R349" i="43"/>
  <c r="G289" i="43" a="1"/>
  <c r="R137" i="43"/>
  <c r="G278" i="43" a="1"/>
  <c r="G117" i="43" a="1"/>
  <c r="G270" i="43" a="1"/>
  <c r="R58" i="43"/>
  <c r="G325" i="43" a="1"/>
  <c r="R347" i="43"/>
  <c r="G209" i="43" a="1"/>
  <c r="G332" i="43" a="1"/>
  <c r="C35" i="41"/>
  <c r="C36" i="41"/>
  <c r="F38" i="43"/>
  <c r="F102" i="43"/>
  <c r="F166" i="43"/>
  <c r="F230" i="43"/>
  <c r="F55" i="43"/>
  <c r="F119" i="43"/>
  <c r="F183" i="43"/>
  <c r="F21" i="43"/>
  <c r="F16" i="43"/>
  <c r="F80" i="43"/>
  <c r="F144" i="43"/>
  <c r="F208" i="43"/>
  <c r="F58" i="43"/>
  <c r="F186" i="43"/>
  <c r="F165" i="43"/>
  <c r="F49" i="43"/>
  <c r="F113" i="43"/>
  <c r="F177" i="43"/>
  <c r="F241" i="43"/>
  <c r="F130" i="43"/>
  <c r="F13" i="43"/>
  <c r="F27" i="43"/>
  <c r="F91" i="43"/>
  <c r="F155" i="43"/>
  <c r="F219" i="43"/>
  <c r="F52" i="43"/>
  <c r="F116" i="43"/>
  <c r="F180" i="43"/>
  <c r="F37" i="43"/>
  <c r="F213" i="43"/>
  <c r="F152" i="43"/>
  <c r="F197" i="43"/>
  <c r="F185" i="43"/>
  <c r="F35" i="43"/>
  <c r="F60" i="43"/>
  <c r="F45" i="43"/>
  <c r="F206" i="43"/>
  <c r="F159" i="43"/>
  <c r="F189" i="43"/>
  <c r="F184" i="43"/>
  <c r="F25" i="43"/>
  <c r="F153" i="43"/>
  <c r="F221" i="43"/>
  <c r="F195" i="43"/>
  <c r="F156" i="43"/>
  <c r="F149" i="43"/>
  <c r="F110" i="43"/>
  <c r="F63" i="43"/>
  <c r="F191" i="43"/>
  <c r="F24" i="43"/>
  <c r="F74" i="43"/>
  <c r="F57" i="43"/>
  <c r="F18" i="43"/>
  <c r="F99" i="43"/>
  <c r="F124" i="43"/>
  <c r="F14" i="43"/>
  <c r="F78" i="43"/>
  <c r="F31" i="43"/>
  <c r="F95" i="43"/>
  <c r="F223" i="43"/>
  <c r="F120" i="43"/>
  <c r="F138" i="43"/>
  <c r="F89" i="43"/>
  <c r="F217" i="43"/>
  <c r="F131" i="43"/>
  <c r="F92" i="43"/>
  <c r="F54" i="43"/>
  <c r="F118" i="43"/>
  <c r="F182" i="43"/>
  <c r="F7" i="43"/>
  <c r="F71" i="43"/>
  <c r="F135" i="43"/>
  <c r="F199" i="43"/>
  <c r="F101" i="43"/>
  <c r="F32" i="43"/>
  <c r="F96" i="43"/>
  <c r="F160" i="43"/>
  <c r="F224" i="43"/>
  <c r="F90" i="43"/>
  <c r="F218" i="43"/>
  <c r="F237" i="43"/>
  <c r="F65" i="43"/>
  <c r="F129" i="43"/>
  <c r="F193" i="43"/>
  <c r="F34" i="43"/>
  <c r="F162" i="43"/>
  <c r="F109" i="43"/>
  <c r="F43" i="43"/>
  <c r="F107" i="43"/>
  <c r="F171" i="43"/>
  <c r="F235" i="43"/>
  <c r="F68" i="43"/>
  <c r="F132" i="43"/>
  <c r="F196" i="43"/>
  <c r="F77" i="43"/>
  <c r="F62" i="43"/>
  <c r="F126" i="43"/>
  <c r="F190" i="43"/>
  <c r="F15" i="43"/>
  <c r="F79" i="43"/>
  <c r="F143" i="43"/>
  <c r="F207" i="43"/>
  <c r="F133" i="43"/>
  <c r="F40" i="43"/>
  <c r="F104" i="43"/>
  <c r="F168" i="43"/>
  <c r="F232" i="43"/>
  <c r="F106" i="43"/>
  <c r="F234" i="43"/>
  <c r="F9" i="43"/>
  <c r="F73" i="43"/>
  <c r="F137" i="43"/>
  <c r="F201" i="43"/>
  <c r="F50" i="43"/>
  <c r="F178" i="43"/>
  <c r="F141" i="43"/>
  <c r="F51" i="43"/>
  <c r="F115" i="43"/>
  <c r="F179" i="43"/>
  <c r="F12" i="43"/>
  <c r="F140" i="43"/>
  <c r="F204" i="43"/>
  <c r="F93" i="43"/>
  <c r="F142" i="43"/>
  <c r="F56" i="43"/>
  <c r="F53" i="43"/>
  <c r="F82" i="43"/>
  <c r="F28" i="43"/>
  <c r="F76" i="43"/>
  <c r="F70" i="43"/>
  <c r="F198" i="43"/>
  <c r="F151" i="43"/>
  <c r="F157" i="43"/>
  <c r="F112" i="43"/>
  <c r="F240" i="43"/>
  <c r="F29" i="43"/>
  <c r="F81" i="43"/>
  <c r="F209" i="43"/>
  <c r="F194" i="43"/>
  <c r="F123" i="43"/>
  <c r="F20" i="43"/>
  <c r="F148" i="43"/>
  <c r="F125" i="43"/>
  <c r="F10" i="43"/>
  <c r="F67" i="43"/>
  <c r="F220" i="43"/>
  <c r="F6" i="43"/>
  <c r="F134" i="43"/>
  <c r="F23" i="43"/>
  <c r="F87" i="43"/>
  <c r="F215" i="43"/>
  <c r="F48" i="43"/>
  <c r="F176" i="43"/>
  <c r="F122" i="43"/>
  <c r="F17" i="43"/>
  <c r="F145" i="43"/>
  <c r="F66" i="43"/>
  <c r="F181" i="43"/>
  <c r="F59" i="43"/>
  <c r="F187" i="43"/>
  <c r="F84" i="43"/>
  <c r="F212" i="43"/>
  <c r="F210" i="43"/>
  <c r="F22" i="43"/>
  <c r="F86" i="43"/>
  <c r="F150" i="43"/>
  <c r="F214" i="43"/>
  <c r="F39" i="43"/>
  <c r="F103" i="43"/>
  <c r="F167" i="43"/>
  <c r="F231" i="43"/>
  <c r="F229" i="43"/>
  <c r="F64" i="43"/>
  <c r="F128" i="43"/>
  <c r="F192" i="43"/>
  <c r="F26" i="43"/>
  <c r="F154" i="43"/>
  <c r="F85" i="43"/>
  <c r="F33" i="43"/>
  <c r="F97" i="43"/>
  <c r="F161" i="43"/>
  <c r="F225" i="43"/>
  <c r="F98" i="43"/>
  <c r="F226" i="43"/>
  <c r="F11" i="43"/>
  <c r="F75" i="43"/>
  <c r="F139" i="43"/>
  <c r="F203" i="43"/>
  <c r="F36" i="43"/>
  <c r="F100" i="43"/>
  <c r="F164" i="43"/>
  <c r="F228" i="43"/>
  <c r="F173" i="43"/>
  <c r="F30" i="43"/>
  <c r="F94" i="43"/>
  <c r="F158" i="43"/>
  <c r="F222" i="43"/>
  <c r="F47" i="43"/>
  <c r="F111" i="43"/>
  <c r="F175" i="43"/>
  <c r="F239" i="43"/>
  <c r="F8" i="43"/>
  <c r="F72" i="43"/>
  <c r="F136" i="43"/>
  <c r="F200" i="43"/>
  <c r="F42" i="43"/>
  <c r="F170" i="43"/>
  <c r="F117" i="43"/>
  <c r="F41" i="43"/>
  <c r="F105" i="43"/>
  <c r="F169" i="43"/>
  <c r="F233" i="43"/>
  <c r="F114" i="43"/>
  <c r="F242" i="43"/>
  <c r="F19" i="43"/>
  <c r="F83" i="43"/>
  <c r="F147" i="43"/>
  <c r="F211" i="43"/>
  <c r="F44" i="43"/>
  <c r="F108" i="43"/>
  <c r="F172" i="43"/>
  <c r="F236" i="43"/>
  <c r="F205" i="43"/>
  <c r="F46" i="43"/>
  <c r="F174" i="43"/>
  <c r="F238" i="43"/>
  <c r="F127" i="43"/>
  <c r="F61" i="43"/>
  <c r="F88" i="43"/>
  <c r="F216" i="43"/>
  <c r="F202" i="43"/>
  <c r="F121" i="43"/>
  <c r="F146" i="43"/>
  <c r="F163" i="43"/>
  <c r="F227" i="43"/>
  <c r="F188" i="43"/>
  <c r="F69" i="43"/>
  <c r="S175" i="1"/>
  <c r="S137" i="1"/>
  <c r="T105" i="1"/>
  <c r="S155" i="1"/>
  <c r="T208" i="1"/>
  <c r="T155" i="1"/>
  <c r="S208" i="1"/>
  <c r="S105" i="1"/>
  <c r="T137" i="1"/>
  <c r="T133" i="1"/>
  <c r="T145" i="1"/>
  <c r="S133" i="1"/>
  <c r="S145" i="1"/>
  <c r="T248" i="1"/>
  <c r="T138" i="1"/>
  <c r="S248" i="1"/>
  <c r="S138" i="1"/>
  <c r="T175" i="1"/>
  <c r="J335" i="43" l="1"/>
  <c r="I335" i="43"/>
  <c r="M335" i="43"/>
  <c r="L309" i="43"/>
  <c r="J182" i="43"/>
  <c r="I289" i="43"/>
  <c r="N226" i="43"/>
  <c r="N176" i="43"/>
  <c r="P176" i="43"/>
  <c r="G300" i="43"/>
  <c r="O256" i="43"/>
  <c r="G256" i="43"/>
  <c r="J256" i="43"/>
  <c r="H256" i="43"/>
  <c r="I109" i="43"/>
  <c r="M328" i="43"/>
  <c r="H315" i="43"/>
  <c r="M315" i="43"/>
  <c r="I285" i="43"/>
  <c r="K285" i="43"/>
  <c r="Q285" i="43"/>
  <c r="G285" i="43"/>
  <c r="P240" i="43"/>
  <c r="H240" i="43"/>
  <c r="L219" i="43"/>
  <c r="N165" i="43"/>
  <c r="I101" i="43"/>
  <c r="G266" i="43"/>
  <c r="P266" i="43"/>
  <c r="J266" i="43"/>
  <c r="Q266" i="43"/>
  <c r="H266" i="43"/>
  <c r="O266" i="43"/>
  <c r="G252" i="43"/>
  <c r="N252" i="43"/>
  <c r="G236" i="43"/>
  <c r="H236" i="43"/>
  <c r="L214" i="43"/>
  <c r="J157" i="43"/>
  <c r="O92" i="43"/>
  <c r="G92" i="43"/>
  <c r="I231" i="43"/>
  <c r="Q231" i="43"/>
  <c r="K231" i="43"/>
  <c r="G259" i="43"/>
  <c r="L259" i="43"/>
  <c r="N259" i="43"/>
  <c r="Q259" i="43"/>
  <c r="P200" i="43"/>
  <c r="H118" i="43"/>
  <c r="N342" i="43"/>
  <c r="J270" i="43"/>
  <c r="K338" i="43"/>
  <c r="G297" i="43"/>
  <c r="L235" i="43"/>
  <c r="O188" i="43"/>
  <c r="G84" i="43"/>
  <c r="K84" i="43"/>
  <c r="I321" i="43"/>
  <c r="N321" i="43"/>
  <c r="M321" i="43"/>
  <c r="Q321" i="43"/>
  <c r="L293" i="43"/>
  <c r="H293" i="43"/>
  <c r="J293" i="43"/>
  <c r="O183" i="43"/>
  <c r="L183" i="43"/>
  <c r="Q183" i="43"/>
  <c r="I143" i="43"/>
  <c r="L150" i="43"/>
  <c r="I141" i="43"/>
  <c r="M91" i="43"/>
  <c r="I55" i="43"/>
  <c r="H55" i="43"/>
  <c r="O55" i="43"/>
  <c r="K55" i="43"/>
  <c r="O22" i="43"/>
  <c r="G22" i="43"/>
  <c r="L22" i="43"/>
  <c r="K22" i="43"/>
  <c r="M22" i="43"/>
  <c r="N22" i="43"/>
  <c r="I22" i="43"/>
  <c r="K346" i="43"/>
  <c r="M304" i="43"/>
  <c r="G292" i="43"/>
  <c r="N292" i="43"/>
  <c r="H292" i="43"/>
  <c r="G276" i="43"/>
  <c r="H268" i="43"/>
  <c r="G207" i="43"/>
  <c r="M207" i="43"/>
  <c r="O207" i="43"/>
  <c r="K193" i="43"/>
  <c r="K155" i="43"/>
  <c r="J155" i="43"/>
  <c r="L139" i="43"/>
  <c r="H115" i="43"/>
  <c r="H98" i="43"/>
  <c r="G21" i="43"/>
  <c r="Q331" i="43"/>
  <c r="J331" i="43"/>
  <c r="H323" i="43"/>
  <c r="N323" i="43"/>
  <c r="G258" i="43"/>
  <c r="J258" i="43"/>
  <c r="O258" i="43"/>
  <c r="Q258" i="43"/>
  <c r="G249" i="43"/>
  <c r="L230" i="43"/>
  <c r="G199" i="43"/>
  <c r="H186" i="43"/>
  <c r="J186" i="43"/>
  <c r="P186" i="43"/>
  <c r="I97" i="43"/>
  <c r="M345" i="43"/>
  <c r="L334" i="43"/>
  <c r="H334" i="43"/>
  <c r="K330" i="43"/>
  <c r="L317" i="43"/>
  <c r="Q317" i="43"/>
  <c r="H317" i="43"/>
  <c r="M312" i="43"/>
  <c r="G312" i="43"/>
  <c r="J312" i="43"/>
  <c r="O312" i="43"/>
  <c r="P312" i="43"/>
  <c r="J303" i="43"/>
  <c r="G280" i="43"/>
  <c r="I280" i="43"/>
  <c r="K280" i="43"/>
  <c r="P280" i="43"/>
  <c r="L267" i="43"/>
  <c r="H264" i="43"/>
  <c r="I264" i="43"/>
  <c r="P254" i="43"/>
  <c r="H254" i="43"/>
  <c r="M245" i="43"/>
  <c r="J245" i="43"/>
  <c r="G245" i="43"/>
  <c r="K243" i="43"/>
  <c r="J243" i="43"/>
  <c r="Q243" i="43"/>
  <c r="G243" i="43"/>
  <c r="O243" i="43"/>
  <c r="L243" i="43"/>
  <c r="I243" i="43"/>
  <c r="M243" i="43"/>
  <c r="N243" i="43"/>
  <c r="L238" i="43"/>
  <c r="H234" i="43"/>
  <c r="I234" i="43"/>
  <c r="J234" i="43"/>
  <c r="I229" i="43"/>
  <c r="J223" i="43"/>
  <c r="H223" i="43"/>
  <c r="G153" i="43"/>
  <c r="J138" i="43"/>
  <c r="G138" i="43"/>
  <c r="G129" i="43"/>
  <c r="L113" i="43"/>
  <c r="J104" i="43"/>
  <c r="G87" i="43"/>
  <c r="G60" i="43"/>
  <c r="J60" i="43"/>
  <c r="N60" i="43"/>
  <c r="L325" i="43"/>
  <c r="K322" i="43"/>
  <c r="L302" i="43"/>
  <c r="K299" i="43"/>
  <c r="P299" i="43"/>
  <c r="G299" i="43"/>
  <c r="J299" i="43"/>
  <c r="M299" i="43"/>
  <c r="H299" i="43"/>
  <c r="N299" i="43"/>
  <c r="P294" i="43"/>
  <c r="J291" i="43"/>
  <c r="K291" i="43"/>
  <c r="N283" i="43"/>
  <c r="Q283" i="43"/>
  <c r="L283" i="43"/>
  <c r="I283" i="43"/>
  <c r="H274" i="43"/>
  <c r="M274" i="43"/>
  <c r="H272" i="43"/>
  <c r="L272" i="43"/>
  <c r="J272" i="43"/>
  <c r="I272" i="43"/>
  <c r="G263" i="43"/>
  <c r="G260" i="43"/>
  <c r="O260" i="43"/>
  <c r="H260" i="43"/>
  <c r="J260" i="43"/>
  <c r="I253" i="43"/>
  <c r="O253" i="43"/>
  <c r="G204" i="43"/>
  <c r="G185" i="43"/>
  <c r="K167" i="43"/>
  <c r="G167" i="43"/>
  <c r="K159" i="43"/>
  <c r="J128" i="43"/>
  <c r="H121" i="43"/>
  <c r="Q121" i="43"/>
  <c r="N112" i="43"/>
  <c r="G103" i="43"/>
  <c r="H103" i="43"/>
  <c r="I69" i="43"/>
  <c r="P11" i="43"/>
  <c r="N11" i="43"/>
  <c r="Q11" i="43"/>
  <c r="H11" i="43"/>
  <c r="K11" i="43"/>
  <c r="L11" i="43"/>
  <c r="O11" i="43"/>
  <c r="G11" i="43"/>
  <c r="G163" i="43"/>
  <c r="G40" i="43"/>
  <c r="O40" i="43"/>
  <c r="L341" i="43"/>
  <c r="J327" i="43"/>
  <c r="M296" i="43"/>
  <c r="K273" i="43"/>
  <c r="G273" i="43"/>
  <c r="M273" i="43"/>
  <c r="N273" i="43"/>
  <c r="J273" i="43"/>
  <c r="L273" i="43"/>
  <c r="H224" i="43"/>
  <c r="H107" i="43"/>
  <c r="Q90" i="43"/>
  <c r="O72" i="43"/>
  <c r="J28" i="43"/>
  <c r="L28" i="43"/>
  <c r="I13" i="43"/>
  <c r="N326" i="43"/>
  <c r="M320" i="43"/>
  <c r="O320" i="43"/>
  <c r="G288" i="43"/>
  <c r="Q288" i="43"/>
  <c r="N265" i="43"/>
  <c r="G265" i="43"/>
  <c r="P218" i="43"/>
  <c r="J205" i="43"/>
  <c r="O180" i="43"/>
  <c r="H162" i="43"/>
  <c r="I149" i="43"/>
  <c r="I47" i="43"/>
  <c r="M47" i="43"/>
  <c r="O47" i="43"/>
  <c r="G47" i="43"/>
  <c r="P47" i="43"/>
  <c r="H47" i="43"/>
  <c r="L47" i="43"/>
  <c r="N47" i="43"/>
  <c r="H340" i="43"/>
  <c r="M340" i="43"/>
  <c r="H307" i="43"/>
  <c r="M307" i="43"/>
  <c r="N307" i="43"/>
  <c r="M279" i="43"/>
  <c r="O279" i="43"/>
  <c r="O237" i="43"/>
  <c r="H237" i="43"/>
  <c r="H227" i="43"/>
  <c r="L222" i="43"/>
  <c r="G209" i="43"/>
  <c r="N189" i="43"/>
  <c r="G173" i="43"/>
  <c r="H158" i="43"/>
  <c r="I145" i="43"/>
  <c r="N86" i="43"/>
  <c r="I86" i="43"/>
  <c r="K68" i="43"/>
  <c r="M51" i="43"/>
  <c r="K51" i="43"/>
  <c r="I51" i="43"/>
  <c r="L51" i="43"/>
  <c r="O38" i="43"/>
  <c r="G38" i="43"/>
  <c r="I38" i="43"/>
  <c r="M38" i="43"/>
  <c r="L38" i="43"/>
  <c r="N38" i="43"/>
  <c r="P38" i="43"/>
  <c r="H38" i="43"/>
  <c r="K38" i="43"/>
  <c r="O348" i="43"/>
  <c r="K348" i="43"/>
  <c r="K339" i="43"/>
  <c r="I339" i="43"/>
  <c r="P339" i="43"/>
  <c r="M336" i="43"/>
  <c r="H336" i="43"/>
  <c r="J336" i="43"/>
  <c r="I336" i="43"/>
  <c r="O329" i="43"/>
  <c r="G329" i="43"/>
  <c r="K329" i="43"/>
  <c r="M313" i="43"/>
  <c r="N310" i="43"/>
  <c r="J310" i="43"/>
  <c r="K298" i="43"/>
  <c r="G298" i="43"/>
  <c r="N278" i="43"/>
  <c r="G271" i="43"/>
  <c r="I262" i="43"/>
  <c r="H248" i="43"/>
  <c r="K248" i="43"/>
  <c r="P248" i="43"/>
  <c r="G241" i="43"/>
  <c r="H208" i="43"/>
  <c r="M166" i="43"/>
  <c r="J144" i="43"/>
  <c r="N119" i="43"/>
  <c r="J102" i="43"/>
  <c r="O102" i="43"/>
  <c r="H58" i="43"/>
  <c r="Q50" i="43"/>
  <c r="J9" i="43"/>
  <c r="J132" i="43"/>
  <c r="H132" i="43"/>
  <c r="P132" i="43"/>
  <c r="J111" i="43"/>
  <c r="J100" i="43"/>
  <c r="Q85" i="43"/>
  <c r="G80" i="43"/>
  <c r="I62" i="43"/>
  <c r="M49" i="43"/>
  <c r="I39" i="43"/>
  <c r="M39" i="43"/>
  <c r="O39" i="43"/>
  <c r="P39" i="43"/>
  <c r="I23" i="43"/>
  <c r="G23" i="43"/>
  <c r="P23" i="43"/>
  <c r="K23" i="43"/>
  <c r="L23" i="43"/>
  <c r="I17" i="43"/>
  <c r="N17" i="43"/>
  <c r="M344" i="43"/>
  <c r="N318" i="43"/>
  <c r="L318" i="43"/>
  <c r="H316" i="43"/>
  <c r="J316" i="43"/>
  <c r="K316" i="43"/>
  <c r="L316" i="43"/>
  <c r="K306" i="43"/>
  <c r="J306" i="43"/>
  <c r="H284" i="43"/>
  <c r="I282" i="43"/>
  <c r="Q282" i="43"/>
  <c r="N282" i="43"/>
  <c r="M275" i="43"/>
  <c r="O261" i="43"/>
  <c r="P261" i="43"/>
  <c r="N261" i="43"/>
  <c r="O257" i="43"/>
  <c r="M257" i="43"/>
  <c r="H251" i="43"/>
  <c r="H244" i="43"/>
  <c r="G244" i="43"/>
  <c r="H216" i="43"/>
  <c r="Q211" i="43"/>
  <c r="I202" i="43"/>
  <c r="M192" i="43"/>
  <c r="K187" i="43"/>
  <c r="H160" i="43"/>
  <c r="K94" i="43"/>
  <c r="J89" i="43"/>
  <c r="N89" i="43"/>
  <c r="J73" i="43"/>
  <c r="H67" i="43"/>
  <c r="N67" i="43"/>
  <c r="M53" i="43"/>
  <c r="G37" i="43"/>
  <c r="O37" i="43"/>
  <c r="J37" i="43"/>
  <c r="O61" i="43"/>
  <c r="N61" i="43"/>
  <c r="N56" i="43"/>
  <c r="G56" i="43"/>
  <c r="N26" i="43"/>
  <c r="L349" i="43"/>
  <c r="P349" i="43"/>
  <c r="G349" i="43"/>
  <c r="N347" i="43"/>
  <c r="H347" i="43"/>
  <c r="P347" i="43"/>
  <c r="I347" i="43"/>
  <c r="J347" i="43"/>
  <c r="L347" i="43"/>
  <c r="O347" i="43"/>
  <c r="K347" i="43"/>
  <c r="M347" i="43"/>
  <c r="Q347" i="43"/>
  <c r="G347" i="43"/>
  <c r="J343" i="43"/>
  <c r="G337" i="43"/>
  <c r="J337" i="43"/>
  <c r="L333" i="43"/>
  <c r="N333" i="43"/>
  <c r="J333" i="43"/>
  <c r="G324" i="43"/>
  <c r="L324" i="43"/>
  <c r="M324" i="43"/>
  <c r="J324" i="43"/>
  <c r="K314" i="43"/>
  <c r="I314" i="43"/>
  <c r="G314" i="43"/>
  <c r="N314" i="43"/>
  <c r="P314" i="43"/>
  <c r="J314" i="43"/>
  <c r="L314" i="43"/>
  <c r="J311" i="43"/>
  <c r="J308" i="43"/>
  <c r="K308" i="43"/>
  <c r="H308" i="43"/>
  <c r="G305" i="43"/>
  <c r="L301" i="43"/>
  <c r="O301" i="43"/>
  <c r="K290" i="43"/>
  <c r="N290" i="43"/>
  <c r="O290" i="43"/>
  <c r="N286" i="43"/>
  <c r="O281" i="43"/>
  <c r="O269" i="43"/>
  <c r="J246" i="43"/>
  <c r="N239" i="43"/>
  <c r="O239" i="43"/>
  <c r="P232" i="43"/>
  <c r="J215" i="43"/>
  <c r="J210" i="43"/>
  <c r="M206" i="43"/>
  <c r="M177" i="43"/>
  <c r="N174" i="43"/>
  <c r="G169" i="43"/>
  <c r="G164" i="43"/>
  <c r="M140" i="43"/>
  <c r="I135" i="43"/>
  <c r="N135" i="43"/>
  <c r="O135" i="43"/>
  <c r="M99" i="43"/>
  <c r="P99" i="43"/>
  <c r="G99" i="43"/>
  <c r="H93" i="43"/>
  <c r="P93" i="43"/>
  <c r="L88" i="43"/>
  <c r="I88" i="43"/>
  <c r="I41" i="43"/>
  <c r="K32" i="43"/>
  <c r="G30" i="43"/>
  <c r="I30" i="43"/>
  <c r="K30" i="43"/>
  <c r="N30" i="43"/>
  <c r="H30" i="43"/>
  <c r="J30" i="43"/>
  <c r="L30" i="43"/>
  <c r="M30" i="43"/>
  <c r="P30" i="43"/>
  <c r="I25" i="43"/>
  <c r="P15" i="43"/>
  <c r="I146" i="43"/>
  <c r="P146" i="43"/>
  <c r="L142" i="43"/>
  <c r="Q123" i="43"/>
  <c r="L123" i="43"/>
  <c r="N123" i="43"/>
  <c r="H123" i="43"/>
  <c r="K123" i="43"/>
  <c r="M123" i="43"/>
  <c r="N120" i="43"/>
  <c r="M110" i="43"/>
  <c r="Q110" i="43"/>
  <c r="I110" i="43"/>
  <c r="K106" i="43"/>
  <c r="K96" i="43"/>
  <c r="M59" i="43"/>
  <c r="K54" i="43"/>
  <c r="G54" i="43"/>
  <c r="N54" i="43"/>
  <c r="O44" i="43"/>
  <c r="G44" i="43"/>
  <c r="M43" i="43"/>
  <c r="I43" i="43"/>
  <c r="P43" i="43"/>
  <c r="G43" i="43"/>
  <c r="H43" i="43"/>
  <c r="O43" i="43"/>
  <c r="Q43" i="43"/>
  <c r="M35" i="43"/>
  <c r="I35" i="43"/>
  <c r="I33" i="43"/>
  <c r="J33" i="43"/>
  <c r="M27" i="43"/>
  <c r="J27" i="43"/>
  <c r="N27" i="43"/>
  <c r="N20" i="43"/>
  <c r="M19" i="43"/>
  <c r="K19" i="43"/>
  <c r="P19" i="43"/>
  <c r="I19" i="43"/>
  <c r="N19" i="43"/>
  <c r="Q19" i="43"/>
  <c r="G19" i="43"/>
  <c r="H16" i="43"/>
  <c r="J319" i="43"/>
  <c r="N319" i="43"/>
  <c r="G319" i="43"/>
  <c r="H319" i="43"/>
  <c r="K319" i="43"/>
  <c r="Q319" i="43"/>
  <c r="I295" i="43"/>
  <c r="O295" i="43"/>
  <c r="I287" i="43"/>
  <c r="I277" i="43"/>
  <c r="G247" i="43"/>
  <c r="L221" i="43"/>
  <c r="K213" i="43"/>
  <c r="L195" i="43"/>
  <c r="P195" i="43"/>
  <c r="L168" i="43"/>
  <c r="N152" i="43"/>
  <c r="I152" i="43"/>
  <c r="J152" i="43"/>
  <c r="G152" i="43"/>
  <c r="L152" i="43"/>
  <c r="Q152" i="43"/>
  <c r="H148" i="43"/>
  <c r="L137" i="43"/>
  <c r="K134" i="43"/>
  <c r="H131" i="43"/>
  <c r="K122" i="43"/>
  <c r="P122" i="43"/>
  <c r="M83" i="43"/>
  <c r="J83" i="43"/>
  <c r="H83" i="43"/>
  <c r="L79" i="43"/>
  <c r="G75" i="43"/>
  <c r="J64" i="43"/>
  <c r="K64" i="43"/>
  <c r="N46" i="43"/>
  <c r="H18" i="43"/>
  <c r="I18" i="43"/>
  <c r="I7" i="43"/>
  <c r="N7" i="43"/>
  <c r="I194" i="43"/>
  <c r="N190" i="43"/>
  <c r="J175" i="43"/>
  <c r="H175" i="43"/>
  <c r="G175" i="43"/>
  <c r="L175" i="43"/>
  <c r="P175" i="43"/>
  <c r="K156" i="43"/>
  <c r="M156" i="43"/>
  <c r="K151" i="43"/>
  <c r="M147" i="43"/>
  <c r="I136" i="43"/>
  <c r="L126" i="43"/>
  <c r="I114" i="43"/>
  <c r="M114" i="43"/>
  <c r="G82" i="43"/>
  <c r="G70" i="43"/>
  <c r="J52" i="43"/>
  <c r="K52" i="43"/>
  <c r="J36" i="43"/>
  <c r="K36" i="43"/>
  <c r="H34" i="43"/>
  <c r="L34" i="43"/>
  <c r="I34" i="43"/>
  <c r="Q34" i="43"/>
  <c r="I31" i="43"/>
  <c r="M31" i="43"/>
  <c r="G14" i="43"/>
  <c r="I14" i="43"/>
  <c r="G6" i="43"/>
  <c r="L303" i="43"/>
  <c r="N346" i="43"/>
  <c r="P291" i="43"/>
  <c r="O340" i="43"/>
  <c r="P333" i="43"/>
  <c r="J325" i="43"/>
  <c r="P318" i="43"/>
  <c r="O315" i="43"/>
  <c r="L305" i="43"/>
  <c r="N303" i="43"/>
  <c r="M291" i="43"/>
  <c r="J275" i="43"/>
  <c r="L348" i="43"/>
  <c r="G346" i="43"/>
  <c r="N340" i="43"/>
  <c r="J339" i="43"/>
  <c r="L335" i="43"/>
  <c r="O333" i="43"/>
  <c r="I325" i="43"/>
  <c r="O323" i="43"/>
  <c r="M319" i="43"/>
  <c r="M318" i="43"/>
  <c r="N315" i="43"/>
  <c r="M314" i="43"/>
  <c r="I305" i="43"/>
  <c r="M303" i="43"/>
  <c r="Q301" i="43"/>
  <c r="Q299" i="43"/>
  <c r="I299" i="43"/>
  <c r="L292" i="43"/>
  <c r="L291" i="43"/>
  <c r="M283" i="43"/>
  <c r="Q279" i="43"/>
  <c r="H275" i="43"/>
  <c r="O272" i="43"/>
  <c r="I266" i="43"/>
  <c r="P264" i="43"/>
  <c r="H262" i="43"/>
  <c r="K260" i="43"/>
  <c r="G251" i="43"/>
  <c r="N248" i="43"/>
  <c r="I247" i="43"/>
  <c r="H245" i="43"/>
  <c r="P243" i="43"/>
  <c r="H243" i="43"/>
  <c r="L240" i="43"/>
  <c r="G227" i="43"/>
  <c r="J211" i="43"/>
  <c r="Q195" i="43"/>
  <c r="G195" i="43"/>
  <c r="N192" i="43"/>
  <c r="N183" i="43"/>
  <c r="O175" i="43"/>
  <c r="P156" i="43"/>
  <c r="M155" i="43"/>
  <c r="K149" i="43"/>
  <c r="P123" i="43"/>
  <c r="Q122" i="43"/>
  <c r="K110" i="43"/>
  <c r="P91" i="43"/>
  <c r="O88" i="43"/>
  <c r="J82" i="43"/>
  <c r="J47" i="43"/>
  <c r="M37" i="43"/>
  <c r="L35" i="43"/>
  <c r="O27" i="43"/>
  <c r="Q26" i="43"/>
  <c r="O23" i="43"/>
  <c r="N21" i="43"/>
  <c r="O19" i="43"/>
  <c r="P16" i="43"/>
  <c r="Q14" i="43"/>
  <c r="P7" i="43"/>
  <c r="P62" i="43"/>
  <c r="N16" i="43"/>
  <c r="Q349" i="43"/>
  <c r="H348" i="43"/>
  <c r="P346" i="43"/>
  <c r="J340" i="43"/>
  <c r="H339" i="43"/>
  <c r="M333" i="43"/>
  <c r="M323" i="43"/>
  <c r="O321" i="43"/>
  <c r="I319" i="43"/>
  <c r="K318" i="43"/>
  <c r="G315" i="43"/>
  <c r="O307" i="43"/>
  <c r="H306" i="43"/>
  <c r="I303" i="43"/>
  <c r="J301" i="43"/>
  <c r="O299" i="43"/>
  <c r="I291" i="43"/>
  <c r="K283" i="43"/>
  <c r="P282" i="43"/>
  <c r="L279" i="43"/>
  <c r="K272" i="43"/>
  <c r="G264" i="43"/>
  <c r="N234" i="43"/>
  <c r="P207" i="43"/>
  <c r="O195" i="43"/>
  <c r="M185" i="43"/>
  <c r="H183" i="43"/>
  <c r="J176" i="43"/>
  <c r="I175" i="43"/>
  <c r="N162" i="43"/>
  <c r="I155" i="43"/>
  <c r="P151" i="43"/>
  <c r="G146" i="43"/>
  <c r="I122" i="43"/>
  <c r="Q119" i="43"/>
  <c r="N93" i="43"/>
  <c r="G88" i="43"/>
  <c r="N83" i="43"/>
  <c r="O62" i="43"/>
  <c r="P51" i="43"/>
  <c r="P50" i="43"/>
  <c r="N33" i="43"/>
  <c r="P31" i="43"/>
  <c r="L27" i="43"/>
  <c r="J16" i="43"/>
  <c r="H7" i="43"/>
  <c r="O346" i="43"/>
  <c r="N341" i="43"/>
  <c r="G340" i="43"/>
  <c r="K333" i="43"/>
  <c r="P331" i="43"/>
  <c r="P326" i="43"/>
  <c r="G323" i="43"/>
  <c r="I318" i="43"/>
  <c r="H303" i="43"/>
  <c r="H301" i="43"/>
  <c r="G291" i="43"/>
  <c r="J283" i="43"/>
  <c r="O282" i="43"/>
  <c r="H279" i="43"/>
  <c r="Q274" i="43"/>
  <c r="P269" i="43"/>
  <c r="L246" i="43"/>
  <c r="G205" i="43"/>
  <c r="N195" i="43"/>
  <c r="H176" i="43"/>
  <c r="I162" i="43"/>
  <c r="G155" i="43"/>
  <c r="N64" i="43"/>
  <c r="K62" i="43"/>
  <c r="J55" i="43"/>
  <c r="O51" i="43"/>
  <c r="M50" i="43"/>
  <c r="K33" i="43"/>
  <c r="O31" i="43"/>
  <c r="K27" i="43"/>
  <c r="H23" i="43"/>
  <c r="G20" i="43"/>
  <c r="J19" i="43"/>
  <c r="G16" i="43"/>
  <c r="M346" i="43"/>
  <c r="J321" i="43"/>
  <c r="P319" i="43"/>
  <c r="K307" i="43"/>
  <c r="O305" i="43"/>
  <c r="Q303" i="43"/>
  <c r="L299" i="43"/>
  <c r="K295" i="43"/>
  <c r="O291" i="43"/>
  <c r="J288" i="43"/>
  <c r="P283" i="43"/>
  <c r="H283" i="43"/>
  <c r="J282" i="43"/>
  <c r="Q275" i="43"/>
  <c r="J274" i="43"/>
  <c r="M253" i="43"/>
  <c r="P251" i="43"/>
  <c r="P247" i="43"/>
  <c r="N218" i="43"/>
  <c r="M215" i="43"/>
  <c r="I207" i="43"/>
  <c r="J195" i="43"/>
  <c r="P164" i="43"/>
  <c r="P155" i="43"/>
  <c r="Q147" i="43"/>
  <c r="M141" i="43"/>
  <c r="G135" i="43"/>
  <c r="O87" i="43"/>
  <c r="N80" i="43"/>
  <c r="O69" i="43"/>
  <c r="P59" i="43"/>
  <c r="Q37" i="43"/>
  <c r="G31" i="43"/>
  <c r="G27" i="43"/>
  <c r="H19" i="43"/>
  <c r="K17" i="43"/>
  <c r="I11" i="43"/>
  <c r="Q6" i="43"/>
  <c r="Q247" i="43"/>
  <c r="Q155" i="43"/>
  <c r="I333" i="43"/>
  <c r="I331" i="43"/>
  <c r="L346" i="43"/>
  <c r="P340" i="43"/>
  <c r="Q339" i="43"/>
  <c r="G333" i="43"/>
  <c r="H331" i="43"/>
  <c r="Q325" i="43"/>
  <c r="N322" i="43"/>
  <c r="G321" i="43"/>
  <c r="O319" i="43"/>
  <c r="O314" i="43"/>
  <c r="G307" i="43"/>
  <c r="N305" i="43"/>
  <c r="O303" i="43"/>
  <c r="G295" i="43"/>
  <c r="N291" i="43"/>
  <c r="H288" i="43"/>
  <c r="O283" i="43"/>
  <c r="G283" i="43"/>
  <c r="G282" i="43"/>
  <c r="Q278" i="43"/>
  <c r="O275" i="43"/>
  <c r="I274" i="43"/>
  <c r="G268" i="43"/>
  <c r="N266" i="43"/>
  <c r="H253" i="43"/>
  <c r="O251" i="43"/>
  <c r="N247" i="43"/>
  <c r="Q245" i="43"/>
  <c r="Q227" i="43"/>
  <c r="H221" i="43"/>
  <c r="I218" i="43"/>
  <c r="H215" i="43"/>
  <c r="H207" i="43"/>
  <c r="I195" i="43"/>
  <c r="Q175" i="43"/>
  <c r="O155" i="43"/>
  <c r="G104" i="43"/>
  <c r="L87" i="43"/>
  <c r="K80" i="43"/>
  <c r="L69" i="43"/>
  <c r="K59" i="43"/>
  <c r="L6" i="43"/>
  <c r="Q251" i="43"/>
  <c r="M195" i="43"/>
  <c r="M348" i="43"/>
  <c r="I346" i="43"/>
  <c r="Q264" i="43"/>
  <c r="P262" i="43"/>
  <c r="I251" i="43"/>
  <c r="K247" i="43"/>
  <c r="H195" i="43"/>
  <c r="P192" i="43"/>
  <c r="N155" i="43"/>
  <c r="N149" i="43"/>
  <c r="M82" i="43"/>
  <c r="G69" i="43"/>
  <c r="I59" i="43"/>
  <c r="O54" i="43"/>
  <c r="H51" i="43"/>
  <c r="K47" i="43"/>
  <c r="K43" i="43"/>
  <c r="H39" i="43"/>
  <c r="J38" i="43"/>
  <c r="N37" i="43"/>
  <c r="P35" i="43"/>
  <c r="P27" i="43"/>
  <c r="Q21" i="43"/>
  <c r="J255" i="43"/>
  <c r="G255" i="43"/>
  <c r="P255" i="43"/>
  <c r="N255" i="43"/>
  <c r="H349" i="43"/>
  <c r="J348" i="43"/>
  <c r="J346" i="43"/>
  <c r="P344" i="43"/>
  <c r="O341" i="43"/>
  <c r="K340" i="43"/>
  <c r="O339" i="43"/>
  <c r="G339" i="43"/>
  <c r="Q336" i="43"/>
  <c r="G336" i="43"/>
  <c r="H335" i="43"/>
  <c r="Q333" i="43"/>
  <c r="H333" i="43"/>
  <c r="O331" i="43"/>
  <c r="G331" i="43"/>
  <c r="H325" i="43"/>
  <c r="H324" i="43"/>
  <c r="L323" i="43"/>
  <c r="O322" i="43"/>
  <c r="K321" i="43"/>
  <c r="N320" i="43"/>
  <c r="J318" i="43"/>
  <c r="G317" i="43"/>
  <c r="G316" i="43"/>
  <c r="L315" i="43"/>
  <c r="Q314" i="43"/>
  <c r="H314" i="43"/>
  <c r="K312" i="43"/>
  <c r="K310" i="43"/>
  <c r="G308" i="43"/>
  <c r="L307" i="43"/>
  <c r="Q306" i="43"/>
  <c r="M305" i="43"/>
  <c r="O304" i="43"/>
  <c r="P301" i="43"/>
  <c r="G301" i="43"/>
  <c r="Q297" i="43"/>
  <c r="N294" i="43"/>
  <c r="O292" i="43"/>
  <c r="Q291" i="43"/>
  <c r="H291" i="43"/>
  <c r="Q289" i="43"/>
  <c r="P284" i="43"/>
  <c r="M282" i="43"/>
  <c r="I279" i="43"/>
  <c r="Q277" i="43"/>
  <c r="P275" i="43"/>
  <c r="G275" i="43"/>
  <c r="G274" i="43"/>
  <c r="N269" i="43"/>
  <c r="N267" i="43"/>
  <c r="O264" i="43"/>
  <c r="P263" i="43"/>
  <c r="K262" i="43"/>
  <c r="M261" i="43"/>
  <c r="K259" i="43"/>
  <c r="H258" i="43"/>
  <c r="Q256" i="43"/>
  <c r="Q255" i="43"/>
  <c r="K253" i="43"/>
  <c r="L252" i="43"/>
  <c r="N251" i="43"/>
  <c r="I250" i="43"/>
  <c r="H250" i="43"/>
  <c r="H247" i="43"/>
  <c r="O245" i="43"/>
  <c r="P244" i="43"/>
  <c r="L213" i="43"/>
  <c r="O213" i="43"/>
  <c r="H213" i="43"/>
  <c r="I213" i="43"/>
  <c r="J213" i="43"/>
  <c r="I191" i="43"/>
  <c r="H191" i="43"/>
  <c r="P191" i="43"/>
  <c r="Q191" i="43"/>
  <c r="M179" i="43"/>
  <c r="Q179" i="43"/>
  <c r="G179" i="43"/>
  <c r="H179" i="43"/>
  <c r="P179" i="43"/>
  <c r="O337" i="43"/>
  <c r="P336" i="43"/>
  <c r="N331" i="43"/>
  <c r="K323" i="43"/>
  <c r="L320" i="43"/>
  <c r="N304" i="43"/>
  <c r="O297" i="43"/>
  <c r="O289" i="43"/>
  <c r="M288" i="43"/>
  <c r="K288" i="43"/>
  <c r="O284" i="43"/>
  <c r="M280" i="43"/>
  <c r="H280" i="43"/>
  <c r="Q280" i="43"/>
  <c r="P277" i="43"/>
  <c r="P276" i="43"/>
  <c r="M272" i="43"/>
  <c r="G272" i="43"/>
  <c r="Q272" i="43"/>
  <c r="M270" i="43"/>
  <c r="M267" i="43"/>
  <c r="K266" i="43"/>
  <c r="M266" i="43"/>
  <c r="N264" i="43"/>
  <c r="N263" i="43"/>
  <c r="J262" i="43"/>
  <c r="G261" i="43"/>
  <c r="P260" i="43"/>
  <c r="N260" i="43"/>
  <c r="I259" i="43"/>
  <c r="P256" i="43"/>
  <c r="O255" i="43"/>
  <c r="Q254" i="43"/>
  <c r="J253" i="43"/>
  <c r="J252" i="43"/>
  <c r="M251" i="43"/>
  <c r="M248" i="43"/>
  <c r="L248" i="43"/>
  <c r="J248" i="43"/>
  <c r="N245" i="43"/>
  <c r="N244" i="43"/>
  <c r="J229" i="43"/>
  <c r="I125" i="43"/>
  <c r="J125" i="43"/>
  <c r="N125" i="43"/>
  <c r="L344" i="43"/>
  <c r="N339" i="43"/>
  <c r="Q329" i="43"/>
  <c r="K315" i="43"/>
  <c r="P308" i="43"/>
  <c r="G348" i="43"/>
  <c r="Q346" i="43"/>
  <c r="H346" i="43"/>
  <c r="K344" i="43"/>
  <c r="M339" i="43"/>
  <c r="N337" i="43"/>
  <c r="O336" i="43"/>
  <c r="M331" i="43"/>
  <c r="L329" i="43"/>
  <c r="P327" i="43"/>
  <c r="J323" i="43"/>
  <c r="K320" i="43"/>
  <c r="Q318" i="43"/>
  <c r="H318" i="43"/>
  <c r="J315" i="43"/>
  <c r="I312" i="43"/>
  <c r="I310" i="43"/>
  <c r="O308" i="43"/>
  <c r="J307" i="43"/>
  <c r="I306" i="43"/>
  <c r="J305" i="43"/>
  <c r="L304" i="43"/>
  <c r="Q302" i="43"/>
  <c r="N301" i="43"/>
  <c r="Q298" i="43"/>
  <c r="K297" i="43"/>
  <c r="L295" i="43"/>
  <c r="M292" i="43"/>
  <c r="N289" i="43"/>
  <c r="P288" i="43"/>
  <c r="P285" i="43"/>
  <c r="N284" i="43"/>
  <c r="H282" i="43"/>
  <c r="O280" i="43"/>
  <c r="G279" i="43"/>
  <c r="O277" i="43"/>
  <c r="M276" i="43"/>
  <c r="N275" i="43"/>
  <c r="P272" i="43"/>
  <c r="L270" i="43"/>
  <c r="K264" i="43"/>
  <c r="L263" i="43"/>
  <c r="K258" i="43"/>
  <c r="L258" i="43"/>
  <c r="I258" i="43"/>
  <c r="M255" i="43"/>
  <c r="H252" i="43"/>
  <c r="K251" i="43"/>
  <c r="J247" i="43"/>
  <c r="O247" i="43"/>
  <c r="M247" i="43"/>
  <c r="I227" i="43"/>
  <c r="K227" i="43"/>
  <c r="H184" i="43"/>
  <c r="J184" i="43"/>
  <c r="G171" i="43"/>
  <c r="N171" i="43"/>
  <c r="H171" i="43"/>
  <c r="J171" i="43"/>
  <c r="K171" i="43"/>
  <c r="P304" i="43"/>
  <c r="H267" i="43"/>
  <c r="P267" i="43"/>
  <c r="J344" i="43"/>
  <c r="K342" i="43"/>
  <c r="L339" i="43"/>
  <c r="Q338" i="43"/>
  <c r="M337" i="43"/>
  <c r="N336" i="43"/>
  <c r="O335" i="43"/>
  <c r="Q334" i="43"/>
  <c r="L331" i="43"/>
  <c r="Q330" i="43"/>
  <c r="L327" i="43"/>
  <c r="O324" i="43"/>
  <c r="Q323" i="43"/>
  <c r="I323" i="43"/>
  <c r="I320" i="43"/>
  <c r="P316" i="43"/>
  <c r="Q315" i="43"/>
  <c r="I315" i="43"/>
  <c r="N308" i="43"/>
  <c r="Q307" i="43"/>
  <c r="I307" i="43"/>
  <c r="J304" i="43"/>
  <c r="I302" i="43"/>
  <c r="M301" i="43"/>
  <c r="P298" i="43"/>
  <c r="J297" i="43"/>
  <c r="M289" i="43"/>
  <c r="O288" i="43"/>
  <c r="K284" i="43"/>
  <c r="N280" i="43"/>
  <c r="N277" i="43"/>
  <c r="L276" i="43"/>
  <c r="L275" i="43"/>
  <c r="P271" i="43"/>
  <c r="K270" i="43"/>
  <c r="K267" i="43"/>
  <c r="H263" i="43"/>
  <c r="J259" i="43"/>
  <c r="H259" i="43"/>
  <c r="P259" i="43"/>
  <c r="L255" i="43"/>
  <c r="G196" i="43"/>
  <c r="O196" i="43"/>
  <c r="P196" i="43"/>
  <c r="J46" i="43"/>
  <c r="K46" i="43"/>
  <c r="L46" i="43"/>
  <c r="M46" i="43"/>
  <c r="G46" i="43"/>
  <c r="O46" i="43"/>
  <c r="H46" i="43"/>
  <c r="P46" i="43"/>
  <c r="I46" i="43"/>
  <c r="Q46" i="43"/>
  <c r="H42" i="43"/>
  <c r="P42" i="43"/>
  <c r="Q42" i="43"/>
  <c r="I42" i="43"/>
  <c r="M42" i="43"/>
  <c r="N42" i="43"/>
  <c r="O267" i="43"/>
  <c r="P348" i="43"/>
  <c r="I344" i="43"/>
  <c r="J342" i="43"/>
  <c r="J338" i="43"/>
  <c r="L337" i="43"/>
  <c r="L336" i="43"/>
  <c r="N335" i="43"/>
  <c r="I334" i="43"/>
  <c r="K331" i="43"/>
  <c r="P330" i="43"/>
  <c r="J329" i="43"/>
  <c r="K327" i="43"/>
  <c r="N324" i="43"/>
  <c r="P323" i="43"/>
  <c r="H320" i="43"/>
  <c r="O316" i="43"/>
  <c r="P315" i="43"/>
  <c r="M308" i="43"/>
  <c r="P307" i="43"/>
  <c r="I304" i="43"/>
  <c r="H302" i="43"/>
  <c r="K301" i="43"/>
  <c r="H298" i="43"/>
  <c r="I293" i="43"/>
  <c r="J292" i="43"/>
  <c r="K289" i="43"/>
  <c r="L288" i="43"/>
  <c r="L280" i="43"/>
  <c r="P279" i="43"/>
  <c r="K277" i="43"/>
  <c r="K275" i="43"/>
  <c r="P274" i="43"/>
  <c r="L271" i="43"/>
  <c r="I270" i="43"/>
  <c r="J267" i="43"/>
  <c r="Q262" i="43"/>
  <c r="L262" i="43"/>
  <c r="O259" i="43"/>
  <c r="K255" i="43"/>
  <c r="L253" i="43"/>
  <c r="G253" i="43"/>
  <c r="Q253" i="43"/>
  <c r="N253" i="43"/>
  <c r="O244" i="43"/>
  <c r="L244" i="43"/>
  <c r="O181" i="43"/>
  <c r="Q181" i="43"/>
  <c r="H344" i="43"/>
  <c r="I342" i="43"/>
  <c r="I338" i="43"/>
  <c r="H330" i="43"/>
  <c r="I327" i="43"/>
  <c r="O309" i="43"/>
  <c r="H304" i="43"/>
  <c r="I297" i="43"/>
  <c r="L297" i="43"/>
  <c r="J289" i="43"/>
  <c r="J286" i="43"/>
  <c r="G284" i="43"/>
  <c r="M284" i="43"/>
  <c r="H277" i="43"/>
  <c r="H276" i="43"/>
  <c r="K276" i="43"/>
  <c r="I271" i="43"/>
  <c r="I267" i="43"/>
  <c r="Q263" i="43"/>
  <c r="O263" i="43"/>
  <c r="I255" i="43"/>
  <c r="I226" i="43"/>
  <c r="J226" i="43"/>
  <c r="Q219" i="43"/>
  <c r="K203" i="43"/>
  <c r="H203" i="43"/>
  <c r="J203" i="43"/>
  <c r="Q203" i="43"/>
  <c r="G48" i="43"/>
  <c r="N48" i="43"/>
  <c r="P48" i="43"/>
  <c r="I15" i="43"/>
  <c r="L15" i="43"/>
  <c r="M15" i="43"/>
  <c r="N15" i="43"/>
  <c r="O15" i="43"/>
  <c r="G15" i="43"/>
  <c r="H15" i="43"/>
  <c r="K15" i="43"/>
  <c r="L12" i="43"/>
  <c r="J12" i="43"/>
  <c r="K12" i="43"/>
  <c r="P8" i="43"/>
  <c r="G8" i="43"/>
  <c r="H8" i="43"/>
  <c r="J8" i="43"/>
  <c r="G344" i="43"/>
  <c r="H338" i="43"/>
  <c r="G330" i="43"/>
  <c r="G327" i="43"/>
  <c r="Q320" i="43"/>
  <c r="P317" i="43"/>
  <c r="N309" i="43"/>
  <c r="Q304" i="43"/>
  <c r="G304" i="43"/>
  <c r="I301" i="43"/>
  <c r="J295" i="43"/>
  <c r="P295" i="43"/>
  <c r="G289" i="43"/>
  <c r="I288" i="43"/>
  <c r="I286" i="43"/>
  <c r="H285" i="43"/>
  <c r="J285" i="43"/>
  <c r="J280" i="43"/>
  <c r="N279" i="43"/>
  <c r="G277" i="43"/>
  <c r="I275" i="43"/>
  <c r="H271" i="43"/>
  <c r="Q267" i="43"/>
  <c r="G267" i="43"/>
  <c r="M264" i="43"/>
  <c r="L264" i="43"/>
  <c r="J264" i="43"/>
  <c r="M259" i="43"/>
  <c r="G257" i="43"/>
  <c r="N257" i="43"/>
  <c r="L257" i="43"/>
  <c r="M256" i="43"/>
  <c r="N256" i="43"/>
  <c r="I256" i="43"/>
  <c r="H255" i="43"/>
  <c r="O252" i="43"/>
  <c r="L251" i="43"/>
  <c r="J251" i="43"/>
  <c r="L245" i="43"/>
  <c r="K245" i="43"/>
  <c r="I245" i="43"/>
  <c r="K219" i="43"/>
  <c r="G211" i="43"/>
  <c r="H211" i="43"/>
  <c r="I211" i="43"/>
  <c r="L211" i="43"/>
  <c r="O211" i="43"/>
  <c r="P211" i="43"/>
  <c r="J240" i="43"/>
  <c r="I215" i="43"/>
  <c r="Q207" i="43"/>
  <c r="M183" i="43"/>
  <c r="P162" i="43"/>
  <c r="O152" i="43"/>
  <c r="O148" i="43"/>
  <c r="O146" i="43"/>
  <c r="L134" i="43"/>
  <c r="O123" i="43"/>
  <c r="G123" i="43"/>
  <c r="G122" i="43"/>
  <c r="P110" i="43"/>
  <c r="M102" i="43"/>
  <c r="L99" i="43"/>
  <c r="M94" i="43"/>
  <c r="N88" i="43"/>
  <c r="J62" i="43"/>
  <c r="P58" i="43"/>
  <c r="K56" i="43"/>
  <c r="N55" i="43"/>
  <c r="J54" i="43"/>
  <c r="K41" i="43"/>
  <c r="O36" i="43"/>
  <c r="H31" i="43"/>
  <c r="M18" i="43"/>
  <c r="J17" i="43"/>
  <c r="M14" i="43"/>
  <c r="M7" i="43"/>
  <c r="P6" i="43"/>
  <c r="N146" i="43"/>
  <c r="Q114" i="43"/>
  <c r="G112" i="43"/>
  <c r="O110" i="43"/>
  <c r="J99" i="43"/>
  <c r="L94" i="43"/>
  <c r="K88" i="43"/>
  <c r="H87" i="43"/>
  <c r="G62" i="43"/>
  <c r="I58" i="43"/>
  <c r="J56" i="43"/>
  <c r="M55" i="43"/>
  <c r="Q54" i="43"/>
  <c r="I54" i="43"/>
  <c r="N51" i="43"/>
  <c r="J41" i="43"/>
  <c r="G39" i="43"/>
  <c r="N36" i="43"/>
  <c r="O35" i="43"/>
  <c r="L14" i="43"/>
  <c r="M11" i="43"/>
  <c r="L7" i="43"/>
  <c r="N6" i="43"/>
  <c r="N186" i="43"/>
  <c r="I183" i="43"/>
  <c r="J162" i="43"/>
  <c r="J146" i="43"/>
  <c r="N114" i="43"/>
  <c r="N110" i="43"/>
  <c r="P103" i="43"/>
  <c r="H99" i="43"/>
  <c r="J88" i="43"/>
  <c r="O84" i="43"/>
  <c r="O80" i="43"/>
  <c r="P67" i="43"/>
  <c r="P64" i="43"/>
  <c r="H56" i="43"/>
  <c r="L55" i="43"/>
  <c r="P54" i="43"/>
  <c r="H54" i="43"/>
  <c r="L36" i="43"/>
  <c r="N35" i="43"/>
  <c r="J14" i="43"/>
  <c r="K7" i="43"/>
  <c r="M6" i="43"/>
  <c r="Q187" i="43"/>
  <c r="I186" i="43"/>
  <c r="Q137" i="43"/>
  <c r="M121" i="43"/>
  <c r="O115" i="43"/>
  <c r="L91" i="43"/>
  <c r="P40" i="43"/>
  <c r="N39" i="43"/>
  <c r="Q38" i="43"/>
  <c r="G36" i="43"/>
  <c r="K35" i="43"/>
  <c r="N31" i="43"/>
  <c r="Q30" i="43"/>
  <c r="K28" i="43"/>
  <c r="H26" i="43"/>
  <c r="J22" i="43"/>
  <c r="Q17" i="43"/>
  <c r="O16" i="43"/>
  <c r="H14" i="43"/>
  <c r="J11" i="43"/>
  <c r="I9" i="43"/>
  <c r="G7" i="43"/>
  <c r="J6" i="43"/>
  <c r="L187" i="43"/>
  <c r="Q158" i="43"/>
  <c r="N139" i="43"/>
  <c r="O137" i="43"/>
  <c r="P126" i="43"/>
  <c r="J123" i="43"/>
  <c r="O122" i="43"/>
  <c r="L121" i="43"/>
  <c r="N115" i="43"/>
  <c r="H110" i="43"/>
  <c r="P107" i="43"/>
  <c r="J91" i="43"/>
  <c r="H64" i="43"/>
  <c r="N62" i="43"/>
  <c r="M54" i="43"/>
  <c r="Q41" i="43"/>
  <c r="I6" i="43"/>
  <c r="N240" i="43"/>
  <c r="P215" i="43"/>
  <c r="N182" i="43"/>
  <c r="N158" i="43"/>
  <c r="H155" i="43"/>
  <c r="I137" i="43"/>
  <c r="N132" i="43"/>
  <c r="M129" i="43"/>
  <c r="H126" i="43"/>
  <c r="I123" i="43"/>
  <c r="L122" i="43"/>
  <c r="G121" i="43"/>
  <c r="G115" i="43"/>
  <c r="G110" i="43"/>
  <c r="N107" i="43"/>
  <c r="K104" i="43"/>
  <c r="Q102" i="43"/>
  <c r="G91" i="43"/>
  <c r="Q88" i="43"/>
  <c r="O83" i="43"/>
  <c r="G64" i="43"/>
  <c r="M62" i="43"/>
  <c r="P56" i="43"/>
  <c r="P55" i="43"/>
  <c r="G55" i="43"/>
  <c r="L54" i="43"/>
  <c r="J53" i="43"/>
  <c r="Q51" i="43"/>
  <c r="G51" i="43"/>
  <c r="Q49" i="43"/>
  <c r="N43" i="43"/>
  <c r="N41" i="43"/>
  <c r="N40" i="43"/>
  <c r="L39" i="43"/>
  <c r="H35" i="43"/>
  <c r="J32" i="43"/>
  <c r="L31" i="43"/>
  <c r="O30" i="43"/>
  <c r="I27" i="43"/>
  <c r="N23" i="43"/>
  <c r="Q22" i="43"/>
  <c r="H22" i="43"/>
  <c r="L19" i="43"/>
  <c r="P18" i="43"/>
  <c r="M17" i="43"/>
  <c r="K16" i="43"/>
  <c r="P14" i="43"/>
  <c r="O7" i="43"/>
  <c r="H6" i="43"/>
  <c r="I53" i="43"/>
  <c r="J44" i="43"/>
  <c r="L43" i="43"/>
  <c r="M41" i="43"/>
  <c r="J40" i="43"/>
  <c r="K39" i="43"/>
  <c r="Q35" i="43"/>
  <c r="G35" i="43"/>
  <c r="H32" i="43"/>
  <c r="K31" i="43"/>
  <c r="Q27" i="43"/>
  <c r="H27" i="43"/>
  <c r="N25" i="43"/>
  <c r="M23" i="43"/>
  <c r="P22" i="43"/>
  <c r="N18" i="43"/>
  <c r="N14" i="43"/>
  <c r="N235" i="43"/>
  <c r="M223" i="43"/>
  <c r="K221" i="43"/>
  <c r="N219" i="43"/>
  <c r="J219" i="43"/>
  <c r="P210" i="43"/>
  <c r="K199" i="43"/>
  <c r="M187" i="43"/>
  <c r="H187" i="43"/>
  <c r="P187" i="43"/>
  <c r="M181" i="43"/>
  <c r="K181" i="43"/>
  <c r="O167" i="43"/>
  <c r="Q154" i="43"/>
  <c r="H154" i="43"/>
  <c r="G239" i="43"/>
  <c r="G237" i="43"/>
  <c r="M235" i="43"/>
  <c r="L229" i="43"/>
  <c r="H229" i="43"/>
  <c r="J227" i="43"/>
  <c r="K223" i="43"/>
  <c r="J221" i="43"/>
  <c r="P219" i="43"/>
  <c r="K205" i="43"/>
  <c r="P203" i="43"/>
  <c r="H199" i="43"/>
  <c r="Q189" i="43"/>
  <c r="O187" i="43"/>
  <c r="N169" i="43"/>
  <c r="L167" i="43"/>
  <c r="Q165" i="43"/>
  <c r="N145" i="43"/>
  <c r="G145" i="43"/>
  <c r="H133" i="43"/>
  <c r="K133" i="43"/>
  <c r="Q133" i="43"/>
  <c r="O131" i="43"/>
  <c r="N118" i="43"/>
  <c r="J78" i="43"/>
  <c r="G78" i="43"/>
  <c r="P78" i="43"/>
  <c r="H78" i="43"/>
  <c r="Q78" i="43"/>
  <c r="I78" i="43"/>
  <c r="K78" i="43"/>
  <c r="L78" i="43"/>
  <c r="M78" i="43"/>
  <c r="H210" i="43"/>
  <c r="N210" i="43"/>
  <c r="O205" i="43"/>
  <c r="I197" i="43"/>
  <c r="G197" i="43"/>
  <c r="J231" i="43"/>
  <c r="H231" i="43"/>
  <c r="H226" i="43"/>
  <c r="P226" i="43"/>
  <c r="I223" i="43"/>
  <c r="I221" i="43"/>
  <c r="O219" i="43"/>
  <c r="I210" i="43"/>
  <c r="J207" i="43"/>
  <c r="K207" i="43"/>
  <c r="N187" i="43"/>
  <c r="N185" i="43"/>
  <c r="K185" i="43"/>
  <c r="J174" i="43"/>
  <c r="M174" i="43"/>
  <c r="M163" i="43"/>
  <c r="I163" i="43"/>
  <c r="G156" i="43"/>
  <c r="H156" i="43"/>
  <c r="N156" i="43"/>
  <c r="M139" i="43"/>
  <c r="O139" i="43"/>
  <c r="G139" i="43"/>
  <c r="Q139" i="43"/>
  <c r="H139" i="43"/>
  <c r="I139" i="43"/>
  <c r="K139" i="43"/>
  <c r="N131" i="43"/>
  <c r="M118" i="43"/>
  <c r="H70" i="43"/>
  <c r="J70" i="43"/>
  <c r="K70" i="43"/>
  <c r="P70" i="43"/>
  <c r="Q149" i="43"/>
  <c r="H141" i="43"/>
  <c r="K141" i="43"/>
  <c r="Q141" i="43"/>
  <c r="J199" i="43"/>
  <c r="I199" i="43"/>
  <c r="O199" i="43"/>
  <c r="I165" i="43"/>
  <c r="O165" i="43"/>
  <c r="Q167" i="43"/>
  <c r="H167" i="43"/>
  <c r="Q138" i="43"/>
  <c r="H218" i="43"/>
  <c r="J218" i="43"/>
  <c r="M203" i="43"/>
  <c r="I203" i="43"/>
  <c r="N203" i="43"/>
  <c r="J187" i="43"/>
  <c r="J181" i="43"/>
  <c r="N177" i="43"/>
  <c r="N168" i="43"/>
  <c r="H168" i="43"/>
  <c r="P138" i="43"/>
  <c r="G127" i="43"/>
  <c r="I127" i="43"/>
  <c r="N127" i="43"/>
  <c r="O127" i="43"/>
  <c r="Q127" i="43"/>
  <c r="H113" i="43"/>
  <c r="I113" i="43"/>
  <c r="M113" i="43"/>
  <c r="I98" i="43"/>
  <c r="L98" i="43"/>
  <c r="M98" i="43"/>
  <c r="N98" i="43"/>
  <c r="Q98" i="43"/>
  <c r="O76" i="43"/>
  <c r="G76" i="43"/>
  <c r="K76" i="43"/>
  <c r="M76" i="43"/>
  <c r="N76" i="43"/>
  <c r="L205" i="43"/>
  <c r="I205" i="43"/>
  <c r="Q118" i="43"/>
  <c r="G118" i="43"/>
  <c r="O118" i="43"/>
  <c r="I118" i="43"/>
  <c r="J118" i="43"/>
  <c r="K118" i="43"/>
  <c r="L118" i="43"/>
  <c r="M227" i="43"/>
  <c r="L227" i="43"/>
  <c r="I219" i="43"/>
  <c r="M240" i="43"/>
  <c r="K240" i="43"/>
  <c r="Q237" i="43"/>
  <c r="P227" i="43"/>
  <c r="H219" i="43"/>
  <c r="K215" i="43"/>
  <c r="M211" i="43"/>
  <c r="K211" i="43"/>
  <c r="L207" i="43"/>
  <c r="Q199" i="43"/>
  <c r="G188" i="43"/>
  <c r="P188" i="43"/>
  <c r="I187" i="43"/>
  <c r="J183" i="43"/>
  <c r="G183" i="43"/>
  <c r="P183" i="43"/>
  <c r="K183" i="43"/>
  <c r="I181" i="43"/>
  <c r="K177" i="43"/>
  <c r="M176" i="43"/>
  <c r="L176" i="43"/>
  <c r="O164" i="43"/>
  <c r="J147" i="43"/>
  <c r="I147" i="43"/>
  <c r="K147" i="43"/>
  <c r="N147" i="43"/>
  <c r="H235" i="43"/>
  <c r="K235" i="43"/>
  <c r="G189" i="43"/>
  <c r="M189" i="43"/>
  <c r="K131" i="43"/>
  <c r="G131" i="43"/>
  <c r="P131" i="43"/>
  <c r="I131" i="43"/>
  <c r="J131" i="43"/>
  <c r="L131" i="43"/>
  <c r="M131" i="43"/>
  <c r="O227" i="43"/>
  <c r="G219" i="43"/>
  <c r="Q205" i="43"/>
  <c r="J202" i="43"/>
  <c r="L199" i="43"/>
  <c r="Q197" i="43"/>
  <c r="J190" i="43"/>
  <c r="M190" i="43"/>
  <c r="G187" i="43"/>
  <c r="G181" i="43"/>
  <c r="G177" i="43"/>
  <c r="P167" i="43"/>
  <c r="I154" i="43"/>
  <c r="G151" i="43"/>
  <c r="H151" i="43"/>
  <c r="L151" i="43"/>
  <c r="L149" i="43"/>
  <c r="M149" i="43"/>
  <c r="P149" i="43"/>
  <c r="H149" i="43"/>
  <c r="M145" i="43"/>
  <c r="P139" i="43"/>
  <c r="O78" i="43"/>
  <c r="K138" i="43"/>
  <c r="H138" i="43"/>
  <c r="L138" i="43"/>
  <c r="M138" i="43"/>
  <c r="N138" i="43"/>
  <c r="O138" i="43"/>
  <c r="Q131" i="43"/>
  <c r="P118" i="43"/>
  <c r="J116" i="43"/>
  <c r="L116" i="43"/>
  <c r="O116" i="43"/>
  <c r="I106" i="43"/>
  <c r="N106" i="43"/>
  <c r="Q106" i="43"/>
  <c r="N78" i="43"/>
  <c r="K142" i="43"/>
  <c r="M132" i="43"/>
  <c r="M122" i="43"/>
  <c r="O121" i="43"/>
  <c r="J115" i="43"/>
  <c r="H114" i="43"/>
  <c r="J112" i="43"/>
  <c r="K103" i="43"/>
  <c r="L102" i="43"/>
  <c r="O94" i="43"/>
  <c r="I93" i="43"/>
  <c r="N91" i="43"/>
  <c r="K83" i="43"/>
  <c r="I82" i="43"/>
  <c r="L62" i="43"/>
  <c r="N59" i="43"/>
  <c r="I102" i="43"/>
  <c r="H102" i="43"/>
  <c r="M175" i="43"/>
  <c r="P171" i="43"/>
  <c r="L155" i="43"/>
  <c r="P148" i="43"/>
  <c r="K135" i="43"/>
  <c r="K125" i="43"/>
  <c r="H122" i="43"/>
  <c r="I121" i="43"/>
  <c r="L110" i="43"/>
  <c r="G102" i="43"/>
  <c r="N99" i="43"/>
  <c r="G94" i="43"/>
  <c r="H91" i="43"/>
  <c r="H86" i="43"/>
  <c r="G83" i="43"/>
  <c r="I67" i="43"/>
  <c r="O64" i="43"/>
  <c r="H62" i="43"/>
  <c r="L60" i="43"/>
  <c r="H59" i="43"/>
  <c r="O114" i="43"/>
  <c r="P102" i="43"/>
  <c r="P83" i="43"/>
  <c r="G233" i="43"/>
  <c r="K233" i="43"/>
  <c r="N225" i="43"/>
  <c r="K225" i="43"/>
  <c r="M225" i="43"/>
  <c r="K217" i="43"/>
  <c r="M217" i="43"/>
  <c r="N217" i="43"/>
  <c r="K130" i="43"/>
  <c r="J130" i="43"/>
  <c r="L130" i="43"/>
  <c r="G130" i="43"/>
  <c r="P130" i="43"/>
  <c r="N130" i="43"/>
  <c r="O130" i="43"/>
  <c r="Q130" i="43"/>
  <c r="I130" i="43"/>
  <c r="M130" i="43"/>
  <c r="K117" i="43"/>
  <c r="N117" i="43"/>
  <c r="O117" i="43"/>
  <c r="I117" i="43"/>
  <c r="J117" i="43"/>
  <c r="M117" i="43"/>
  <c r="Q117" i="43"/>
  <c r="P117" i="43"/>
  <c r="G117" i="43"/>
  <c r="H117" i="43"/>
  <c r="I105" i="43"/>
  <c r="L105" i="43"/>
  <c r="H178" i="43"/>
  <c r="N178" i="43"/>
  <c r="P178" i="43"/>
  <c r="I178" i="43"/>
  <c r="J178" i="43"/>
  <c r="J90" i="43"/>
  <c r="K90" i="43"/>
  <c r="G90" i="43"/>
  <c r="O90" i="43"/>
  <c r="L90" i="43"/>
  <c r="P90" i="43"/>
  <c r="M90" i="43"/>
  <c r="N90" i="43"/>
  <c r="H90" i="43"/>
  <c r="I90" i="43"/>
  <c r="H202" i="43"/>
  <c r="N202" i="43"/>
  <c r="P202" i="43"/>
  <c r="H170" i="43"/>
  <c r="P170" i="43"/>
  <c r="I170" i="43"/>
  <c r="J170" i="43"/>
  <c r="N170" i="43"/>
  <c r="N209" i="43"/>
  <c r="K209" i="43"/>
  <c r="M209" i="43"/>
  <c r="J198" i="43"/>
  <c r="M198" i="43"/>
  <c r="N198" i="43"/>
  <c r="J65" i="43"/>
  <c r="M65" i="43"/>
  <c r="K65" i="43"/>
  <c r="P239" i="43"/>
  <c r="O236" i="43"/>
  <c r="P236" i="43"/>
  <c r="L236" i="43"/>
  <c r="N236" i="43"/>
  <c r="M224" i="43"/>
  <c r="L224" i="43"/>
  <c r="N224" i="43"/>
  <c r="P224" i="43"/>
  <c r="J224" i="43"/>
  <c r="K224" i="43"/>
  <c r="M216" i="43"/>
  <c r="N216" i="43"/>
  <c r="P216" i="43"/>
  <c r="J216" i="43"/>
  <c r="K216" i="43"/>
  <c r="L216" i="43"/>
  <c r="J206" i="43"/>
  <c r="N206" i="43"/>
  <c r="J97" i="43"/>
  <c r="L97" i="43"/>
  <c r="M97" i="43"/>
  <c r="Q97" i="43"/>
  <c r="M75" i="43"/>
  <c r="H75" i="43"/>
  <c r="J75" i="43"/>
  <c r="O75" i="43"/>
  <c r="N75" i="43"/>
  <c r="P75" i="43"/>
  <c r="K75" i="43"/>
  <c r="L75" i="43"/>
  <c r="M201" i="43"/>
  <c r="N201" i="43"/>
  <c r="G201" i="43"/>
  <c r="K201" i="43"/>
  <c r="I108" i="43"/>
  <c r="J108" i="43"/>
  <c r="Q108" i="43"/>
  <c r="N108" i="43"/>
  <c r="O108" i="43"/>
  <c r="G108" i="43"/>
  <c r="K108" i="43"/>
  <c r="I63" i="43"/>
  <c r="M63" i="43"/>
  <c r="N63" i="43"/>
  <c r="J63" i="43"/>
  <c r="L63" i="43"/>
  <c r="O63" i="43"/>
  <c r="P63" i="43"/>
  <c r="G63" i="43"/>
  <c r="H63" i="43"/>
  <c r="K63" i="43"/>
  <c r="J230" i="43"/>
  <c r="M230" i="43"/>
  <c r="N230" i="43"/>
  <c r="J214" i="43"/>
  <c r="M214" i="43"/>
  <c r="N214" i="43"/>
  <c r="M208" i="43"/>
  <c r="L208" i="43"/>
  <c r="N208" i="43"/>
  <c r="P208" i="43"/>
  <c r="J208" i="43"/>
  <c r="K208" i="43"/>
  <c r="J191" i="43"/>
  <c r="G191" i="43"/>
  <c r="M191" i="43"/>
  <c r="N191" i="43"/>
  <c r="O191" i="43"/>
  <c r="K191" i="43"/>
  <c r="L191" i="43"/>
  <c r="M182" i="43"/>
  <c r="K143" i="43"/>
  <c r="N143" i="43"/>
  <c r="H194" i="43"/>
  <c r="P194" i="43"/>
  <c r="J194" i="43"/>
  <c r="N194" i="43"/>
  <c r="M232" i="43"/>
  <c r="L232" i="43"/>
  <c r="N232" i="43"/>
  <c r="H232" i="43"/>
  <c r="J232" i="43"/>
  <c r="K232" i="43"/>
  <c r="G228" i="43"/>
  <c r="O228" i="43"/>
  <c r="P228" i="43"/>
  <c r="G220" i="43"/>
  <c r="O220" i="43"/>
  <c r="P220" i="43"/>
  <c r="G212" i="43"/>
  <c r="O212" i="43"/>
  <c r="P212" i="43"/>
  <c r="M184" i="43"/>
  <c r="L184" i="43"/>
  <c r="P184" i="43"/>
  <c r="K184" i="43"/>
  <c r="N184" i="43"/>
  <c r="L173" i="43"/>
  <c r="M173" i="43"/>
  <c r="N173" i="43"/>
  <c r="I173" i="43"/>
  <c r="O173" i="43"/>
  <c r="Q173" i="43"/>
  <c r="J173" i="43"/>
  <c r="K173" i="43"/>
  <c r="M101" i="43"/>
  <c r="J222" i="43"/>
  <c r="M222" i="43"/>
  <c r="N222" i="43"/>
  <c r="J239" i="43"/>
  <c r="K239" i="43"/>
  <c r="L239" i="43"/>
  <c r="M239" i="43"/>
  <c r="H239" i="43"/>
  <c r="Q239" i="43"/>
  <c r="I239" i="43"/>
  <c r="L237" i="43"/>
  <c r="K237" i="43"/>
  <c r="M237" i="43"/>
  <c r="N237" i="43"/>
  <c r="I237" i="43"/>
  <c r="J237" i="43"/>
  <c r="G225" i="43"/>
  <c r="G217" i="43"/>
  <c r="M200" i="43"/>
  <c r="K200" i="43"/>
  <c r="L200" i="43"/>
  <c r="N200" i="43"/>
  <c r="H200" i="43"/>
  <c r="J200" i="43"/>
  <c r="L197" i="43"/>
  <c r="M197" i="43"/>
  <c r="N197" i="43"/>
  <c r="O197" i="43"/>
  <c r="J197" i="43"/>
  <c r="K197" i="43"/>
  <c r="H130" i="43"/>
  <c r="J124" i="43"/>
  <c r="P124" i="43"/>
  <c r="H124" i="43"/>
  <c r="M124" i="43"/>
  <c r="O179" i="43"/>
  <c r="P223" i="43"/>
  <c r="N231" i="43"/>
  <c r="N229" i="43"/>
  <c r="N227" i="43"/>
  <c r="O215" i="43"/>
  <c r="N213" i="43"/>
  <c r="N211" i="43"/>
  <c r="J238" i="43"/>
  <c r="O235" i="43"/>
  <c r="G235" i="43"/>
  <c r="M231" i="43"/>
  <c r="M229" i="43"/>
  <c r="N223" i="43"/>
  <c r="M221" i="43"/>
  <c r="M219" i="43"/>
  <c r="N215" i="43"/>
  <c r="M213" i="43"/>
  <c r="N207" i="43"/>
  <c r="M205" i="43"/>
  <c r="O204" i="43"/>
  <c r="L203" i="43"/>
  <c r="M199" i="43"/>
  <c r="K195" i="43"/>
  <c r="G193" i="43"/>
  <c r="H192" i="43"/>
  <c r="G180" i="43"/>
  <c r="P180" i="43"/>
  <c r="J179" i="43"/>
  <c r="O171" i="43"/>
  <c r="P168" i="43"/>
  <c r="J166" i="43"/>
  <c r="N166" i="43"/>
  <c r="N154" i="43"/>
  <c r="O112" i="43"/>
  <c r="I85" i="43"/>
  <c r="J85" i="43"/>
  <c r="N85" i="43"/>
  <c r="O82" i="43"/>
  <c r="J81" i="43"/>
  <c r="L81" i="43"/>
  <c r="M81" i="43"/>
  <c r="K73" i="43"/>
  <c r="K163" i="43"/>
  <c r="L163" i="43"/>
  <c r="H163" i="43"/>
  <c r="P163" i="43"/>
  <c r="J86" i="43"/>
  <c r="K86" i="43"/>
  <c r="L86" i="43"/>
  <c r="G86" i="43"/>
  <c r="P86" i="43"/>
  <c r="L231" i="43"/>
  <c r="K229" i="43"/>
  <c r="L189" i="43"/>
  <c r="O189" i="43"/>
  <c r="I179" i="43"/>
  <c r="J163" i="43"/>
  <c r="Q157" i="43"/>
  <c r="I157" i="43"/>
  <c r="M154" i="43"/>
  <c r="J140" i="43"/>
  <c r="N140" i="43"/>
  <c r="J136" i="43"/>
  <c r="L136" i="43"/>
  <c r="N136" i="43"/>
  <c r="L133" i="43"/>
  <c r="M133" i="43"/>
  <c r="N133" i="43"/>
  <c r="I133" i="43"/>
  <c r="H129" i="43"/>
  <c r="N129" i="43"/>
  <c r="O129" i="43"/>
  <c r="I129" i="43"/>
  <c r="P125" i="43"/>
  <c r="G116" i="43"/>
  <c r="Q116" i="43"/>
  <c r="I116" i="43"/>
  <c r="M116" i="43"/>
  <c r="Q113" i="43"/>
  <c r="M107" i="43"/>
  <c r="K107" i="43"/>
  <c r="L107" i="43"/>
  <c r="G107" i="43"/>
  <c r="G106" i="43"/>
  <c r="O106" i="43"/>
  <c r="H106" i="43"/>
  <c r="P106" i="43"/>
  <c r="L106" i="43"/>
  <c r="N104" i="43"/>
  <c r="O104" i="43"/>
  <c r="I104" i="43"/>
  <c r="P98" i="43"/>
  <c r="P94" i="43"/>
  <c r="M92" i="43"/>
  <c r="K92" i="43"/>
  <c r="M86" i="43"/>
  <c r="N82" i="43"/>
  <c r="O70" i="43"/>
  <c r="I73" i="43"/>
  <c r="L73" i="43"/>
  <c r="P73" i="43"/>
  <c r="H73" i="43"/>
  <c r="N70" i="43"/>
  <c r="O67" i="43"/>
  <c r="G61" i="43"/>
  <c r="I61" i="43"/>
  <c r="M61" i="43"/>
  <c r="M168" i="43"/>
  <c r="J168" i="43"/>
  <c r="K168" i="43"/>
  <c r="N238" i="43"/>
  <c r="J235" i="43"/>
  <c r="P231" i="43"/>
  <c r="G231" i="43"/>
  <c r="Q229" i="43"/>
  <c r="G229" i="43"/>
  <c r="Q223" i="43"/>
  <c r="G223" i="43"/>
  <c r="Q221" i="43"/>
  <c r="G221" i="43"/>
  <c r="Q215" i="43"/>
  <c r="G215" i="43"/>
  <c r="Q213" i="43"/>
  <c r="G213" i="43"/>
  <c r="O203" i="43"/>
  <c r="G203" i="43"/>
  <c r="P199" i="43"/>
  <c r="N193" i="43"/>
  <c r="L192" i="43"/>
  <c r="K189" i="43"/>
  <c r="L181" i="43"/>
  <c r="N181" i="43"/>
  <c r="N179" i="43"/>
  <c r="G172" i="43"/>
  <c r="O172" i="43"/>
  <c r="P172" i="43"/>
  <c r="J167" i="43"/>
  <c r="M167" i="43"/>
  <c r="N167" i="43"/>
  <c r="I167" i="43"/>
  <c r="J165" i="43"/>
  <c r="Q163" i="43"/>
  <c r="J148" i="43"/>
  <c r="H145" i="43"/>
  <c r="O145" i="43"/>
  <c r="Q145" i="43"/>
  <c r="L145" i="43"/>
  <c r="H137" i="43"/>
  <c r="M137" i="43"/>
  <c r="N137" i="43"/>
  <c r="G137" i="43"/>
  <c r="P133" i="43"/>
  <c r="Q129" i="43"/>
  <c r="N116" i="43"/>
  <c r="O107" i="43"/>
  <c r="M106" i="43"/>
  <c r="Q104" i="43"/>
  <c r="M100" i="43"/>
  <c r="K69" i="43"/>
  <c r="P69" i="43"/>
  <c r="J69" i="43"/>
  <c r="I128" i="43"/>
  <c r="N128" i="43"/>
  <c r="Q128" i="43"/>
  <c r="O229" i="43"/>
  <c r="M193" i="43"/>
  <c r="K192" i="43"/>
  <c r="J189" i="43"/>
  <c r="L179" i="43"/>
  <c r="L171" i="43"/>
  <c r="M171" i="43"/>
  <c r="I171" i="43"/>
  <c r="Q171" i="43"/>
  <c r="K169" i="43"/>
  <c r="M169" i="43"/>
  <c r="O163" i="43"/>
  <c r="L141" i="43"/>
  <c r="N141" i="43"/>
  <c r="P141" i="43"/>
  <c r="J141" i="43"/>
  <c r="L125" i="43"/>
  <c r="G125" i="43"/>
  <c r="Q125" i="43"/>
  <c r="H125" i="43"/>
  <c r="M125" i="43"/>
  <c r="N113" i="43"/>
  <c r="P113" i="43"/>
  <c r="J113" i="43"/>
  <c r="L89" i="43"/>
  <c r="M89" i="43"/>
  <c r="Q86" i="43"/>
  <c r="K82" i="43"/>
  <c r="L82" i="43"/>
  <c r="H82" i="43"/>
  <c r="P82" i="43"/>
  <c r="L80" i="43"/>
  <c r="I80" i="43"/>
  <c r="J80" i="43"/>
  <c r="Q80" i="43"/>
  <c r="H71" i="43"/>
  <c r="J71" i="43"/>
  <c r="M67" i="43"/>
  <c r="K67" i="43"/>
  <c r="L67" i="43"/>
  <c r="G67" i="43"/>
  <c r="Q67" i="43"/>
  <c r="K154" i="43"/>
  <c r="J154" i="43"/>
  <c r="L154" i="43"/>
  <c r="G154" i="43"/>
  <c r="P154" i="43"/>
  <c r="I112" i="43"/>
  <c r="Q112" i="43"/>
  <c r="K112" i="43"/>
  <c r="M238" i="43"/>
  <c r="Q235" i="43"/>
  <c r="I235" i="43"/>
  <c r="O231" i="43"/>
  <c r="O221" i="43"/>
  <c r="P235" i="43"/>
  <c r="O223" i="43"/>
  <c r="N221" i="43"/>
  <c r="N205" i="43"/>
  <c r="P204" i="43"/>
  <c r="N199" i="43"/>
  <c r="J192" i="43"/>
  <c r="I189" i="43"/>
  <c r="K179" i="43"/>
  <c r="L165" i="43"/>
  <c r="K165" i="43"/>
  <c r="M165" i="43"/>
  <c r="G165" i="43"/>
  <c r="N163" i="43"/>
  <c r="K157" i="43"/>
  <c r="O154" i="43"/>
  <c r="M148" i="43"/>
  <c r="N148" i="43"/>
  <c r="G148" i="43"/>
  <c r="G147" i="43"/>
  <c r="O147" i="43"/>
  <c r="H147" i="43"/>
  <c r="P147" i="43"/>
  <c r="L147" i="43"/>
  <c r="K146" i="43"/>
  <c r="L146" i="43"/>
  <c r="M146" i="43"/>
  <c r="H146" i="43"/>
  <c r="Q146" i="43"/>
  <c r="N142" i="43"/>
  <c r="P142" i="43"/>
  <c r="H142" i="43"/>
  <c r="Q136" i="43"/>
  <c r="J133" i="43"/>
  <c r="L129" i="43"/>
  <c r="K126" i="43"/>
  <c r="N126" i="43"/>
  <c r="K116" i="43"/>
  <c r="J114" i="43"/>
  <c r="K114" i="43"/>
  <c r="L114" i="43"/>
  <c r="G114" i="43"/>
  <c r="P114" i="43"/>
  <c r="G111" i="43"/>
  <c r="P111" i="43"/>
  <c r="J107" i="43"/>
  <c r="J106" i="43"/>
  <c r="J98" i="43"/>
  <c r="K98" i="43"/>
  <c r="G98" i="43"/>
  <c r="O98" i="43"/>
  <c r="J94" i="43"/>
  <c r="H94" i="43"/>
  <c r="Q94" i="43"/>
  <c r="I94" i="43"/>
  <c r="N94" i="43"/>
  <c r="N92" i="43"/>
  <c r="O86" i="43"/>
  <c r="H85" i="43"/>
  <c r="Q82" i="43"/>
  <c r="Q73" i="43"/>
  <c r="L70" i="43"/>
  <c r="M70" i="43"/>
  <c r="I70" i="43"/>
  <c r="Q70" i="43"/>
  <c r="K175" i="43"/>
  <c r="N151" i="43"/>
  <c r="J139" i="43"/>
  <c r="J122" i="43"/>
  <c r="N121" i="43"/>
  <c r="P115" i="43"/>
  <c r="J110" i="43"/>
  <c r="K102" i="43"/>
  <c r="K99" i="43"/>
  <c r="K91" i="43"/>
  <c r="L83" i="43"/>
  <c r="O60" i="43"/>
  <c r="L59" i="43"/>
  <c r="K176" i="43"/>
  <c r="N175" i="43"/>
  <c r="J149" i="43"/>
  <c r="I138" i="43"/>
  <c r="N122" i="43"/>
  <c r="N103" i="43"/>
  <c r="N102" i="43"/>
  <c r="O99" i="43"/>
  <c r="O91" i="43"/>
  <c r="Q62" i="43"/>
  <c r="Q59" i="43"/>
  <c r="G59" i="43"/>
  <c r="O59" i="43"/>
  <c r="I332" i="43"/>
  <c r="Q332" i="43"/>
  <c r="O328" i="43"/>
  <c r="P287" i="43"/>
  <c r="Q345" i="43"/>
  <c r="G345" i="43"/>
  <c r="P343" i="43"/>
  <c r="G343" i="43"/>
  <c r="P332" i="43"/>
  <c r="G332" i="43"/>
  <c r="P328" i="43"/>
  <c r="G328" i="43"/>
  <c r="G326" i="43"/>
  <c r="O326" i="43"/>
  <c r="Q313" i="43"/>
  <c r="G313" i="43"/>
  <c r="P311" i="43"/>
  <c r="G311" i="43"/>
  <c r="P300" i="43"/>
  <c r="P296" i="43"/>
  <c r="G296" i="43"/>
  <c r="G294" i="43"/>
  <c r="O294" i="43"/>
  <c r="Q287" i="43"/>
  <c r="G287" i="43"/>
  <c r="H281" i="43"/>
  <c r="P281" i="43"/>
  <c r="I281" i="43"/>
  <c r="Q281" i="43"/>
  <c r="G278" i="43"/>
  <c r="O278" i="43"/>
  <c r="H278" i="43"/>
  <c r="P278" i="43"/>
  <c r="L269" i="43"/>
  <c r="M269" i="43"/>
  <c r="J265" i="43"/>
  <c r="K242" i="43"/>
  <c r="L242" i="43"/>
  <c r="M242" i="43"/>
  <c r="G242" i="43"/>
  <c r="O242" i="43"/>
  <c r="J242" i="43"/>
  <c r="N242" i="43"/>
  <c r="P242" i="43"/>
  <c r="Q242" i="43"/>
  <c r="H161" i="43"/>
  <c r="G161" i="43"/>
  <c r="P161" i="43"/>
  <c r="I161" i="43"/>
  <c r="Q161" i="43"/>
  <c r="J161" i="43"/>
  <c r="L161" i="43"/>
  <c r="N161" i="43"/>
  <c r="O161" i="43"/>
  <c r="J74" i="43"/>
  <c r="I74" i="43"/>
  <c r="K74" i="43"/>
  <c r="L74" i="43"/>
  <c r="N74" i="43"/>
  <c r="H74" i="43"/>
  <c r="M74" i="43"/>
  <c r="O74" i="43"/>
  <c r="Q74" i="43"/>
  <c r="G74" i="43"/>
  <c r="P74" i="43"/>
  <c r="J10" i="43"/>
  <c r="K10" i="43"/>
  <c r="G10" i="43"/>
  <c r="O10" i="43"/>
  <c r="L10" i="43"/>
  <c r="M10" i="43"/>
  <c r="N10" i="43"/>
  <c r="Q10" i="43"/>
  <c r="H10" i="43"/>
  <c r="I10" i="43"/>
  <c r="P10" i="43"/>
  <c r="O345" i="43"/>
  <c r="I300" i="43"/>
  <c r="Q300" i="43"/>
  <c r="O296" i="43"/>
  <c r="O349" i="43"/>
  <c r="N313" i="43"/>
  <c r="M309" i="43"/>
  <c r="P302" i="43"/>
  <c r="I268" i="43"/>
  <c r="Q268" i="43"/>
  <c r="J268" i="43"/>
  <c r="I95" i="43"/>
  <c r="Q95" i="43"/>
  <c r="J95" i="43"/>
  <c r="M95" i="43"/>
  <c r="H95" i="43"/>
  <c r="L95" i="43"/>
  <c r="O95" i="43"/>
  <c r="P95" i="43"/>
  <c r="K95" i="43"/>
  <c r="N95" i="43"/>
  <c r="G95" i="43"/>
  <c r="J66" i="43"/>
  <c r="K66" i="43"/>
  <c r="G66" i="43"/>
  <c r="O66" i="43"/>
  <c r="N66" i="43"/>
  <c r="P66" i="43"/>
  <c r="Q66" i="43"/>
  <c r="H66" i="43"/>
  <c r="L66" i="43"/>
  <c r="M66" i="43"/>
  <c r="I66" i="43"/>
  <c r="L24" i="43"/>
  <c r="M24" i="43"/>
  <c r="I24" i="43"/>
  <c r="Q24" i="43"/>
  <c r="J24" i="43"/>
  <c r="K24" i="43"/>
  <c r="N24" i="43"/>
  <c r="P24" i="43"/>
  <c r="G24" i="43"/>
  <c r="H24" i="43"/>
  <c r="O24" i="43"/>
  <c r="N349" i="43"/>
  <c r="Q344" i="43"/>
  <c r="M343" i="43"/>
  <c r="Q342" i="43"/>
  <c r="H342" i="43"/>
  <c r="K341" i="43"/>
  <c r="I340" i="43"/>
  <c r="Q340" i="43"/>
  <c r="P338" i="43"/>
  <c r="G338" i="43"/>
  <c r="K337" i="43"/>
  <c r="K335" i="43"/>
  <c r="N334" i="43"/>
  <c r="M332" i="43"/>
  <c r="N330" i="43"/>
  <c r="I329" i="43"/>
  <c r="L328" i="43"/>
  <c r="Q327" i="43"/>
  <c r="H327" i="43"/>
  <c r="L326" i="43"/>
  <c r="P325" i="43"/>
  <c r="G325" i="43"/>
  <c r="K324" i="43"/>
  <c r="L322" i="43"/>
  <c r="H321" i="43"/>
  <c r="P321" i="43"/>
  <c r="J320" i="43"/>
  <c r="N317" i="43"/>
  <c r="Q312" i="43"/>
  <c r="H312" i="43"/>
  <c r="M311" i="43"/>
  <c r="Q310" i="43"/>
  <c r="H310" i="43"/>
  <c r="K309" i="43"/>
  <c r="I308" i="43"/>
  <c r="Q308" i="43"/>
  <c r="P306" i="43"/>
  <c r="G306" i="43"/>
  <c r="K305" i="43"/>
  <c r="K303" i="43"/>
  <c r="N302" i="43"/>
  <c r="M300" i="43"/>
  <c r="N298" i="43"/>
  <c r="L296" i="43"/>
  <c r="Q295" i="43"/>
  <c r="H295" i="43"/>
  <c r="L294" i="43"/>
  <c r="P293" i="43"/>
  <c r="G293" i="43"/>
  <c r="K292" i="43"/>
  <c r="L290" i="43"/>
  <c r="H289" i="43"/>
  <c r="P289" i="43"/>
  <c r="N287" i="43"/>
  <c r="Q286" i="43"/>
  <c r="L284" i="43"/>
  <c r="M281" i="43"/>
  <c r="M278" i="43"/>
  <c r="L277" i="43"/>
  <c r="M277" i="43"/>
  <c r="Q271" i="43"/>
  <c r="K269" i="43"/>
  <c r="O268" i="43"/>
  <c r="H241" i="43"/>
  <c r="P241" i="43"/>
  <c r="I241" i="43"/>
  <c r="Q241" i="43"/>
  <c r="J241" i="43"/>
  <c r="L241" i="43"/>
  <c r="K241" i="43"/>
  <c r="M241" i="43"/>
  <c r="N241" i="43"/>
  <c r="O241" i="43"/>
  <c r="M160" i="43"/>
  <c r="K160" i="43"/>
  <c r="L160" i="43"/>
  <c r="N160" i="43"/>
  <c r="G160" i="43"/>
  <c r="P160" i="43"/>
  <c r="I160" i="43"/>
  <c r="J160" i="43"/>
  <c r="O160" i="43"/>
  <c r="Q160" i="43"/>
  <c r="J290" i="43"/>
  <c r="M287" i="43"/>
  <c r="L281" i="43"/>
  <c r="L278" i="43"/>
  <c r="J271" i="43"/>
  <c r="K271" i="43"/>
  <c r="J269" i="43"/>
  <c r="N268" i="43"/>
  <c r="O265" i="43"/>
  <c r="G246" i="43"/>
  <c r="O246" i="43"/>
  <c r="H246" i="43"/>
  <c r="P246" i="43"/>
  <c r="I246" i="43"/>
  <c r="Q246" i="43"/>
  <c r="K246" i="43"/>
  <c r="M246" i="43"/>
  <c r="N246" i="43"/>
  <c r="K144" i="43"/>
  <c r="M144" i="43"/>
  <c r="G144" i="43"/>
  <c r="O144" i="43"/>
  <c r="H144" i="43"/>
  <c r="P144" i="43"/>
  <c r="Q144" i="43"/>
  <c r="I144" i="43"/>
  <c r="L144" i="43"/>
  <c r="N144" i="43"/>
  <c r="O332" i="43"/>
  <c r="H313" i="43"/>
  <c r="P313" i="43"/>
  <c r="O311" i="43"/>
  <c r="O300" i="43"/>
  <c r="N328" i="43"/>
  <c r="M326" i="43"/>
  <c r="M322" i="43"/>
  <c r="O317" i="43"/>
  <c r="N311" i="43"/>
  <c r="G286" i="43"/>
  <c r="O286" i="43"/>
  <c r="H286" i="43"/>
  <c r="P286" i="43"/>
  <c r="N281" i="43"/>
  <c r="K250" i="43"/>
  <c r="L250" i="43"/>
  <c r="M250" i="43"/>
  <c r="G250" i="43"/>
  <c r="O250" i="43"/>
  <c r="J250" i="43"/>
  <c r="N250" i="43"/>
  <c r="P250" i="43"/>
  <c r="Q250" i="43"/>
  <c r="M334" i="43"/>
  <c r="L332" i="43"/>
  <c r="M330" i="43"/>
  <c r="K328" i="43"/>
  <c r="K326" i="43"/>
  <c r="O325" i="43"/>
  <c r="M302" i="43"/>
  <c r="L300" i="43"/>
  <c r="M298" i="43"/>
  <c r="K296" i="43"/>
  <c r="K294" i="43"/>
  <c r="O293" i="43"/>
  <c r="K349" i="43"/>
  <c r="K343" i="43"/>
  <c r="I341" i="43"/>
  <c r="N338" i="43"/>
  <c r="I337" i="43"/>
  <c r="Q335" i="43"/>
  <c r="K332" i="43"/>
  <c r="L330" i="43"/>
  <c r="J326" i="43"/>
  <c r="N325" i="43"/>
  <c r="I322" i="43"/>
  <c r="K317" i="43"/>
  <c r="I316" i="43"/>
  <c r="Q316" i="43"/>
  <c r="K313" i="43"/>
  <c r="K311" i="43"/>
  <c r="I309" i="43"/>
  <c r="N306" i="43"/>
  <c r="K300" i="43"/>
  <c r="L298" i="43"/>
  <c r="H297" i="43"/>
  <c r="P297" i="43"/>
  <c r="J296" i="43"/>
  <c r="J294" i="43"/>
  <c r="N293" i="43"/>
  <c r="I290" i="43"/>
  <c r="L287" i="43"/>
  <c r="M286" i="43"/>
  <c r="L285" i="43"/>
  <c r="M285" i="43"/>
  <c r="K281" i="43"/>
  <c r="K278" i="43"/>
  <c r="I276" i="43"/>
  <c r="Q276" i="43"/>
  <c r="J276" i="43"/>
  <c r="K274" i="43"/>
  <c r="L274" i="43"/>
  <c r="O271" i="43"/>
  <c r="G270" i="43"/>
  <c r="O270" i="43"/>
  <c r="H270" i="43"/>
  <c r="P270" i="43"/>
  <c r="I269" i="43"/>
  <c r="M268" i="43"/>
  <c r="H249" i="43"/>
  <c r="P249" i="43"/>
  <c r="I249" i="43"/>
  <c r="Q249" i="43"/>
  <c r="J249" i="43"/>
  <c r="L249" i="43"/>
  <c r="K249" i="43"/>
  <c r="M249" i="43"/>
  <c r="N249" i="43"/>
  <c r="O249" i="43"/>
  <c r="H345" i="43"/>
  <c r="P345" i="43"/>
  <c r="O343" i="43"/>
  <c r="K29" i="43"/>
  <c r="L29" i="43"/>
  <c r="H29" i="43"/>
  <c r="P29" i="43"/>
  <c r="N29" i="43"/>
  <c r="O29" i="43"/>
  <c r="Q29" i="43"/>
  <c r="G29" i="43"/>
  <c r="J29" i="43"/>
  <c r="M29" i="43"/>
  <c r="I29" i="43"/>
  <c r="G334" i="43"/>
  <c r="O334" i="43"/>
  <c r="N332" i="43"/>
  <c r="G302" i="43"/>
  <c r="O302" i="43"/>
  <c r="N300" i="43"/>
  <c r="O298" i="43"/>
  <c r="N296" i="43"/>
  <c r="O287" i="43"/>
  <c r="H265" i="43"/>
  <c r="P265" i="43"/>
  <c r="I265" i="43"/>
  <c r="Q265" i="43"/>
  <c r="K265" i="43"/>
  <c r="G342" i="43"/>
  <c r="O342" i="43"/>
  <c r="J341" i="43"/>
  <c r="O338" i="43"/>
  <c r="G310" i="43"/>
  <c r="O310" i="43"/>
  <c r="J309" i="43"/>
  <c r="O306" i="43"/>
  <c r="I348" i="43"/>
  <c r="Q348" i="43"/>
  <c r="K345" i="43"/>
  <c r="O344" i="43"/>
  <c r="H329" i="43"/>
  <c r="P329" i="43"/>
  <c r="J328" i="43"/>
  <c r="O327" i="43"/>
  <c r="J349" i="43"/>
  <c r="N348" i="43"/>
  <c r="J345" i="43"/>
  <c r="N344" i="43"/>
  <c r="I343" i="43"/>
  <c r="M342" i="43"/>
  <c r="Q341" i="43"/>
  <c r="H341" i="43"/>
  <c r="L340" i="43"/>
  <c r="M338" i="43"/>
  <c r="Q337" i="43"/>
  <c r="K336" i="43"/>
  <c r="P335" i="43"/>
  <c r="G335" i="43"/>
  <c r="K334" i="43"/>
  <c r="J332" i="43"/>
  <c r="J330" i="43"/>
  <c r="N329" i="43"/>
  <c r="I328" i="43"/>
  <c r="N327" i="43"/>
  <c r="I326" i="43"/>
  <c r="M325" i="43"/>
  <c r="P324" i="43"/>
  <c r="Q322" i="43"/>
  <c r="H322" i="43"/>
  <c r="L321" i="43"/>
  <c r="P320" i="43"/>
  <c r="G320" i="43"/>
  <c r="L319" i="43"/>
  <c r="G318" i="43"/>
  <c r="O318" i="43"/>
  <c r="J317" i="43"/>
  <c r="N316" i="43"/>
  <c r="J313" i="43"/>
  <c r="N312" i="43"/>
  <c r="I311" i="43"/>
  <c r="M310" i="43"/>
  <c r="Q309" i="43"/>
  <c r="H309" i="43"/>
  <c r="L308" i="43"/>
  <c r="M306" i="43"/>
  <c r="Q305" i="43"/>
  <c r="K304" i="43"/>
  <c r="P303" i="43"/>
  <c r="G303" i="43"/>
  <c r="K302" i="43"/>
  <c r="J300" i="43"/>
  <c r="J298" i="43"/>
  <c r="N297" i="43"/>
  <c r="I296" i="43"/>
  <c r="N295" i="43"/>
  <c r="I294" i="43"/>
  <c r="M293" i="43"/>
  <c r="P292" i="43"/>
  <c r="Q290" i="43"/>
  <c r="H290" i="43"/>
  <c r="L289" i="43"/>
  <c r="L286" i="43"/>
  <c r="O285" i="43"/>
  <c r="J281" i="43"/>
  <c r="J278" i="43"/>
  <c r="O276" i="43"/>
  <c r="O274" i="43"/>
  <c r="H273" i="43"/>
  <c r="P273" i="43"/>
  <c r="I273" i="43"/>
  <c r="Q273" i="43"/>
  <c r="N271" i="43"/>
  <c r="Q270" i="43"/>
  <c r="H269" i="43"/>
  <c r="L268" i="43"/>
  <c r="M265" i="43"/>
  <c r="L261" i="43"/>
  <c r="H261" i="43"/>
  <c r="Q261" i="43"/>
  <c r="I261" i="43"/>
  <c r="J261" i="43"/>
  <c r="K261" i="43"/>
  <c r="G254" i="43"/>
  <c r="O254" i="43"/>
  <c r="K254" i="43"/>
  <c r="I254" i="43"/>
  <c r="J254" i="43"/>
  <c r="L254" i="43"/>
  <c r="M254" i="43"/>
  <c r="N254" i="43"/>
  <c r="I242" i="43"/>
  <c r="M161" i="43"/>
  <c r="O313" i="43"/>
  <c r="J287" i="43"/>
  <c r="K287" i="43"/>
  <c r="N345" i="43"/>
  <c r="N343" i="43"/>
  <c r="M341" i="43"/>
  <c r="P334" i="43"/>
  <c r="O330" i="43"/>
  <c r="M294" i="43"/>
  <c r="Q293" i="43"/>
  <c r="M290" i="43"/>
  <c r="P268" i="43"/>
  <c r="H153" i="43"/>
  <c r="P153" i="43"/>
  <c r="K153" i="43"/>
  <c r="I153" i="43"/>
  <c r="J153" i="43"/>
  <c r="L153" i="43"/>
  <c r="N153" i="43"/>
  <c r="M153" i="43"/>
  <c r="O153" i="43"/>
  <c r="Q153" i="43"/>
  <c r="M349" i="43"/>
  <c r="L345" i="43"/>
  <c r="L343" i="43"/>
  <c r="P342" i="43"/>
  <c r="J322" i="43"/>
  <c r="M317" i="43"/>
  <c r="L313" i="43"/>
  <c r="L311" i="43"/>
  <c r="P310" i="43"/>
  <c r="I349" i="43"/>
  <c r="I345" i="43"/>
  <c r="Q343" i="43"/>
  <c r="H343" i="43"/>
  <c r="L342" i="43"/>
  <c r="P341" i="43"/>
  <c r="G341" i="43"/>
  <c r="L338" i="43"/>
  <c r="H337" i="43"/>
  <c r="P337" i="43"/>
  <c r="J334" i="43"/>
  <c r="H332" i="43"/>
  <c r="I330" i="43"/>
  <c r="M329" i="43"/>
  <c r="Q328" i="43"/>
  <c r="H328" i="43"/>
  <c r="M327" i="43"/>
  <c r="Q326" i="43"/>
  <c r="H326" i="43"/>
  <c r="K325" i="43"/>
  <c r="I324" i="43"/>
  <c r="Q324" i="43"/>
  <c r="P322" i="43"/>
  <c r="G322" i="43"/>
  <c r="I317" i="43"/>
  <c r="M316" i="43"/>
  <c r="I313" i="43"/>
  <c r="L312" i="43"/>
  <c r="Q311" i="43"/>
  <c r="H311" i="43"/>
  <c r="L310" i="43"/>
  <c r="P309" i="43"/>
  <c r="G309" i="43"/>
  <c r="L306" i="43"/>
  <c r="H305" i="43"/>
  <c r="P305" i="43"/>
  <c r="J302" i="43"/>
  <c r="H300" i="43"/>
  <c r="I298" i="43"/>
  <c r="M297" i="43"/>
  <c r="Q296" i="43"/>
  <c r="H296" i="43"/>
  <c r="M295" i="43"/>
  <c r="Q294" i="43"/>
  <c r="H294" i="43"/>
  <c r="K293" i="43"/>
  <c r="I292" i="43"/>
  <c r="Q292" i="43"/>
  <c r="P290" i="43"/>
  <c r="G290" i="43"/>
  <c r="H287" i="43"/>
  <c r="K286" i="43"/>
  <c r="N285" i="43"/>
  <c r="I284" i="43"/>
  <c r="Q284" i="43"/>
  <c r="J284" i="43"/>
  <c r="K282" i="43"/>
  <c r="L282" i="43"/>
  <c r="G281" i="43"/>
  <c r="J279" i="43"/>
  <c r="K279" i="43"/>
  <c r="I278" i="43"/>
  <c r="J277" i="43"/>
  <c r="N276" i="43"/>
  <c r="N274" i="43"/>
  <c r="O273" i="43"/>
  <c r="M271" i="43"/>
  <c r="N270" i="43"/>
  <c r="Q269" i="43"/>
  <c r="G269" i="43"/>
  <c r="K268" i="43"/>
  <c r="L265" i="43"/>
  <c r="J263" i="43"/>
  <c r="I263" i="43"/>
  <c r="K263" i="43"/>
  <c r="M263" i="43"/>
  <c r="H242" i="43"/>
  <c r="H233" i="43"/>
  <c r="P233" i="43"/>
  <c r="I233" i="43"/>
  <c r="Q233" i="43"/>
  <c r="J233" i="43"/>
  <c r="L233" i="43"/>
  <c r="M233" i="43"/>
  <c r="N233" i="43"/>
  <c r="O233" i="43"/>
  <c r="K161" i="43"/>
  <c r="I260" i="43"/>
  <c r="Q260" i="43"/>
  <c r="P258" i="43"/>
  <c r="K257" i="43"/>
  <c r="G238" i="43"/>
  <c r="O238" i="43"/>
  <c r="H238" i="43"/>
  <c r="P238" i="43"/>
  <c r="I238" i="43"/>
  <c r="Q238" i="43"/>
  <c r="K238" i="43"/>
  <c r="K234" i="43"/>
  <c r="L234" i="43"/>
  <c r="M234" i="43"/>
  <c r="G234" i="43"/>
  <c r="O234" i="43"/>
  <c r="N228" i="43"/>
  <c r="H225" i="43"/>
  <c r="P225" i="43"/>
  <c r="I225" i="43"/>
  <c r="Q225" i="43"/>
  <c r="J225" i="43"/>
  <c r="L225" i="43"/>
  <c r="N220" i="43"/>
  <c r="H217" i="43"/>
  <c r="P217" i="43"/>
  <c r="I217" i="43"/>
  <c r="Q217" i="43"/>
  <c r="J217" i="43"/>
  <c r="L217" i="43"/>
  <c r="N212" i="43"/>
  <c r="H209" i="43"/>
  <c r="P209" i="43"/>
  <c r="I209" i="43"/>
  <c r="Q209" i="43"/>
  <c r="J209" i="43"/>
  <c r="L209" i="43"/>
  <c r="L206" i="43"/>
  <c r="N204" i="43"/>
  <c r="H201" i="43"/>
  <c r="P201" i="43"/>
  <c r="I201" i="43"/>
  <c r="Q201" i="43"/>
  <c r="J201" i="43"/>
  <c r="L201" i="43"/>
  <c r="L198" i="43"/>
  <c r="N196" i="43"/>
  <c r="H193" i="43"/>
  <c r="P193" i="43"/>
  <c r="I193" i="43"/>
  <c r="Q193" i="43"/>
  <c r="J193" i="43"/>
  <c r="L193" i="43"/>
  <c r="L190" i="43"/>
  <c r="N188" i="43"/>
  <c r="H185" i="43"/>
  <c r="P185" i="43"/>
  <c r="I185" i="43"/>
  <c r="Q185" i="43"/>
  <c r="J185" i="43"/>
  <c r="L185" i="43"/>
  <c r="L182" i="43"/>
  <c r="N180" i="43"/>
  <c r="H177" i="43"/>
  <c r="P177" i="43"/>
  <c r="I177" i="43"/>
  <c r="Q177" i="43"/>
  <c r="J177" i="43"/>
  <c r="L177" i="43"/>
  <c r="L174" i="43"/>
  <c r="N172" i="43"/>
  <c r="H169" i="43"/>
  <c r="P169" i="43"/>
  <c r="I169" i="43"/>
  <c r="Q169" i="43"/>
  <c r="J169" i="43"/>
  <c r="L169" i="43"/>
  <c r="L166" i="43"/>
  <c r="N164" i="43"/>
  <c r="O159" i="43"/>
  <c r="I158" i="43"/>
  <c r="L157" i="43"/>
  <c r="G157" i="43"/>
  <c r="O157" i="43"/>
  <c r="M157" i="43"/>
  <c r="N157" i="43"/>
  <c r="P157" i="43"/>
  <c r="H157" i="43"/>
  <c r="Q150" i="43"/>
  <c r="H119" i="43"/>
  <c r="P119" i="43"/>
  <c r="J119" i="43"/>
  <c r="L119" i="43"/>
  <c r="M119" i="43"/>
  <c r="G119" i="43"/>
  <c r="I119" i="43"/>
  <c r="K119" i="43"/>
  <c r="O119" i="43"/>
  <c r="Q96" i="43"/>
  <c r="G262" i="43"/>
  <c r="O262" i="43"/>
  <c r="J257" i="43"/>
  <c r="G230" i="43"/>
  <c r="O230" i="43"/>
  <c r="H230" i="43"/>
  <c r="P230" i="43"/>
  <c r="I230" i="43"/>
  <c r="Q230" i="43"/>
  <c r="K230" i="43"/>
  <c r="L228" i="43"/>
  <c r="K226" i="43"/>
  <c r="L226" i="43"/>
  <c r="M226" i="43"/>
  <c r="G226" i="43"/>
  <c r="O226" i="43"/>
  <c r="G222" i="43"/>
  <c r="O222" i="43"/>
  <c r="H222" i="43"/>
  <c r="P222" i="43"/>
  <c r="I222" i="43"/>
  <c r="Q222" i="43"/>
  <c r="K222" i="43"/>
  <c r="L220" i="43"/>
  <c r="K218" i="43"/>
  <c r="L218" i="43"/>
  <c r="M218" i="43"/>
  <c r="G218" i="43"/>
  <c r="O218" i="43"/>
  <c r="G214" i="43"/>
  <c r="O214" i="43"/>
  <c r="H214" i="43"/>
  <c r="P214" i="43"/>
  <c r="I214" i="43"/>
  <c r="Q214" i="43"/>
  <c r="K214" i="43"/>
  <c r="L212" i="43"/>
  <c r="K210" i="43"/>
  <c r="L210" i="43"/>
  <c r="M210" i="43"/>
  <c r="G210" i="43"/>
  <c r="O210" i="43"/>
  <c r="L204" i="43"/>
  <c r="K202" i="43"/>
  <c r="L202" i="43"/>
  <c r="M202" i="43"/>
  <c r="G202" i="43"/>
  <c r="O202" i="43"/>
  <c r="L196" i="43"/>
  <c r="K194" i="43"/>
  <c r="L194" i="43"/>
  <c r="M194" i="43"/>
  <c r="G194" i="43"/>
  <c r="O194" i="43"/>
  <c r="L188" i="43"/>
  <c r="K186" i="43"/>
  <c r="L186" i="43"/>
  <c r="M186" i="43"/>
  <c r="G186" i="43"/>
  <c r="O186" i="43"/>
  <c r="L180" i="43"/>
  <c r="K178" i="43"/>
  <c r="L178" i="43"/>
  <c r="M178" i="43"/>
  <c r="G178" i="43"/>
  <c r="O178" i="43"/>
  <c r="L172" i="43"/>
  <c r="K170" i="43"/>
  <c r="L170" i="43"/>
  <c r="M170" i="43"/>
  <c r="G170" i="43"/>
  <c r="O170" i="43"/>
  <c r="L164" i="43"/>
  <c r="K162" i="43"/>
  <c r="L162" i="43"/>
  <c r="M162" i="43"/>
  <c r="G162" i="43"/>
  <c r="O162" i="43"/>
  <c r="N159" i="43"/>
  <c r="P150" i="43"/>
  <c r="G140" i="43"/>
  <c r="O140" i="43"/>
  <c r="I140" i="43"/>
  <c r="Q140" i="43"/>
  <c r="K140" i="43"/>
  <c r="L140" i="43"/>
  <c r="P140" i="43"/>
  <c r="H140" i="43"/>
  <c r="N134" i="43"/>
  <c r="H100" i="43"/>
  <c r="P100" i="43"/>
  <c r="I100" i="43"/>
  <c r="Q100" i="43"/>
  <c r="L100" i="43"/>
  <c r="G100" i="43"/>
  <c r="K100" i="43"/>
  <c r="N100" i="43"/>
  <c r="O100" i="43"/>
  <c r="G57" i="43"/>
  <c r="O57" i="43"/>
  <c r="H57" i="43"/>
  <c r="P57" i="43"/>
  <c r="L57" i="43"/>
  <c r="K57" i="43"/>
  <c r="M57" i="43"/>
  <c r="N57" i="43"/>
  <c r="I57" i="43"/>
  <c r="J57" i="43"/>
  <c r="Q57" i="43"/>
  <c r="N272" i="43"/>
  <c r="L266" i="43"/>
  <c r="N262" i="43"/>
  <c r="M260" i="43"/>
  <c r="N258" i="43"/>
  <c r="I257" i="43"/>
  <c r="L256" i="43"/>
  <c r="I252" i="43"/>
  <c r="Q252" i="43"/>
  <c r="K252" i="43"/>
  <c r="M252" i="43"/>
  <c r="I244" i="43"/>
  <c r="Q244" i="43"/>
  <c r="J244" i="43"/>
  <c r="K244" i="43"/>
  <c r="M244" i="43"/>
  <c r="Q234" i="43"/>
  <c r="H228" i="43"/>
  <c r="H220" i="43"/>
  <c r="H212" i="43"/>
  <c r="G206" i="43"/>
  <c r="O206" i="43"/>
  <c r="H206" i="43"/>
  <c r="P206" i="43"/>
  <c r="I206" i="43"/>
  <c r="Q206" i="43"/>
  <c r="K206" i="43"/>
  <c r="H204" i="43"/>
  <c r="G198" i="43"/>
  <c r="O198" i="43"/>
  <c r="H198" i="43"/>
  <c r="P198" i="43"/>
  <c r="I198" i="43"/>
  <c r="Q198" i="43"/>
  <c r="K198" i="43"/>
  <c r="H196" i="43"/>
  <c r="G190" i="43"/>
  <c r="O190" i="43"/>
  <c r="H190" i="43"/>
  <c r="P190" i="43"/>
  <c r="I190" i="43"/>
  <c r="Q190" i="43"/>
  <c r="K190" i="43"/>
  <c r="H188" i="43"/>
  <c r="G182" i="43"/>
  <c r="O182" i="43"/>
  <c r="H182" i="43"/>
  <c r="P182" i="43"/>
  <c r="I182" i="43"/>
  <c r="Q182" i="43"/>
  <c r="K182" i="43"/>
  <c r="H180" i="43"/>
  <c r="G174" i="43"/>
  <c r="O174" i="43"/>
  <c r="H174" i="43"/>
  <c r="P174" i="43"/>
  <c r="I174" i="43"/>
  <c r="Q174" i="43"/>
  <c r="K174" i="43"/>
  <c r="H172" i="43"/>
  <c r="G166" i="43"/>
  <c r="O166" i="43"/>
  <c r="H166" i="43"/>
  <c r="P166" i="43"/>
  <c r="I166" i="43"/>
  <c r="Q166" i="43"/>
  <c r="K166" i="43"/>
  <c r="H164" i="43"/>
  <c r="M159" i="43"/>
  <c r="G158" i="43"/>
  <c r="O158" i="43"/>
  <c r="J158" i="43"/>
  <c r="K158" i="43"/>
  <c r="L158" i="43"/>
  <c r="M158" i="43"/>
  <c r="P158" i="43"/>
  <c r="N150" i="43"/>
  <c r="L96" i="43"/>
  <c r="M96" i="43"/>
  <c r="H96" i="43"/>
  <c r="P96" i="43"/>
  <c r="G96" i="43"/>
  <c r="J96" i="43"/>
  <c r="N96" i="43"/>
  <c r="O96" i="43"/>
  <c r="I96" i="43"/>
  <c r="K77" i="43"/>
  <c r="L77" i="43"/>
  <c r="M77" i="43"/>
  <c r="G77" i="43"/>
  <c r="O77" i="43"/>
  <c r="H77" i="43"/>
  <c r="I77" i="43"/>
  <c r="J77" i="43"/>
  <c r="P77" i="43"/>
  <c r="Q77" i="43"/>
  <c r="N77" i="43"/>
  <c r="H68" i="43"/>
  <c r="P68" i="43"/>
  <c r="G68" i="43"/>
  <c r="Q68" i="43"/>
  <c r="I68" i="43"/>
  <c r="J68" i="43"/>
  <c r="L68" i="43"/>
  <c r="M68" i="43"/>
  <c r="N68" i="43"/>
  <c r="O68" i="43"/>
  <c r="N288" i="43"/>
  <c r="M262" i="43"/>
  <c r="L260" i="43"/>
  <c r="M258" i="43"/>
  <c r="Q257" i="43"/>
  <c r="K256" i="43"/>
  <c r="P252" i="43"/>
  <c r="I236" i="43"/>
  <c r="Q236" i="43"/>
  <c r="J236" i="43"/>
  <c r="K236" i="43"/>
  <c r="M236" i="43"/>
  <c r="P234" i="43"/>
  <c r="Q226" i="43"/>
  <c r="O225" i="43"/>
  <c r="Q218" i="43"/>
  <c r="O217" i="43"/>
  <c r="Q210" i="43"/>
  <c r="O209" i="43"/>
  <c r="Q202" i="43"/>
  <c r="O201" i="43"/>
  <c r="Q194" i="43"/>
  <c r="O193" i="43"/>
  <c r="Q186" i="43"/>
  <c r="O185" i="43"/>
  <c r="Q178" i="43"/>
  <c r="O177" i="43"/>
  <c r="Q170" i="43"/>
  <c r="O169" i="43"/>
  <c r="Q162" i="43"/>
  <c r="H143" i="43"/>
  <c r="P143" i="43"/>
  <c r="J143" i="43"/>
  <c r="L143" i="43"/>
  <c r="M143" i="43"/>
  <c r="O143" i="43"/>
  <c r="Q143" i="43"/>
  <c r="G143" i="43"/>
  <c r="H257" i="43"/>
  <c r="P257" i="43"/>
  <c r="I228" i="43"/>
  <c r="Q228" i="43"/>
  <c r="J228" i="43"/>
  <c r="K228" i="43"/>
  <c r="M228" i="43"/>
  <c r="I220" i="43"/>
  <c r="Q220" i="43"/>
  <c r="J220" i="43"/>
  <c r="K220" i="43"/>
  <c r="M220" i="43"/>
  <c r="I212" i="43"/>
  <c r="Q212" i="43"/>
  <c r="J212" i="43"/>
  <c r="K212" i="43"/>
  <c r="M212" i="43"/>
  <c r="I204" i="43"/>
  <c r="Q204" i="43"/>
  <c r="J204" i="43"/>
  <c r="K204" i="43"/>
  <c r="M204" i="43"/>
  <c r="I196" i="43"/>
  <c r="Q196" i="43"/>
  <c r="J196" i="43"/>
  <c r="K196" i="43"/>
  <c r="M196" i="43"/>
  <c r="I188" i="43"/>
  <c r="Q188" i="43"/>
  <c r="J188" i="43"/>
  <c r="K188" i="43"/>
  <c r="M188" i="43"/>
  <c r="I180" i="43"/>
  <c r="Q180" i="43"/>
  <c r="J180" i="43"/>
  <c r="K180" i="43"/>
  <c r="M180" i="43"/>
  <c r="I172" i="43"/>
  <c r="Q172" i="43"/>
  <c r="J172" i="43"/>
  <c r="K172" i="43"/>
  <c r="M172" i="43"/>
  <c r="I164" i="43"/>
  <c r="Q164" i="43"/>
  <c r="J164" i="43"/>
  <c r="K164" i="43"/>
  <c r="M164" i="43"/>
  <c r="J159" i="43"/>
  <c r="G159" i="43"/>
  <c r="P159" i="43"/>
  <c r="H159" i="43"/>
  <c r="Q159" i="43"/>
  <c r="I159" i="43"/>
  <c r="L159" i="43"/>
  <c r="G150" i="43"/>
  <c r="O150" i="43"/>
  <c r="J150" i="43"/>
  <c r="H150" i="43"/>
  <c r="I150" i="43"/>
  <c r="K150" i="43"/>
  <c r="M150" i="43"/>
  <c r="M134" i="43"/>
  <c r="G134" i="43"/>
  <c r="O134" i="43"/>
  <c r="I134" i="43"/>
  <c r="Q134" i="43"/>
  <c r="J134" i="43"/>
  <c r="P134" i="43"/>
  <c r="H134" i="43"/>
  <c r="K120" i="43"/>
  <c r="M120" i="43"/>
  <c r="G120" i="43"/>
  <c r="O120" i="43"/>
  <c r="H120" i="43"/>
  <c r="P120" i="43"/>
  <c r="I120" i="43"/>
  <c r="J120" i="43"/>
  <c r="L120" i="43"/>
  <c r="Q120" i="43"/>
  <c r="K109" i="43"/>
  <c r="G109" i="43"/>
  <c r="O109" i="43"/>
  <c r="H109" i="43"/>
  <c r="J109" i="43"/>
  <c r="M109" i="43"/>
  <c r="N109" i="43"/>
  <c r="L109" i="43"/>
  <c r="P109" i="43"/>
  <c r="Q109" i="43"/>
  <c r="I79" i="43"/>
  <c r="Q79" i="43"/>
  <c r="J79" i="43"/>
  <c r="K79" i="43"/>
  <c r="M79" i="43"/>
  <c r="O79" i="43"/>
  <c r="P79" i="43"/>
  <c r="G79" i="43"/>
  <c r="H79" i="43"/>
  <c r="N79" i="43"/>
  <c r="P253" i="43"/>
  <c r="Q248" i="43"/>
  <c r="I248" i="43"/>
  <c r="P245" i="43"/>
  <c r="Q240" i="43"/>
  <c r="I240" i="43"/>
  <c r="P237" i="43"/>
  <c r="Q232" i="43"/>
  <c r="I232" i="43"/>
  <c r="P229" i="43"/>
  <c r="Q224" i="43"/>
  <c r="I224" i="43"/>
  <c r="P221" i="43"/>
  <c r="Q216" i="43"/>
  <c r="I216" i="43"/>
  <c r="P213" i="43"/>
  <c r="Q208" i="43"/>
  <c r="I208" i="43"/>
  <c r="P205" i="43"/>
  <c r="H205" i="43"/>
  <c r="Q200" i="43"/>
  <c r="I200" i="43"/>
  <c r="P197" i="43"/>
  <c r="H197" i="43"/>
  <c r="Q192" i="43"/>
  <c r="I192" i="43"/>
  <c r="P189" i="43"/>
  <c r="H189" i="43"/>
  <c r="Q184" i="43"/>
  <c r="I184" i="43"/>
  <c r="P181" i="43"/>
  <c r="H181" i="43"/>
  <c r="Q176" i="43"/>
  <c r="I176" i="43"/>
  <c r="P173" i="43"/>
  <c r="H173" i="43"/>
  <c r="Q168" i="43"/>
  <c r="I168" i="43"/>
  <c r="P165" i="43"/>
  <c r="H165" i="43"/>
  <c r="J156" i="43"/>
  <c r="M152" i="43"/>
  <c r="H152" i="43"/>
  <c r="P152" i="43"/>
  <c r="I151" i="43"/>
  <c r="I148" i="43"/>
  <c r="Q148" i="43"/>
  <c r="K148" i="43"/>
  <c r="L148" i="43"/>
  <c r="M142" i="43"/>
  <c r="G142" i="43"/>
  <c r="O142" i="43"/>
  <c r="I142" i="43"/>
  <c r="Q142" i="43"/>
  <c r="J142" i="43"/>
  <c r="L128" i="43"/>
  <c r="K127" i="43"/>
  <c r="N124" i="43"/>
  <c r="L111" i="43"/>
  <c r="N105" i="43"/>
  <c r="Q101" i="43"/>
  <c r="K45" i="43"/>
  <c r="L45" i="43"/>
  <c r="H45" i="43"/>
  <c r="P45" i="43"/>
  <c r="J45" i="43"/>
  <c r="M45" i="43"/>
  <c r="N45" i="43"/>
  <c r="Q45" i="43"/>
  <c r="G45" i="43"/>
  <c r="I45" i="43"/>
  <c r="O45" i="43"/>
  <c r="O248" i="43"/>
  <c r="G248" i="43"/>
  <c r="L247" i="43"/>
  <c r="O240" i="43"/>
  <c r="G240" i="43"/>
  <c r="O232" i="43"/>
  <c r="G232" i="43"/>
  <c r="O224" i="43"/>
  <c r="G224" i="43"/>
  <c r="L223" i="43"/>
  <c r="O216" i="43"/>
  <c r="G216" i="43"/>
  <c r="L215" i="43"/>
  <c r="O208" i="43"/>
  <c r="G208" i="43"/>
  <c r="O200" i="43"/>
  <c r="G200" i="43"/>
  <c r="O192" i="43"/>
  <c r="G192" i="43"/>
  <c r="O184" i="43"/>
  <c r="G184" i="43"/>
  <c r="O176" i="43"/>
  <c r="G176" i="43"/>
  <c r="O168" i="43"/>
  <c r="G168" i="43"/>
  <c r="Q151" i="43"/>
  <c r="K136" i="43"/>
  <c r="M136" i="43"/>
  <c r="G136" i="43"/>
  <c r="O136" i="43"/>
  <c r="H136" i="43"/>
  <c r="P136" i="43"/>
  <c r="H135" i="43"/>
  <c r="P135" i="43"/>
  <c r="J135" i="43"/>
  <c r="L135" i="43"/>
  <c r="M135" i="43"/>
  <c r="G132" i="43"/>
  <c r="O132" i="43"/>
  <c r="I132" i="43"/>
  <c r="Q132" i="43"/>
  <c r="K132" i="43"/>
  <c r="L132" i="43"/>
  <c r="M126" i="43"/>
  <c r="G126" i="43"/>
  <c r="O126" i="43"/>
  <c r="I126" i="43"/>
  <c r="Q126" i="43"/>
  <c r="J126" i="43"/>
  <c r="I156" i="43"/>
  <c r="Q156" i="43"/>
  <c r="L156" i="43"/>
  <c r="J151" i="43"/>
  <c r="M151" i="43"/>
  <c r="K128" i="43"/>
  <c r="M128" i="43"/>
  <c r="G128" i="43"/>
  <c r="O128" i="43"/>
  <c r="H128" i="43"/>
  <c r="P128" i="43"/>
  <c r="H127" i="43"/>
  <c r="P127" i="43"/>
  <c r="J127" i="43"/>
  <c r="L127" i="43"/>
  <c r="M127" i="43"/>
  <c r="I111" i="43"/>
  <c r="Q111" i="43"/>
  <c r="M111" i="43"/>
  <c r="H111" i="43"/>
  <c r="K111" i="43"/>
  <c r="N111" i="43"/>
  <c r="O111" i="43"/>
  <c r="G105" i="43"/>
  <c r="O105" i="43"/>
  <c r="H105" i="43"/>
  <c r="P105" i="43"/>
  <c r="K105" i="43"/>
  <c r="J105" i="43"/>
  <c r="M105" i="43"/>
  <c r="Q105" i="43"/>
  <c r="K101" i="43"/>
  <c r="L101" i="43"/>
  <c r="G101" i="43"/>
  <c r="O101" i="43"/>
  <c r="H101" i="43"/>
  <c r="J101" i="43"/>
  <c r="N101" i="43"/>
  <c r="P101" i="43"/>
  <c r="O156" i="43"/>
  <c r="K152" i="43"/>
  <c r="O151" i="43"/>
  <c r="Q135" i="43"/>
  <c r="G124" i="43"/>
  <c r="O124" i="43"/>
  <c r="I124" i="43"/>
  <c r="Q124" i="43"/>
  <c r="K124" i="43"/>
  <c r="L124" i="43"/>
  <c r="L72" i="43"/>
  <c r="H72" i="43"/>
  <c r="Q72" i="43"/>
  <c r="I72" i="43"/>
  <c r="J72" i="43"/>
  <c r="M72" i="43"/>
  <c r="G72" i="43"/>
  <c r="K72" i="43"/>
  <c r="N72" i="43"/>
  <c r="P72" i="43"/>
  <c r="K13" i="43"/>
  <c r="L13" i="43"/>
  <c r="H13" i="43"/>
  <c r="P13" i="43"/>
  <c r="N13" i="43"/>
  <c r="O13" i="43"/>
  <c r="Q13" i="43"/>
  <c r="G13" i="43"/>
  <c r="J13" i="43"/>
  <c r="M13" i="43"/>
  <c r="O149" i="43"/>
  <c r="G149" i="43"/>
  <c r="K145" i="43"/>
  <c r="O141" i="43"/>
  <c r="G141" i="43"/>
  <c r="K137" i="43"/>
  <c r="O133" i="43"/>
  <c r="G133" i="43"/>
  <c r="K129" i="43"/>
  <c r="O125" i="43"/>
  <c r="K121" i="43"/>
  <c r="L115" i="43"/>
  <c r="M112" i="43"/>
  <c r="H108" i="43"/>
  <c r="P108" i="43"/>
  <c r="L108" i="43"/>
  <c r="L104" i="43"/>
  <c r="M104" i="43"/>
  <c r="H104" i="43"/>
  <c r="P104" i="43"/>
  <c r="N97" i="43"/>
  <c r="M93" i="43"/>
  <c r="G89" i="43"/>
  <c r="O89" i="43"/>
  <c r="H89" i="43"/>
  <c r="P89" i="43"/>
  <c r="I89" i="43"/>
  <c r="Q89" i="43"/>
  <c r="K89" i="43"/>
  <c r="P85" i="43"/>
  <c r="N84" i="43"/>
  <c r="O71" i="43"/>
  <c r="H52" i="43"/>
  <c r="P52" i="43"/>
  <c r="I52" i="43"/>
  <c r="Q52" i="43"/>
  <c r="M52" i="43"/>
  <c r="N52" i="43"/>
  <c r="O52" i="43"/>
  <c r="G52" i="43"/>
  <c r="J50" i="43"/>
  <c r="K50" i="43"/>
  <c r="G50" i="43"/>
  <c r="O50" i="43"/>
  <c r="H50" i="43"/>
  <c r="I50" i="43"/>
  <c r="L50" i="43"/>
  <c r="N50" i="43"/>
  <c r="Q9" i="43"/>
  <c r="J145" i="43"/>
  <c r="J137" i="43"/>
  <c r="J129" i="43"/>
  <c r="J121" i="43"/>
  <c r="K115" i="43"/>
  <c r="I103" i="43"/>
  <c r="Q103" i="43"/>
  <c r="J103" i="43"/>
  <c r="M103" i="43"/>
  <c r="J93" i="43"/>
  <c r="I87" i="43"/>
  <c r="Q87" i="43"/>
  <c r="J87" i="43"/>
  <c r="K87" i="43"/>
  <c r="M87" i="43"/>
  <c r="M84" i="43"/>
  <c r="G81" i="43"/>
  <c r="O81" i="43"/>
  <c r="H81" i="43"/>
  <c r="P81" i="43"/>
  <c r="I81" i="43"/>
  <c r="Q81" i="43"/>
  <c r="K81" i="43"/>
  <c r="K71" i="43"/>
  <c r="J58" i="43"/>
  <c r="K58" i="43"/>
  <c r="G58" i="43"/>
  <c r="O58" i="43"/>
  <c r="L58" i="43"/>
  <c r="M58" i="43"/>
  <c r="N58" i="43"/>
  <c r="Q58" i="43"/>
  <c r="L48" i="43"/>
  <c r="M48" i="43"/>
  <c r="I48" i="43"/>
  <c r="Q48" i="43"/>
  <c r="H48" i="43"/>
  <c r="J48" i="43"/>
  <c r="K48" i="43"/>
  <c r="O48" i="43"/>
  <c r="G25" i="43"/>
  <c r="O25" i="43"/>
  <c r="H25" i="43"/>
  <c r="P25" i="43"/>
  <c r="L25" i="43"/>
  <c r="J25" i="43"/>
  <c r="K25" i="43"/>
  <c r="M25" i="43"/>
  <c r="Q25" i="43"/>
  <c r="K21" i="43"/>
  <c r="L21" i="43"/>
  <c r="H21" i="43"/>
  <c r="P21" i="43"/>
  <c r="I21" i="43"/>
  <c r="J21" i="43"/>
  <c r="M21" i="43"/>
  <c r="O21" i="43"/>
  <c r="P145" i="43"/>
  <c r="P137" i="43"/>
  <c r="P129" i="43"/>
  <c r="P121" i="43"/>
  <c r="L117" i="43"/>
  <c r="H116" i="43"/>
  <c r="P116" i="43"/>
  <c r="G113" i="43"/>
  <c r="O113" i="43"/>
  <c r="K113" i="43"/>
  <c r="M108" i="43"/>
  <c r="O103" i="43"/>
  <c r="H92" i="43"/>
  <c r="P92" i="43"/>
  <c r="I92" i="43"/>
  <c r="Q92" i="43"/>
  <c r="J92" i="43"/>
  <c r="L92" i="43"/>
  <c r="P87" i="43"/>
  <c r="K53" i="43"/>
  <c r="L53" i="43"/>
  <c r="H53" i="43"/>
  <c r="P53" i="43"/>
  <c r="N53" i="43"/>
  <c r="O53" i="43"/>
  <c r="Q53" i="43"/>
  <c r="G53" i="43"/>
  <c r="H44" i="43"/>
  <c r="P44" i="43"/>
  <c r="I44" i="43"/>
  <c r="Q44" i="43"/>
  <c r="M44" i="43"/>
  <c r="K44" i="43"/>
  <c r="L44" i="43"/>
  <c r="N44" i="43"/>
  <c r="L32" i="43"/>
  <c r="M32" i="43"/>
  <c r="I32" i="43"/>
  <c r="Q32" i="43"/>
  <c r="N32" i="43"/>
  <c r="O32" i="43"/>
  <c r="P32" i="43"/>
  <c r="G32" i="43"/>
  <c r="G9" i="43"/>
  <c r="O9" i="43"/>
  <c r="H9" i="43"/>
  <c r="P9" i="43"/>
  <c r="L9" i="43"/>
  <c r="K9" i="43"/>
  <c r="M9" i="43"/>
  <c r="N9" i="43"/>
  <c r="K93" i="43"/>
  <c r="L93" i="43"/>
  <c r="G93" i="43"/>
  <c r="O93" i="43"/>
  <c r="H84" i="43"/>
  <c r="P84" i="43"/>
  <c r="I84" i="43"/>
  <c r="Q84" i="43"/>
  <c r="J84" i="43"/>
  <c r="L84" i="43"/>
  <c r="I71" i="43"/>
  <c r="Q71" i="43"/>
  <c r="L71" i="43"/>
  <c r="M71" i="43"/>
  <c r="N71" i="43"/>
  <c r="G71" i="43"/>
  <c r="P71" i="43"/>
  <c r="G65" i="43"/>
  <c r="O65" i="43"/>
  <c r="H65" i="43"/>
  <c r="P65" i="43"/>
  <c r="L65" i="43"/>
  <c r="N65" i="43"/>
  <c r="Q65" i="43"/>
  <c r="I65" i="43"/>
  <c r="G49" i="43"/>
  <c r="O49" i="43"/>
  <c r="H49" i="43"/>
  <c r="P49" i="43"/>
  <c r="L49" i="43"/>
  <c r="I49" i="43"/>
  <c r="J49" i="43"/>
  <c r="K49" i="43"/>
  <c r="N49" i="43"/>
  <c r="H28" i="43"/>
  <c r="P28" i="43"/>
  <c r="I28" i="43"/>
  <c r="Q28" i="43"/>
  <c r="M28" i="43"/>
  <c r="N28" i="43"/>
  <c r="O28" i="43"/>
  <c r="G28" i="43"/>
  <c r="H12" i="43"/>
  <c r="P12" i="43"/>
  <c r="I12" i="43"/>
  <c r="Q12" i="43"/>
  <c r="M12" i="43"/>
  <c r="N12" i="43"/>
  <c r="O12" i="43"/>
  <c r="G12" i="43"/>
  <c r="M115" i="43"/>
  <c r="I115" i="43"/>
  <c r="Q115" i="43"/>
  <c r="L112" i="43"/>
  <c r="H112" i="43"/>
  <c r="P112" i="43"/>
  <c r="L103" i="43"/>
  <c r="G97" i="43"/>
  <c r="O97" i="43"/>
  <c r="H97" i="43"/>
  <c r="P97" i="43"/>
  <c r="K97" i="43"/>
  <c r="Q93" i="43"/>
  <c r="N87" i="43"/>
  <c r="K85" i="43"/>
  <c r="L85" i="43"/>
  <c r="M85" i="43"/>
  <c r="G85" i="43"/>
  <c r="O85" i="43"/>
  <c r="N81" i="43"/>
  <c r="H76" i="43"/>
  <c r="P76" i="43"/>
  <c r="I76" i="43"/>
  <c r="Q76" i="43"/>
  <c r="J76" i="43"/>
  <c r="L76" i="43"/>
  <c r="L52" i="43"/>
  <c r="J26" i="43"/>
  <c r="K26" i="43"/>
  <c r="G26" i="43"/>
  <c r="O26" i="43"/>
  <c r="I26" i="43"/>
  <c r="L26" i="43"/>
  <c r="M26" i="43"/>
  <c r="P26" i="43"/>
  <c r="H20" i="43"/>
  <c r="P20" i="43"/>
  <c r="I20" i="43"/>
  <c r="Q20" i="43"/>
  <c r="M20" i="43"/>
  <c r="J20" i="43"/>
  <c r="K20" i="43"/>
  <c r="L20" i="43"/>
  <c r="O20" i="43"/>
  <c r="Q107" i="43"/>
  <c r="I107" i="43"/>
  <c r="Q99" i="43"/>
  <c r="I99" i="43"/>
  <c r="Q91" i="43"/>
  <c r="I91" i="43"/>
  <c r="P88" i="43"/>
  <c r="H88" i="43"/>
  <c r="Q83" i="43"/>
  <c r="I83" i="43"/>
  <c r="P80" i="43"/>
  <c r="H80" i="43"/>
  <c r="Q75" i="43"/>
  <c r="I75" i="43"/>
  <c r="Q69" i="43"/>
  <c r="H69" i="43"/>
  <c r="J61" i="43"/>
  <c r="K60" i="43"/>
  <c r="L56" i="43"/>
  <c r="M56" i="43"/>
  <c r="I56" i="43"/>
  <c r="Q56" i="43"/>
  <c r="L42" i="43"/>
  <c r="K40" i="43"/>
  <c r="J34" i="43"/>
  <c r="K34" i="43"/>
  <c r="G34" i="43"/>
  <c r="O34" i="43"/>
  <c r="G33" i="43"/>
  <c r="O33" i="43"/>
  <c r="H33" i="43"/>
  <c r="P33" i="43"/>
  <c r="L33" i="43"/>
  <c r="L18" i="43"/>
  <c r="L8" i="43"/>
  <c r="M8" i="43"/>
  <c r="I8" i="43"/>
  <c r="Q8" i="43"/>
  <c r="G73" i="43"/>
  <c r="O73" i="43"/>
  <c r="L64" i="43"/>
  <c r="M64" i="43"/>
  <c r="I64" i="43"/>
  <c r="Q64" i="43"/>
  <c r="O56" i="43"/>
  <c r="H40" i="43"/>
  <c r="I37" i="43"/>
  <c r="P34" i="43"/>
  <c r="Q33" i="43"/>
  <c r="O8" i="43"/>
  <c r="M88" i="43"/>
  <c r="M80" i="43"/>
  <c r="N73" i="43"/>
  <c r="N69" i="43"/>
  <c r="K61" i="43"/>
  <c r="L61" i="43"/>
  <c r="H61" i="43"/>
  <c r="P61" i="43"/>
  <c r="H60" i="43"/>
  <c r="P60" i="43"/>
  <c r="I60" i="43"/>
  <c r="Q60" i="43"/>
  <c r="M60" i="43"/>
  <c r="J42" i="43"/>
  <c r="K42" i="43"/>
  <c r="G42" i="43"/>
  <c r="O42" i="43"/>
  <c r="G41" i="43"/>
  <c r="O41" i="43"/>
  <c r="H41" i="43"/>
  <c r="P41" i="43"/>
  <c r="L41" i="43"/>
  <c r="N34" i="43"/>
  <c r="J18" i="43"/>
  <c r="K18" i="43"/>
  <c r="G18" i="43"/>
  <c r="O18" i="43"/>
  <c r="G17" i="43"/>
  <c r="O17" i="43"/>
  <c r="H17" i="43"/>
  <c r="P17" i="43"/>
  <c r="L17" i="43"/>
  <c r="N8" i="43"/>
  <c r="M73" i="43"/>
  <c r="M69" i="43"/>
  <c r="Q61" i="43"/>
  <c r="L40" i="43"/>
  <c r="M40" i="43"/>
  <c r="I40" i="43"/>
  <c r="Q40" i="43"/>
  <c r="K37" i="43"/>
  <c r="L37" i="43"/>
  <c r="H37" i="43"/>
  <c r="P37" i="43"/>
  <c r="H36" i="43"/>
  <c r="P36" i="43"/>
  <c r="I36" i="43"/>
  <c r="Q36" i="43"/>
  <c r="M36" i="43"/>
  <c r="M34" i="43"/>
  <c r="M33" i="43"/>
  <c r="Q18" i="43"/>
  <c r="L16" i="43"/>
  <c r="M16" i="43"/>
  <c r="I16" i="43"/>
  <c r="Q16" i="43"/>
  <c r="K8" i="43"/>
  <c r="J67" i="43"/>
  <c r="J59" i="43"/>
  <c r="J51" i="43"/>
  <c r="J43" i="43"/>
  <c r="J35" i="43"/>
  <c r="K14" i="43"/>
  <c r="K6" i="43"/>
  <c r="J39" i="43"/>
  <c r="J31" i="43"/>
  <c r="J23" i="43"/>
  <c r="J15" i="43"/>
  <c r="O14" i="43"/>
  <c r="J7" i="43"/>
  <c r="O6" i="43"/>
  <c r="Q63" i="43"/>
  <c r="Q55" i="43"/>
  <c r="Q47" i="43"/>
  <c r="Q39" i="43"/>
  <c r="Q31" i="43"/>
  <c r="Q23" i="43"/>
  <c r="Q15" i="43"/>
  <c r="Q7" i="43"/>
  <c r="B41" i="44"/>
  <c r="F5" i="43"/>
  <c r="S98" i="1"/>
  <c r="S111" i="1"/>
  <c r="T126" i="1"/>
  <c r="T115" i="1"/>
  <c r="S93" i="1"/>
  <c r="S125" i="1"/>
  <c r="T90" i="1"/>
  <c r="S95" i="1"/>
  <c r="T102" i="1"/>
  <c r="T122" i="1"/>
  <c r="J41" i="44"/>
  <c r="S117" i="1"/>
  <c r="S104" i="1"/>
  <c r="T96" i="1"/>
  <c r="S103" i="1"/>
  <c r="T98" i="1"/>
  <c r="T124" i="1"/>
  <c r="T104" i="1"/>
  <c r="T118" i="1"/>
  <c r="S136" i="1"/>
  <c r="T116" i="1"/>
  <c r="S94" i="1"/>
  <c r="T101" i="1"/>
  <c r="T123" i="1"/>
  <c r="S101" i="1"/>
  <c r="T143" i="1"/>
  <c r="T130" i="1"/>
  <c r="S130" i="1"/>
  <c r="T158" i="1"/>
  <c r="T91" i="1"/>
  <c r="S107" i="1"/>
  <c r="T121" i="1"/>
  <c r="T114" i="1"/>
  <c r="S97" i="1"/>
  <c r="S132" i="1"/>
  <c r="S112" i="1"/>
  <c r="T125" i="1"/>
  <c r="T108" i="1"/>
  <c r="T132" i="1"/>
  <c r="T134" i="1"/>
  <c r="T136" i="1"/>
  <c r="T120" i="1"/>
  <c r="T178" i="1"/>
  <c r="T107" i="1"/>
  <c r="S120" i="1"/>
  <c r="S123" i="1"/>
  <c r="S109" i="1"/>
  <c r="S134" i="1"/>
  <c r="I41" i="44"/>
  <c r="T129" i="1"/>
  <c r="T111" i="1"/>
  <c r="T89" i="1"/>
  <c r="T106" i="1"/>
  <c r="T141" i="1"/>
  <c r="T109" i="1"/>
  <c r="T95" i="1"/>
  <c r="T92" i="1"/>
  <c r="F41" i="44"/>
  <c r="S131" i="1"/>
  <c r="S178" i="1"/>
  <c r="S110" i="1"/>
  <c r="T93" i="1"/>
  <c r="T127" i="1"/>
  <c r="S141" i="1"/>
  <c r="T117" i="1"/>
  <c r="S92" i="1"/>
  <c r="S143" i="1"/>
  <c r="S99" i="1"/>
  <c r="S90" i="1"/>
  <c r="S158" i="1"/>
  <c r="D41" i="44"/>
  <c r="S119" i="1"/>
  <c r="T119" i="1"/>
  <c r="T128" i="1"/>
  <c r="S128" i="1"/>
  <c r="T103" i="1"/>
  <c r="S148" i="1"/>
  <c r="S181" i="1"/>
  <c r="S127" i="1"/>
  <c r="G41" i="44"/>
  <c r="S122" i="1"/>
  <c r="S108" i="1"/>
  <c r="S106" i="1"/>
  <c r="T113" i="1"/>
  <c r="S118" i="1"/>
  <c r="T94" i="1"/>
  <c r="S102" i="1"/>
  <c r="S115" i="1"/>
  <c r="T181" i="1"/>
  <c r="T148" i="1"/>
  <c r="S116" i="1"/>
  <c r="T131" i="1"/>
  <c r="S91" i="1"/>
  <c r="S114" i="1"/>
  <c r="T110" i="1"/>
  <c r="S121" i="1"/>
  <c r="S129" i="1"/>
  <c r="S124" i="1"/>
  <c r="S89" i="1"/>
  <c r="S126" i="1"/>
  <c r="T112" i="1"/>
  <c r="S96" i="1"/>
  <c r="T97" i="1"/>
  <c r="S113" i="1"/>
  <c r="T99" i="1"/>
  <c r="H41" i="44" l="1"/>
  <c r="B40" i="44"/>
  <c r="J40" i="44"/>
  <c r="I40" i="44"/>
  <c r="D40" i="44"/>
  <c r="F40" i="44"/>
  <c r="G40" i="44"/>
  <c r="H40" i="44" l="1"/>
  <c r="B39" i="44"/>
  <c r="D39" i="44"/>
  <c r="F39" i="44"/>
  <c r="G39" i="44"/>
  <c r="I39" i="44"/>
  <c r="J39" i="44"/>
  <c r="H39" i="44" l="1"/>
  <c r="B38" i="44"/>
  <c r="D38" i="44"/>
  <c r="G38" i="44"/>
  <c r="F38" i="44"/>
  <c r="J38" i="44"/>
  <c r="I38" i="44"/>
  <c r="H38" i="44" l="1"/>
  <c r="B37" i="44"/>
  <c r="D37" i="44"/>
  <c r="J37" i="44"/>
  <c r="I37" i="44"/>
  <c r="F37" i="44"/>
  <c r="G37" i="44"/>
  <c r="H37" i="44" l="1"/>
  <c r="B36" i="44"/>
  <c r="I36" i="44"/>
  <c r="F36" i="44"/>
  <c r="D36" i="44"/>
  <c r="J36" i="44"/>
  <c r="G36" i="44"/>
  <c r="H36" i="44" l="1"/>
  <c r="B35" i="44"/>
  <c r="F35" i="44"/>
  <c r="G35" i="44"/>
  <c r="D35" i="44"/>
  <c r="J35" i="44"/>
  <c r="I35" i="44"/>
  <c r="H35" i="44" l="1"/>
  <c r="B34" i="44"/>
  <c r="G34" i="44"/>
  <c r="I34" i="44"/>
  <c r="J34" i="44"/>
  <c r="D34" i="44"/>
  <c r="F34" i="44"/>
  <c r="H34" i="44" l="1"/>
  <c r="B33" i="44"/>
  <c r="G33" i="44"/>
  <c r="F33" i="44"/>
  <c r="D33" i="44"/>
  <c r="J33" i="44"/>
  <c r="I33" i="44"/>
  <c r="H33" i="44" l="1"/>
  <c r="B32" i="44"/>
  <c r="G32" i="44"/>
  <c r="D32" i="44"/>
  <c r="I32" i="44"/>
  <c r="J32" i="44"/>
  <c r="F32" i="44"/>
  <c r="H32" i="44" l="1"/>
  <c r="B31" i="44"/>
  <c r="I31" i="44"/>
  <c r="J31" i="44"/>
  <c r="G31" i="44"/>
  <c r="F31" i="44"/>
  <c r="D31" i="44"/>
  <c r="H31" i="44" l="1"/>
  <c r="B30" i="44"/>
  <c r="J30" i="44"/>
  <c r="I30" i="44"/>
  <c r="F30" i="44"/>
  <c r="G30" i="44"/>
  <c r="D30" i="44"/>
  <c r="H30" i="44" l="1"/>
  <c r="B29" i="44"/>
  <c r="J29" i="44"/>
  <c r="I29" i="44"/>
  <c r="D29" i="44"/>
  <c r="G29" i="44"/>
  <c r="F29" i="44"/>
  <c r="H29" i="44" l="1"/>
  <c r="B28" i="44"/>
  <c r="F28" i="44"/>
  <c r="J28" i="44"/>
  <c r="D28" i="44"/>
  <c r="G28" i="44"/>
  <c r="I28" i="44"/>
  <c r="H28" i="44" l="1"/>
  <c r="B27" i="44"/>
  <c r="I27" i="44"/>
  <c r="D27" i="44"/>
  <c r="J27" i="44"/>
  <c r="F27" i="44"/>
  <c r="G27" i="44"/>
  <c r="H27" i="44" l="1"/>
  <c r="B26" i="44"/>
  <c r="D26" i="44"/>
  <c r="G26" i="44"/>
  <c r="F26" i="44"/>
  <c r="I26" i="44"/>
  <c r="J26" i="44"/>
  <c r="H26" i="44" l="1"/>
  <c r="B25" i="44"/>
  <c r="F25" i="44"/>
  <c r="I25" i="44"/>
  <c r="G25" i="44"/>
  <c r="J25" i="44"/>
  <c r="D25" i="44"/>
  <c r="H25" i="44" l="1"/>
  <c r="B24" i="44"/>
  <c r="W15" i="44"/>
  <c r="X15" i="44"/>
  <c r="D24" i="44"/>
  <c r="J24" i="44"/>
  <c r="I24" i="44"/>
  <c r="F24" i="44"/>
  <c r="G24" i="44"/>
  <c r="H24" i="44" l="1"/>
  <c r="B15" i="44"/>
  <c r="W14" i="44"/>
  <c r="N15" i="44"/>
  <c r="M15" i="44"/>
  <c r="X14" i="44"/>
  <c r="Y15" i="44"/>
  <c r="D15" i="44"/>
  <c r="I15" i="44"/>
  <c r="F15" i="44"/>
  <c r="E15" i="44"/>
  <c r="G15" i="44"/>
  <c r="Z15" i="44"/>
  <c r="J15" i="44"/>
  <c r="H15" i="44" l="1"/>
  <c r="Q15" i="44"/>
  <c r="N14" i="44"/>
  <c r="M14" i="44"/>
  <c r="K15" i="44"/>
  <c r="S15" i="44" l="1"/>
  <c r="T15" i="44" s="1"/>
  <c r="R15" i="44"/>
  <c r="U15" i="44" s="1"/>
  <c r="V15" i="44" s="1"/>
  <c r="O15" i="44" l="1"/>
  <c r="P15" i="44" s="1"/>
  <c r="B14" i="44"/>
  <c r="X13" i="44"/>
  <c r="W13" i="44"/>
  <c r="K14" i="44"/>
  <c r="Z14" i="44"/>
  <c r="E14" i="44"/>
  <c r="Y14" i="44"/>
  <c r="F14" i="44"/>
  <c r="J14" i="44"/>
  <c r="D14" i="44"/>
  <c r="G14" i="44"/>
  <c r="I14" i="44"/>
  <c r="H14" i="44" l="1"/>
  <c r="Q14" i="44"/>
  <c r="M13" i="44"/>
  <c r="N13" i="44"/>
  <c r="S14" i="44" l="1"/>
  <c r="T14" i="44" s="1"/>
  <c r="R14" i="44"/>
  <c r="U14" i="44" s="1"/>
  <c r="V14" i="44" s="1"/>
  <c r="O14" i="44" l="1"/>
  <c r="P14" i="44" s="1"/>
  <c r="B13" i="44"/>
  <c r="W12" i="44"/>
  <c r="X12" i="44"/>
  <c r="J13" i="44"/>
  <c r="I13" i="44"/>
  <c r="G13" i="44"/>
  <c r="E13" i="44"/>
  <c r="K13" i="44"/>
  <c r="D13" i="44"/>
  <c r="F13" i="44"/>
  <c r="Y13" i="44"/>
  <c r="Z13" i="44"/>
  <c r="H13" i="44" l="1"/>
  <c r="Q13" i="44"/>
  <c r="N12" i="44"/>
  <c r="M12" i="44"/>
  <c r="S13" i="44" l="1"/>
  <c r="T13" i="44" s="1"/>
  <c r="R13" i="44"/>
  <c r="U13" i="44" s="1"/>
  <c r="V13" i="44" s="1"/>
  <c r="O13" i="44" l="1"/>
  <c r="P13" i="44" s="1"/>
  <c r="B12" i="44"/>
  <c r="W11" i="44"/>
  <c r="X11" i="44"/>
  <c r="J12" i="44"/>
  <c r="G12" i="44"/>
  <c r="I12" i="44"/>
  <c r="Y12" i="44"/>
  <c r="E12" i="44"/>
  <c r="D12" i="44"/>
  <c r="F12" i="44"/>
  <c r="K12" i="44"/>
  <c r="Z12" i="44"/>
  <c r="H12" i="44" l="1"/>
  <c r="Q12" i="44"/>
  <c r="M11" i="44"/>
  <c r="N11" i="44"/>
  <c r="S12" i="44" l="1"/>
  <c r="T12" i="44" s="1"/>
  <c r="R12" i="44"/>
  <c r="U12" i="44" s="1"/>
  <c r="V12" i="44" s="1"/>
  <c r="O12" i="44" l="1"/>
  <c r="P12" i="44" s="1"/>
  <c r="B11" i="44"/>
  <c r="W10" i="44"/>
  <c r="X10" i="44"/>
  <c r="J11" i="44"/>
  <c r="I11" i="44"/>
  <c r="K11" i="44"/>
  <c r="E11" i="44"/>
  <c r="F11" i="44"/>
  <c r="Z11" i="44"/>
  <c r="Y11" i="44"/>
  <c r="G11" i="44"/>
  <c r="D11" i="44"/>
  <c r="H11" i="44" l="1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X9" i="44"/>
  <c r="W9" i="44"/>
  <c r="J10" i="44"/>
  <c r="Z10" i="44"/>
  <c r="Y10" i="44"/>
  <c r="G10" i="44"/>
  <c r="D10" i="44"/>
  <c r="I10" i="44"/>
  <c r="K10" i="44"/>
  <c r="F10" i="44"/>
  <c r="E10" i="44"/>
  <c r="H10" i="44" l="1"/>
  <c r="Q10" i="44"/>
  <c r="N9" i="44"/>
  <c r="M9" i="44"/>
  <c r="S10" i="44" l="1"/>
  <c r="T10" i="44" s="1"/>
  <c r="R10" i="44"/>
  <c r="U10" i="44" s="1"/>
  <c r="V10" i="44" s="1"/>
  <c r="O10" i="44" l="1"/>
  <c r="P10" i="44" s="1"/>
  <c r="B9" i="44"/>
  <c r="W8" i="44"/>
  <c r="X8" i="44"/>
  <c r="I9" i="44"/>
  <c r="D9" i="44"/>
  <c r="K9" i="44"/>
  <c r="J9" i="44"/>
  <c r="E9" i="44"/>
  <c r="Y9" i="44"/>
  <c r="Z9" i="44"/>
  <c r="F9" i="44"/>
  <c r="G9" i="44"/>
  <c r="H9" i="44" l="1"/>
  <c r="Q9" i="44"/>
  <c r="N8" i="44"/>
  <c r="M8" i="44"/>
  <c r="S9" i="44" l="1"/>
  <c r="T9" i="44" s="1"/>
  <c r="R9" i="44"/>
  <c r="U9" i="44" s="1"/>
  <c r="V9" i="44" s="1"/>
  <c r="O9" i="44" l="1"/>
  <c r="P9" i="44" s="1"/>
  <c r="B8" i="44"/>
  <c r="W7" i="44"/>
  <c r="X7" i="44"/>
  <c r="K8" i="44"/>
  <c r="D8" i="44"/>
  <c r="Y8" i="44"/>
  <c r="J8" i="44"/>
  <c r="F8" i="44"/>
  <c r="G8" i="44"/>
  <c r="Z8" i="44"/>
  <c r="E8" i="44"/>
  <c r="I8" i="44"/>
  <c r="H8" i="44" l="1"/>
  <c r="Q8" i="44"/>
  <c r="N7" i="44"/>
  <c r="M7" i="44"/>
  <c r="S8" i="44" l="1"/>
  <c r="T8" i="44" s="1"/>
  <c r="R8" i="44"/>
  <c r="U8" i="44" s="1"/>
  <c r="V8" i="44" s="1"/>
  <c r="B7" i="44"/>
  <c r="X6" i="44"/>
  <c r="W6" i="44"/>
  <c r="J7" i="44"/>
  <c r="D7" i="44"/>
  <c r="E7" i="44"/>
  <c r="Z7" i="44"/>
  <c r="Y7" i="44"/>
  <c r="F7" i="44"/>
  <c r="G7" i="44"/>
  <c r="I7" i="44"/>
  <c r="O8" i="44" l="1"/>
  <c r="P8" i="44" s="1"/>
  <c r="H7" i="44"/>
  <c r="Q7" i="44"/>
  <c r="N6" i="44"/>
  <c r="M6" i="44"/>
  <c r="K7" i="44"/>
  <c r="S7" i="44" l="1"/>
  <c r="T7" i="44" s="1"/>
  <c r="R7" i="44"/>
  <c r="U7" i="44" s="1"/>
  <c r="V7" i="44" s="1"/>
  <c r="O7" i="44" l="1"/>
  <c r="P7" i="44" s="1"/>
  <c r="B6" i="44"/>
  <c r="K6" i="44"/>
  <c r="F6" i="44"/>
  <c r="Y6" i="44"/>
  <c r="D6" i="44"/>
  <c r="J6" i="44"/>
  <c r="AA1" i="44"/>
  <c r="E6" i="44"/>
  <c r="Z1" i="44"/>
  <c r="Z6" i="44"/>
  <c r="I6" i="44"/>
  <c r="G6" i="44"/>
  <c r="AB15" i="44" l="1"/>
  <c r="L15" i="44" s="1"/>
  <c r="AA15" i="44"/>
  <c r="AB14" i="44"/>
  <c r="L14" i="44" s="1"/>
  <c r="AA14" i="44"/>
  <c r="AA13" i="44"/>
  <c r="AB13" i="44"/>
  <c r="L13" i="44" s="1"/>
  <c r="AA12" i="44"/>
  <c r="AB12" i="44"/>
  <c r="L12" i="44" s="1"/>
  <c r="AB11" i="44"/>
  <c r="L11" i="44" s="1"/>
  <c r="AA11" i="44"/>
  <c r="AB10" i="44"/>
  <c r="L10" i="44" s="1"/>
  <c r="AA10" i="44"/>
  <c r="AB9" i="44"/>
  <c r="L9" i="44" s="1"/>
  <c r="AA9" i="44"/>
  <c r="AB8" i="44"/>
  <c r="L8" i="44" s="1"/>
  <c r="AA8" i="44"/>
  <c r="AB7" i="44"/>
  <c r="L7" i="44" s="1"/>
  <c r="AA7" i="44"/>
  <c r="H6" i="44"/>
  <c r="AB6" i="44"/>
  <c r="AA6" i="44"/>
  <c r="Q6" i="44"/>
  <c r="D20" i="28"/>
  <c r="S6" i="44" l="1"/>
  <c r="T6" i="44" s="1"/>
  <c r="R6" i="44"/>
  <c r="U6" i="44" s="1"/>
  <c r="V6" i="44" s="1"/>
  <c r="L6" i="44"/>
  <c r="B24" i="28"/>
  <c r="J24" i="28" s="1"/>
  <c r="E21" i="28"/>
  <c r="O6" i="44" l="1"/>
  <c r="P6" i="44" s="1"/>
  <c r="B25" i="28"/>
  <c r="J25" i="28" s="1"/>
  <c r="E20" i="28"/>
  <c r="E41" i="28"/>
  <c r="E29" i="28"/>
  <c r="E35" i="28"/>
  <c r="E44" i="28"/>
  <c r="E37" i="28"/>
  <c r="E45" i="28"/>
  <c r="E32" i="28"/>
  <c r="E31" i="28"/>
  <c r="E33" i="28"/>
  <c r="E23" i="28"/>
  <c r="E47" i="28"/>
  <c r="E40" i="28"/>
  <c r="E43" i="28"/>
  <c r="E27" i="28"/>
  <c r="E34" i="28"/>
  <c r="E39" i="28"/>
  <c r="E28" i="28"/>
  <c r="E26" i="28"/>
  <c r="E42" i="28"/>
  <c r="E46" i="28"/>
  <c r="E30" i="28"/>
  <c r="E25" i="28"/>
  <c r="E36" i="28"/>
  <c r="E38" i="28"/>
  <c r="E24" i="28"/>
  <c r="B26" i="28" l="1"/>
  <c r="J26" i="28" s="1"/>
  <c r="A1" i="28"/>
  <c r="B27" i="28" l="1"/>
  <c r="J27" i="28" s="1"/>
  <c r="G4" i="38"/>
  <c r="T88" i="1"/>
  <c r="S88" i="1"/>
  <c r="B28" i="28" l="1"/>
  <c r="J28" i="28" s="1"/>
  <c r="G17" i="38"/>
  <c r="S176" i="1"/>
  <c r="T139" i="1"/>
  <c r="S100" i="1"/>
  <c r="S156" i="1"/>
  <c r="T140" i="1"/>
  <c r="T179" i="1"/>
  <c r="T147" i="1"/>
  <c r="S140" i="1"/>
  <c r="T100" i="1"/>
  <c r="T156" i="1"/>
  <c r="S135" i="1"/>
  <c r="T142" i="1"/>
  <c r="S139" i="1"/>
  <c r="T135" i="1"/>
  <c r="S179" i="1"/>
  <c r="T176" i="1"/>
  <c r="S147" i="1"/>
  <c r="S142" i="1"/>
  <c r="B29" i="28" l="1"/>
  <c r="J29" i="28" s="1"/>
  <c r="K242" i="39"/>
  <c r="L242" i="39" s="1"/>
  <c r="I242" i="39"/>
  <c r="J242" i="39" s="1"/>
  <c r="T70" i="1"/>
  <c r="C55" i="41"/>
  <c r="S70" i="1"/>
  <c r="B30" i="28" l="1"/>
  <c r="J30" i="28" s="1"/>
  <c r="G6" i="38"/>
  <c r="B31" i="28" l="1"/>
  <c r="J31" i="28" s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K5" i="39"/>
  <c r="L5" i="39" s="1"/>
  <c r="I5" i="39"/>
  <c r="J5" i="39" s="1"/>
  <c r="I3" i="39"/>
  <c r="I282" i="39"/>
  <c r="J282" i="39" s="1"/>
  <c r="K282" i="39"/>
  <c r="L282" i="39" s="1"/>
  <c r="I278" i="39"/>
  <c r="J278" i="39" s="1"/>
  <c r="K278" i="39"/>
  <c r="L278" i="39" s="1"/>
  <c r="I279" i="39"/>
  <c r="J279" i="39" s="1"/>
  <c r="K279" i="39"/>
  <c r="L279" i="39" s="1"/>
  <c r="I280" i="39"/>
  <c r="J280" i="39" s="1"/>
  <c r="K280" i="39"/>
  <c r="L280" i="39" s="1"/>
  <c r="I281" i="39"/>
  <c r="J281" i="39" s="1"/>
  <c r="K281" i="39"/>
  <c r="L281" i="39" s="1"/>
  <c r="AS6" i="1"/>
  <c r="AS4" i="1"/>
  <c r="AS5" i="1"/>
  <c r="F26" i="41"/>
  <c r="B32" i="28" l="1"/>
  <c r="J32" i="28" s="1"/>
  <c r="BE11" i="1"/>
  <c r="BE12" i="1"/>
  <c r="B33" i="28" l="1"/>
  <c r="J33" i="28" s="1"/>
  <c r="D4" i="1"/>
  <c r="BE13" i="1"/>
  <c r="C27" i="42"/>
  <c r="H26" i="42"/>
  <c r="B34" i="28" l="1"/>
  <c r="J34" i="28" s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BF4" i="42" a="1"/>
  <c r="R5" i="43"/>
  <c r="BE14" i="1"/>
  <c r="G26" i="42"/>
  <c r="F26" i="42"/>
  <c r="Y82" i="42"/>
  <c r="Z82" i="42"/>
  <c r="Z84" i="42"/>
  <c r="Y83" i="42"/>
  <c r="Z83" i="42"/>
  <c r="Y84" i="42"/>
  <c r="B35" i="28" l="1"/>
  <c r="J35" i="28" s="1"/>
  <c r="BF72" i="42"/>
  <c r="BG39" i="42"/>
  <c r="BF23" i="42"/>
  <c r="BG14" i="42"/>
  <c r="BG35" i="42"/>
  <c r="BG22" i="42"/>
  <c r="BG11" i="42"/>
  <c r="BF35" i="42"/>
  <c r="BG19" i="42"/>
  <c r="BF11" i="42"/>
  <c r="BF31" i="42"/>
  <c r="BF19" i="42"/>
  <c r="BG10" i="42"/>
  <c r="BG27" i="42"/>
  <c r="BG18" i="42"/>
  <c r="BF10" i="42"/>
  <c r="BF27" i="42"/>
  <c r="BF18" i="42"/>
  <c r="BG7" i="42"/>
  <c r="BF26" i="42"/>
  <c r="BG15" i="42"/>
  <c r="BF7" i="42"/>
  <c r="BG43" i="42"/>
  <c r="BG23" i="42"/>
  <c r="BF15" i="42"/>
  <c r="BG6" i="42"/>
  <c r="BG31" i="42"/>
  <c r="BF22" i="42"/>
  <c r="BF14" i="42"/>
  <c r="BF6" i="42"/>
  <c r="BF47" i="42"/>
  <c r="BG75" i="42"/>
  <c r="BG70" i="42"/>
  <c r="BG66" i="42"/>
  <c r="BG62" i="42"/>
  <c r="BG58" i="42"/>
  <c r="BG54" i="42"/>
  <c r="BG50" i="42"/>
  <c r="BG46" i="42"/>
  <c r="BG42" i="42"/>
  <c r="BG38" i="42"/>
  <c r="BG34" i="42"/>
  <c r="BG30" i="42"/>
  <c r="BG26" i="42"/>
  <c r="BG67" i="42"/>
  <c r="BF77" i="42"/>
  <c r="BF43" i="42"/>
  <c r="BF75" i="42"/>
  <c r="BF70" i="42"/>
  <c r="BF66" i="42"/>
  <c r="BF62" i="42"/>
  <c r="BF58" i="42"/>
  <c r="BF54" i="42"/>
  <c r="BF46" i="42"/>
  <c r="BF42" i="42"/>
  <c r="BF38" i="42"/>
  <c r="BF30" i="42"/>
  <c r="BG55" i="42"/>
  <c r="BF67" i="42"/>
  <c r="BF59" i="42"/>
  <c r="BF55" i="42"/>
  <c r="BF51" i="42"/>
  <c r="BF39" i="42"/>
  <c r="BG79" i="42"/>
  <c r="BG74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F79" i="42"/>
  <c r="BF74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BF5" i="42"/>
  <c r="BF71" i="42"/>
  <c r="BF34" i="42"/>
  <c r="BG78" i="42"/>
  <c r="BG73" i="42"/>
  <c r="BG68" i="42"/>
  <c r="BG64" i="42"/>
  <c r="BG60" i="42"/>
  <c r="BG56" i="42"/>
  <c r="BG52" i="42"/>
  <c r="BG48" i="42"/>
  <c r="BG44" i="42"/>
  <c r="BG40" i="42"/>
  <c r="BG36" i="42"/>
  <c r="BG32" i="42"/>
  <c r="BG28" i="42"/>
  <c r="BG24" i="42"/>
  <c r="BG20" i="42"/>
  <c r="BG16" i="42"/>
  <c r="BG12" i="42"/>
  <c r="BG8" i="42"/>
  <c r="BG4" i="42"/>
  <c r="BG77" i="42"/>
  <c r="BG71" i="42"/>
  <c r="BG63" i="42"/>
  <c r="BG59" i="42"/>
  <c r="BG51" i="42"/>
  <c r="BG47" i="42"/>
  <c r="BF63" i="42"/>
  <c r="BF50" i="42"/>
  <c r="BF78" i="42"/>
  <c r="BF73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80" i="42"/>
  <c r="BG76" i="42"/>
  <c r="BG72" i="42"/>
  <c r="BF80" i="42"/>
  <c r="BF76" i="42"/>
  <c r="F80" i="42"/>
  <c r="F79" i="42"/>
  <c r="F78" i="42"/>
  <c r="F77" i="42"/>
  <c r="C77" i="42"/>
  <c r="F76" i="42"/>
  <c r="F75" i="42"/>
  <c r="F74" i="42"/>
  <c r="F73" i="42"/>
  <c r="F72" i="42"/>
  <c r="B72" i="42"/>
  <c r="F71" i="42"/>
  <c r="B71" i="42"/>
  <c r="F70" i="42"/>
  <c r="B70" i="42"/>
  <c r="F69" i="42"/>
  <c r="B69" i="42"/>
  <c r="F68" i="42"/>
  <c r="B68" i="42"/>
  <c r="F67" i="42"/>
  <c r="C67" i="42"/>
  <c r="B67" i="42"/>
  <c r="F66" i="42"/>
  <c r="C66" i="42"/>
  <c r="B66" i="42"/>
  <c r="F65" i="42"/>
  <c r="C65" i="42"/>
  <c r="AQ64" i="42"/>
  <c r="AR64" i="42" s="1"/>
  <c r="F64" i="42"/>
  <c r="C64" i="42"/>
  <c r="B64" i="42"/>
  <c r="AQ63" i="42"/>
  <c r="AR63" i="42" s="1"/>
  <c r="F63" i="42"/>
  <c r="B63" i="42"/>
  <c r="AQ62" i="42"/>
  <c r="AR62" i="42" s="1"/>
  <c r="F62" i="42"/>
  <c r="C62" i="42"/>
  <c r="AQ61" i="42"/>
  <c r="AR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M42" i="42" s="1"/>
  <c r="F40" i="42"/>
  <c r="AQ39" i="42"/>
  <c r="AR39" i="42" s="1"/>
  <c r="N39" i="42"/>
  <c r="F39" i="42"/>
  <c r="AQ38" i="42"/>
  <c r="AR38" i="42" s="1"/>
  <c r="S38" i="42" a="1"/>
  <c r="S38" i="42" s="1"/>
  <c r="AQ37" i="42"/>
  <c r="AR37" i="42" s="1"/>
  <c r="AQ36" i="42"/>
  <c r="AR36" i="42" s="1"/>
  <c r="AQ35" i="42"/>
  <c r="AR35" i="42" s="1"/>
  <c r="AQ34" i="42"/>
  <c r="AR34" i="42" s="1"/>
  <c r="AQ33" i="42"/>
  <c r="AR33" i="42" s="1"/>
  <c r="AQ32" i="42"/>
  <c r="AR32" i="42" s="1"/>
  <c r="AQ31" i="42"/>
  <c r="AR31" i="42" s="1"/>
  <c r="AQ30" i="42"/>
  <c r="AR30" i="42" s="1"/>
  <c r="AQ29" i="42"/>
  <c r="AR29" i="42" s="1"/>
  <c r="AQ28" i="42"/>
  <c r="AR28" i="42" s="1"/>
  <c r="AQ27" i="42"/>
  <c r="AR27" i="42" s="1"/>
  <c r="M27" i="42"/>
  <c r="M28" i="42" s="1"/>
  <c r="M29" i="42" s="1"/>
  <c r="M30" i="42" s="1"/>
  <c r="M31" i="42" s="1"/>
  <c r="AQ26" i="42"/>
  <c r="AR26" i="42" s="1"/>
  <c r="AQ25" i="42"/>
  <c r="AR25" i="42" s="1"/>
  <c r="AQ24" i="42"/>
  <c r="AR24" i="42" s="1"/>
  <c r="AQ23" i="42"/>
  <c r="AR23" i="42" s="1"/>
  <c r="AQ22" i="42"/>
  <c r="AR22" i="42" s="1"/>
  <c r="F22" i="42"/>
  <c r="AQ21" i="42"/>
  <c r="AR21" i="42" s="1"/>
  <c r="AQ20" i="42"/>
  <c r="AR20" i="42" s="1"/>
  <c r="AQ19" i="42"/>
  <c r="AR19" i="42" s="1"/>
  <c r="N19" i="42"/>
  <c r="F19" i="42"/>
  <c r="AQ18" i="42"/>
  <c r="AR18" i="42" s="1"/>
  <c r="N18" i="42"/>
  <c r="F18" i="42"/>
  <c r="AQ17" i="42"/>
  <c r="AR17" i="42" s="1"/>
  <c r="F17" i="42"/>
  <c r="AQ16" i="42"/>
  <c r="AR16" i="42" s="1"/>
  <c r="F16" i="42"/>
  <c r="AQ15" i="42"/>
  <c r="AR15" i="42" s="1"/>
  <c r="F15" i="42"/>
  <c r="AQ14" i="42"/>
  <c r="AR14" i="42" s="1"/>
  <c r="F14" i="42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M4" i="42"/>
  <c r="N4" i="42" s="1"/>
  <c r="F4" i="42"/>
  <c r="AY3" i="42"/>
  <c r="AQ3" i="42"/>
  <c r="AR3" i="42" s="1"/>
  <c r="N3" i="42"/>
  <c r="F3" i="42"/>
  <c r="BD2" i="42" a="1"/>
  <c r="BD2" i="42" s="1"/>
  <c r="S2" i="42" a="1"/>
  <c r="S2" i="42" s="1"/>
  <c r="G5" i="43" a="1"/>
  <c r="BE15" i="1"/>
  <c r="X30" i="42"/>
  <c r="H27" i="42"/>
  <c r="Y3" i="42"/>
  <c r="BK38" i="42"/>
  <c r="BJ50" i="42"/>
  <c r="Z56" i="42"/>
  <c r="Z68" i="42"/>
  <c r="BK59" i="42"/>
  <c r="BJ54" i="42"/>
  <c r="BJ18" i="42"/>
  <c r="BJ3" i="42"/>
  <c r="BJ34" i="42"/>
  <c r="BK31" i="42"/>
  <c r="BK17" i="42"/>
  <c r="Y48" i="42"/>
  <c r="Y6" i="42"/>
  <c r="BJ48" i="42"/>
  <c r="Y63" i="42"/>
  <c r="BK23" i="42"/>
  <c r="Y26" i="42"/>
  <c r="Z57" i="42"/>
  <c r="BJ35" i="42"/>
  <c r="BK35" i="42"/>
  <c r="Y54" i="42"/>
  <c r="Y64" i="42"/>
  <c r="Y59" i="42"/>
  <c r="Y10" i="42"/>
  <c r="BJ15" i="42"/>
  <c r="Z52" i="42"/>
  <c r="BJ8" i="42"/>
  <c r="Z60" i="42"/>
  <c r="Y72" i="42"/>
  <c r="Y14" i="42"/>
  <c r="BK21" i="42"/>
  <c r="BK62" i="42"/>
  <c r="Z48" i="42"/>
  <c r="Y68" i="42"/>
  <c r="BJ41" i="42"/>
  <c r="Z59" i="42"/>
  <c r="Z22" i="42"/>
  <c r="Y22" i="42"/>
  <c r="Z6" i="42"/>
  <c r="BJ13" i="42"/>
  <c r="BJ4" i="42"/>
  <c r="BK25" i="42"/>
  <c r="Z53" i="42"/>
  <c r="BJ62" i="42"/>
  <c r="Y77" i="42"/>
  <c r="BJ36" i="42"/>
  <c r="Z26" i="42"/>
  <c r="Y51" i="42"/>
  <c r="Z45" i="42"/>
  <c r="Z54" i="42"/>
  <c r="BJ33" i="42"/>
  <c r="BJ37" i="42"/>
  <c r="BJ21" i="42"/>
  <c r="BJ63" i="42"/>
  <c r="BJ47" i="42"/>
  <c r="BK4" i="42"/>
  <c r="Y52" i="42"/>
  <c r="Z5" i="42"/>
  <c r="BJ55" i="42"/>
  <c r="Y18" i="42"/>
  <c r="Z81" i="42"/>
  <c r="Z43" i="42"/>
  <c r="Y12" i="42"/>
  <c r="Y49" i="42"/>
  <c r="Z13" i="42"/>
  <c r="BK44" i="42"/>
  <c r="BK49" i="42"/>
  <c r="BJ56" i="42"/>
  <c r="Z49" i="42"/>
  <c r="BK63" i="42"/>
  <c r="Z14" i="42"/>
  <c r="Z66" i="42"/>
  <c r="Z15" i="42"/>
  <c r="BJ58" i="42"/>
  <c r="Y50" i="42"/>
  <c r="Y66" i="42"/>
  <c r="Y76" i="42"/>
  <c r="BJ52" i="42"/>
  <c r="BK29" i="42"/>
  <c r="Z17" i="42"/>
  <c r="BK34" i="42"/>
  <c r="BK48" i="42"/>
  <c r="Z77" i="42"/>
  <c r="BJ9" i="42"/>
  <c r="BJ51" i="42"/>
  <c r="Z76" i="42"/>
  <c r="Z73" i="42"/>
  <c r="BK15" i="42"/>
  <c r="BK5" i="42"/>
  <c r="Z69" i="42"/>
  <c r="Y9" i="42"/>
  <c r="Z75" i="42"/>
  <c r="BJ17" i="42"/>
  <c r="Z3" i="42"/>
  <c r="BJ59" i="42"/>
  <c r="Y69" i="42"/>
  <c r="BK58" i="42"/>
  <c r="Z72" i="42"/>
  <c r="Y70" i="42"/>
  <c r="BK9" i="42"/>
  <c r="Y5" i="42"/>
  <c r="BK43" i="42"/>
  <c r="Y23" i="42"/>
  <c r="Z10" i="42"/>
  <c r="Y4" i="42"/>
  <c r="BK50" i="42"/>
  <c r="Y62" i="42"/>
  <c r="BJ25" i="42"/>
  <c r="BJ45" i="42"/>
  <c r="Y74" i="42"/>
  <c r="BJ24" i="42"/>
  <c r="BK28" i="42"/>
  <c r="Z80" i="42"/>
  <c r="BK11" i="42"/>
  <c r="BK3" i="42"/>
  <c r="BK40" i="42"/>
  <c r="BJ16" i="42"/>
  <c r="BJ66" i="42"/>
  <c r="Y15" i="42"/>
  <c r="BK26" i="42"/>
  <c r="BJ27" i="42"/>
  <c r="BK10" i="42"/>
  <c r="BK36" i="42"/>
  <c r="BJ46" i="42"/>
  <c r="BK55" i="42"/>
  <c r="Z4" i="42"/>
  <c r="Z18" i="42"/>
  <c r="Y57" i="42"/>
  <c r="Z78" i="42"/>
  <c r="Y7" i="42"/>
  <c r="Z58" i="42"/>
  <c r="BK46" i="42"/>
  <c r="BK13" i="42"/>
  <c r="BK33" i="42"/>
  <c r="Z9" i="42"/>
  <c r="BK8" i="42"/>
  <c r="BJ14" i="42"/>
  <c r="BK19" i="42"/>
  <c r="Y55" i="42"/>
  <c r="Z51" i="42"/>
  <c r="Y16" i="42"/>
  <c r="Z19" i="42"/>
  <c r="Y53" i="42"/>
  <c r="Y61" i="42"/>
  <c r="Y8" i="42"/>
  <c r="Y79" i="42"/>
  <c r="BK12" i="42"/>
  <c r="BJ19" i="42"/>
  <c r="BK20" i="42"/>
  <c r="BJ11" i="42"/>
  <c r="Y46" i="42"/>
  <c r="BJ12" i="42"/>
  <c r="BK60" i="42"/>
  <c r="Y58" i="42"/>
  <c r="Y71" i="42"/>
  <c r="BK41" i="42"/>
  <c r="BK14" i="42"/>
  <c r="Z71" i="42"/>
  <c r="Z46" i="42"/>
  <c r="BK37" i="42"/>
  <c r="BJ57" i="42"/>
  <c r="Z61" i="42"/>
  <c r="Z64" i="42"/>
  <c r="Z7" i="42"/>
  <c r="BK65" i="42"/>
  <c r="BJ20" i="42"/>
  <c r="Z11" i="42"/>
  <c r="BK30" i="42"/>
  <c r="BJ29" i="42"/>
  <c r="Y19" i="42"/>
  <c r="Y60" i="42"/>
  <c r="BJ10" i="42"/>
  <c r="BK22" i="42"/>
  <c r="Z55" i="42"/>
  <c r="BK27" i="42"/>
  <c r="BK56" i="42"/>
  <c r="Y44" i="42"/>
  <c r="Y43" i="42"/>
  <c r="Y56" i="42"/>
  <c r="BJ64" i="42"/>
  <c r="Z79" i="42"/>
  <c r="BJ65" i="42"/>
  <c r="BK64" i="42"/>
  <c r="BJ23" i="42"/>
  <c r="Y73" i="42"/>
  <c r="Z63" i="42"/>
  <c r="BJ22" i="42"/>
  <c r="BJ5" i="42"/>
  <c r="BK47" i="42"/>
  <c r="BJ44" i="42"/>
  <c r="Y65" i="42"/>
  <c r="BJ49" i="42"/>
  <c r="Z65" i="42"/>
  <c r="Z62" i="42"/>
  <c r="Z12" i="42"/>
  <c r="Z44" i="42"/>
  <c r="BJ42" i="42"/>
  <c r="Y75" i="42"/>
  <c r="BK45" i="42"/>
  <c r="BJ28" i="42"/>
  <c r="BK54" i="42"/>
  <c r="Z16" i="42"/>
  <c r="BJ26" i="42"/>
  <c r="BK16" i="42"/>
  <c r="Y45" i="42"/>
  <c r="BK39" i="42"/>
  <c r="BK57" i="42"/>
  <c r="Z70" i="42"/>
  <c r="BK32" i="42"/>
  <c r="Z67" i="42"/>
  <c r="Y47" i="42"/>
  <c r="BK18" i="42"/>
  <c r="BK53" i="42"/>
  <c r="Y78" i="42"/>
  <c r="BJ40" i="42"/>
  <c r="Y13" i="42"/>
  <c r="Y81" i="42"/>
  <c r="BK61" i="42"/>
  <c r="BJ60" i="42"/>
  <c r="BK51" i="42"/>
  <c r="BK24" i="42"/>
  <c r="Y80" i="42"/>
  <c r="BJ61" i="42"/>
  <c r="Y11" i="42"/>
  <c r="BJ31" i="42"/>
  <c r="BJ30" i="42"/>
  <c r="Z50" i="42"/>
  <c r="BJ38" i="42"/>
  <c r="BK66" i="42"/>
  <c r="BJ43" i="42"/>
  <c r="Y17" i="42"/>
  <c r="BJ39" i="42"/>
  <c r="BK52" i="42"/>
  <c r="Z8" i="42"/>
  <c r="Z74" i="42"/>
  <c r="BJ53" i="42"/>
  <c r="Z47" i="42"/>
  <c r="BK42" i="42"/>
  <c r="Y67" i="42"/>
  <c r="BJ32" i="42"/>
  <c r="B36" i="28" l="1"/>
  <c r="J36" i="28" s="1"/>
  <c r="N5" i="43"/>
  <c r="J5" i="43"/>
  <c r="O5" i="43"/>
  <c r="K5" i="43"/>
  <c r="Q5" i="43"/>
  <c r="P5" i="43"/>
  <c r="I5" i="43"/>
  <c r="H5" i="43"/>
  <c r="L5" i="43"/>
  <c r="M5" i="43"/>
  <c r="G5" i="43"/>
  <c r="E26" i="42"/>
  <c r="E27" i="42"/>
  <c r="AT37" i="42"/>
  <c r="AW37" i="42" s="1"/>
  <c r="AT5" i="42"/>
  <c r="AW5" i="42" s="1"/>
  <c r="AT3" i="42"/>
  <c r="AW3" i="42" s="1"/>
  <c r="AT12" i="42"/>
  <c r="AW12" i="42" s="1"/>
  <c r="I7" i="42"/>
  <c r="L7" i="42" s="1"/>
  <c r="I5" i="42"/>
  <c r="L5" i="42" s="1"/>
  <c r="AT30" i="42"/>
  <c r="AW30" i="42" s="1"/>
  <c r="I3" i="42"/>
  <c r="L3" i="42" s="1"/>
  <c r="AT34" i="42"/>
  <c r="AW34" i="42" s="1"/>
  <c r="AT29" i="42"/>
  <c r="AW29" i="42" s="1"/>
  <c r="I10" i="42"/>
  <c r="L10" i="42" s="1"/>
  <c r="I13" i="42"/>
  <c r="L13" i="42" s="1"/>
  <c r="AT25" i="42"/>
  <c r="AW25" i="42" s="1"/>
  <c r="I22" i="42"/>
  <c r="L22" i="42" s="1"/>
  <c r="C63" i="42" s="1"/>
  <c r="AT22" i="42"/>
  <c r="AW22" i="42" s="1"/>
  <c r="AT4" i="42"/>
  <c r="AW4" i="42" s="1"/>
  <c r="AT16" i="42"/>
  <c r="AW16" i="42" s="1"/>
  <c r="AT17" i="42"/>
  <c r="AW17" i="42" s="1"/>
  <c r="AT23" i="42"/>
  <c r="AW23" i="42" s="1"/>
  <c r="AT10" i="42"/>
  <c r="AW10" i="42" s="1"/>
  <c r="AT15" i="42"/>
  <c r="AW15" i="42" s="1"/>
  <c r="AT7" i="42"/>
  <c r="AW7" i="42" s="1"/>
  <c r="AT13" i="42"/>
  <c r="AW13" i="42" s="1"/>
  <c r="I14" i="42"/>
  <c r="L14" i="42" s="1"/>
  <c r="I8" i="42"/>
  <c r="L8" i="42" s="1"/>
  <c r="AT6" i="42"/>
  <c r="AW6" i="42" s="1"/>
  <c r="I6" i="42"/>
  <c r="L6" i="42" s="1"/>
  <c r="I15" i="42"/>
  <c r="L15" i="42" s="1"/>
  <c r="AT39" i="42"/>
  <c r="AW39" i="42" s="1"/>
  <c r="I43" i="42"/>
  <c r="L43" i="42" s="1"/>
  <c r="I9" i="42"/>
  <c r="L9" i="42" s="1"/>
  <c r="AT19" i="42"/>
  <c r="AW19" i="42" s="1"/>
  <c r="I11" i="42"/>
  <c r="L11" i="42" s="1"/>
  <c r="I4" i="42"/>
  <c r="L4" i="42" s="1"/>
  <c r="AT8" i="42"/>
  <c r="AW8" i="42" s="1"/>
  <c r="AT9" i="42"/>
  <c r="AW9" i="42" s="1"/>
  <c r="I12" i="42"/>
  <c r="L12" i="42" s="1"/>
  <c r="AT11" i="42"/>
  <c r="AW11" i="42" s="1"/>
  <c r="I19" i="42"/>
  <c r="L19" i="42" s="1"/>
  <c r="AT27" i="42"/>
  <c r="AW27" i="42" s="1"/>
  <c r="AT28" i="42"/>
  <c r="AW28" i="42" s="1"/>
  <c r="I52" i="42"/>
  <c r="L52" i="42" s="1"/>
  <c r="AT33" i="42"/>
  <c r="AW33" i="42" s="1"/>
  <c r="AT45" i="42"/>
  <c r="AW45" i="42" s="1"/>
  <c r="I55" i="42"/>
  <c r="L55" i="42" s="1"/>
  <c r="AT42" i="42"/>
  <c r="AW42" i="42" s="1"/>
  <c r="I40" i="42"/>
  <c r="L40" i="42" s="1"/>
  <c r="I18" i="42"/>
  <c r="L18" i="42" s="1"/>
  <c r="I16" i="42"/>
  <c r="L16" i="42" s="1"/>
  <c r="I23" i="42"/>
  <c r="L23" i="42" s="1"/>
  <c r="C76" i="42" s="1"/>
  <c r="AT26" i="42"/>
  <c r="AW26" i="42" s="1"/>
  <c r="I51" i="42"/>
  <c r="L51" i="42" s="1"/>
  <c r="I60" i="42"/>
  <c r="L60" i="42" s="1"/>
  <c r="AT38" i="42"/>
  <c r="AW38" i="42" s="1"/>
  <c r="I42" i="42"/>
  <c r="L42" i="42" s="1"/>
  <c r="I46" i="42"/>
  <c r="L46" i="42" s="1"/>
  <c r="AT61" i="42"/>
  <c r="AW61" i="42" s="1"/>
  <c r="I62" i="42"/>
  <c r="L62" i="42" s="1"/>
  <c r="AT51" i="42"/>
  <c r="AW51" i="42" s="1"/>
  <c r="AT52" i="42"/>
  <c r="AW52" i="42" s="1"/>
  <c r="AT54" i="42"/>
  <c r="AW54" i="42" s="1"/>
  <c r="I63" i="42"/>
  <c r="L63" i="42" s="1"/>
  <c r="I67" i="42"/>
  <c r="L67" i="42" s="1"/>
  <c r="I69" i="42"/>
  <c r="L69" i="42" s="1"/>
  <c r="I75" i="42"/>
  <c r="L75" i="42" s="1"/>
  <c r="AT36" i="42"/>
  <c r="AW36" i="42" s="1"/>
  <c r="I41" i="42"/>
  <c r="L41" i="42" s="1"/>
  <c r="AT43" i="42"/>
  <c r="AW43" i="42" s="1"/>
  <c r="I45" i="42"/>
  <c r="L45" i="42" s="1"/>
  <c r="AT47" i="42"/>
  <c r="AW47" i="42" s="1"/>
  <c r="AT56" i="42"/>
  <c r="AW56" i="42" s="1"/>
  <c r="I56" i="42"/>
  <c r="L56" i="42" s="1"/>
  <c r="I57" i="42"/>
  <c r="L57" i="42" s="1"/>
  <c r="I44" i="42"/>
  <c r="L44" i="42" s="1"/>
  <c r="AT46" i="42"/>
  <c r="AW46" i="42" s="1"/>
  <c r="AT64" i="42"/>
  <c r="AW64" i="42" s="1"/>
  <c r="AT20" i="42"/>
  <c r="AW20" i="42" s="1"/>
  <c r="AT21" i="42"/>
  <c r="AW21" i="42" s="1"/>
  <c r="C52" i="42"/>
  <c r="C75" i="42" s="1"/>
  <c r="AT24" i="42"/>
  <c r="AW24" i="42" s="1"/>
  <c r="AT32" i="42"/>
  <c r="AW32" i="42" s="1"/>
  <c r="AT35" i="42"/>
  <c r="AW35" i="42" s="1"/>
  <c r="AT41" i="42"/>
  <c r="AW41" i="42" s="1"/>
  <c r="I53" i="42"/>
  <c r="L53" i="42" s="1"/>
  <c r="AT58" i="42"/>
  <c r="AW58" i="42" s="1"/>
  <c r="I65" i="42"/>
  <c r="L65" i="42" s="1"/>
  <c r="AT14" i="42"/>
  <c r="AW14" i="42" s="1"/>
  <c r="I17" i="42"/>
  <c r="L17" i="42" s="1"/>
  <c r="AT18" i="42"/>
  <c r="AW18" i="42" s="1"/>
  <c r="AT31" i="42"/>
  <c r="AW31" i="42" s="1"/>
  <c r="AT44" i="42"/>
  <c r="AW44" i="42" s="1"/>
  <c r="I71" i="42"/>
  <c r="L71" i="42" s="1"/>
  <c r="AT57" i="42"/>
  <c r="AW57" i="42" s="1"/>
  <c r="I59" i="42"/>
  <c r="L59" i="42" s="1"/>
  <c r="AT40" i="42"/>
  <c r="AW40" i="42" s="1"/>
  <c r="I39" i="42"/>
  <c r="L39" i="42" s="1"/>
  <c r="AT48" i="42"/>
  <c r="AW48" i="42" s="1"/>
  <c r="I47" i="42"/>
  <c r="L47" i="42" s="1"/>
  <c r="AT49" i="42"/>
  <c r="AW49" i="42" s="1"/>
  <c r="I50" i="42"/>
  <c r="L50" i="42" s="1"/>
  <c r="AT53" i="42"/>
  <c r="AW53" i="42" s="1"/>
  <c r="AT55" i="42"/>
  <c r="AW55" i="42" s="1"/>
  <c r="AT60" i="42"/>
  <c r="AW60" i="42" s="1"/>
  <c r="AT63" i="42"/>
  <c r="AW63" i="42" s="1"/>
  <c r="I73" i="42"/>
  <c r="L73" i="42" s="1"/>
  <c r="I78" i="42"/>
  <c r="L78" i="42" s="1"/>
  <c r="I79" i="42"/>
  <c r="L79" i="42" s="1"/>
  <c r="AT62" i="42"/>
  <c r="AW62" i="42" s="1"/>
  <c r="I61" i="42"/>
  <c r="L61" i="42" s="1"/>
  <c r="I70" i="42"/>
  <c r="L70" i="42" s="1"/>
  <c r="I72" i="42"/>
  <c r="L72" i="42" s="1"/>
  <c r="I74" i="42"/>
  <c r="L74" i="42" s="1"/>
  <c r="I76" i="42"/>
  <c r="L76" i="42" s="1"/>
  <c r="I80" i="42"/>
  <c r="L80" i="42" s="1"/>
  <c r="I48" i="42"/>
  <c r="L48" i="42" s="1"/>
  <c r="AT59" i="42"/>
  <c r="AW59" i="42" s="1"/>
  <c r="AT50" i="42"/>
  <c r="AW50" i="42" s="1"/>
  <c r="I49" i="42"/>
  <c r="L49" i="42" s="1"/>
  <c r="I54" i="42"/>
  <c r="L54" i="42" s="1"/>
  <c r="I58" i="42"/>
  <c r="L58" i="42" s="1"/>
  <c r="I64" i="42"/>
  <c r="L64" i="42" s="1"/>
  <c r="I66" i="42"/>
  <c r="L66" i="42" s="1"/>
  <c r="I68" i="42"/>
  <c r="L68" i="42" s="1"/>
  <c r="I77" i="42"/>
  <c r="L77" i="42" s="1"/>
  <c r="AZ3" i="42"/>
  <c r="AN11" i="42"/>
  <c r="M32" i="42"/>
  <c r="N31" i="42"/>
  <c r="AX6" i="42"/>
  <c r="AY5" i="42"/>
  <c r="AY4" i="42"/>
  <c r="C78" i="42"/>
  <c r="O3" i="42"/>
  <c r="C80" i="42"/>
  <c r="O39" i="42"/>
  <c r="M5" i="42"/>
  <c r="M43" i="42"/>
  <c r="N42" i="42"/>
  <c r="N41" i="42"/>
  <c r="BE16" i="1"/>
  <c r="G27" i="42"/>
  <c r="H28" i="42"/>
  <c r="F27" i="42"/>
  <c r="X31" i="42"/>
  <c r="AB30" i="42"/>
  <c r="F39" i="41"/>
  <c r="Z30" i="42"/>
  <c r="Y30" i="42"/>
  <c r="C43" i="41"/>
  <c r="AA30" i="42"/>
  <c r="B37" i="28" l="1"/>
  <c r="J37" i="28" s="1"/>
  <c r="E28" i="42"/>
  <c r="N28" i="42" s="1"/>
  <c r="U121" i="1"/>
  <c r="U103" i="1"/>
  <c r="U101" i="1"/>
  <c r="U129" i="1"/>
  <c r="U119" i="1"/>
  <c r="K26" i="42"/>
  <c r="I26" i="42"/>
  <c r="AX7" i="42"/>
  <c r="AY6" i="42"/>
  <c r="O40" i="42"/>
  <c r="N26" i="42"/>
  <c r="AZ4" i="42"/>
  <c r="N5" i="42"/>
  <c r="M6" i="42"/>
  <c r="N43" i="42"/>
  <c r="M44" i="42"/>
  <c r="N32" i="42"/>
  <c r="M33" i="42"/>
  <c r="M34" i="42" s="1"/>
  <c r="M35" i="42" s="1"/>
  <c r="M36" i="42" s="1"/>
  <c r="O4" i="42"/>
  <c r="E33" i="42"/>
  <c r="N27" i="42"/>
  <c r="K239" i="39"/>
  <c r="L239" i="39" s="1"/>
  <c r="I239" i="39"/>
  <c r="J239" i="39" s="1"/>
  <c r="BE17" i="1"/>
  <c r="F28" i="42"/>
  <c r="G28" i="42"/>
  <c r="H29" i="42"/>
  <c r="X32" i="42"/>
  <c r="H30" i="42"/>
  <c r="G30" i="42"/>
  <c r="Z31" i="42"/>
  <c r="AA31" i="42"/>
  <c r="Y31" i="42"/>
  <c r="C53" i="41"/>
  <c r="AB31" i="42"/>
  <c r="F29" i="42"/>
  <c r="G29" i="42"/>
  <c r="F30" i="42"/>
  <c r="X34" i="42"/>
  <c r="H31" i="42"/>
  <c r="H32" i="42"/>
  <c r="X35" i="42"/>
  <c r="G31" i="42"/>
  <c r="G32" i="42"/>
  <c r="X36" i="42"/>
  <c r="H33" i="42"/>
  <c r="G33" i="42"/>
  <c r="X37" i="42"/>
  <c r="H34" i="42"/>
  <c r="G34" i="42"/>
  <c r="X38" i="42"/>
  <c r="H35" i="42"/>
  <c r="H36" i="42"/>
  <c r="G35" i="42"/>
  <c r="X39" i="42"/>
  <c r="G36" i="42"/>
  <c r="X40" i="42"/>
  <c r="K27" i="42" l="1"/>
  <c r="I27" i="42"/>
  <c r="B38" i="28"/>
  <c r="J38" i="28" s="1"/>
  <c r="E30" i="42"/>
  <c r="E36" i="42" s="1"/>
  <c r="N36" i="42" s="1"/>
  <c r="E29" i="42"/>
  <c r="E35" i="42" s="1"/>
  <c r="N35" i="42" s="1"/>
  <c r="E34" i="42"/>
  <c r="N34" i="42" s="1"/>
  <c r="L26" i="42"/>
  <c r="O5" i="42"/>
  <c r="M7" i="42"/>
  <c r="N6" i="42"/>
  <c r="AZ5" i="42"/>
  <c r="O41" i="42"/>
  <c r="N33" i="42"/>
  <c r="N44" i="42"/>
  <c r="M45" i="42"/>
  <c r="AX8" i="42"/>
  <c r="AY7" i="42"/>
  <c r="BE18" i="1"/>
  <c r="F31" i="42"/>
  <c r="F36" i="42"/>
  <c r="X33" i="42"/>
  <c r="F34" i="42"/>
  <c r="F35" i="42"/>
  <c r="F33" i="42"/>
  <c r="F32" i="42"/>
  <c r="Y34" i="42"/>
  <c r="AB34" i="42"/>
  <c r="AB40" i="42"/>
  <c r="AA40" i="42"/>
  <c r="AB35" i="42"/>
  <c r="Z38" i="42"/>
  <c r="AA39" i="42"/>
  <c r="AB38" i="42"/>
  <c r="AA37" i="42"/>
  <c r="AB39" i="42"/>
  <c r="Z39" i="42"/>
  <c r="Y39" i="42"/>
  <c r="Z37" i="42"/>
  <c r="Z32" i="42"/>
  <c r="AA32" i="42"/>
  <c r="Z36" i="42"/>
  <c r="Y32" i="42"/>
  <c r="AA34" i="42"/>
  <c r="AB36" i="42"/>
  <c r="AA38" i="42"/>
  <c r="Z40" i="42"/>
  <c r="Y36" i="42"/>
  <c r="AA36" i="42"/>
  <c r="AB32" i="42"/>
  <c r="Z34" i="42"/>
  <c r="AA35" i="42"/>
  <c r="Y40" i="42"/>
  <c r="Y35" i="42"/>
  <c r="Y37" i="42"/>
  <c r="AB37" i="42"/>
  <c r="Z35" i="42"/>
  <c r="Y38" i="42"/>
  <c r="L27" i="42" l="1"/>
  <c r="I31" i="42"/>
  <c r="K33" i="42"/>
  <c r="K35" i="42"/>
  <c r="K28" i="42"/>
  <c r="K31" i="42"/>
  <c r="I28" i="42"/>
  <c r="I32" i="42"/>
  <c r="K36" i="42"/>
  <c r="K30" i="42"/>
  <c r="K34" i="42"/>
  <c r="I33" i="42"/>
  <c r="I35" i="42"/>
  <c r="I36" i="42"/>
  <c r="K32" i="42"/>
  <c r="I30" i="42"/>
  <c r="I34" i="42"/>
  <c r="B39" i="28"/>
  <c r="J39" i="28" s="1"/>
  <c r="N30" i="42"/>
  <c r="N29" i="42"/>
  <c r="S25" i="42" a="1"/>
  <c r="S25" i="42" s="1"/>
  <c r="M8" i="42"/>
  <c r="N7" i="42"/>
  <c r="O6" i="42"/>
  <c r="O42" i="42"/>
  <c r="AX9" i="42"/>
  <c r="AY8" i="42"/>
  <c r="AZ6" i="42"/>
  <c r="N45" i="42"/>
  <c r="M46" i="42"/>
  <c r="BE19" i="1"/>
  <c r="AB33" i="42"/>
  <c r="AA33" i="42"/>
  <c r="Z33" i="42"/>
  <c r="Y33" i="42"/>
  <c r="L30" i="42" l="1"/>
  <c r="L31" i="42"/>
  <c r="L34" i="42"/>
  <c r="L32" i="42"/>
  <c r="L28" i="42"/>
  <c r="L35" i="42"/>
  <c r="L36" i="42"/>
  <c r="L33" i="42"/>
  <c r="K29" i="42"/>
  <c r="I29" i="42"/>
  <c r="B40" i="28"/>
  <c r="J40" i="28" s="1"/>
  <c r="C79" i="42"/>
  <c r="O26" i="42"/>
  <c r="O27" i="42" s="1"/>
  <c r="P27" i="42" s="1"/>
  <c r="AY9" i="42"/>
  <c r="AX10" i="42"/>
  <c r="M9" i="42"/>
  <c r="N8" i="42"/>
  <c r="M47" i="42"/>
  <c r="N46" i="42"/>
  <c r="O43" i="42"/>
  <c r="O7" i="42"/>
  <c r="AZ7" i="42"/>
  <c r="BE20" i="1"/>
  <c r="L29" i="42" l="1"/>
  <c r="S27" i="42" s="1"/>
  <c r="B41" i="28"/>
  <c r="J41" i="28" s="1"/>
  <c r="O28" i="42"/>
  <c r="O29" i="42" s="1"/>
  <c r="P26" i="42"/>
  <c r="S26" i="42" s="1"/>
  <c r="AX11" i="42"/>
  <c r="AY10" i="42"/>
  <c r="R27" i="42"/>
  <c r="AZ8" i="42"/>
  <c r="O44" i="42"/>
  <c r="N9" i="42"/>
  <c r="M10" i="42"/>
  <c r="O8" i="42"/>
  <c r="M48" i="42"/>
  <c r="N47" i="42"/>
  <c r="BE21" i="1"/>
  <c r="B42" i="28" l="1"/>
  <c r="J42" i="28" s="1"/>
  <c r="R26" i="42"/>
  <c r="C40" i="42" s="1"/>
  <c r="P28" i="42"/>
  <c r="S28" i="42" s="1"/>
  <c r="O9" i="42"/>
  <c r="N10" i="42"/>
  <c r="M11" i="42"/>
  <c r="M49" i="42"/>
  <c r="N48" i="42"/>
  <c r="AX12" i="42"/>
  <c r="AY11" i="42"/>
  <c r="O30" i="42"/>
  <c r="P29" i="42"/>
  <c r="O45" i="42"/>
  <c r="AZ9" i="42"/>
  <c r="BE22" i="1"/>
  <c r="B43" i="28" l="1"/>
  <c r="J43" i="28" s="1"/>
  <c r="R28" i="42"/>
  <c r="AX13" i="42"/>
  <c r="AY12" i="42"/>
  <c r="O10" i="42"/>
  <c r="M50" i="42"/>
  <c r="N49" i="42"/>
  <c r="O46" i="42"/>
  <c r="M12" i="42"/>
  <c r="N11" i="42"/>
  <c r="S29" i="42"/>
  <c r="R29" i="42"/>
  <c r="O31" i="42"/>
  <c r="P30" i="42"/>
  <c r="AZ10" i="42"/>
  <c r="BE23" i="1"/>
  <c r="B44" i="28" l="1"/>
  <c r="J44" i="28" s="1"/>
  <c r="AY13" i="42"/>
  <c r="AX14" i="42"/>
  <c r="AZ11" i="42"/>
  <c r="N12" i="42"/>
  <c r="M13" i="42"/>
  <c r="O11" i="42"/>
  <c r="S30" i="42"/>
  <c r="R30" i="42"/>
  <c r="O47" i="42"/>
  <c r="P31" i="42"/>
  <c r="O32" i="42"/>
  <c r="M51" i="42"/>
  <c r="N50" i="42"/>
  <c r="BE24" i="1"/>
  <c r="B45" i="28" l="1"/>
  <c r="J45" i="28" s="1"/>
  <c r="O48" i="42"/>
  <c r="AZ12" i="42"/>
  <c r="O33" i="42"/>
  <c r="P32" i="42"/>
  <c r="O12" i="42"/>
  <c r="R31" i="42"/>
  <c r="S31" i="42"/>
  <c r="N13" i="42"/>
  <c r="M14" i="42"/>
  <c r="AX15" i="42"/>
  <c r="AY14" i="42"/>
  <c r="M52" i="42"/>
  <c r="N51" i="42"/>
  <c r="BE25" i="1"/>
  <c r="B46" i="28" l="1"/>
  <c r="O34" i="42"/>
  <c r="P33" i="42"/>
  <c r="S32" i="42"/>
  <c r="R32" i="42"/>
  <c r="AZ13" i="42"/>
  <c r="N52" i="42"/>
  <c r="M53" i="42"/>
  <c r="AX16" i="42"/>
  <c r="AY15" i="42"/>
  <c r="N14" i="42"/>
  <c r="M15" i="42"/>
  <c r="O13" i="42"/>
  <c r="O49" i="42"/>
  <c r="BE26" i="1"/>
  <c r="B47" i="28" l="1"/>
  <c r="J47" i="28" s="1"/>
  <c r="J46" i="28"/>
  <c r="O50" i="42"/>
  <c r="N53" i="42"/>
  <c r="M54" i="42"/>
  <c r="O14" i="42"/>
  <c r="AY16" i="42"/>
  <c r="AX17" i="42"/>
  <c r="S33" i="42"/>
  <c r="R33" i="42"/>
  <c r="P34" i="42"/>
  <c r="O35" i="42"/>
  <c r="M16" i="42"/>
  <c r="N15" i="42"/>
  <c r="AZ14" i="42"/>
  <c r="BE27" i="1"/>
  <c r="M17" i="42" l="1"/>
  <c r="N16" i="42"/>
  <c r="P35" i="42"/>
  <c r="O36" i="42"/>
  <c r="P36" i="42" s="1"/>
  <c r="S34" i="42"/>
  <c r="R34" i="42"/>
  <c r="AZ15" i="42"/>
  <c r="O15" i="42"/>
  <c r="M55" i="42"/>
  <c r="N54" i="42"/>
  <c r="AX18" i="42"/>
  <c r="AY17" i="42"/>
  <c r="O51" i="42"/>
  <c r="BE28" i="1"/>
  <c r="O16" i="42" l="1"/>
  <c r="R35" i="42"/>
  <c r="S35" i="42"/>
  <c r="AZ16" i="42"/>
  <c r="S36" i="42"/>
  <c r="R36" i="42"/>
  <c r="AX19" i="42"/>
  <c r="AY18" i="42"/>
  <c r="N55" i="42"/>
  <c r="M56" i="42"/>
  <c r="O52" i="42"/>
  <c r="N17" i="42"/>
  <c r="M18" i="42"/>
  <c r="M19" i="42" s="1"/>
  <c r="BE29" i="1"/>
  <c r="P3" i="42" l="1"/>
  <c r="P4" i="42"/>
  <c r="P6" i="42"/>
  <c r="P5" i="42"/>
  <c r="P7" i="42"/>
  <c r="P8" i="42"/>
  <c r="P11" i="42"/>
  <c r="P14" i="42"/>
  <c r="P9" i="42"/>
  <c r="P12" i="42"/>
  <c r="O17" i="42"/>
  <c r="P16" i="42"/>
  <c r="Q16" i="42" s="1"/>
  <c r="O53" i="42"/>
  <c r="P13" i="42"/>
  <c r="AZ17" i="42"/>
  <c r="AY19" i="42"/>
  <c r="AX20" i="42"/>
  <c r="P10" i="42"/>
  <c r="P15" i="42"/>
  <c r="M57" i="42"/>
  <c r="N56" i="42"/>
  <c r="BE30" i="1"/>
  <c r="R7" i="42" l="1"/>
  <c r="S7" i="42"/>
  <c r="Q7" i="42"/>
  <c r="S10" i="42"/>
  <c r="R10" i="42"/>
  <c r="Q10" i="42"/>
  <c r="AZ18" i="42"/>
  <c r="P17" i="42"/>
  <c r="Q17" i="42" s="1"/>
  <c r="O18" i="42"/>
  <c r="R12" i="42"/>
  <c r="S12" i="42"/>
  <c r="Q12" i="42"/>
  <c r="R3" i="42"/>
  <c r="S3" i="42"/>
  <c r="Q3" i="42"/>
  <c r="R13" i="42"/>
  <c r="S13" i="42"/>
  <c r="Q13" i="42"/>
  <c r="S11" i="42"/>
  <c r="R11" i="42"/>
  <c r="Q11" i="42"/>
  <c r="N57" i="42"/>
  <c r="M58" i="42"/>
  <c r="S16" i="42"/>
  <c r="R16" i="42"/>
  <c r="S15" i="42"/>
  <c r="R15" i="42"/>
  <c r="Q15" i="42"/>
  <c r="R5" i="42"/>
  <c r="S5" i="42"/>
  <c r="Q5" i="42"/>
  <c r="R6" i="42"/>
  <c r="S6" i="42"/>
  <c r="Q6" i="42"/>
  <c r="R4" i="42"/>
  <c r="S4" i="42"/>
  <c r="Q4" i="42"/>
  <c r="S9" i="42"/>
  <c r="R9" i="42"/>
  <c r="Q9" i="42"/>
  <c r="AY20" i="42"/>
  <c r="AX21" i="42"/>
  <c r="S14" i="42"/>
  <c r="R14" i="42"/>
  <c r="Q14" i="42"/>
  <c r="O54" i="42"/>
  <c r="R8" i="42"/>
  <c r="S8" i="42"/>
  <c r="Q8" i="42"/>
  <c r="BE31" i="1"/>
  <c r="AX22" i="42" l="1"/>
  <c r="AY21" i="42"/>
  <c r="Q18" i="42"/>
  <c r="P18" i="42"/>
  <c r="O19" i="42"/>
  <c r="S17" i="42"/>
  <c r="R17" i="42"/>
  <c r="AZ19" i="42"/>
  <c r="N58" i="42"/>
  <c r="M59" i="42"/>
  <c r="O55" i="42"/>
  <c r="BE32" i="1"/>
  <c r="P19" i="42" l="1"/>
  <c r="Q19" i="42"/>
  <c r="M60" i="42"/>
  <c r="N59" i="42"/>
  <c r="S18" i="42"/>
  <c r="R18" i="42"/>
  <c r="O56" i="42"/>
  <c r="AZ20" i="42"/>
  <c r="AX23" i="42"/>
  <c r="AY22" i="42"/>
  <c r="BE33" i="1"/>
  <c r="O57" i="42" l="1"/>
  <c r="AX24" i="42"/>
  <c r="AY23" i="42"/>
  <c r="AZ21" i="42"/>
  <c r="M61" i="42"/>
  <c r="N60" i="42"/>
  <c r="R19" i="42"/>
  <c r="S19" i="42"/>
  <c r="BE34" i="1"/>
  <c r="AZ22" i="42" l="1"/>
  <c r="AX25" i="42"/>
  <c r="AY24" i="42"/>
  <c r="O58" i="42"/>
  <c r="M62" i="42"/>
  <c r="N61" i="42"/>
  <c r="BE35" i="1"/>
  <c r="AX26" i="42" l="1"/>
  <c r="AY25" i="42"/>
  <c r="N62" i="42"/>
  <c r="M63" i="42"/>
  <c r="O59" i="42"/>
  <c r="AZ23" i="42"/>
  <c r="BE36" i="1"/>
  <c r="O60" i="42" l="1"/>
  <c r="M64" i="42"/>
  <c r="N63" i="42"/>
  <c r="AZ24" i="42"/>
  <c r="AY26" i="42"/>
  <c r="AX27" i="42"/>
  <c r="BE37" i="1"/>
  <c r="AZ25" i="42" l="1"/>
  <c r="M65" i="42"/>
  <c r="N64" i="42"/>
  <c r="AX28" i="42"/>
  <c r="AY27" i="42"/>
  <c r="O61" i="42"/>
  <c r="BE38" i="1"/>
  <c r="O62" i="42" l="1"/>
  <c r="AX29" i="42"/>
  <c r="AY28" i="42"/>
  <c r="M66" i="42"/>
  <c r="N65" i="42"/>
  <c r="AZ26" i="42"/>
  <c r="BE39" i="1"/>
  <c r="AZ27" i="42" l="1"/>
  <c r="AY29" i="42"/>
  <c r="AX30" i="42"/>
  <c r="O63" i="42"/>
  <c r="N66" i="42"/>
  <c r="M67" i="42"/>
  <c r="BE40" i="1"/>
  <c r="O64" i="42" l="1"/>
  <c r="AY30" i="42"/>
  <c r="AX31" i="42"/>
  <c r="N67" i="42"/>
  <c r="M68" i="42"/>
  <c r="AZ28" i="42"/>
  <c r="BE41" i="1"/>
  <c r="M69" i="42" l="1"/>
  <c r="N68" i="42"/>
  <c r="AY31" i="42"/>
  <c r="AX32" i="42"/>
  <c r="AZ29" i="42"/>
  <c r="O65" i="42"/>
  <c r="BE42" i="1"/>
  <c r="AX33" i="42" l="1"/>
  <c r="AY32" i="42"/>
  <c r="O66" i="42"/>
  <c r="N69" i="42"/>
  <c r="M70" i="42"/>
  <c r="AZ30" i="42"/>
  <c r="BE43" i="1"/>
  <c r="AZ31" i="42" l="1"/>
  <c r="AX34" i="42"/>
  <c r="AY33" i="42"/>
  <c r="M71" i="42"/>
  <c r="N70" i="42"/>
  <c r="O67" i="42"/>
  <c r="BE44" i="1"/>
  <c r="AZ32" i="42" l="1"/>
  <c r="O68" i="42"/>
  <c r="AX35" i="42"/>
  <c r="AY34" i="42"/>
  <c r="N71" i="42"/>
  <c r="M72" i="42"/>
  <c r="BE45" i="1"/>
  <c r="M73" i="42" l="1"/>
  <c r="N72" i="42"/>
  <c r="AY35" i="42"/>
  <c r="AX36" i="42"/>
  <c r="O69" i="42"/>
  <c r="AZ33" i="42"/>
  <c r="BE46" i="1"/>
  <c r="M74" i="42" l="1"/>
  <c r="N73" i="42"/>
  <c r="O70" i="42"/>
  <c r="AX37" i="42"/>
  <c r="AY36" i="42"/>
  <c r="AZ34" i="42"/>
  <c r="BE47" i="1"/>
  <c r="O71" i="42" l="1"/>
  <c r="M75" i="42"/>
  <c r="N74" i="42"/>
  <c r="AX38" i="42"/>
  <c r="AY37" i="42"/>
  <c r="AZ35" i="42"/>
  <c r="BE48" i="1"/>
  <c r="M76" i="42" l="1"/>
  <c r="N75" i="42"/>
  <c r="AZ36" i="42"/>
  <c r="AX39" i="42"/>
  <c r="AY38" i="42"/>
  <c r="O72" i="42"/>
  <c r="BE49" i="1"/>
  <c r="O73" i="42" l="1"/>
  <c r="AZ37" i="42"/>
  <c r="AY39" i="42"/>
  <c r="AX40" i="42"/>
  <c r="N76" i="42"/>
  <c r="M77" i="42"/>
  <c r="BE50" i="1"/>
  <c r="M78" i="42" l="1"/>
  <c r="N77" i="42"/>
  <c r="AZ38" i="42"/>
  <c r="AX41" i="42"/>
  <c r="AY40" i="42"/>
  <c r="O74" i="42"/>
  <c r="BE51" i="1"/>
  <c r="AX42" i="42" l="1"/>
  <c r="AY41" i="42"/>
  <c r="AZ39" i="42"/>
  <c r="O75" i="42"/>
  <c r="M79" i="42"/>
  <c r="N78" i="42"/>
  <c r="BE52" i="1"/>
  <c r="O76" i="42" l="1"/>
  <c r="AZ40" i="42"/>
  <c r="M80" i="42"/>
  <c r="N80" i="42" s="1"/>
  <c r="N79" i="42"/>
  <c r="P71" i="42" s="1"/>
  <c r="AX43" i="42"/>
  <c r="AY42" i="42"/>
  <c r="BE53" i="1"/>
  <c r="P69" i="42" l="1"/>
  <c r="S69" i="42" s="1"/>
  <c r="P72" i="42"/>
  <c r="S72" i="42" s="1"/>
  <c r="P73" i="42"/>
  <c r="S73" i="42" s="1"/>
  <c r="R71" i="42"/>
  <c r="S71" i="42"/>
  <c r="AX44" i="42"/>
  <c r="AY43" i="42"/>
  <c r="P68" i="42"/>
  <c r="P74" i="42"/>
  <c r="P39" i="42"/>
  <c r="P42" i="42"/>
  <c r="P40" i="42"/>
  <c r="P41" i="42"/>
  <c r="P43" i="42"/>
  <c r="P46" i="42"/>
  <c r="P44" i="42"/>
  <c r="P45" i="42"/>
  <c r="P49" i="42"/>
  <c r="P50" i="42"/>
  <c r="P47" i="42"/>
  <c r="P48" i="42"/>
  <c r="P52" i="42"/>
  <c r="P51" i="42"/>
  <c r="P55" i="42"/>
  <c r="P53" i="42"/>
  <c r="P57" i="42"/>
  <c r="P54" i="42"/>
  <c r="P56" i="42"/>
  <c r="P58" i="42"/>
  <c r="P59" i="42"/>
  <c r="P60" i="42"/>
  <c r="P63" i="42"/>
  <c r="P62" i="42"/>
  <c r="P61" i="42"/>
  <c r="P65" i="42"/>
  <c r="P64" i="42"/>
  <c r="P66" i="42"/>
  <c r="P67" i="42"/>
  <c r="AZ41" i="42"/>
  <c r="P70" i="42"/>
  <c r="O77" i="42"/>
  <c r="P76" i="42"/>
  <c r="P75" i="42"/>
  <c r="BE54" i="1"/>
  <c r="R69" i="42" l="1"/>
  <c r="R72" i="42"/>
  <c r="R73" i="42"/>
  <c r="S65" i="42"/>
  <c r="R65" i="42"/>
  <c r="S54" i="42"/>
  <c r="R54" i="42"/>
  <c r="S50" i="42"/>
  <c r="R50" i="42"/>
  <c r="S42" i="42"/>
  <c r="R42" i="42"/>
  <c r="S57" i="42"/>
  <c r="R57" i="42"/>
  <c r="S49" i="42"/>
  <c r="R49" i="42"/>
  <c r="S39" i="42"/>
  <c r="R39" i="42"/>
  <c r="S62" i="42"/>
  <c r="R62" i="42"/>
  <c r="S53" i="42"/>
  <c r="R53" i="42"/>
  <c r="R45" i="42"/>
  <c r="S45" i="42"/>
  <c r="S63" i="42"/>
  <c r="R63" i="42"/>
  <c r="R55" i="42"/>
  <c r="S55" i="42"/>
  <c r="S44" i="42"/>
  <c r="R44" i="42"/>
  <c r="S60" i="42"/>
  <c r="R60" i="42"/>
  <c r="R51" i="42"/>
  <c r="S51" i="42"/>
  <c r="S46" i="42"/>
  <c r="R46" i="42"/>
  <c r="S74" i="42"/>
  <c r="R74" i="42"/>
  <c r="S70" i="42"/>
  <c r="R70" i="42"/>
  <c r="R75" i="42"/>
  <c r="S75" i="42"/>
  <c r="R67" i="42"/>
  <c r="S67" i="42"/>
  <c r="R59" i="42"/>
  <c r="S59" i="42"/>
  <c r="S52" i="42"/>
  <c r="R52" i="42"/>
  <c r="S43" i="42"/>
  <c r="R43" i="42"/>
  <c r="S68" i="42"/>
  <c r="R68" i="42"/>
  <c r="AZ42" i="42"/>
  <c r="S66" i="42"/>
  <c r="R66" i="42"/>
  <c r="S58" i="42"/>
  <c r="R58" i="42"/>
  <c r="S48" i="42"/>
  <c r="R48" i="42"/>
  <c r="S41" i="42"/>
  <c r="R41" i="42"/>
  <c r="S61" i="42"/>
  <c r="R61" i="42"/>
  <c r="S76" i="42"/>
  <c r="R76" i="42"/>
  <c r="P77" i="42"/>
  <c r="O78" i="42"/>
  <c r="R64" i="42"/>
  <c r="S64" i="42"/>
  <c r="S56" i="42"/>
  <c r="R56" i="42"/>
  <c r="R47" i="42"/>
  <c r="S47" i="42"/>
  <c r="S40" i="42"/>
  <c r="R40" i="42"/>
  <c r="AY44" i="42"/>
  <c r="AX45" i="42"/>
  <c r="BE55" i="1"/>
  <c r="AZ43" i="42" l="1"/>
  <c r="O79" i="42"/>
  <c r="P78" i="42"/>
  <c r="AX46" i="42"/>
  <c r="AY45" i="42"/>
  <c r="R77" i="42"/>
  <c r="S77" i="42"/>
  <c r="BE56" i="1"/>
  <c r="AZ44" i="42" l="1"/>
  <c r="AX47" i="42"/>
  <c r="AY46" i="42"/>
  <c r="S78" i="42"/>
  <c r="R78" i="42"/>
  <c r="P79" i="42"/>
  <c r="O80" i="42"/>
  <c r="P80" i="42" s="1"/>
  <c r="BE57" i="1"/>
  <c r="U4" i="42" a="1"/>
  <c r="U28" i="42" l="1"/>
  <c r="U60" i="42"/>
  <c r="U29" i="42"/>
  <c r="V37" i="42"/>
  <c r="U42" i="42"/>
  <c r="V62" i="42"/>
  <c r="V4" i="42"/>
  <c r="V36" i="42"/>
  <c r="V68" i="42"/>
  <c r="U33" i="42"/>
  <c r="V5" i="42"/>
  <c r="V61" i="42"/>
  <c r="U38" i="42"/>
  <c r="V14" i="42"/>
  <c r="V58" i="42"/>
  <c r="V31" i="42"/>
  <c r="V79" i="42"/>
  <c r="U35" i="42"/>
  <c r="U67" i="42"/>
  <c r="U52" i="42"/>
  <c r="U32" i="42"/>
  <c r="U64" i="42"/>
  <c r="U41" i="42"/>
  <c r="V45" i="42"/>
  <c r="U50" i="42"/>
  <c r="V74" i="42"/>
  <c r="V8" i="42"/>
  <c r="V40" i="42"/>
  <c r="V72" i="42"/>
  <c r="U37" i="42"/>
  <c r="V13" i="42"/>
  <c r="V65" i="42"/>
  <c r="U46" i="42"/>
  <c r="V18" i="42"/>
  <c r="V66" i="42"/>
  <c r="V35" i="42"/>
  <c r="U7" i="42"/>
  <c r="U39" i="42"/>
  <c r="U71" i="42"/>
  <c r="U4" i="42"/>
  <c r="U36" i="42"/>
  <c r="U68" i="42"/>
  <c r="U53" i="42"/>
  <c r="V57" i="42"/>
  <c r="U62" i="42"/>
  <c r="V11" i="42"/>
  <c r="V12" i="42"/>
  <c r="V44" i="42"/>
  <c r="V76" i="42"/>
  <c r="V17" i="42"/>
  <c r="V73" i="42"/>
  <c r="U54" i="42"/>
  <c r="V22" i="42"/>
  <c r="V70" i="42"/>
  <c r="V43" i="42"/>
  <c r="U11" i="42"/>
  <c r="U43" i="42"/>
  <c r="U75" i="42"/>
  <c r="V20" i="42"/>
  <c r="V26" i="42"/>
  <c r="U20" i="42"/>
  <c r="U22" i="42"/>
  <c r="U69" i="42"/>
  <c r="U45" i="42"/>
  <c r="U18" i="42"/>
  <c r="U8" i="42"/>
  <c r="U40" i="42"/>
  <c r="U72" i="42"/>
  <c r="U65" i="42"/>
  <c r="V69" i="42"/>
  <c r="U74" i="42"/>
  <c r="V27" i="42"/>
  <c r="V16" i="42"/>
  <c r="V48" i="42"/>
  <c r="V80" i="42"/>
  <c r="U49" i="42"/>
  <c r="V25" i="42"/>
  <c r="U6" i="42"/>
  <c r="U58" i="42"/>
  <c r="V30" i="42"/>
  <c r="V78" i="42"/>
  <c r="V51" i="42"/>
  <c r="U15" i="42"/>
  <c r="U47" i="42"/>
  <c r="U79" i="42"/>
  <c r="U12" i="42"/>
  <c r="U44" i="42"/>
  <c r="U76" i="42"/>
  <c r="U73" i="42"/>
  <c r="V77" i="42"/>
  <c r="V10" i="42"/>
  <c r="V39" i="42"/>
  <c r="V52" i="42"/>
  <c r="U5" i="42"/>
  <c r="U57" i="42"/>
  <c r="V33" i="42"/>
  <c r="U14" i="42"/>
  <c r="U66" i="42"/>
  <c r="V34" i="42"/>
  <c r="V7" i="42"/>
  <c r="V55" i="42"/>
  <c r="U19" i="42"/>
  <c r="U51" i="42"/>
  <c r="U16" i="42"/>
  <c r="U48" i="42"/>
  <c r="U80" i="42"/>
  <c r="V9" i="42"/>
  <c r="U10" i="42"/>
  <c r="V47" i="42"/>
  <c r="V24" i="42"/>
  <c r="V56" i="42"/>
  <c r="U13" i="42"/>
  <c r="U61" i="42"/>
  <c r="V41" i="42"/>
  <c r="U70" i="42"/>
  <c r="V38" i="42"/>
  <c r="V15" i="42"/>
  <c r="V63" i="42"/>
  <c r="U23" i="42"/>
  <c r="U55" i="42"/>
  <c r="U9" i="42"/>
  <c r="V21" i="42"/>
  <c r="V42" i="42"/>
  <c r="V59" i="42"/>
  <c r="V28" i="42"/>
  <c r="V60" i="42"/>
  <c r="U21" i="42"/>
  <c r="V49" i="42"/>
  <c r="U26" i="42"/>
  <c r="U78" i="42"/>
  <c r="V46" i="42"/>
  <c r="V19" i="42"/>
  <c r="V67" i="42"/>
  <c r="U27" i="42"/>
  <c r="U59" i="42"/>
  <c r="U24" i="42"/>
  <c r="U56" i="42"/>
  <c r="U17" i="42"/>
  <c r="V29" i="42"/>
  <c r="U34" i="42"/>
  <c r="V54" i="42"/>
  <c r="V71" i="42"/>
  <c r="V32" i="42"/>
  <c r="V64" i="42"/>
  <c r="U25" i="42"/>
  <c r="U77" i="42"/>
  <c r="U30" i="42"/>
  <c r="V6" i="42"/>
  <c r="V50" i="42"/>
  <c r="V23" i="42"/>
  <c r="V53" i="42"/>
  <c r="V75" i="42"/>
  <c r="U31" i="42"/>
  <c r="U63" i="42"/>
  <c r="AY47" i="42"/>
  <c r="AX48" i="42"/>
  <c r="AZ45" i="42"/>
  <c r="R80" i="42"/>
  <c r="S80" i="42"/>
  <c r="R79" i="42"/>
  <c r="S79" i="42"/>
  <c r="BE58" i="1"/>
  <c r="AZ46" i="42" l="1"/>
  <c r="AX49" i="42"/>
  <c r="AY48" i="42"/>
  <c r="BE59" i="1"/>
  <c r="AZ47" i="42" l="1"/>
  <c r="AX50" i="42"/>
  <c r="AY49" i="42"/>
  <c r="BE60" i="1"/>
  <c r="AX51" i="42" l="1"/>
  <c r="AY50" i="42"/>
  <c r="AZ48" i="42"/>
  <c r="BE61" i="1"/>
  <c r="AZ49" i="42" l="1"/>
  <c r="AX52" i="42"/>
  <c r="AY51" i="42"/>
  <c r="BE62" i="1"/>
  <c r="AZ50" i="42" l="1"/>
  <c r="AY52" i="42"/>
  <c r="AX53" i="42"/>
  <c r="BE63" i="1"/>
  <c r="AY53" i="42" l="1"/>
  <c r="AX54" i="42"/>
  <c r="AZ51" i="42"/>
  <c r="BE64" i="1"/>
  <c r="AL4" i="1"/>
  <c r="AX55" i="42" l="1"/>
  <c r="AY54" i="42"/>
  <c r="AZ52" i="42"/>
  <c r="AS3" i="1"/>
  <c r="BE65" i="1"/>
  <c r="AK4" i="1"/>
  <c r="AZ53" i="42" l="1"/>
  <c r="AX56" i="42"/>
  <c r="AY55" i="42"/>
  <c r="AS2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S327" i="1"/>
  <c r="BE66" i="1"/>
  <c r="AX57" i="42" l="1"/>
  <c r="AY56" i="42"/>
  <c r="AZ54" i="42"/>
  <c r="AT4" i="1"/>
  <c r="BE67" i="1"/>
  <c r="AD4" i="1"/>
  <c r="AZ55" i="42" l="1"/>
  <c r="AY57" i="42"/>
  <c r="AX58" i="42"/>
  <c r="AS1" i="1"/>
  <c r="BE68" i="1"/>
  <c r="AY58" i="42" l="1"/>
  <c r="AX59" i="42"/>
  <c r="AZ56" i="42"/>
  <c r="AT6" i="1"/>
  <c r="BE69" i="1"/>
  <c r="AZ57" i="42" l="1"/>
  <c r="AY59" i="42"/>
  <c r="AX60" i="42"/>
  <c r="BE70" i="1"/>
  <c r="AZ58" i="42" l="1"/>
  <c r="AX61" i="42"/>
  <c r="AY60" i="42"/>
  <c r="BE71" i="1"/>
  <c r="AZ59" i="42" l="1"/>
  <c r="AX62" i="42"/>
  <c r="AY61" i="42"/>
  <c r="AT5" i="1"/>
  <c r="BE72" i="1"/>
  <c r="AX63" i="42" l="1"/>
  <c r="AY62" i="42"/>
  <c r="AZ60" i="42"/>
  <c r="BE73" i="1"/>
  <c r="AZ61" i="42" l="1"/>
  <c r="AX64" i="42"/>
  <c r="AY64" i="42" s="1"/>
  <c r="AY63" i="42"/>
  <c r="BA56" i="42" s="1"/>
  <c r="BA53" i="42"/>
  <c r="BE74" i="1"/>
  <c r="BA59" i="42" l="1"/>
  <c r="BA54" i="42"/>
  <c r="BA57" i="42"/>
  <c r="BA58" i="42"/>
  <c r="BA3" i="42"/>
  <c r="BA4" i="42"/>
  <c r="BA5" i="42"/>
  <c r="BA7" i="42"/>
  <c r="BA6" i="42"/>
  <c r="BA12" i="42"/>
  <c r="BA10" i="42"/>
  <c r="BA9" i="42"/>
  <c r="BA8" i="42"/>
  <c r="BA11" i="42"/>
  <c r="BA15" i="42"/>
  <c r="BA13" i="42"/>
  <c r="BA17" i="42"/>
  <c r="BA14" i="42"/>
  <c r="BA16" i="42"/>
  <c r="BA18" i="42"/>
  <c r="BA23" i="42"/>
  <c r="BA21" i="42"/>
  <c r="BA19" i="42"/>
  <c r="BA22" i="42"/>
  <c r="BA20" i="42"/>
  <c r="BA25" i="42"/>
  <c r="BA24" i="42"/>
  <c r="BA26" i="42"/>
  <c r="BA28" i="42"/>
  <c r="BA27" i="42"/>
  <c r="BA29" i="42"/>
  <c r="BA31" i="42"/>
  <c r="BA30" i="42"/>
  <c r="BA32" i="42"/>
  <c r="BA33" i="42"/>
  <c r="BA34" i="42"/>
  <c r="BA35" i="42"/>
  <c r="BA36" i="42"/>
  <c r="BA37" i="42"/>
  <c r="BA38" i="42"/>
  <c r="BA42" i="42"/>
  <c r="BA39" i="42"/>
  <c r="BA41" i="42"/>
  <c r="BA40" i="42"/>
  <c r="BA43" i="42"/>
  <c r="BA45" i="42"/>
  <c r="BA44" i="42"/>
  <c r="BA46" i="42"/>
  <c r="BA47" i="42"/>
  <c r="BA48" i="42"/>
  <c r="BA49" i="42"/>
  <c r="BA52" i="42"/>
  <c r="BA50" i="42"/>
  <c r="BA51" i="42"/>
  <c r="BC56" i="42"/>
  <c r="BD56" i="42"/>
  <c r="BB56" i="42"/>
  <c r="BA60" i="42"/>
  <c r="BA61" i="42"/>
  <c r="AZ62" i="42"/>
  <c r="BD53" i="42"/>
  <c r="BC53" i="42"/>
  <c r="BB53" i="42"/>
  <c r="BA55" i="42"/>
  <c r="BE75" i="1"/>
  <c r="BC31" i="42" l="1"/>
  <c r="BD31" i="42"/>
  <c r="BB31" i="42"/>
  <c r="BD7" i="42"/>
  <c r="BC7" i="42"/>
  <c r="BB7" i="42"/>
  <c r="BC44" i="42"/>
  <c r="BD44" i="42"/>
  <c r="BB44" i="42"/>
  <c r="BC37" i="42"/>
  <c r="BD37" i="42"/>
  <c r="BB37" i="42"/>
  <c r="BD29" i="42"/>
  <c r="BC29" i="42"/>
  <c r="BB29" i="42"/>
  <c r="BD19" i="42"/>
  <c r="BC19" i="42"/>
  <c r="BB19" i="42"/>
  <c r="BD15" i="42"/>
  <c r="BC15" i="42"/>
  <c r="BB15" i="42"/>
  <c r="BD5" i="42"/>
  <c r="BC5" i="42"/>
  <c r="BB5" i="42"/>
  <c r="BD38" i="42"/>
  <c r="BC38" i="42"/>
  <c r="BB38" i="42"/>
  <c r="BD51" i="42"/>
  <c r="BC51" i="42"/>
  <c r="BB51" i="42"/>
  <c r="BD45" i="42"/>
  <c r="BC45" i="42"/>
  <c r="BB45" i="42"/>
  <c r="BD36" i="42"/>
  <c r="BC36" i="42"/>
  <c r="BB36" i="42"/>
  <c r="BC27" i="42"/>
  <c r="BD27" i="42"/>
  <c r="BB27" i="42"/>
  <c r="BD21" i="42"/>
  <c r="BC21" i="42"/>
  <c r="BB21" i="42"/>
  <c r="BD11" i="42"/>
  <c r="BC11" i="42"/>
  <c r="BB11" i="42"/>
  <c r="BC4" i="42"/>
  <c r="BD4" i="42"/>
  <c r="BB4" i="42"/>
  <c r="BD50" i="42"/>
  <c r="BC50" i="42"/>
  <c r="BB50" i="42"/>
  <c r="BD43" i="42"/>
  <c r="BC43" i="42"/>
  <c r="BB43" i="42"/>
  <c r="BC35" i="42"/>
  <c r="BD35" i="42"/>
  <c r="BB35" i="42"/>
  <c r="BD28" i="42"/>
  <c r="BC28" i="42"/>
  <c r="BB28" i="42"/>
  <c r="BD23" i="42"/>
  <c r="BC23" i="42"/>
  <c r="BB23" i="42"/>
  <c r="BD8" i="42"/>
  <c r="BC8" i="42"/>
  <c r="BB8" i="42"/>
  <c r="BD3" i="42"/>
  <c r="BC3" i="42"/>
  <c r="BB3" i="42"/>
  <c r="BD13" i="42"/>
  <c r="BC13" i="42"/>
  <c r="BB13" i="42"/>
  <c r="BD52" i="42"/>
  <c r="BC52" i="42"/>
  <c r="BB52" i="42"/>
  <c r="BD40" i="42"/>
  <c r="BC40" i="42"/>
  <c r="BB40" i="42"/>
  <c r="BD34" i="42"/>
  <c r="BC34" i="42"/>
  <c r="BB34" i="42"/>
  <c r="BC26" i="42"/>
  <c r="BD26" i="42"/>
  <c r="BB26" i="42"/>
  <c r="BC18" i="42"/>
  <c r="BD18" i="42"/>
  <c r="BB18" i="42"/>
  <c r="BD9" i="42"/>
  <c r="BC9" i="42"/>
  <c r="BB9" i="42"/>
  <c r="BD58" i="42"/>
  <c r="BC58" i="42"/>
  <c r="BB58" i="42"/>
  <c r="BD46" i="42"/>
  <c r="BC46" i="42"/>
  <c r="BB46" i="42"/>
  <c r="BD49" i="42"/>
  <c r="BC49" i="42"/>
  <c r="BB49" i="42"/>
  <c r="BD41" i="42"/>
  <c r="BC41" i="42"/>
  <c r="BB41" i="42"/>
  <c r="BD33" i="42"/>
  <c r="BC33" i="42"/>
  <c r="BB33" i="42"/>
  <c r="BC24" i="42"/>
  <c r="BD24" i="42"/>
  <c r="BB24" i="42"/>
  <c r="BC16" i="42"/>
  <c r="BD16" i="42"/>
  <c r="BB16" i="42"/>
  <c r="BD10" i="42"/>
  <c r="BC10" i="42"/>
  <c r="BB10" i="42"/>
  <c r="BD57" i="42"/>
  <c r="BC57" i="42"/>
  <c r="BB57" i="42"/>
  <c r="BD61" i="42"/>
  <c r="BC61" i="42"/>
  <c r="BB61" i="42"/>
  <c r="BC60" i="42"/>
  <c r="BD60" i="42"/>
  <c r="BB60" i="42"/>
  <c r="BD48" i="42"/>
  <c r="BC48" i="42"/>
  <c r="BB48" i="42"/>
  <c r="BD39" i="42"/>
  <c r="BC39" i="42"/>
  <c r="BB39" i="42"/>
  <c r="BD32" i="42"/>
  <c r="BC32" i="42"/>
  <c r="BB32" i="42"/>
  <c r="BD25" i="42"/>
  <c r="BC25" i="42"/>
  <c r="BB25" i="42"/>
  <c r="BC14" i="42"/>
  <c r="BD14" i="42"/>
  <c r="BB14" i="42"/>
  <c r="BD12" i="42"/>
  <c r="BC12" i="42"/>
  <c r="BB12" i="42"/>
  <c r="BC54" i="42"/>
  <c r="BD54" i="42"/>
  <c r="BB54" i="42"/>
  <c r="BD22" i="42"/>
  <c r="BC22" i="42"/>
  <c r="BB22" i="42"/>
  <c r="AZ63" i="42"/>
  <c r="BA62" i="42"/>
  <c r="BB62" i="42" s="1"/>
  <c r="BC55" i="42"/>
  <c r="BD55" i="42"/>
  <c r="BB55" i="42"/>
  <c r="BD47" i="42"/>
  <c r="BC47" i="42"/>
  <c r="BB47" i="42"/>
  <c r="BD42" i="42"/>
  <c r="BC42" i="42"/>
  <c r="BB42" i="42"/>
  <c r="BC30" i="42"/>
  <c r="BD30" i="42"/>
  <c r="BB30" i="42"/>
  <c r="BD20" i="42"/>
  <c r="BC20" i="42"/>
  <c r="BB20" i="42"/>
  <c r="BD17" i="42"/>
  <c r="BC17" i="42"/>
  <c r="BB17" i="42"/>
  <c r="BC6" i="42"/>
  <c r="BD6" i="42"/>
  <c r="BB6" i="42"/>
  <c r="BC59" i="42"/>
  <c r="BD59" i="42"/>
  <c r="BB59" i="42"/>
  <c r="BE76" i="1"/>
  <c r="BD62" i="42" l="1"/>
  <c r="BC62" i="42"/>
  <c r="BA63" i="42"/>
  <c r="AZ64" i="42"/>
  <c r="BE77" i="1"/>
  <c r="BA64" i="42" l="1"/>
  <c r="BB64" i="42" s="1"/>
  <c r="BD63" i="42"/>
  <c r="BC63" i="42"/>
  <c r="BB63" i="42"/>
  <c r="BE78" i="1"/>
  <c r="BD64" i="42" l="1"/>
  <c r="BC64" i="42"/>
  <c r="BE79" i="1"/>
  <c r="K4" i="39" l="1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40" i="39"/>
  <c r="K241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3" i="39"/>
  <c r="BE80" i="1"/>
  <c r="I6" i="41"/>
  <c r="C64" i="41"/>
  <c r="I51" i="41"/>
  <c r="L6" i="41"/>
  <c r="I39" i="41"/>
  <c r="L18" i="41"/>
  <c r="I19" i="41"/>
  <c r="L14" i="41"/>
  <c r="L35" i="41"/>
  <c r="I43" i="41"/>
  <c r="I22" i="41"/>
  <c r="I46" i="41"/>
  <c r="L46" i="41"/>
  <c r="I49" i="41"/>
  <c r="L33" i="41"/>
  <c r="I16" i="41"/>
  <c r="L28" i="41"/>
  <c r="L26" i="41"/>
  <c r="I5" i="41"/>
  <c r="L15" i="41"/>
  <c r="F38" i="41"/>
  <c r="L29" i="41"/>
  <c r="I29" i="41"/>
  <c r="L8" i="41"/>
  <c r="L31" i="41"/>
  <c r="I50" i="41"/>
  <c r="L45" i="41"/>
  <c r="I38" i="41"/>
  <c r="L5" i="41"/>
  <c r="L12" i="41"/>
  <c r="L27" i="41"/>
  <c r="I24" i="41"/>
  <c r="L16" i="41"/>
  <c r="I27" i="41"/>
  <c r="I21" i="41"/>
  <c r="L30" i="41"/>
  <c r="I20" i="41"/>
  <c r="L36" i="41"/>
  <c r="L23" i="41"/>
  <c r="L34" i="41"/>
  <c r="I44" i="41"/>
  <c r="L47" i="41"/>
  <c r="L13" i="41"/>
  <c r="I28" i="41"/>
  <c r="I53" i="41"/>
  <c r="I48" i="41"/>
  <c r="F44" i="41"/>
  <c r="I36" i="41"/>
  <c r="I15" i="41"/>
  <c r="I37" i="41"/>
  <c r="L25" i="41"/>
  <c r="I32" i="41"/>
  <c r="L41" i="41"/>
  <c r="L44" i="41"/>
  <c r="I30" i="41"/>
  <c r="I11" i="41"/>
  <c r="I18" i="41"/>
  <c r="I14" i="41"/>
  <c r="L42" i="41"/>
  <c r="L20" i="41"/>
  <c r="L22" i="41"/>
  <c r="L17" i="41"/>
  <c r="L9" i="41"/>
  <c r="I26" i="41"/>
  <c r="I41" i="41"/>
  <c r="L19" i="41"/>
  <c r="I12" i="41"/>
  <c r="I4" i="41"/>
  <c r="L7" i="41"/>
  <c r="I42" i="41"/>
  <c r="L4" i="41"/>
  <c r="L21" i="41"/>
  <c r="L24" i="41"/>
  <c r="L10" i="41"/>
  <c r="F25" i="41"/>
  <c r="I10" i="41"/>
  <c r="I3" i="41"/>
  <c r="I13" i="41"/>
  <c r="L37" i="41"/>
  <c r="I47" i="41"/>
  <c r="I17" i="41"/>
  <c r="L32" i="41"/>
  <c r="I33" i="41"/>
  <c r="I25" i="41"/>
  <c r="L38" i="41"/>
  <c r="I34" i="41"/>
  <c r="I35" i="41"/>
  <c r="I7" i="41"/>
  <c r="C62" i="41"/>
  <c r="L3" i="41"/>
  <c r="L39" i="41"/>
  <c r="I31" i="41"/>
  <c r="L40" i="41"/>
  <c r="I45" i="41"/>
  <c r="L11" i="41"/>
  <c r="I8" i="41"/>
  <c r="I23" i="41"/>
  <c r="I9" i="41"/>
  <c r="L43" i="41"/>
  <c r="I40" i="41"/>
  <c r="I52" i="41"/>
  <c r="L169" i="39" l="1"/>
  <c r="I169" i="39"/>
  <c r="J169" i="39" s="1"/>
  <c r="BE81" i="1"/>
  <c r="L223" i="39" l="1"/>
  <c r="BE82" i="1"/>
  <c r="AU311" i="1" l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BE83" i="1"/>
  <c r="C41" i="41"/>
  <c r="L230" i="39" l="1"/>
  <c r="I230" i="39"/>
  <c r="J230" i="39" s="1"/>
  <c r="BE84" i="1"/>
  <c r="L23" i="38" l="1"/>
  <c r="L27" i="38"/>
  <c r="M27" i="38" s="1"/>
  <c r="L25" i="38"/>
  <c r="BE85" i="1"/>
  <c r="K23" i="38" l="1"/>
  <c r="BE86" i="1"/>
  <c r="L9" i="38" l="1"/>
  <c r="M23" i="38" s="1"/>
  <c r="BE87" i="1"/>
  <c r="C52" i="41"/>
  <c r="K27" i="38" l="1"/>
  <c r="K25" i="38"/>
  <c r="BE88" i="1"/>
  <c r="L236" i="39" l="1"/>
  <c r="I236" i="39"/>
  <c r="J236" i="39" s="1"/>
  <c r="BE89" i="1"/>
  <c r="C26" i="41"/>
  <c r="C38" i="41"/>
  <c r="C27" i="41"/>
  <c r="L238" i="39" l="1"/>
  <c r="I238" i="39"/>
  <c r="J238" i="39" s="1"/>
  <c r="BE90" i="1"/>
  <c r="F37" i="41"/>
  <c r="C51" i="41"/>
  <c r="L15" i="38" l="1"/>
  <c r="BE91" i="1"/>
  <c r="C28" i="41"/>
  <c r="F27" i="41"/>
  <c r="C30" i="41"/>
  <c r="C21" i="41"/>
  <c r="C65" i="41"/>
  <c r="C57" i="41"/>
  <c r="C67" i="41"/>
  <c r="F6" i="41"/>
  <c r="F43" i="41"/>
  <c r="F32" i="41"/>
  <c r="C6" i="41"/>
  <c r="F22" i="41"/>
  <c r="C70" i="41"/>
  <c r="F35" i="41"/>
  <c r="C17" i="41"/>
  <c r="F48" i="41"/>
  <c r="C37" i="41"/>
  <c r="C7" i="41"/>
  <c r="F4" i="41"/>
  <c r="F47" i="41"/>
  <c r="F19" i="41"/>
  <c r="C12" i="41"/>
  <c r="F49" i="41"/>
  <c r="F33" i="41"/>
  <c r="C49" i="41"/>
  <c r="F18" i="41"/>
  <c r="F7" i="41"/>
  <c r="F14" i="41"/>
  <c r="C14" i="41"/>
  <c r="C29" i="41"/>
  <c r="C61" i="41"/>
  <c r="C25" i="41"/>
  <c r="F24" i="41"/>
  <c r="F5" i="41"/>
  <c r="C50" i="41"/>
  <c r="F46" i="41"/>
  <c r="F17" i="41"/>
  <c r="C19" i="41"/>
  <c r="C9" i="41"/>
  <c r="F23" i="41"/>
  <c r="C45" i="41"/>
  <c r="C42" i="41"/>
  <c r="F36" i="41"/>
  <c r="C33" i="41"/>
  <c r="C15" i="41"/>
  <c r="C39" i="41"/>
  <c r="C66" i="41"/>
  <c r="F11" i="41"/>
  <c r="C47" i="41"/>
  <c r="F9" i="41"/>
  <c r="C18" i="41"/>
  <c r="C60" i="41"/>
  <c r="F3" i="41"/>
  <c r="C54" i="41"/>
  <c r="C22" i="41"/>
  <c r="F12" i="41"/>
  <c r="F16" i="41"/>
  <c r="F8" i="41"/>
  <c r="F34" i="41"/>
  <c r="F13" i="41"/>
  <c r="C69" i="41"/>
  <c r="F15" i="41"/>
  <c r="F10" i="41"/>
  <c r="F28" i="41"/>
  <c r="C8" i="41"/>
  <c r="C63" i="41"/>
  <c r="C34" i="41"/>
  <c r="C48" i="41"/>
  <c r="C46" i="41"/>
  <c r="C32" i="41"/>
  <c r="C59" i="41"/>
  <c r="F40" i="41"/>
  <c r="C20" i="41"/>
  <c r="C16" i="41"/>
  <c r="F45" i="41"/>
  <c r="C4" i="41"/>
  <c r="F20" i="41"/>
  <c r="C40" i="41"/>
  <c r="C44" i="41"/>
  <c r="C5" i="41"/>
  <c r="F41" i="41"/>
  <c r="F31" i="41"/>
  <c r="C68" i="41"/>
  <c r="C23" i="41"/>
  <c r="C10" i="41"/>
  <c r="F30" i="41"/>
  <c r="F42" i="41"/>
  <c r="C11" i="41"/>
  <c r="C58" i="41"/>
  <c r="F29" i="41"/>
  <c r="F21" i="41"/>
  <c r="C31" i="41"/>
  <c r="C56" i="41"/>
  <c r="C13" i="41"/>
  <c r="C3" i="41"/>
  <c r="C24" i="41"/>
  <c r="L207" i="39" l="1"/>
  <c r="I207" i="39"/>
  <c r="J207" i="39" s="1"/>
  <c r="BE92" i="1"/>
  <c r="L229" i="39" l="1"/>
  <c r="I229" i="39"/>
  <c r="J229" i="39" s="1"/>
  <c r="BE93" i="1"/>
  <c r="BE94" i="1" s="1"/>
  <c r="M43" i="38" l="1"/>
  <c r="BE95" i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BE96" i="1"/>
  <c r="J48" i="38" l="1"/>
  <c r="BE97" i="1"/>
  <c r="L274" i="39" l="1"/>
  <c r="L275" i="39"/>
  <c r="L276" i="39"/>
  <c r="L277" i="39"/>
  <c r="L273" i="39"/>
  <c r="L272" i="39"/>
  <c r="I272" i="39"/>
  <c r="J272" i="39" s="1"/>
  <c r="I273" i="39"/>
  <c r="J273" i="39" s="1"/>
  <c r="I274" i="39"/>
  <c r="J274" i="39" s="1"/>
  <c r="I275" i="39"/>
  <c r="J275" i="39" s="1"/>
  <c r="I276" i="39"/>
  <c r="J276" i="39" s="1"/>
  <c r="I277" i="39"/>
  <c r="J277" i="39" s="1"/>
  <c r="BE98" i="1"/>
  <c r="K17" i="38" l="1"/>
  <c r="BE99" i="1"/>
  <c r="H17" i="38" l="1"/>
  <c r="I6" i="38" s="1"/>
  <c r="BE100" i="1"/>
  <c r="L194" i="39" l="1"/>
  <c r="I194" i="39"/>
  <c r="J194" i="39" s="1"/>
  <c r="BE101" i="1"/>
  <c r="L204" i="39" l="1"/>
  <c r="I204" i="39"/>
  <c r="J204" i="39" s="1"/>
  <c r="BE102" i="1"/>
  <c r="D5" i="1"/>
  <c r="I4" i="38" l="1"/>
  <c r="L4" i="38" s="1"/>
  <c r="BE103" i="1"/>
  <c r="J4" i="38" l="1"/>
  <c r="L226" i="39"/>
  <c r="I226" i="39"/>
  <c r="J226" i="39" s="1"/>
  <c r="BE104" i="1"/>
  <c r="L4" i="39" l="1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5" i="39"/>
  <c r="L196" i="39"/>
  <c r="L197" i="39"/>
  <c r="L198" i="39"/>
  <c r="L199" i="39"/>
  <c r="L200" i="39"/>
  <c r="L201" i="39"/>
  <c r="L202" i="39"/>
  <c r="L203" i="39"/>
  <c r="L205" i="39"/>
  <c r="L206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4" i="39"/>
  <c r="L225" i="39"/>
  <c r="L227" i="39"/>
  <c r="L228" i="39"/>
  <c r="L231" i="39"/>
  <c r="L232" i="39"/>
  <c r="L233" i="39"/>
  <c r="L234" i="39"/>
  <c r="L235" i="39"/>
  <c r="L237" i="39"/>
  <c r="L240" i="39"/>
  <c r="L241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3" i="39"/>
  <c r="I266" i="39"/>
  <c r="J266" i="39" s="1"/>
  <c r="I265" i="39"/>
  <c r="J265" i="39" s="1"/>
  <c r="I264" i="39"/>
  <c r="J264" i="39" s="1"/>
  <c r="I258" i="39"/>
  <c r="J258" i="39" s="1"/>
  <c r="I257" i="39"/>
  <c r="J257" i="39" s="1"/>
  <c r="I256" i="39"/>
  <c r="J256" i="39" s="1"/>
  <c r="I250" i="39"/>
  <c r="J250" i="39" s="1"/>
  <c r="I249" i="39"/>
  <c r="J249" i="39" s="1"/>
  <c r="I248" i="39"/>
  <c r="J248" i="39" s="1"/>
  <c r="I241" i="39"/>
  <c r="J241" i="39" s="1"/>
  <c r="I240" i="39"/>
  <c r="J240" i="39" s="1"/>
  <c r="I237" i="39"/>
  <c r="J237" i="39" s="1"/>
  <c r="I228" i="39"/>
  <c r="J228" i="39" s="1"/>
  <c r="I227" i="39"/>
  <c r="J227" i="39" s="1"/>
  <c r="I225" i="39"/>
  <c r="J225" i="39" s="1"/>
  <c r="I218" i="39"/>
  <c r="J218" i="39" s="1"/>
  <c r="I217" i="39"/>
  <c r="J217" i="39" s="1"/>
  <c r="I216" i="39"/>
  <c r="J216" i="39" s="1"/>
  <c r="I210" i="39"/>
  <c r="J210" i="39" s="1"/>
  <c r="I209" i="39"/>
  <c r="J209" i="39" s="1"/>
  <c r="I208" i="39"/>
  <c r="J208" i="39" s="1"/>
  <c r="I200" i="39"/>
  <c r="J200" i="39" s="1"/>
  <c r="I199" i="39"/>
  <c r="J199" i="39" s="1"/>
  <c r="I198" i="39"/>
  <c r="J198" i="39" s="1"/>
  <c r="I191" i="39"/>
  <c r="J191" i="39" s="1"/>
  <c r="I190" i="39"/>
  <c r="J190" i="39" s="1"/>
  <c r="I189" i="39"/>
  <c r="J189" i="39" s="1"/>
  <c r="I183" i="39"/>
  <c r="J183" i="39" s="1"/>
  <c r="I182" i="39"/>
  <c r="J182" i="39" s="1"/>
  <c r="I181" i="39"/>
  <c r="J181" i="39" s="1"/>
  <c r="I175" i="39"/>
  <c r="J175" i="39" s="1"/>
  <c r="I174" i="39"/>
  <c r="J174" i="39" s="1"/>
  <c r="I173" i="39"/>
  <c r="J173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70" i="39"/>
  <c r="J170" i="39" s="1"/>
  <c r="I171" i="39"/>
  <c r="J171" i="39" s="1"/>
  <c r="I172" i="39"/>
  <c r="J172" i="39" s="1"/>
  <c r="I176" i="39"/>
  <c r="J176" i="39" s="1"/>
  <c r="I177" i="39"/>
  <c r="J177" i="39" s="1"/>
  <c r="I178" i="39"/>
  <c r="J178" i="39" s="1"/>
  <c r="I179" i="39"/>
  <c r="J179" i="39" s="1"/>
  <c r="I180" i="39"/>
  <c r="J180" i="39" s="1"/>
  <c r="I184" i="39"/>
  <c r="J184" i="39" s="1"/>
  <c r="I185" i="39"/>
  <c r="J185" i="39" s="1"/>
  <c r="I186" i="39"/>
  <c r="J186" i="39" s="1"/>
  <c r="I187" i="39"/>
  <c r="J187" i="39" s="1"/>
  <c r="I188" i="39"/>
  <c r="J188" i="39" s="1"/>
  <c r="I192" i="39"/>
  <c r="J192" i="39" s="1"/>
  <c r="I193" i="39"/>
  <c r="J193" i="39" s="1"/>
  <c r="I195" i="39"/>
  <c r="J195" i="39" s="1"/>
  <c r="I196" i="39"/>
  <c r="J196" i="39" s="1"/>
  <c r="I197" i="39"/>
  <c r="J197" i="39" s="1"/>
  <c r="I201" i="39"/>
  <c r="J201" i="39" s="1"/>
  <c r="I202" i="39"/>
  <c r="J202" i="39" s="1"/>
  <c r="I203" i="39"/>
  <c r="J203" i="39" s="1"/>
  <c r="I205" i="39"/>
  <c r="J205" i="39" s="1"/>
  <c r="I206" i="39"/>
  <c r="J206" i="39" s="1"/>
  <c r="I211" i="39"/>
  <c r="J211" i="39" s="1"/>
  <c r="I212" i="39"/>
  <c r="J212" i="39" s="1"/>
  <c r="I213" i="39"/>
  <c r="J213" i="39" s="1"/>
  <c r="I214" i="39"/>
  <c r="J214" i="39" s="1"/>
  <c r="I215" i="39"/>
  <c r="J215" i="39" s="1"/>
  <c r="I219" i="39"/>
  <c r="J219" i="39" s="1"/>
  <c r="I220" i="39"/>
  <c r="J220" i="39" s="1"/>
  <c r="I221" i="39"/>
  <c r="J221" i="39" s="1"/>
  <c r="I222" i="39"/>
  <c r="J222" i="39" s="1"/>
  <c r="I224" i="39"/>
  <c r="J224" i="39" s="1"/>
  <c r="I231" i="39"/>
  <c r="J231" i="39" s="1"/>
  <c r="I232" i="39"/>
  <c r="J232" i="39" s="1"/>
  <c r="I233" i="39"/>
  <c r="J233" i="39" s="1"/>
  <c r="I234" i="39"/>
  <c r="J234" i="39" s="1"/>
  <c r="I235" i="39"/>
  <c r="J235" i="39" s="1"/>
  <c r="I243" i="39"/>
  <c r="J243" i="39" s="1"/>
  <c r="I244" i="39"/>
  <c r="J244" i="39" s="1"/>
  <c r="I245" i="39"/>
  <c r="J245" i="39" s="1"/>
  <c r="I246" i="39"/>
  <c r="J246" i="39" s="1"/>
  <c r="I247" i="39"/>
  <c r="J247" i="39" s="1"/>
  <c r="I251" i="39"/>
  <c r="J251" i="39" s="1"/>
  <c r="I252" i="39"/>
  <c r="J252" i="39" s="1"/>
  <c r="I253" i="39"/>
  <c r="J253" i="39" s="1"/>
  <c r="I254" i="39"/>
  <c r="J254" i="39" s="1"/>
  <c r="I255" i="39"/>
  <c r="J255" i="39" s="1"/>
  <c r="I259" i="39"/>
  <c r="J259" i="39" s="1"/>
  <c r="I260" i="39"/>
  <c r="J260" i="39" s="1"/>
  <c r="I261" i="39"/>
  <c r="J261" i="39" s="1"/>
  <c r="I262" i="39"/>
  <c r="J262" i="39" s="1"/>
  <c r="I263" i="39"/>
  <c r="J263" i="39" s="1"/>
  <c r="I267" i="39"/>
  <c r="J267" i="39" s="1"/>
  <c r="I268" i="39"/>
  <c r="J268" i="39" s="1"/>
  <c r="I269" i="39"/>
  <c r="J269" i="39" s="1"/>
  <c r="I270" i="39"/>
  <c r="J270" i="39" s="1"/>
  <c r="I271" i="39"/>
  <c r="J271" i="39" s="1"/>
  <c r="BE105" i="1"/>
  <c r="AU206" i="1" l="1"/>
  <c r="AT1" i="1"/>
  <c r="AT3" i="1"/>
  <c r="AT2" i="1"/>
  <c r="BE106" i="1"/>
  <c r="D233" i="1"/>
  <c r="D285" i="1"/>
  <c r="D236" i="1"/>
  <c r="D177" i="1"/>
  <c r="D174" i="1"/>
  <c r="D263" i="1"/>
  <c r="D238" i="1"/>
  <c r="D298" i="1"/>
  <c r="D232" i="1"/>
  <c r="D200" i="1"/>
  <c r="D226" i="1"/>
  <c r="D276" i="1"/>
  <c r="D191" i="1"/>
  <c r="D195" i="1"/>
  <c r="D247" i="1"/>
  <c r="D160" i="1"/>
  <c r="D169" i="1"/>
  <c r="D271" i="1"/>
  <c r="D286" i="1"/>
  <c r="D278" i="1"/>
  <c r="D253" i="1"/>
  <c r="D231" i="1"/>
  <c r="D301" i="1"/>
  <c r="D304" i="1"/>
  <c r="D205" i="1"/>
  <c r="D287" i="1"/>
  <c r="D152" i="1"/>
  <c r="D211" i="1"/>
  <c r="D222" i="1"/>
  <c r="D229" i="1"/>
  <c r="D280" i="1"/>
  <c r="D178" i="1"/>
  <c r="D185" i="1"/>
  <c r="D279" i="1"/>
  <c r="D148" i="1"/>
  <c r="D252" i="1"/>
  <c r="D257" i="1"/>
  <c r="D245" i="1"/>
  <c r="D310" i="1"/>
  <c r="D159" i="1"/>
  <c r="D249" i="1"/>
  <c r="D261" i="1"/>
  <c r="D157" i="1"/>
  <c r="D281" i="1"/>
  <c r="D284" i="1"/>
  <c r="D264" i="1"/>
  <c r="D258" i="1"/>
  <c r="D206" i="1"/>
  <c r="D300" i="1"/>
  <c r="D217" i="1"/>
  <c r="D266" i="1"/>
  <c r="D196" i="1"/>
  <c r="D181" i="1"/>
  <c r="D203" i="1"/>
  <c r="D267" i="1"/>
  <c r="D202" i="1"/>
  <c r="D219" i="1"/>
  <c r="D155" i="1"/>
  <c r="D250" i="1"/>
  <c r="D305" i="1"/>
  <c r="D144" i="1"/>
  <c r="D184" i="1"/>
  <c r="D308" i="1"/>
  <c r="D303" i="1"/>
  <c r="D207" i="1"/>
  <c r="D242" i="1"/>
  <c r="D241" i="1"/>
  <c r="D161" i="1"/>
  <c r="D239" i="1"/>
  <c r="D256" i="1"/>
  <c r="D208" i="1"/>
  <c r="D254" i="1"/>
  <c r="D307" i="1"/>
  <c r="D166" i="1"/>
  <c r="D273" i="1"/>
  <c r="D189" i="1"/>
  <c r="D158" i="1"/>
  <c r="D251" i="1"/>
  <c r="D288" i="1"/>
  <c r="D183" i="1"/>
  <c r="D149" i="1"/>
  <c r="D215" i="1"/>
  <c r="D201" i="1"/>
  <c r="D213" i="1"/>
  <c r="D153" i="1"/>
  <c r="D209" i="1"/>
  <c r="D150" i="1"/>
  <c r="D176" i="1"/>
  <c r="D225" i="1"/>
  <c r="D151" i="1"/>
  <c r="D227" i="1"/>
  <c r="D291" i="1"/>
  <c r="D194" i="1"/>
  <c r="D223" i="1"/>
  <c r="D216" i="1"/>
  <c r="D154" i="1"/>
  <c r="D240" i="1"/>
  <c r="D190" i="1"/>
  <c r="D255" i="1"/>
  <c r="D212" i="1"/>
  <c r="D237" i="1"/>
  <c r="D272" i="1"/>
  <c r="D167" i="1"/>
  <c r="D199" i="1"/>
  <c r="D165" i="1"/>
  <c r="D162" i="1"/>
  <c r="D248" i="1"/>
  <c r="D269" i="1"/>
  <c r="D289" i="1"/>
  <c r="D275" i="1"/>
  <c r="D197" i="1"/>
  <c r="D188" i="1"/>
  <c r="D297" i="1"/>
  <c r="D179" i="1"/>
  <c r="D198" i="1"/>
  <c r="D302" i="1"/>
  <c r="D193" i="1"/>
  <c r="D170" i="1"/>
  <c r="D224" i="1"/>
  <c r="D283" i="1"/>
  <c r="D309" i="1"/>
  <c r="D228" i="1"/>
  <c r="D182" i="1"/>
  <c r="D145" i="1"/>
  <c r="D171" i="1"/>
  <c r="D282" i="1"/>
  <c r="D234" i="1"/>
  <c r="D259" i="1"/>
  <c r="D274" i="1"/>
  <c r="D164" i="1"/>
  <c r="D299" i="1"/>
  <c r="D243" i="1"/>
  <c r="D294" i="1"/>
  <c r="D218" i="1"/>
  <c r="D168" i="1"/>
  <c r="D146" i="1"/>
  <c r="D180" i="1"/>
  <c r="D296" i="1"/>
  <c r="D262" i="1"/>
  <c r="D277" i="1"/>
  <c r="D172" i="1"/>
  <c r="D265" i="1"/>
  <c r="D175" i="1"/>
  <c r="D187" i="1"/>
  <c r="D270" i="1"/>
  <c r="D292" i="1"/>
  <c r="D295" i="1"/>
  <c r="D163" i="1"/>
  <c r="D293" i="1"/>
  <c r="D192" i="1"/>
  <c r="D173" i="1"/>
  <c r="D244" i="1"/>
  <c r="D186" i="1"/>
  <c r="D290" i="1"/>
  <c r="D210" i="1"/>
  <c r="D246" i="1"/>
  <c r="D230" i="1"/>
  <c r="D214" i="1"/>
  <c r="D147" i="1"/>
  <c r="D268" i="1"/>
  <c r="D156" i="1"/>
  <c r="D221" i="1"/>
  <c r="D220" i="1"/>
  <c r="D260" i="1"/>
  <c r="D204" i="1"/>
  <c r="D235" i="1"/>
  <c r="D306" i="1"/>
  <c r="T218" i="1"/>
  <c r="S212" i="1"/>
  <c r="T162" i="1"/>
  <c r="S154" i="1"/>
  <c r="T219" i="1"/>
  <c r="T169" i="1"/>
  <c r="AH271" i="1" a="1"/>
  <c r="S199" i="1"/>
  <c r="T193" i="1"/>
  <c r="AD5" i="1"/>
  <c r="S211" i="1"/>
  <c r="T210" i="1"/>
  <c r="T152" i="1"/>
  <c r="T299" i="1"/>
  <c r="S299" i="1"/>
  <c r="AK5" i="1"/>
  <c r="AK6" i="1"/>
  <c r="S195" i="1"/>
  <c r="S207" i="1"/>
  <c r="AH275" i="1" a="1"/>
  <c r="S152" i="1"/>
  <c r="T186" i="1"/>
  <c r="S247" i="1"/>
  <c r="T305" i="1"/>
  <c r="T211" i="1"/>
  <c r="S157" i="1"/>
  <c r="AH290" i="1" a="1"/>
  <c r="AH274" i="1" a="1"/>
  <c r="S240" i="1"/>
  <c r="AH305" i="1" a="1"/>
  <c r="AL5" i="1"/>
  <c r="T231" i="1"/>
  <c r="AH285" i="1" a="1"/>
  <c r="T230" i="1"/>
  <c r="S185" i="1"/>
  <c r="T229" i="1"/>
  <c r="AH292" i="1" a="1"/>
  <c r="S190" i="1"/>
  <c r="AH295" i="1" a="1"/>
  <c r="T240" i="1"/>
  <c r="S287" i="1"/>
  <c r="T225" i="1"/>
  <c r="S230" i="1"/>
  <c r="AH291" i="1" a="1"/>
  <c r="S205" i="1"/>
  <c r="AH307" i="1" a="1"/>
  <c r="AH276" i="1" a="1"/>
  <c r="S209" i="1"/>
  <c r="T257" i="1"/>
  <c r="T287" i="1"/>
  <c r="S225" i="1"/>
  <c r="T188" i="1"/>
  <c r="T167" i="1"/>
  <c r="S239" i="1"/>
  <c r="S202" i="1"/>
  <c r="AH268" i="1" a="1"/>
  <c r="T238" i="1"/>
  <c r="S218" i="1"/>
  <c r="T233" i="1"/>
  <c r="T153" i="1"/>
  <c r="AH263" i="1" a="1"/>
  <c r="S223" i="1"/>
  <c r="S228" i="1"/>
  <c r="T212" i="1"/>
  <c r="S214" i="1"/>
  <c r="S184" i="1"/>
  <c r="S172" i="1"/>
  <c r="T239" i="1"/>
  <c r="T244" i="1"/>
  <c r="S232" i="1"/>
  <c r="T157" i="1"/>
  <c r="T209" i="1"/>
  <c r="AH303" i="1" a="1"/>
  <c r="T223" i="1"/>
  <c r="T247" i="1"/>
  <c r="T241" i="1"/>
  <c r="AH301" i="1" a="1"/>
  <c r="T168" i="1"/>
  <c r="S149" i="1"/>
  <c r="AH264" i="1" a="1"/>
  <c r="AH256" i="1" a="1"/>
  <c r="T228" i="1"/>
  <c r="S305" i="1"/>
  <c r="S166" i="1"/>
  <c r="AH257" i="1" a="1"/>
  <c r="S153" i="1"/>
  <c r="S193" i="1"/>
  <c r="T164" i="1"/>
  <c r="T295" i="1"/>
  <c r="T199" i="1"/>
  <c r="S171" i="1"/>
  <c r="AH273" i="1" a="1"/>
  <c r="AH306" i="1" a="1"/>
  <c r="S198" i="1"/>
  <c r="AH284" i="1" a="1"/>
  <c r="T250" i="1"/>
  <c r="AH310" i="1" a="1"/>
  <c r="T216" i="1"/>
  <c r="AH255" i="1" a="1"/>
  <c r="AD6" i="1"/>
  <c r="S206" i="1"/>
  <c r="T198" i="1"/>
  <c r="S182" i="1"/>
  <c r="AH261" i="1" a="1"/>
  <c r="AH309" i="1" a="1"/>
  <c r="T215" i="1"/>
  <c r="T245" i="1"/>
  <c r="S260" i="1"/>
  <c r="S219" i="1"/>
  <c r="S224" i="1"/>
  <c r="T165" i="1"/>
  <c r="AH269" i="1" a="1"/>
  <c r="T184" i="1"/>
  <c r="AL6" i="1"/>
  <c r="S160" i="1"/>
  <c r="AH288" i="1" a="1"/>
  <c r="S235" i="1"/>
  <c r="S231" i="1"/>
  <c r="T170" i="1"/>
  <c r="S227" i="1"/>
  <c r="AH294" i="1" a="1"/>
  <c r="T224" i="1"/>
  <c r="S263" i="1"/>
  <c r="T200" i="1"/>
  <c r="AH262" i="1" a="1"/>
  <c r="T192" i="1"/>
  <c r="S222" i="1"/>
  <c r="T172" i="1"/>
  <c r="T217" i="1"/>
  <c r="T189" i="1"/>
  <c r="AH280" i="1" a="1"/>
  <c r="S249" i="1"/>
  <c r="S242" i="1"/>
  <c r="S197" i="1"/>
  <c r="S245" i="1"/>
  <c r="T201" i="1"/>
  <c r="S269" i="1"/>
  <c r="T183" i="1"/>
  <c r="T177" i="1"/>
  <c r="AH287" i="1" a="1"/>
  <c r="AH260" i="1" a="1"/>
  <c r="S237" i="1"/>
  <c r="T237" i="1"/>
  <c r="S213" i="1"/>
  <c r="T191" i="1"/>
  <c r="T154" i="1"/>
  <c r="S250" i="1"/>
  <c r="AH289" i="1" a="1"/>
  <c r="T180" i="1"/>
  <c r="S251" i="1"/>
  <c r="T149" i="1"/>
  <c r="AH283" i="1" a="1"/>
  <c r="S215" i="1"/>
  <c r="AH259" i="1" a="1"/>
  <c r="T243" i="1"/>
  <c r="S216" i="1"/>
  <c r="AH300" i="1" a="1"/>
  <c r="AH282" i="1" a="1"/>
  <c r="T160" i="1"/>
  <c r="AH308" i="1" a="1"/>
  <c r="S275" i="1"/>
  <c r="T161" i="1"/>
  <c r="S191" i="1"/>
  <c r="T221" i="1"/>
  <c r="S262" i="1"/>
  <c r="S204" i="1"/>
  <c r="T195" i="1"/>
  <c r="S201" i="1"/>
  <c r="AH277" i="1" a="1"/>
  <c r="S217" i="1"/>
  <c r="T235" i="1"/>
  <c r="T291" i="1"/>
  <c r="S188" i="1"/>
  <c r="T206" i="1"/>
  <c r="S194" i="1"/>
  <c r="S238" i="1"/>
  <c r="T222" i="1"/>
  <c r="T213" i="1"/>
  <c r="AH304" i="1" a="1"/>
  <c r="T204" i="1"/>
  <c r="AH254" i="1" a="1"/>
  <c r="T205" i="1"/>
  <c r="S200" i="1"/>
  <c r="S203" i="1"/>
  <c r="T226" i="1"/>
  <c r="T220" i="1"/>
  <c r="S233" i="1"/>
  <c r="T190" i="1"/>
  <c r="S270" i="1"/>
  <c r="S173" i="1"/>
  <c r="S220" i="1"/>
  <c r="T308" i="1"/>
  <c r="S210" i="1"/>
  <c r="S257" i="1"/>
  <c r="AH266" i="1" a="1"/>
  <c r="S174" i="1"/>
  <c r="T249" i="1"/>
  <c r="AH258" i="1" a="1"/>
  <c r="S161" i="1"/>
  <c r="T202" i="1"/>
  <c r="S168" i="1"/>
  <c r="S229" i="1"/>
  <c r="AH278" i="1" a="1"/>
  <c r="T163" i="1"/>
  <c r="S234" i="1"/>
  <c r="S177" i="1"/>
  <c r="AH267" i="1" a="1"/>
  <c r="S162" i="1"/>
  <c r="S187" i="1"/>
  <c r="AH281" i="1" a="1"/>
  <c r="T166" i="1"/>
  <c r="AH296" i="1" a="1"/>
  <c r="S221" i="1"/>
  <c r="AH279" i="1" a="1"/>
  <c r="S165" i="1"/>
  <c r="T283" i="1"/>
  <c r="AH270" i="1" a="1"/>
  <c r="S236" i="1"/>
  <c r="T197" i="1"/>
  <c r="S169" i="1"/>
  <c r="T214" i="1"/>
  <c r="S258" i="1"/>
  <c r="T150" i="1"/>
  <c r="T232" i="1"/>
  <c r="T207" i="1"/>
  <c r="T242" i="1"/>
  <c r="T194" i="1"/>
  <c r="T234" i="1"/>
  <c r="T196" i="1"/>
  <c r="T174" i="1"/>
  <c r="S163" i="1"/>
  <c r="AH302" i="1" a="1"/>
  <c r="S164" i="1"/>
  <c r="AH265" i="1" a="1"/>
  <c r="T227" i="1"/>
  <c r="T251" i="1"/>
  <c r="S186" i="1"/>
  <c r="S167" i="1"/>
  <c r="T255" i="1"/>
  <c r="S196" i="1"/>
  <c r="S226" i="1"/>
  <c r="S192" i="1"/>
  <c r="S241" i="1"/>
  <c r="S180" i="1"/>
  <c r="T185" i="1"/>
  <c r="S189" i="1"/>
  <c r="S170" i="1"/>
  <c r="AH298" i="1" a="1"/>
  <c r="AH286" i="1" a="1"/>
  <c r="T171" i="1"/>
  <c r="S150" i="1"/>
  <c r="S183" i="1"/>
  <c r="S246" i="1"/>
  <c r="AH293" i="1" a="1"/>
  <c r="AH299" i="1" a="1"/>
  <c r="T236" i="1"/>
  <c r="T275" i="1"/>
  <c r="S244" i="1"/>
  <c r="AH272" i="1" a="1"/>
  <c r="S255" i="1"/>
  <c r="S243" i="1"/>
  <c r="T173" i="1"/>
  <c r="T254" i="1"/>
  <c r="T187" i="1"/>
  <c r="AH297" i="1" a="1"/>
  <c r="T182" i="1"/>
  <c r="T246" i="1"/>
  <c r="S291" i="1"/>
  <c r="T203" i="1"/>
  <c r="U150" i="1" l="1"/>
  <c r="U250" i="1"/>
  <c r="U158" i="1"/>
  <c r="U177" i="1"/>
  <c r="U180" i="1"/>
  <c r="U251" i="1"/>
  <c r="U291" i="1"/>
  <c r="U275" i="1"/>
  <c r="U255" i="1"/>
  <c r="U257" i="1"/>
  <c r="U287" i="1"/>
  <c r="U299" i="1"/>
  <c r="U305" i="1"/>
  <c r="U202" i="1"/>
  <c r="U148" i="1"/>
  <c r="U200" i="1"/>
  <c r="U147" i="1"/>
  <c r="U198" i="1"/>
  <c r="U199" i="1"/>
  <c r="U201" i="1"/>
  <c r="U161" i="1"/>
  <c r="U204" i="1"/>
  <c r="U195" i="1"/>
  <c r="U194" i="1"/>
  <c r="U206" i="1"/>
  <c r="U216" i="1"/>
  <c r="U203" i="1"/>
  <c r="U212" i="1"/>
  <c r="U163" i="1"/>
  <c r="U166" i="1"/>
  <c r="U193" i="1"/>
  <c r="U196" i="1"/>
  <c r="U245" i="1"/>
  <c r="U223" i="1"/>
  <c r="U233" i="1"/>
  <c r="U218" i="1"/>
  <c r="U211" i="1"/>
  <c r="U192" i="1"/>
  <c r="U229" i="1"/>
  <c r="U234" i="1"/>
  <c r="U231" i="1"/>
  <c r="U249" i="1"/>
  <c r="U157" i="1"/>
  <c r="U160" i="1"/>
  <c r="U205" i="1"/>
  <c r="U156" i="1"/>
  <c r="U208" i="1"/>
  <c r="U197" i="1"/>
  <c r="U210" i="1"/>
  <c r="U220" i="1"/>
  <c r="U207" i="1"/>
  <c r="U162" i="1"/>
  <c r="U154" i="1"/>
  <c r="U153" i="1"/>
  <c r="U155" i="1"/>
  <c r="U240" i="1"/>
  <c r="U217" i="1"/>
  <c r="U225" i="1"/>
  <c r="U168" i="1"/>
  <c r="U222" i="1"/>
  <c r="U165" i="1"/>
  <c r="U169" i="1"/>
  <c r="U214" i="1"/>
  <c r="U173" i="1"/>
  <c r="U164" i="1"/>
  <c r="U176" i="1"/>
  <c r="U172" i="1"/>
  <c r="U224" i="1"/>
  <c r="U227" i="1"/>
  <c r="U221" i="1"/>
  <c r="U152" i="1"/>
  <c r="U213" i="1"/>
  <c r="U246" i="1"/>
  <c r="U242" i="1"/>
  <c r="U184" i="1"/>
  <c r="U188" i="1"/>
  <c r="U230" i="1"/>
  <c r="U174" i="1"/>
  <c r="U238" i="1"/>
  <c r="U248" i="1"/>
  <c r="U182" i="1"/>
  <c r="U232" i="1"/>
  <c r="U149" i="1"/>
  <c r="U187" i="1"/>
  <c r="U244" i="1"/>
  <c r="U247" i="1"/>
  <c r="U185" i="1"/>
  <c r="U239" i="1"/>
  <c r="U226" i="1"/>
  <c r="U175" i="1"/>
  <c r="U219" i="1"/>
  <c r="U189" i="1"/>
  <c r="U215" i="1"/>
  <c r="U228" i="1"/>
  <c r="U186" i="1"/>
  <c r="U183" i="1"/>
  <c r="U236" i="1"/>
  <c r="U171" i="1"/>
  <c r="U167" i="1"/>
  <c r="U190" i="1"/>
  <c r="U209" i="1"/>
  <c r="U170" i="1"/>
  <c r="U241" i="1"/>
  <c r="U179" i="1"/>
  <c r="U235" i="1"/>
  <c r="U237" i="1"/>
  <c r="U191" i="1"/>
  <c r="U243" i="1"/>
  <c r="AU268" i="1"/>
  <c r="AU193" i="1"/>
  <c r="AU248" i="1"/>
  <c r="AU166" i="1"/>
  <c r="AU174" i="1"/>
  <c r="AU160" i="1"/>
  <c r="AU276" i="1"/>
  <c r="AU167" i="1"/>
  <c r="AU158" i="1"/>
  <c r="AU194" i="1"/>
  <c r="AU161" i="1"/>
  <c r="AU201" i="1"/>
  <c r="AU219" i="1"/>
  <c r="AU277" i="1"/>
  <c r="AU261" i="1"/>
  <c r="AU235" i="1"/>
  <c r="AU254" i="1"/>
  <c r="AU207" i="1"/>
  <c r="AU217" i="1"/>
  <c r="AU250" i="1"/>
  <c r="AU310" i="1"/>
  <c r="AU243" i="1"/>
  <c r="AU180" i="1"/>
  <c r="AU204" i="1"/>
  <c r="AU223" i="1"/>
  <c r="AU175" i="1"/>
  <c r="AU231" i="1"/>
  <c r="AU211" i="1"/>
  <c r="AU210" i="1"/>
  <c r="AU196" i="1"/>
  <c r="AU299" i="1"/>
  <c r="AU238" i="1"/>
  <c r="AU305" i="1"/>
  <c r="AU260" i="1"/>
  <c r="AU199" i="1"/>
  <c r="AU229" i="1"/>
  <c r="AU281" i="1"/>
  <c r="AU228" i="1"/>
  <c r="AU187" i="1"/>
  <c r="AU224" i="1"/>
  <c r="AU195" i="1"/>
  <c r="AU227" i="1"/>
  <c r="AU237" i="1"/>
  <c r="AU249" i="1"/>
  <c r="AU208" i="1"/>
  <c r="AU214" i="1"/>
  <c r="AU150" i="1"/>
  <c r="AU216" i="1"/>
  <c r="AU234" i="1"/>
  <c r="AU258" i="1"/>
  <c r="AU302" i="1"/>
  <c r="AU163" i="1"/>
  <c r="AU172" i="1"/>
  <c r="AU184" i="1"/>
  <c r="AU269" i="1"/>
  <c r="AU192" i="1"/>
  <c r="AU244" i="1"/>
  <c r="AH282" i="1"/>
  <c r="AJ282" i="1"/>
  <c r="AK282" i="1"/>
  <c r="AI282" i="1"/>
  <c r="AJ303" i="1"/>
  <c r="AK303" i="1"/>
  <c r="AI303" i="1"/>
  <c r="AH303" i="1"/>
  <c r="AI304" i="1"/>
  <c r="AH304" i="1"/>
  <c r="AJ304" i="1"/>
  <c r="AK304" i="1"/>
  <c r="AH278" i="1"/>
  <c r="AJ278" i="1"/>
  <c r="AI278" i="1"/>
  <c r="AK278" i="1"/>
  <c r="AK286" i="1"/>
  <c r="AI286" i="1"/>
  <c r="AJ286" i="1"/>
  <c r="AH286" i="1"/>
  <c r="AH283" i="1"/>
  <c r="AK283" i="1"/>
  <c r="AJ283" i="1"/>
  <c r="AI283" i="1"/>
  <c r="AI265" i="1"/>
  <c r="AK265" i="1"/>
  <c r="AH265" i="1"/>
  <c r="AJ265" i="1"/>
  <c r="AI274" i="1"/>
  <c r="AH274" i="1"/>
  <c r="AJ274" i="1"/>
  <c r="AK274" i="1"/>
  <c r="AJ287" i="1"/>
  <c r="AK287" i="1"/>
  <c r="AI287" i="1"/>
  <c r="AH287" i="1"/>
  <c r="AI268" i="1"/>
  <c r="AK268" i="1"/>
  <c r="AJ268" i="1"/>
  <c r="AH268" i="1"/>
  <c r="AI300" i="1"/>
  <c r="AK300" i="1"/>
  <c r="AH300" i="1"/>
  <c r="AJ300" i="1"/>
  <c r="AJ305" i="1"/>
  <c r="AK305" i="1"/>
  <c r="AI305" i="1"/>
  <c r="AH305" i="1"/>
  <c r="AI271" i="1"/>
  <c r="AH271" i="1"/>
  <c r="AK271" i="1"/>
  <c r="AJ271" i="1"/>
  <c r="AH270" i="1"/>
  <c r="AK270" i="1"/>
  <c r="AI270" i="1"/>
  <c r="AJ270" i="1"/>
  <c r="AJ277" i="1"/>
  <c r="AI277" i="1"/>
  <c r="AK277" i="1"/>
  <c r="AH277" i="1"/>
  <c r="AH295" i="1"/>
  <c r="AI295" i="1"/>
  <c r="AK295" i="1"/>
  <c r="AJ295" i="1"/>
  <c r="AH275" i="1"/>
  <c r="AI275" i="1"/>
  <c r="AK275" i="1"/>
  <c r="AJ275" i="1"/>
  <c r="AH292" i="1"/>
  <c r="AJ292" i="1"/>
  <c r="AK292" i="1"/>
  <c r="AI292" i="1"/>
  <c r="AJ260" i="1"/>
  <c r="AI260" i="1"/>
  <c r="AH260" i="1"/>
  <c r="AK260" i="1"/>
  <c r="AJ307" i="1"/>
  <c r="AH307" i="1"/>
  <c r="AI307" i="1"/>
  <c r="AK307" i="1"/>
  <c r="AH280" i="1"/>
  <c r="AI280" i="1"/>
  <c r="AJ280" i="1"/>
  <c r="AK280" i="1"/>
  <c r="AK261" i="1"/>
  <c r="AI261" i="1"/>
  <c r="AJ261" i="1"/>
  <c r="AH261" i="1"/>
  <c r="AH310" i="1"/>
  <c r="AJ310" i="1"/>
  <c r="AK310" i="1"/>
  <c r="AI310" i="1"/>
  <c r="AH257" i="1"/>
  <c r="AJ257" i="1"/>
  <c r="AI257" i="1"/>
  <c r="AK257" i="1"/>
  <c r="AJ281" i="1"/>
  <c r="AH281" i="1"/>
  <c r="AI281" i="1"/>
  <c r="AK281" i="1"/>
  <c r="AK288" i="1"/>
  <c r="AH288" i="1"/>
  <c r="AJ288" i="1"/>
  <c r="AI288" i="1"/>
  <c r="AK254" i="1"/>
  <c r="AI254" i="1"/>
  <c r="AH254" i="1"/>
  <c r="AJ254" i="1"/>
  <c r="AI309" i="1"/>
  <c r="AH309" i="1"/>
  <c r="AJ309" i="1"/>
  <c r="AK309" i="1"/>
  <c r="AH272" i="1"/>
  <c r="AK272" i="1"/>
  <c r="AJ272" i="1"/>
  <c r="AI272" i="1"/>
  <c r="AH296" i="1"/>
  <c r="AI296" i="1"/>
  <c r="AK296" i="1"/>
  <c r="AJ296" i="1"/>
  <c r="AJ293" i="1"/>
  <c r="AH293" i="1"/>
  <c r="AK293" i="1"/>
  <c r="AI293" i="1"/>
  <c r="AJ302" i="1"/>
  <c r="AK302" i="1"/>
  <c r="AI302" i="1"/>
  <c r="AH302" i="1"/>
  <c r="AK273" i="1"/>
  <c r="AH273" i="1"/>
  <c r="AI273" i="1"/>
  <c r="AJ273" i="1"/>
  <c r="AH276" i="1"/>
  <c r="AJ276" i="1"/>
  <c r="AI276" i="1"/>
  <c r="AK276" i="1"/>
  <c r="AI284" i="1"/>
  <c r="AH284" i="1"/>
  <c r="AJ284" i="1"/>
  <c r="AK284" i="1"/>
  <c r="AJ259" i="1"/>
  <c r="AH259" i="1"/>
  <c r="AI259" i="1"/>
  <c r="AK259" i="1"/>
  <c r="AI301" i="1"/>
  <c r="AH301" i="1"/>
  <c r="AJ301" i="1"/>
  <c r="AK301" i="1"/>
  <c r="AH294" i="1"/>
  <c r="AI294" i="1"/>
  <c r="AK294" i="1"/>
  <c r="AJ294" i="1"/>
  <c r="AH279" i="1"/>
  <c r="AJ279" i="1"/>
  <c r="AK279" i="1"/>
  <c r="AI279" i="1"/>
  <c r="AK258" i="1"/>
  <c r="AH258" i="1"/>
  <c r="AI258" i="1"/>
  <c r="AJ258" i="1"/>
  <c r="AH297" i="1"/>
  <c r="AK297" i="1"/>
  <c r="AI297" i="1"/>
  <c r="AJ297" i="1"/>
  <c r="AH269" i="1"/>
  <c r="AJ269" i="1"/>
  <c r="AI269" i="1"/>
  <c r="AK269" i="1"/>
  <c r="AI263" i="1"/>
  <c r="AJ263" i="1"/>
  <c r="AH263" i="1"/>
  <c r="AK263" i="1"/>
  <c r="AH290" i="1"/>
  <c r="AJ290" i="1"/>
  <c r="AK290" i="1"/>
  <c r="AI290" i="1"/>
  <c r="AJ289" i="1"/>
  <c r="AK289" i="1"/>
  <c r="AI289" i="1"/>
  <c r="AH289" i="1"/>
  <c r="AJ308" i="1"/>
  <c r="AK308" i="1"/>
  <c r="AH308" i="1"/>
  <c r="AI308" i="1"/>
  <c r="AK264" i="1"/>
  <c r="AJ264" i="1"/>
  <c r="AH264" i="1"/>
  <c r="AI264" i="1"/>
  <c r="AH266" i="1"/>
  <c r="AI266" i="1"/>
  <c r="AJ266" i="1"/>
  <c r="AK266" i="1"/>
  <c r="AK285" i="1"/>
  <c r="AI285" i="1"/>
  <c r="AJ285" i="1"/>
  <c r="AH285" i="1"/>
  <c r="AK291" i="1"/>
  <c r="AJ291" i="1"/>
  <c r="AH291" i="1"/>
  <c r="AI291" i="1"/>
  <c r="AK255" i="1"/>
  <c r="AI255" i="1"/>
  <c r="AJ255" i="1"/>
  <c r="AH255" i="1"/>
  <c r="AI299" i="1"/>
  <c r="AJ299" i="1"/>
  <c r="AH299" i="1"/>
  <c r="AK299" i="1"/>
  <c r="AJ267" i="1"/>
  <c r="AK267" i="1"/>
  <c r="AH267" i="1"/>
  <c r="AI267" i="1"/>
  <c r="AK298" i="1"/>
  <c r="AI298" i="1"/>
  <c r="AJ298" i="1"/>
  <c r="AH298" i="1"/>
  <c r="AK256" i="1"/>
  <c r="AJ256" i="1"/>
  <c r="AI256" i="1"/>
  <c r="AH256" i="1"/>
  <c r="AI262" i="1"/>
  <c r="AK262" i="1"/>
  <c r="AH262" i="1"/>
  <c r="AJ262" i="1"/>
  <c r="AJ306" i="1"/>
  <c r="AK306" i="1"/>
  <c r="AH306" i="1"/>
  <c r="AI306" i="1"/>
  <c r="AU266" i="1"/>
  <c r="AU282" i="1"/>
  <c r="AU303" i="1"/>
  <c r="AU304" i="1"/>
  <c r="AU290" i="1"/>
  <c r="AU159" i="1"/>
  <c r="AU278" i="1"/>
  <c r="AU253" i="1"/>
  <c r="AU286" i="1"/>
  <c r="AU283" i="1"/>
  <c r="AU171" i="1"/>
  <c r="AU189" i="1"/>
  <c r="AU287" i="1"/>
  <c r="AU173" i="1"/>
  <c r="AU225" i="1"/>
  <c r="AU293" i="1"/>
  <c r="AU233" i="1"/>
  <c r="AU151" i="1"/>
  <c r="AU232" i="1"/>
  <c r="AU221" i="1"/>
  <c r="AU165" i="1"/>
  <c r="AU205" i="1"/>
  <c r="AU306" i="1"/>
  <c r="AU271" i="1"/>
  <c r="AU247" i="1"/>
  <c r="AU255" i="1"/>
  <c r="AU270" i="1"/>
  <c r="AU251" i="1"/>
  <c r="AU252" i="1"/>
  <c r="AU153" i="1"/>
  <c r="AU295" i="1"/>
  <c r="AU213" i="1"/>
  <c r="AU226" i="1"/>
  <c r="AU292" i="1"/>
  <c r="AU148" i="1"/>
  <c r="AU230" i="1"/>
  <c r="AU294" i="1"/>
  <c r="AU154" i="1"/>
  <c r="AU203" i="1"/>
  <c r="AU300" i="1"/>
  <c r="AU182" i="1"/>
  <c r="AU242" i="1"/>
  <c r="AU246" i="1"/>
  <c r="AU183" i="1"/>
  <c r="AU191" i="1"/>
  <c r="AU222" i="1"/>
  <c r="AU162" i="1"/>
  <c r="AU164" i="1"/>
  <c r="AU185" i="1"/>
  <c r="AU147" i="1"/>
  <c r="AU169" i="1"/>
  <c r="AU168" i="1"/>
  <c r="AU155" i="1"/>
  <c r="AU179" i="1"/>
  <c r="AU309" i="1"/>
  <c r="AU272" i="1"/>
  <c r="AU275" i="1"/>
  <c r="AU296" i="1"/>
  <c r="AU149" i="1"/>
  <c r="AU274" i="1"/>
  <c r="AU170" i="1"/>
  <c r="AU239" i="1"/>
  <c r="AU273" i="1"/>
  <c r="AU280" i="1"/>
  <c r="AU289" i="1"/>
  <c r="AU220" i="1"/>
  <c r="AU262" i="1"/>
  <c r="AU177" i="1"/>
  <c r="AU284" i="1"/>
  <c r="AU259" i="1"/>
  <c r="AU301" i="1"/>
  <c r="AU181" i="1"/>
  <c r="AU279" i="1"/>
  <c r="AU209" i="1"/>
  <c r="AU297" i="1"/>
  <c r="AU263" i="1"/>
  <c r="AU188" i="1"/>
  <c r="AU212" i="1"/>
  <c r="AU288" i="1"/>
  <c r="AU146" i="1"/>
  <c r="AU198" i="1"/>
  <c r="AU308" i="1"/>
  <c r="AU200" i="1"/>
  <c r="AU144" i="1"/>
  <c r="AU176" i="1"/>
  <c r="AU236" i="1"/>
  <c r="AU285" i="1"/>
  <c r="AU291" i="1"/>
  <c r="AU245" i="1"/>
  <c r="AU218" i="1"/>
  <c r="AU265" i="1"/>
  <c r="AU264" i="1"/>
  <c r="AU241" i="1"/>
  <c r="AU152" i="1"/>
  <c r="AU190" i="1"/>
  <c r="AU298" i="1"/>
  <c r="AU256" i="1"/>
  <c r="AU267" i="1"/>
  <c r="AU145" i="1"/>
  <c r="AU178" i="1"/>
  <c r="AU197" i="1"/>
  <c r="AU240" i="1"/>
  <c r="AU307" i="1"/>
  <c r="AU156" i="1"/>
  <c r="AU215" i="1"/>
  <c r="AU202" i="1"/>
  <c r="AU186" i="1"/>
  <c r="AU157" i="1"/>
  <c r="AU257" i="1"/>
  <c r="AO250" i="1"/>
  <c r="AL249" i="1"/>
  <c r="AL176" i="1"/>
  <c r="AL158" i="1"/>
  <c r="AL147" i="1"/>
  <c r="AL156" i="1"/>
  <c r="AL148" i="1"/>
  <c r="AL208" i="1"/>
  <c r="AO155" i="1"/>
  <c r="AO248" i="1"/>
  <c r="AL179" i="1"/>
  <c r="AL175" i="1"/>
  <c r="AO235" i="1"/>
  <c r="AO231" i="1"/>
  <c r="AL246" i="1"/>
  <c r="AL203" i="1"/>
  <c r="AL149" i="1"/>
  <c r="AO236" i="1"/>
  <c r="AL207" i="1"/>
  <c r="AO201" i="1"/>
  <c r="AL218" i="1"/>
  <c r="AO162" i="1"/>
  <c r="AL188" i="1"/>
  <c r="AO189" i="1"/>
  <c r="AO150" i="1"/>
  <c r="AL210" i="1"/>
  <c r="AL180" i="1"/>
  <c r="AL165" i="1"/>
  <c r="AO230" i="1"/>
  <c r="AL209" i="1"/>
  <c r="AL221" i="1"/>
  <c r="AL225" i="1"/>
  <c r="AO206" i="1"/>
  <c r="AL223" i="1"/>
  <c r="AL232" i="1"/>
  <c r="AL233" i="1"/>
  <c r="AO168" i="1"/>
  <c r="AO167" i="1"/>
  <c r="AO182" i="1"/>
  <c r="AL216" i="1"/>
  <c r="AO177" i="1"/>
  <c r="AL212" i="1"/>
  <c r="AL160" i="1"/>
  <c r="AL222" i="1"/>
  <c r="AO224" i="1"/>
  <c r="AO187" i="1"/>
  <c r="AO228" i="1"/>
  <c r="AO217" i="1"/>
  <c r="AL190" i="1"/>
  <c r="AL161" i="1"/>
  <c r="AO154" i="1"/>
  <c r="AL244" i="1"/>
  <c r="AL199" i="1"/>
  <c r="AL242" i="1"/>
  <c r="AL202" i="1"/>
  <c r="AL204" i="1"/>
  <c r="AL166" i="1"/>
  <c r="AO192" i="1"/>
  <c r="AL153" i="1"/>
  <c r="AO169" i="1"/>
  <c r="AO174" i="1"/>
  <c r="AL247" i="1"/>
  <c r="AL170" i="1"/>
  <c r="AO171" i="1"/>
  <c r="AO237" i="1"/>
  <c r="AO195" i="1"/>
  <c r="AO193" i="1"/>
  <c r="AL229" i="1"/>
  <c r="AO214" i="1"/>
  <c r="AL152" i="1"/>
  <c r="AO238" i="1"/>
  <c r="AO185" i="1"/>
  <c r="AL186" i="1"/>
  <c r="AO241" i="1"/>
  <c r="AO220" i="1"/>
  <c r="AL184" i="1"/>
  <c r="AL200" i="1"/>
  <c r="AL194" i="1"/>
  <c r="AO196" i="1"/>
  <c r="AL234" i="1"/>
  <c r="AL197" i="1"/>
  <c r="AL240" i="1"/>
  <c r="AO173" i="1"/>
  <c r="AO239" i="1"/>
  <c r="AO183" i="1"/>
  <c r="AL164" i="1"/>
  <c r="AO219" i="1"/>
  <c r="AO198" i="1"/>
  <c r="AL163" i="1"/>
  <c r="AL215" i="1"/>
  <c r="AL245" i="1"/>
  <c r="AO226" i="1"/>
  <c r="AO157" i="1"/>
  <c r="AO243" i="1"/>
  <c r="AO227" i="1"/>
  <c r="AO172" i="1"/>
  <c r="AO191" i="1"/>
  <c r="AL211" i="1"/>
  <c r="AO213" i="1"/>
  <c r="AL205" i="1"/>
  <c r="BE107" i="1"/>
  <c r="S253" i="1"/>
  <c r="T307" i="1"/>
  <c r="S310" i="1"/>
  <c r="S282" i="1"/>
  <c r="S277" i="1"/>
  <c r="T266" i="1"/>
  <c r="S303" i="1"/>
  <c r="T267" i="1"/>
  <c r="T271" i="1"/>
  <c r="T265" i="1"/>
  <c r="S151" i="1"/>
  <c r="S293" i="1"/>
  <c r="S309" i="1"/>
  <c r="T260" i="1"/>
  <c r="T300" i="1"/>
  <c r="T292" i="1"/>
  <c r="T280" i="1"/>
  <c r="T301" i="1"/>
  <c r="T302" i="1"/>
  <c r="S272" i="1"/>
  <c r="S297" i="1"/>
  <c r="S285" i="1"/>
  <c r="S290" i="1"/>
  <c r="T270" i="1"/>
  <c r="T289" i="1"/>
  <c r="S279" i="1"/>
  <c r="T306" i="1"/>
  <c r="T274" i="1"/>
  <c r="S298" i="1"/>
  <c r="T296" i="1"/>
  <c r="T256" i="1"/>
  <c r="T264" i="1"/>
  <c r="T277" i="1"/>
  <c r="T252" i="1"/>
  <c r="T303" i="1"/>
  <c r="T284" i="1"/>
  <c r="S283" i="1"/>
  <c r="S294" i="1"/>
  <c r="T144" i="1"/>
  <c r="S273" i="1"/>
  <c r="S144" i="1"/>
  <c r="T309" i="1"/>
  <c r="T262" i="1"/>
  <c r="S276" i="1"/>
  <c r="S284" i="1"/>
  <c r="T258" i="1"/>
  <c r="S265" i="1"/>
  <c r="T297" i="1"/>
  <c r="S307" i="1"/>
  <c r="T294" i="1"/>
  <c r="T273" i="1"/>
  <c r="T278" i="1"/>
  <c r="S296" i="1"/>
  <c r="S288" i="1"/>
  <c r="S259" i="1"/>
  <c r="S256" i="1"/>
  <c r="S146" i="1"/>
  <c r="S302" i="1"/>
  <c r="S266" i="1"/>
  <c r="S306" i="1"/>
  <c r="S267" i="1"/>
  <c r="T281" i="1"/>
  <c r="S278" i="1"/>
  <c r="T151" i="1"/>
  <c r="S281" i="1"/>
  <c r="S295" i="1"/>
  <c r="T276" i="1"/>
  <c r="S286" i="1"/>
  <c r="S264" i="1"/>
  <c r="T159" i="1"/>
  <c r="T282" i="1"/>
  <c r="S271" i="1"/>
  <c r="S261" i="1"/>
  <c r="S274" i="1"/>
  <c r="T285" i="1"/>
  <c r="T269" i="1"/>
  <c r="T272" i="1"/>
  <c r="S254" i="1"/>
  <c r="T279" i="1"/>
  <c r="T290" i="1"/>
  <c r="S292" i="1"/>
  <c r="T304" i="1"/>
  <c r="T261" i="1"/>
  <c r="S289" i="1"/>
  <c r="T268" i="1"/>
  <c r="S268" i="1"/>
  <c r="T288" i="1"/>
  <c r="T146" i="1"/>
  <c r="S308" i="1"/>
  <c r="T253" i="1"/>
  <c r="S252" i="1"/>
  <c r="T286" i="1"/>
  <c r="S301" i="1"/>
  <c r="T259" i="1"/>
  <c r="T293" i="1"/>
  <c r="S280" i="1"/>
  <c r="S304" i="1"/>
  <c r="T310" i="1"/>
  <c r="S300" i="1"/>
  <c r="T263" i="1"/>
  <c r="S159" i="1"/>
  <c r="T298" i="1"/>
  <c r="U145" i="1" l="1"/>
  <c r="U281" i="1"/>
  <c r="U308" i="1"/>
  <c r="U293" i="1"/>
  <c r="U264" i="1"/>
  <c r="U274" i="1"/>
  <c r="U302" i="1"/>
  <c r="U290" i="1"/>
  <c r="U296" i="1"/>
  <c r="U280" i="1"/>
  <c r="U298" i="1"/>
  <c r="U289" i="1"/>
  <c r="U268" i="1"/>
  <c r="U283" i="1"/>
  <c r="U279" i="1"/>
  <c r="U256" i="1"/>
  <c r="U292" i="1"/>
  <c r="U258" i="1"/>
  <c r="AO258" i="1" s="1"/>
  <c r="U278" i="1"/>
  <c r="U304" i="1"/>
  <c r="U297" i="1"/>
  <c r="U303" i="1"/>
  <c r="U288" i="1"/>
  <c r="U282" i="1"/>
  <c r="U286" i="1"/>
  <c r="U269" i="1"/>
  <c r="AO269" i="1" s="1"/>
  <c r="U310" i="1"/>
  <c r="U295" i="1"/>
  <c r="U267" i="1"/>
  <c r="U273" i="1"/>
  <c r="U300" i="1"/>
  <c r="U306" i="1"/>
  <c r="U301" i="1"/>
  <c r="U284" i="1"/>
  <c r="U253" i="1"/>
  <c r="U260" i="1"/>
  <c r="W260" i="1" s="1"/>
  <c r="U271" i="1"/>
  <c r="U294" i="1"/>
  <c r="U307" i="1"/>
  <c r="U252" i="1"/>
  <c r="U263" i="1"/>
  <c r="AO263" i="1" s="1"/>
  <c r="U285" i="1"/>
  <c r="U277" i="1"/>
  <c r="U261" i="1"/>
  <c r="U276" i="1"/>
  <c r="U266" i="1"/>
  <c r="U309" i="1"/>
  <c r="U265" i="1"/>
  <c r="U259" i="1"/>
  <c r="U254" i="1"/>
  <c r="U262" i="1"/>
  <c r="W262" i="1" s="1"/>
  <c r="U272" i="1"/>
  <c r="U270" i="1"/>
  <c r="AL270" i="1" s="1"/>
  <c r="U151" i="1"/>
  <c r="U144" i="1"/>
  <c r="U146" i="1"/>
  <c r="U159" i="1"/>
  <c r="U178" i="1"/>
  <c r="U181" i="1"/>
  <c r="W287" i="1"/>
  <c r="AO287" i="1"/>
  <c r="AL287" i="1"/>
  <c r="W251" i="1"/>
  <c r="W299" i="1"/>
  <c r="AL299" i="1"/>
  <c r="AO299" i="1"/>
  <c r="W305" i="1"/>
  <c r="AL305" i="1"/>
  <c r="AO305" i="1"/>
  <c r="W291" i="1"/>
  <c r="AL291" i="1"/>
  <c r="AO291" i="1"/>
  <c r="W255" i="1"/>
  <c r="AO255" i="1"/>
  <c r="AL255" i="1"/>
  <c r="W275" i="1"/>
  <c r="AL275" i="1"/>
  <c r="AO275" i="1"/>
  <c r="W257" i="1"/>
  <c r="AL257" i="1"/>
  <c r="AO257" i="1"/>
  <c r="W195" i="1"/>
  <c r="AM195" i="1" s="1"/>
  <c r="W149" i="1"/>
  <c r="AM149" i="1" s="1"/>
  <c r="W152" i="1"/>
  <c r="AM152" i="1" s="1"/>
  <c r="W164" i="1"/>
  <c r="AM164" i="1" s="1"/>
  <c r="W148" i="1"/>
  <c r="AM148" i="1" s="1"/>
  <c r="W147" i="1"/>
  <c r="W166" i="1"/>
  <c r="AM166" i="1" s="1"/>
  <c r="W196" i="1"/>
  <c r="AM196" i="1" s="1"/>
  <c r="W153" i="1"/>
  <c r="AM153" i="1" s="1"/>
  <c r="W150" i="1"/>
  <c r="AM150" i="1" s="1"/>
  <c r="W201" i="1"/>
  <c r="AM201" i="1" s="1"/>
  <c r="W198" i="1"/>
  <c r="AM198" i="1" s="1"/>
  <c r="W204" i="1"/>
  <c r="AM204" i="1" s="1"/>
  <c r="W197" i="1"/>
  <c r="AM197" i="1" s="1"/>
  <c r="W167" i="1"/>
  <c r="AM167" i="1" s="1"/>
  <c r="W202" i="1"/>
  <c r="AM202" i="1" s="1"/>
  <c r="W234" i="1"/>
  <c r="AM234" i="1" s="1"/>
  <c r="W205" i="1"/>
  <c r="AM205" i="1" s="1"/>
  <c r="W206" i="1"/>
  <c r="AM206" i="1" s="1"/>
  <c r="W155" i="1"/>
  <c r="AM155" i="1" s="1"/>
  <c r="W156" i="1"/>
  <c r="AM156" i="1" s="1"/>
  <c r="W194" i="1"/>
  <c r="AM194" i="1" s="1"/>
  <c r="W208" i="1"/>
  <c r="AM208" i="1" s="1"/>
  <c r="W154" i="1"/>
  <c r="AM154" i="1" s="1"/>
  <c r="W162" i="1"/>
  <c r="AM162" i="1" s="1"/>
  <c r="W177" i="1"/>
  <c r="AM177" i="1" s="1"/>
  <c r="W175" i="1"/>
  <c r="AM175" i="1" s="1"/>
  <c r="W170" i="1"/>
  <c r="AM170" i="1" s="1"/>
  <c r="W199" i="1"/>
  <c r="AM199" i="1" s="1"/>
  <c r="W169" i="1"/>
  <c r="AM169" i="1" s="1"/>
  <c r="W203" i="1"/>
  <c r="AM203" i="1" s="1"/>
  <c r="W215" i="1"/>
  <c r="AM215" i="1" s="1"/>
  <c r="W224" i="1"/>
  <c r="AM224" i="1" s="1"/>
  <c r="W157" i="1"/>
  <c r="AM157" i="1" s="1"/>
  <c r="W216" i="1"/>
  <c r="AM216" i="1" s="1"/>
  <c r="W163" i="1"/>
  <c r="AM163" i="1" s="1"/>
  <c r="W219" i="1"/>
  <c r="AM219" i="1" s="1"/>
  <c r="W174" i="1"/>
  <c r="AM174" i="1" s="1"/>
  <c r="W160" i="1"/>
  <c r="AM160" i="1" s="1"/>
  <c r="W165" i="1"/>
  <c r="AM165" i="1" s="1"/>
  <c r="W211" i="1"/>
  <c r="AM211" i="1" s="1"/>
  <c r="W212" i="1"/>
  <c r="AM212" i="1" s="1"/>
  <c r="W217" i="1"/>
  <c r="AM217" i="1" s="1"/>
  <c r="W235" i="1"/>
  <c r="AM235" i="1" s="1"/>
  <c r="W172" i="1"/>
  <c r="AM172" i="1" s="1"/>
  <c r="W207" i="1"/>
  <c r="AM207" i="1" s="1"/>
  <c r="W179" i="1"/>
  <c r="AM179" i="1" s="1"/>
  <c r="W247" i="1"/>
  <c r="AM247" i="1" s="1"/>
  <c r="W173" i="1"/>
  <c r="AM173" i="1" s="1"/>
  <c r="W239" i="1"/>
  <c r="AM239" i="1" s="1"/>
  <c r="W233" i="1"/>
  <c r="AM233" i="1" s="1"/>
  <c r="W192" i="1"/>
  <c r="AM192" i="1" s="1"/>
  <c r="W213" i="1"/>
  <c r="AM213" i="1" s="1"/>
  <c r="W191" i="1"/>
  <c r="AM191" i="1" s="1"/>
  <c r="W232" i="1"/>
  <c r="AM232" i="1" s="1"/>
  <c r="W200" i="1"/>
  <c r="AM200" i="1" s="1"/>
  <c r="W187" i="1"/>
  <c r="AM187" i="1" s="1"/>
  <c r="W240" i="1"/>
  <c r="AM240" i="1" s="1"/>
  <c r="W222" i="1"/>
  <c r="AM222" i="1" s="1"/>
  <c r="W238" i="1"/>
  <c r="AM238" i="1" s="1"/>
  <c r="W188" i="1"/>
  <c r="AM188" i="1" s="1"/>
  <c r="W223" i="1"/>
  <c r="AM223" i="1" s="1"/>
  <c r="W182" i="1"/>
  <c r="AM182" i="1" s="1"/>
  <c r="W185" i="1"/>
  <c r="AM185" i="1" s="1"/>
  <c r="W225" i="1"/>
  <c r="AM225" i="1" s="1"/>
  <c r="W220" i="1"/>
  <c r="AM220" i="1" s="1"/>
  <c r="W221" i="1"/>
  <c r="AM221" i="1" s="1"/>
  <c r="W244" i="1"/>
  <c r="AM244" i="1" s="1"/>
  <c r="W210" i="1"/>
  <c r="AM210" i="1" s="1"/>
  <c r="W227" i="1"/>
  <c r="AM227" i="1" s="1"/>
  <c r="W189" i="1"/>
  <c r="AM189" i="1" s="1"/>
  <c r="W171" i="1"/>
  <c r="AM171" i="1" s="1"/>
  <c r="W158" i="1"/>
  <c r="AM158" i="1" s="1"/>
  <c r="W184" i="1"/>
  <c r="AM184" i="1" s="1"/>
  <c r="W190" i="1"/>
  <c r="AM190" i="1" s="1"/>
  <c r="W246" i="1"/>
  <c r="AM246" i="1" s="1"/>
  <c r="W193" i="1"/>
  <c r="AM193" i="1" s="1"/>
  <c r="W183" i="1"/>
  <c r="AM183" i="1" s="1"/>
  <c r="W218" i="1"/>
  <c r="AM218" i="1" s="1"/>
  <c r="W209" i="1"/>
  <c r="AM209" i="1" s="1"/>
  <c r="W245" i="1"/>
  <c r="AM245" i="1" s="1"/>
  <c r="W168" i="1"/>
  <c r="AM168" i="1" s="1"/>
  <c r="W226" i="1"/>
  <c r="AM226" i="1" s="1"/>
  <c r="W214" i="1"/>
  <c r="AM214" i="1" s="1"/>
  <c r="W161" i="1"/>
  <c r="AM161" i="1" s="1"/>
  <c r="W180" i="1"/>
  <c r="AM180" i="1" s="1"/>
  <c r="W231" i="1"/>
  <c r="AM231" i="1" s="1"/>
  <c r="W228" i="1"/>
  <c r="AM228" i="1" s="1"/>
  <c r="W237" i="1"/>
  <c r="AM237" i="1" s="1"/>
  <c r="W236" i="1"/>
  <c r="AM236" i="1" s="1"/>
  <c r="W186" i="1"/>
  <c r="AM186" i="1" s="1"/>
  <c r="W176" i="1"/>
  <c r="AM176" i="1" s="1"/>
  <c r="W241" i="1"/>
  <c r="AM241" i="1" s="1"/>
  <c r="W250" i="1"/>
  <c r="W230" i="1"/>
  <c r="AM230" i="1" s="1"/>
  <c r="W243" i="1"/>
  <c r="AM243" i="1" s="1"/>
  <c r="W229" i="1"/>
  <c r="AM229" i="1" s="1"/>
  <c r="W242" i="1"/>
  <c r="AM242" i="1" s="1"/>
  <c r="W248" i="1"/>
  <c r="W249" i="1"/>
  <c r="AU105" i="1"/>
  <c r="AU68" i="1"/>
  <c r="AU85" i="1"/>
  <c r="AU44" i="1"/>
  <c r="AU69" i="1"/>
  <c r="AU89" i="1"/>
  <c r="AU19" i="1"/>
  <c r="AU15" i="1"/>
  <c r="AU77" i="1"/>
  <c r="AU100" i="1"/>
  <c r="AU32" i="1"/>
  <c r="AU13" i="1"/>
  <c r="AU86" i="1"/>
  <c r="AU67" i="1"/>
  <c r="AU45" i="1"/>
  <c r="AU25" i="1"/>
  <c r="AU104" i="1"/>
  <c r="AU30" i="1"/>
  <c r="AU47" i="1"/>
  <c r="AU106" i="1"/>
  <c r="AU12" i="1"/>
  <c r="AU90" i="1"/>
  <c r="AU95" i="1"/>
  <c r="AU55" i="1"/>
  <c r="AU24" i="1"/>
  <c r="AU33" i="1"/>
  <c r="AU22" i="1"/>
  <c r="AU54" i="1"/>
  <c r="AU29" i="1"/>
  <c r="AU21" i="1"/>
  <c r="AU62" i="1"/>
  <c r="AU42" i="1"/>
  <c r="AU82" i="1"/>
  <c r="AU102" i="1"/>
  <c r="AU37" i="1"/>
  <c r="AU51" i="1"/>
  <c r="AU74" i="1"/>
  <c r="AU72" i="1"/>
  <c r="AU27" i="1"/>
  <c r="AU16" i="1"/>
  <c r="AU39" i="1"/>
  <c r="AU63" i="1"/>
  <c r="AU41" i="1"/>
  <c r="AU56" i="1"/>
  <c r="AU31" i="1"/>
  <c r="AU84" i="1"/>
  <c r="AU76" i="1"/>
  <c r="AU52" i="1"/>
  <c r="AU17" i="1"/>
  <c r="AU46" i="1"/>
  <c r="AU91" i="1"/>
  <c r="AU93" i="1"/>
  <c r="AU73" i="1"/>
  <c r="AU26" i="1"/>
  <c r="AU96" i="1"/>
  <c r="AU70" i="1"/>
  <c r="AU80" i="1"/>
  <c r="AU78" i="1"/>
  <c r="AU64" i="1"/>
  <c r="AU71" i="1"/>
  <c r="AU34" i="1"/>
  <c r="AU36" i="1"/>
  <c r="AU59" i="1"/>
  <c r="AU99" i="1"/>
  <c r="AU88" i="1"/>
  <c r="AU48" i="1"/>
  <c r="AU49" i="1"/>
  <c r="AU50" i="1"/>
  <c r="AU23" i="1"/>
  <c r="AU103" i="1"/>
  <c r="AU79" i="1"/>
  <c r="AU43" i="1"/>
  <c r="AU11" i="1"/>
  <c r="AU65" i="1"/>
  <c r="AU18" i="1"/>
  <c r="AU40" i="1"/>
  <c r="AU61" i="1"/>
  <c r="AU94" i="1"/>
  <c r="AU98" i="1"/>
  <c r="AU87" i="1"/>
  <c r="AU83" i="1"/>
  <c r="AU60" i="1"/>
  <c r="AU35" i="1"/>
  <c r="AU58" i="1"/>
  <c r="AU57" i="1"/>
  <c r="AU97" i="1"/>
  <c r="AU75" i="1"/>
  <c r="AU92" i="1"/>
  <c r="AU28" i="1"/>
  <c r="AU81" i="1"/>
  <c r="AU53" i="1"/>
  <c r="AU101" i="1"/>
  <c r="AU20" i="1"/>
  <c r="AU14" i="1"/>
  <c r="AU66" i="1"/>
  <c r="AU38" i="1"/>
  <c r="AU107" i="1"/>
  <c r="AL251" i="1"/>
  <c r="AL250" i="1"/>
  <c r="AO251" i="1"/>
  <c r="AO249" i="1"/>
  <c r="AO156" i="1"/>
  <c r="AO175" i="1"/>
  <c r="AO158" i="1"/>
  <c r="AL155" i="1"/>
  <c r="AO176" i="1"/>
  <c r="AO208" i="1"/>
  <c r="AL248" i="1"/>
  <c r="AO145" i="1"/>
  <c r="AO148" i="1"/>
  <c r="AO179" i="1"/>
  <c r="AO147" i="1"/>
  <c r="AL198" i="1"/>
  <c r="AO211" i="1"/>
  <c r="AL183" i="1"/>
  <c r="AO240" i="1"/>
  <c r="AL172" i="1"/>
  <c r="AL167" i="1"/>
  <c r="AL150" i="1"/>
  <c r="AO186" i="1"/>
  <c r="AO205" i="1"/>
  <c r="AO197" i="1"/>
  <c r="AO152" i="1"/>
  <c r="AL177" i="1"/>
  <c r="AO218" i="1"/>
  <c r="AO160" i="1"/>
  <c r="AL201" i="1"/>
  <c r="AO161" i="1"/>
  <c r="AO210" i="1"/>
  <c r="AL230" i="1"/>
  <c r="AO242" i="1"/>
  <c r="AO180" i="1"/>
  <c r="AL157" i="1"/>
  <c r="AL243" i="1"/>
  <c r="AO215" i="1"/>
  <c r="AO221" i="1"/>
  <c r="AO200" i="1"/>
  <c r="AO166" i="1"/>
  <c r="AO212" i="1"/>
  <c r="AL173" i="1"/>
  <c r="AO246" i="1"/>
  <c r="AL193" i="1"/>
  <c r="AL168" i="1"/>
  <c r="AL213" i="1"/>
  <c r="AL239" i="1"/>
  <c r="AL231" i="1"/>
  <c r="AO233" i="1"/>
  <c r="AL187" i="1"/>
  <c r="AL214" i="1"/>
  <c r="AO216" i="1"/>
  <c r="AO225" i="1"/>
  <c r="AL196" i="1"/>
  <c r="AO247" i="1"/>
  <c r="AL220" i="1"/>
  <c r="AL182" i="1"/>
  <c r="AL162" i="1"/>
  <c r="AL238" i="1"/>
  <c r="AO204" i="1"/>
  <c r="AL224" i="1"/>
  <c r="AO244" i="1"/>
  <c r="AL192" i="1"/>
  <c r="AO222" i="1"/>
  <c r="AL174" i="1"/>
  <c r="AL154" i="1"/>
  <c r="AO194" i="1"/>
  <c r="AO164" i="1"/>
  <c r="AO153" i="1"/>
  <c r="AO202" i="1"/>
  <c r="AL171" i="1"/>
  <c r="AL241" i="1"/>
  <c r="AL236" i="1"/>
  <c r="AL191" i="1"/>
  <c r="AO199" i="1"/>
  <c r="AL228" i="1"/>
  <c r="AO234" i="1"/>
  <c r="AL226" i="1"/>
  <c r="AL219" i="1"/>
  <c r="AO190" i="1"/>
  <c r="AL169" i="1"/>
  <c r="AO203" i="1"/>
  <c r="AO188" i="1"/>
  <c r="AO184" i="1"/>
  <c r="AO207" i="1"/>
  <c r="AO165" i="1"/>
  <c r="AL217" i="1"/>
  <c r="AO223" i="1"/>
  <c r="AO229" i="1"/>
  <c r="AO149" i="1"/>
  <c r="AL227" i="1"/>
  <c r="AO163" i="1"/>
  <c r="AO209" i="1"/>
  <c r="AL189" i="1"/>
  <c r="AO170" i="1"/>
  <c r="AL237" i="1"/>
  <c r="AO245" i="1"/>
  <c r="AL235" i="1"/>
  <c r="AO232" i="1"/>
  <c r="AL206" i="1"/>
  <c r="AL195" i="1"/>
  <c r="AL185" i="1"/>
  <c r="BE108" i="1"/>
  <c r="X262" i="1" a="1"/>
  <c r="S75" i="1"/>
  <c r="T45" i="1"/>
  <c r="X305" i="1" a="1"/>
  <c r="T37" i="1"/>
  <c r="S30" i="1"/>
  <c r="S65" i="1"/>
  <c r="T71" i="1"/>
  <c r="T46" i="1"/>
  <c r="X245" i="1" a="1"/>
  <c r="T18" i="1"/>
  <c r="S66" i="1"/>
  <c r="X260" i="1" a="1"/>
  <c r="S53" i="1"/>
  <c r="S74" i="1"/>
  <c r="T51" i="1"/>
  <c r="T15" i="1"/>
  <c r="T85" i="1"/>
  <c r="T14" i="1"/>
  <c r="X257" i="1" a="1"/>
  <c r="T30" i="1"/>
  <c r="S25" i="1"/>
  <c r="T72" i="1"/>
  <c r="S81" i="1"/>
  <c r="S41" i="1"/>
  <c r="AH149" i="1" a="1"/>
  <c r="AH147" i="1" a="1"/>
  <c r="T22" i="1"/>
  <c r="X244" i="1" a="1"/>
  <c r="S73" i="1"/>
  <c r="T61" i="1"/>
  <c r="S51" i="1"/>
  <c r="T11" i="1"/>
  <c r="T64" i="1"/>
  <c r="X250" i="1" a="1"/>
  <c r="S38" i="1"/>
  <c r="T39" i="1"/>
  <c r="T81" i="1"/>
  <c r="S34" i="1"/>
  <c r="T16" i="1"/>
  <c r="T47" i="1"/>
  <c r="T21" i="1"/>
  <c r="X147" i="1" a="1"/>
  <c r="S20" i="1"/>
  <c r="T69" i="1"/>
  <c r="T84" i="1"/>
  <c r="S42" i="1"/>
  <c r="T80" i="1"/>
  <c r="X175" i="1" a="1"/>
  <c r="X242" i="1" a="1"/>
  <c r="T62" i="1"/>
  <c r="S27" i="1"/>
  <c r="S35" i="1"/>
  <c r="T42" i="1"/>
  <c r="X247" i="1" a="1"/>
  <c r="AH246" i="1" a="1"/>
  <c r="X299" i="1" a="1"/>
  <c r="X251" i="1" a="1"/>
  <c r="S50" i="1"/>
  <c r="S82" i="1"/>
  <c r="S68" i="1"/>
  <c r="T49" i="1"/>
  <c r="T50" i="1"/>
  <c r="X255" i="1" a="1"/>
  <c r="T75" i="1"/>
  <c r="T56" i="1"/>
  <c r="AH245" i="1" a="1"/>
  <c r="AH243" i="1" a="1"/>
  <c r="T38" i="1"/>
  <c r="S56" i="1"/>
  <c r="S72" i="1"/>
  <c r="S80" i="1"/>
  <c r="S78" i="1"/>
  <c r="S62" i="1"/>
  <c r="T41" i="1"/>
  <c r="T68" i="1"/>
  <c r="X149" i="1" a="1"/>
  <c r="T28" i="1"/>
  <c r="T87" i="1"/>
  <c r="AH176" i="1" a="1"/>
  <c r="S83" i="1"/>
  <c r="S69" i="1"/>
  <c r="S37" i="1"/>
  <c r="T67" i="1"/>
  <c r="X158" i="1" a="1"/>
  <c r="S11" i="1"/>
  <c r="S49" i="1"/>
  <c r="T12" i="1"/>
  <c r="S85" i="1"/>
  <c r="S15" i="1"/>
  <c r="S87" i="1"/>
  <c r="S36" i="1"/>
  <c r="S84" i="1"/>
  <c r="T19" i="1"/>
  <c r="T23" i="1"/>
  <c r="T43" i="1"/>
  <c r="AH249" i="1" a="1"/>
  <c r="S16" i="1"/>
  <c r="AH250" i="1" a="1"/>
  <c r="AH251" i="1" a="1"/>
  <c r="S64" i="1"/>
  <c r="AH248" i="1" a="1"/>
  <c r="T77" i="1"/>
  <c r="T82" i="1"/>
  <c r="S54" i="1"/>
  <c r="S33" i="1"/>
  <c r="S57" i="1"/>
  <c r="S48" i="1"/>
  <c r="T48" i="1"/>
  <c r="S18" i="1"/>
  <c r="T32" i="1"/>
  <c r="S13" i="1"/>
  <c r="S52" i="1"/>
  <c r="X291" i="1" a="1"/>
  <c r="T29" i="1"/>
  <c r="X287" i="1" a="1"/>
  <c r="X275" i="1" a="1"/>
  <c r="S63" i="1"/>
  <c r="T34" i="1"/>
  <c r="S12" i="1"/>
  <c r="T59" i="1"/>
  <c r="S19" i="1"/>
  <c r="X246" i="1" a="1"/>
  <c r="T20" i="1"/>
  <c r="S28" i="1"/>
  <c r="S39" i="1"/>
  <c r="S86" i="1"/>
  <c r="X148" i="1" a="1"/>
  <c r="S14" i="1"/>
  <c r="S40" i="1"/>
  <c r="T53" i="1"/>
  <c r="S46" i="1"/>
  <c r="T60" i="1"/>
  <c r="S60" i="1"/>
  <c r="T58" i="1"/>
  <c r="S59" i="1"/>
  <c r="S55" i="1"/>
  <c r="T63" i="1"/>
  <c r="T44" i="1"/>
  <c r="T86" i="1"/>
  <c r="T52" i="1"/>
  <c r="S22" i="1"/>
  <c r="S71" i="1"/>
  <c r="T24" i="1"/>
  <c r="AH175" i="1" a="1"/>
  <c r="T66" i="1"/>
  <c r="S45" i="1"/>
  <c r="X176" i="1" a="1"/>
  <c r="S61" i="1"/>
  <c r="AH247" i="1" a="1"/>
  <c r="AH244" i="1" a="1"/>
  <c r="T55" i="1"/>
  <c r="S43" i="1"/>
  <c r="T74" i="1"/>
  <c r="T54" i="1"/>
  <c r="T13" i="1"/>
  <c r="T57" i="1"/>
  <c r="S67" i="1"/>
  <c r="AH158" i="1" a="1"/>
  <c r="S17" i="1"/>
  <c r="T27" i="1"/>
  <c r="S26" i="1"/>
  <c r="X248" i="1" a="1"/>
  <c r="T26" i="1"/>
  <c r="X249" i="1" a="1"/>
  <c r="AH148" i="1" a="1"/>
  <c r="S29" i="1"/>
  <c r="T78" i="1"/>
  <c r="S32" i="1"/>
  <c r="AH242" i="1" a="1"/>
  <c r="S77" i="1"/>
  <c r="T17" i="1"/>
  <c r="T40" i="1"/>
  <c r="T73" i="1"/>
  <c r="S21" i="1"/>
  <c r="T79" i="1"/>
  <c r="S76" i="1"/>
  <c r="S23" i="1"/>
  <c r="T36" i="1"/>
  <c r="S31" i="1"/>
  <c r="X243" i="1" a="1"/>
  <c r="S79" i="1"/>
  <c r="S58" i="1"/>
  <c r="S24" i="1"/>
  <c r="T35" i="1"/>
  <c r="T76" i="1"/>
  <c r="S47" i="1"/>
  <c r="T33" i="1"/>
  <c r="T25" i="1"/>
  <c r="T83" i="1"/>
  <c r="S44" i="1"/>
  <c r="T65" i="1"/>
  <c r="T31" i="1"/>
  <c r="AB257" i="1" l="1"/>
  <c r="AA257" i="1"/>
  <c r="Y257" i="1"/>
  <c r="AD257" i="1"/>
  <c r="AP257" i="1" s="1"/>
  <c r="AC257" i="1"/>
  <c r="Z257" i="1"/>
  <c r="X257" i="1"/>
  <c r="Z299" i="1"/>
  <c r="Y299" i="1"/>
  <c r="AC299" i="1"/>
  <c r="X299" i="1"/>
  <c r="AA299" i="1"/>
  <c r="AD299" i="1"/>
  <c r="AP299" i="1" s="1"/>
  <c r="AB299" i="1"/>
  <c r="Y275" i="1"/>
  <c r="X275" i="1"/>
  <c r="AD275" i="1"/>
  <c r="AP275" i="1" s="1"/>
  <c r="AB275" i="1"/>
  <c r="AC275" i="1"/>
  <c r="Z275" i="1"/>
  <c r="AA275" i="1"/>
  <c r="AC287" i="1"/>
  <c r="AB287" i="1"/>
  <c r="Z287" i="1"/>
  <c r="X287" i="1"/>
  <c r="Y287" i="1"/>
  <c r="AA287" i="1"/>
  <c r="AD287" i="1"/>
  <c r="AP287" i="1" s="1"/>
  <c r="Y260" i="1"/>
  <c r="AA260" i="1"/>
  <c r="AD260" i="1"/>
  <c r="AB260" i="1"/>
  <c r="AC260" i="1"/>
  <c r="X260" i="1"/>
  <c r="Z260" i="1"/>
  <c r="AC291" i="1"/>
  <c r="Z291" i="1"/>
  <c r="X291" i="1"/>
  <c r="AA291" i="1"/>
  <c r="AB291" i="1"/>
  <c r="Y291" i="1"/>
  <c r="AD291" i="1"/>
  <c r="AB305" i="1"/>
  <c r="AD305" i="1"/>
  <c r="AP305" i="1" s="1"/>
  <c r="AC305" i="1"/>
  <c r="X305" i="1"/>
  <c r="AA305" i="1"/>
  <c r="Z305" i="1"/>
  <c r="Y305" i="1"/>
  <c r="AD262" i="1"/>
  <c r="AB262" i="1"/>
  <c r="X262" i="1"/>
  <c r="Z262" i="1"/>
  <c r="AA262" i="1"/>
  <c r="AC262" i="1"/>
  <c r="Y262" i="1"/>
  <c r="AB255" i="1"/>
  <c r="X255" i="1"/>
  <c r="AD255" i="1"/>
  <c r="AP255" i="1" s="1"/>
  <c r="AC255" i="1"/>
  <c r="Z255" i="1"/>
  <c r="Y255" i="1"/>
  <c r="AA255" i="1"/>
  <c r="AM257" i="1"/>
  <c r="AM299" i="1"/>
  <c r="AM275" i="1"/>
  <c r="AM287" i="1"/>
  <c r="AM260" i="1"/>
  <c r="AP291" i="1"/>
  <c r="AM291" i="1"/>
  <c r="AM305" i="1"/>
  <c r="AM262" i="1"/>
  <c r="AM255" i="1"/>
  <c r="X251" i="1"/>
  <c r="AD251" i="1"/>
  <c r="AT251" i="1" s="1"/>
  <c r="AC251" i="1"/>
  <c r="Z251" i="1"/>
  <c r="Y251" i="1"/>
  <c r="AB251" i="1"/>
  <c r="AA251" i="1"/>
  <c r="AK251" i="1"/>
  <c r="AJ251" i="1"/>
  <c r="AI251" i="1"/>
  <c r="AH251" i="1"/>
  <c r="AM251" i="1"/>
  <c r="U95" i="1"/>
  <c r="U28" i="1"/>
  <c r="U27" i="1"/>
  <c r="U24" i="1"/>
  <c r="U56" i="1"/>
  <c r="U37" i="1"/>
  <c r="U19" i="1"/>
  <c r="U96" i="1"/>
  <c r="U91" i="1"/>
  <c r="U18" i="1"/>
  <c r="U41" i="1"/>
  <c r="U36" i="1"/>
  <c r="U15" i="1"/>
  <c r="U21" i="1"/>
  <c r="U12" i="1"/>
  <c r="U11" i="1"/>
  <c r="U20" i="1"/>
  <c r="U108" i="1"/>
  <c r="U102" i="1"/>
  <c r="U35" i="1"/>
  <c r="U23" i="1"/>
  <c r="U26" i="1"/>
  <c r="U29" i="1"/>
  <c r="U93" i="1"/>
  <c r="U90" i="1"/>
  <c r="U54" i="1"/>
  <c r="U16" i="1"/>
  <c r="U92" i="1"/>
  <c r="U25" i="1"/>
  <c r="U39" i="1"/>
  <c r="U43" i="1"/>
  <c r="U89" i="1"/>
  <c r="U42" i="1"/>
  <c r="U17" i="1"/>
  <c r="U31" i="1"/>
  <c r="U98" i="1"/>
  <c r="U13" i="1"/>
  <c r="U44" i="1"/>
  <c r="U40" i="1"/>
  <c r="U46" i="1"/>
  <c r="U64" i="1"/>
  <c r="U97" i="1"/>
  <c r="U100" i="1"/>
  <c r="U14" i="1"/>
  <c r="U22" i="1"/>
  <c r="U104" i="1"/>
  <c r="U55" i="1"/>
  <c r="U38" i="1"/>
  <c r="U62" i="1"/>
  <c r="U45" i="1"/>
  <c r="U48" i="1"/>
  <c r="U47" i="1"/>
  <c r="U49" i="1"/>
  <c r="U58" i="1"/>
  <c r="U53" i="1"/>
  <c r="U106" i="1"/>
  <c r="U32" i="1"/>
  <c r="U61" i="1"/>
  <c r="U72" i="1"/>
  <c r="U107" i="1"/>
  <c r="U94" i="1"/>
  <c r="U79" i="1"/>
  <c r="U33" i="1"/>
  <c r="U105" i="1"/>
  <c r="U66" i="1"/>
  <c r="U99" i="1"/>
  <c r="U71" i="1"/>
  <c r="U85" i="1"/>
  <c r="U57" i="1"/>
  <c r="U83" i="1"/>
  <c r="U84" i="1"/>
  <c r="U82" i="1"/>
  <c r="U86" i="1"/>
  <c r="U88" i="1"/>
  <c r="U70" i="1"/>
  <c r="U69" i="1"/>
  <c r="U81" i="1"/>
  <c r="U73" i="1"/>
  <c r="U80" i="1"/>
  <c r="U59" i="1"/>
  <c r="U50" i="1"/>
  <c r="U60" i="1"/>
  <c r="U51" i="1"/>
  <c r="U63" i="1"/>
  <c r="U65" i="1"/>
  <c r="U87" i="1"/>
  <c r="U78" i="1"/>
  <c r="U75" i="1"/>
  <c r="U34" i="1"/>
  <c r="U67" i="1"/>
  <c r="U77" i="1"/>
  <c r="U30" i="1"/>
  <c r="U52" i="1"/>
  <c r="U68" i="1"/>
  <c r="U74" i="1"/>
  <c r="U76" i="1"/>
  <c r="W258" i="1"/>
  <c r="AL258" i="1"/>
  <c r="W263" i="1"/>
  <c r="AL260" i="1"/>
  <c r="AO260" i="1"/>
  <c r="AL262" i="1"/>
  <c r="AO270" i="1"/>
  <c r="W270" i="1"/>
  <c r="AL263" i="1"/>
  <c r="AL269" i="1"/>
  <c r="W269" i="1"/>
  <c r="AO262" i="1"/>
  <c r="AP262" i="1" s="1"/>
  <c r="W144" i="1"/>
  <c r="AM144" i="1" s="1"/>
  <c r="W289" i="1"/>
  <c r="AL289" i="1"/>
  <c r="AO289" i="1"/>
  <c r="W266" i="1"/>
  <c r="AL266" i="1"/>
  <c r="AO266" i="1"/>
  <c r="W252" i="1"/>
  <c r="W281" i="1"/>
  <c r="AO281" i="1"/>
  <c r="AL281" i="1"/>
  <c r="W293" i="1"/>
  <c r="AO293" i="1"/>
  <c r="AL293" i="1"/>
  <c r="W300" i="1"/>
  <c r="AO300" i="1"/>
  <c r="AL300" i="1"/>
  <c r="W178" i="1"/>
  <c r="AM178" i="1" s="1"/>
  <c r="W310" i="1"/>
  <c r="AO310" i="1"/>
  <c r="AL310" i="1"/>
  <c r="W268" i="1"/>
  <c r="AO268" i="1"/>
  <c r="AL268" i="1"/>
  <c r="W286" i="1"/>
  <c r="AO286" i="1"/>
  <c r="AL286" i="1"/>
  <c r="W259" i="1"/>
  <c r="AL259" i="1"/>
  <c r="AO259" i="1"/>
  <c r="W274" i="1"/>
  <c r="AL274" i="1"/>
  <c r="AO274" i="1"/>
  <c r="W146" i="1"/>
  <c r="W308" i="1"/>
  <c r="AL308" i="1"/>
  <c r="AO308" i="1"/>
  <c r="W267" i="1"/>
  <c r="AL267" i="1"/>
  <c r="AO267" i="1"/>
  <c r="W278" i="1"/>
  <c r="AO278" i="1"/>
  <c r="AL278" i="1"/>
  <c r="W151" i="1"/>
  <c r="AM151" i="1" s="1"/>
  <c r="W276" i="1"/>
  <c r="AL276" i="1"/>
  <c r="AO276" i="1"/>
  <c r="W301" i="1"/>
  <c r="AO301" i="1"/>
  <c r="AL301" i="1"/>
  <c r="W280" i="1"/>
  <c r="AL280" i="1"/>
  <c r="AO280" i="1"/>
  <c r="W285" i="1"/>
  <c r="AO285" i="1"/>
  <c r="AL285" i="1"/>
  <c r="W304" i="1"/>
  <c r="AL304" i="1"/>
  <c r="AO304" i="1"/>
  <c r="W295" i="1"/>
  <c r="AO295" i="1"/>
  <c r="AL295" i="1"/>
  <c r="W309" i="1"/>
  <c r="AO309" i="1"/>
  <c r="AL309" i="1"/>
  <c r="W256" i="1"/>
  <c r="AL256" i="1"/>
  <c r="AO256" i="1"/>
  <c r="W272" i="1"/>
  <c r="AL272" i="1"/>
  <c r="AO272" i="1"/>
  <c r="W277" i="1"/>
  <c r="AO277" i="1"/>
  <c r="AL277" i="1"/>
  <c r="W283" i="1"/>
  <c r="AL283" i="1"/>
  <c r="AO283" i="1"/>
  <c r="W294" i="1"/>
  <c r="AO294" i="1"/>
  <c r="AL294" i="1"/>
  <c r="W303" i="1"/>
  <c r="AO303" i="1"/>
  <c r="AL303" i="1"/>
  <c r="W261" i="1"/>
  <c r="AO261" i="1"/>
  <c r="AL261" i="1"/>
  <c r="W302" i="1"/>
  <c r="AO302" i="1"/>
  <c r="AL302" i="1"/>
  <c r="W296" i="1"/>
  <c r="AL296" i="1"/>
  <c r="AO296" i="1"/>
  <c r="W265" i="1"/>
  <c r="AO265" i="1"/>
  <c r="AL265" i="1"/>
  <c r="W253" i="1"/>
  <c r="W273" i="1"/>
  <c r="AL273" i="1"/>
  <c r="AO273" i="1"/>
  <c r="W284" i="1"/>
  <c r="AO284" i="1"/>
  <c r="AL284" i="1"/>
  <c r="W279" i="1"/>
  <c r="AO279" i="1"/>
  <c r="AL279" i="1"/>
  <c r="W307" i="1"/>
  <c r="AL307" i="1"/>
  <c r="AO307" i="1"/>
  <c r="W298" i="1"/>
  <c r="AL298" i="1"/>
  <c r="AO298" i="1"/>
  <c r="W271" i="1"/>
  <c r="AO271" i="1"/>
  <c r="AL271" i="1"/>
  <c r="W288" i="1"/>
  <c r="AL288" i="1"/>
  <c r="AO288" i="1"/>
  <c r="W254" i="1"/>
  <c r="AO254" i="1"/>
  <c r="AL254" i="1"/>
  <c r="W282" i="1"/>
  <c r="AL282" i="1"/>
  <c r="AO282" i="1"/>
  <c r="W181" i="1"/>
  <c r="AM181" i="1" s="1"/>
  <c r="W297" i="1"/>
  <c r="AO297" i="1"/>
  <c r="AL297" i="1"/>
  <c r="W290" i="1"/>
  <c r="AL290" i="1"/>
  <c r="AO290" i="1"/>
  <c r="W264" i="1"/>
  <c r="AL264" i="1"/>
  <c r="AO264" i="1"/>
  <c r="W292" i="1"/>
  <c r="AL292" i="1"/>
  <c r="AO292" i="1"/>
  <c r="W306" i="1"/>
  <c r="AL306" i="1"/>
  <c r="AO306" i="1"/>
  <c r="AA147" i="1"/>
  <c r="AD147" i="1"/>
  <c r="AC147" i="1"/>
  <c r="AB147" i="1"/>
  <c r="Y147" i="1"/>
  <c r="X147" i="1"/>
  <c r="Z147" i="1"/>
  <c r="AJ147" i="1"/>
  <c r="AI147" i="1"/>
  <c r="AK147" i="1"/>
  <c r="AH147" i="1"/>
  <c r="AM147" i="1"/>
  <c r="W145" i="1"/>
  <c r="AK250" i="1"/>
  <c r="AI250" i="1"/>
  <c r="AJ250" i="1"/>
  <c r="AH250" i="1"/>
  <c r="X250" i="1"/>
  <c r="AB250" i="1"/>
  <c r="AD250" i="1"/>
  <c r="AT250" i="1" s="1"/>
  <c r="AA250" i="1"/>
  <c r="AC250" i="1"/>
  <c r="Z250" i="1"/>
  <c r="Y250" i="1"/>
  <c r="AM250" i="1"/>
  <c r="W159" i="1"/>
  <c r="AK248" i="1"/>
  <c r="AI248" i="1"/>
  <c r="AH248" i="1"/>
  <c r="AJ248" i="1"/>
  <c r="Z248" i="1"/>
  <c r="AA248" i="1"/>
  <c r="AC248" i="1"/>
  <c r="AB248" i="1"/>
  <c r="X248" i="1"/>
  <c r="Y248" i="1"/>
  <c r="AD248" i="1"/>
  <c r="AK249" i="1"/>
  <c r="AJ249" i="1"/>
  <c r="AI249" i="1"/>
  <c r="AH249" i="1"/>
  <c r="AB249" i="1"/>
  <c r="Z249" i="1"/>
  <c r="X249" i="1"/>
  <c r="AA249" i="1"/>
  <c r="AD249" i="1"/>
  <c r="AT249" i="1" s="1"/>
  <c r="Y249" i="1"/>
  <c r="AC249" i="1"/>
  <c r="AM248" i="1"/>
  <c r="AM249" i="1"/>
  <c r="AK247" i="1"/>
  <c r="AI247" i="1"/>
  <c r="AH247" i="1"/>
  <c r="AJ247" i="1"/>
  <c r="AC246" i="1"/>
  <c r="AD246" i="1"/>
  <c r="Z246" i="1"/>
  <c r="X246" i="1"/>
  <c r="AA246" i="1"/>
  <c r="Y246" i="1"/>
  <c r="AB246" i="1"/>
  <c r="Y149" i="1"/>
  <c r="Z149" i="1"/>
  <c r="X149" i="1"/>
  <c r="AC149" i="1"/>
  <c r="AD149" i="1"/>
  <c r="AT149" i="1" s="1"/>
  <c r="AB149" i="1"/>
  <c r="AA149" i="1"/>
  <c r="AK243" i="1"/>
  <c r="AI243" i="1"/>
  <c r="AH243" i="1"/>
  <c r="AJ243" i="1"/>
  <c r="AA242" i="1"/>
  <c r="AB242" i="1"/>
  <c r="Z242" i="1"/>
  <c r="X242" i="1"/>
  <c r="AD242" i="1"/>
  <c r="AC242" i="1"/>
  <c r="Y242" i="1"/>
  <c r="Z245" i="1"/>
  <c r="Y245" i="1"/>
  <c r="AC245" i="1"/>
  <c r="X245" i="1"/>
  <c r="AD245" i="1"/>
  <c r="AB245" i="1"/>
  <c r="AA245" i="1"/>
  <c r="AD244" i="1"/>
  <c r="Z244" i="1"/>
  <c r="AB244" i="1"/>
  <c r="AA244" i="1"/>
  <c r="AC244" i="1"/>
  <c r="Y244" i="1"/>
  <c r="X244" i="1"/>
  <c r="AB243" i="1"/>
  <c r="Z243" i="1"/>
  <c r="AD243" i="1"/>
  <c r="AC243" i="1"/>
  <c r="AA243" i="1"/>
  <c r="Y243" i="1"/>
  <c r="X243" i="1"/>
  <c r="AK176" i="1"/>
  <c r="AJ176" i="1"/>
  <c r="AH176" i="1"/>
  <c r="AI176" i="1"/>
  <c r="AK149" i="1"/>
  <c r="AI149" i="1"/>
  <c r="AH149" i="1"/>
  <c r="AJ149" i="1"/>
  <c r="AJ242" i="1"/>
  <c r="AI242" i="1"/>
  <c r="AH242" i="1"/>
  <c r="AK242" i="1"/>
  <c r="AH244" i="1"/>
  <c r="AK244" i="1"/>
  <c r="AJ244" i="1"/>
  <c r="AI244" i="1"/>
  <c r="AD176" i="1"/>
  <c r="Z176" i="1"/>
  <c r="Y176" i="1"/>
  <c r="AB176" i="1"/>
  <c r="AC176" i="1"/>
  <c r="AA176" i="1"/>
  <c r="X176" i="1"/>
  <c r="AI246" i="1"/>
  <c r="AJ246" i="1"/>
  <c r="AH246" i="1"/>
  <c r="AK246" i="1"/>
  <c r="AJ245" i="1"/>
  <c r="AK245" i="1"/>
  <c r="AI245" i="1"/>
  <c r="AH245" i="1"/>
  <c r="AA247" i="1"/>
  <c r="Z247" i="1"/>
  <c r="AD247" i="1"/>
  <c r="AC247" i="1"/>
  <c r="X247" i="1"/>
  <c r="AB247" i="1"/>
  <c r="Y247" i="1"/>
  <c r="AU108" i="1"/>
  <c r="AJ158" i="1"/>
  <c r="AK158" i="1"/>
  <c r="AH158" i="1"/>
  <c r="AI158" i="1"/>
  <c r="AJ175" i="1"/>
  <c r="AI175" i="1"/>
  <c r="AK175" i="1"/>
  <c r="AH175" i="1"/>
  <c r="AA158" i="1"/>
  <c r="AC158" i="1"/>
  <c r="X158" i="1"/>
  <c r="Z158" i="1"/>
  <c r="AD158" i="1"/>
  <c r="Y158" i="1"/>
  <c r="AB158" i="1"/>
  <c r="AJ148" i="1"/>
  <c r="AK148" i="1"/>
  <c r="AI148" i="1"/>
  <c r="AH148" i="1"/>
  <c r="Y175" i="1"/>
  <c r="AB175" i="1"/>
  <c r="X175" i="1"/>
  <c r="AA175" i="1"/>
  <c r="AD175" i="1"/>
  <c r="AC175" i="1"/>
  <c r="Z175" i="1"/>
  <c r="AB148" i="1"/>
  <c r="Z148" i="1"/>
  <c r="AA148" i="1"/>
  <c r="AC148" i="1"/>
  <c r="X148" i="1"/>
  <c r="Y148" i="1"/>
  <c r="AD148" i="1"/>
  <c r="AL253" i="1"/>
  <c r="AO253" i="1"/>
  <c r="AL252" i="1"/>
  <c r="AO252" i="1"/>
  <c r="AL178" i="1"/>
  <c r="AL145" i="1"/>
  <c r="AO178" i="1"/>
  <c r="AL181" i="1"/>
  <c r="AO181" i="1"/>
  <c r="AO159" i="1"/>
  <c r="AL151" i="1"/>
  <c r="AL159" i="1"/>
  <c r="AO144" i="1"/>
  <c r="AO151" i="1"/>
  <c r="AO146" i="1"/>
  <c r="AL144" i="1"/>
  <c r="AL146" i="1"/>
  <c r="BE109" i="1"/>
  <c r="X258" i="1" a="1"/>
  <c r="X271" i="1" a="1"/>
  <c r="X146" i="1" a="1"/>
  <c r="X310" i="1" a="1"/>
  <c r="X272" i="1" a="1"/>
  <c r="X292" i="1" a="1"/>
  <c r="X267" i="1" a="1"/>
  <c r="X296" i="1" a="1"/>
  <c r="X295" i="1" a="1"/>
  <c r="X266" i="1" a="1"/>
  <c r="X293" i="1" a="1"/>
  <c r="X279" i="1" a="1"/>
  <c r="X282" i="1" a="1"/>
  <c r="X280" i="1" a="1"/>
  <c r="AH145" i="1" a="1"/>
  <c r="X290" i="1" a="1"/>
  <c r="AH146" i="1" a="1"/>
  <c r="X303" i="1" a="1"/>
  <c r="X264" i="1" a="1"/>
  <c r="X289" i="1" a="1"/>
  <c r="X300" i="1" a="1"/>
  <c r="X298" i="1" a="1"/>
  <c r="X145" i="1" a="1"/>
  <c r="X253" i="1" a="1"/>
  <c r="X309" i="1" a="1"/>
  <c r="X270" i="1" a="1"/>
  <c r="X297" i="1" a="1"/>
  <c r="X261" i="1" a="1"/>
  <c r="X265" i="1" a="1"/>
  <c r="AH252" i="1" a="1"/>
  <c r="X286" i="1" a="1"/>
  <c r="X304" i="1" a="1"/>
  <c r="X259" i="1" a="1"/>
  <c r="X302" i="1" a="1"/>
  <c r="X285" i="1" a="1"/>
  <c r="X252" i="1" a="1"/>
  <c r="AH159" i="1" a="1"/>
  <c r="X288" i="1" a="1"/>
  <c r="X301" i="1" a="1"/>
  <c r="X268" i="1" a="1"/>
  <c r="X269" i="1" a="1"/>
  <c r="X254" i="1" a="1"/>
  <c r="X308" i="1" a="1"/>
  <c r="X283" i="1" a="1"/>
  <c r="X274" i="1" a="1"/>
  <c r="X256" i="1" a="1"/>
  <c r="X307" i="1" a="1"/>
  <c r="AH253" i="1" a="1"/>
  <c r="X294" i="1" a="1"/>
  <c r="X159" i="1" a="1"/>
  <c r="X277" i="1" a="1"/>
  <c r="X278" i="1" a="1"/>
  <c r="X284" i="1" a="1"/>
  <c r="X263" i="1" a="1"/>
  <c r="X273" i="1" a="1"/>
  <c r="X276" i="1" a="1"/>
  <c r="X281" i="1" a="1"/>
  <c r="X306" i="1" a="1"/>
  <c r="AP260" i="1" l="1"/>
  <c r="AB271" i="1"/>
  <c r="AD271" i="1"/>
  <c r="AP271" i="1" s="1"/>
  <c r="X271" i="1"/>
  <c r="Y271" i="1"/>
  <c r="Z271" i="1"/>
  <c r="AC271" i="1"/>
  <c r="AA271" i="1"/>
  <c r="AA297" i="1"/>
  <c r="Z297" i="1"/>
  <c r="AD297" i="1"/>
  <c r="AP297" i="1" s="1"/>
  <c r="AC297" i="1"/>
  <c r="AB297" i="1"/>
  <c r="X297" i="1"/>
  <c r="Y297" i="1"/>
  <c r="Z298" i="1"/>
  <c r="Y298" i="1"/>
  <c r="AA298" i="1"/>
  <c r="AC298" i="1"/>
  <c r="AB298" i="1"/>
  <c r="AD298" i="1"/>
  <c r="AQ299" i="1" s="1"/>
  <c r="X298" i="1"/>
  <c r="Z265" i="1"/>
  <c r="AD265" i="1"/>
  <c r="AP265" i="1" s="1"/>
  <c r="AB265" i="1"/>
  <c r="AC265" i="1"/>
  <c r="X265" i="1"/>
  <c r="AA265" i="1"/>
  <c r="Y265" i="1"/>
  <c r="AA272" i="1"/>
  <c r="X272" i="1"/>
  <c r="Z272" i="1"/>
  <c r="AD272" i="1"/>
  <c r="AP272" i="1" s="1"/>
  <c r="Y272" i="1"/>
  <c r="AC272" i="1"/>
  <c r="AB272" i="1"/>
  <c r="Z276" i="1"/>
  <c r="AC276" i="1"/>
  <c r="AA276" i="1"/>
  <c r="Y276" i="1"/>
  <c r="AB276" i="1"/>
  <c r="AD276" i="1"/>
  <c r="X276" i="1"/>
  <c r="AB268" i="1"/>
  <c r="Z268" i="1"/>
  <c r="AD268" i="1"/>
  <c r="AC268" i="1"/>
  <c r="X268" i="1"/>
  <c r="Y268" i="1"/>
  <c r="AA268" i="1"/>
  <c r="AD290" i="1"/>
  <c r="AQ291" i="1" s="1"/>
  <c r="AC290" i="1"/>
  <c r="AA290" i="1"/>
  <c r="Y290" i="1"/>
  <c r="AB290" i="1"/>
  <c r="X290" i="1"/>
  <c r="Z290" i="1"/>
  <c r="AD301" i="1"/>
  <c r="AA301" i="1"/>
  <c r="X301" i="1"/>
  <c r="Z301" i="1"/>
  <c r="AC301" i="1"/>
  <c r="AB301" i="1"/>
  <c r="Y301" i="1"/>
  <c r="AA285" i="1"/>
  <c r="Y285" i="1"/>
  <c r="AB285" i="1"/>
  <c r="X285" i="1"/>
  <c r="AC285" i="1"/>
  <c r="AD285" i="1"/>
  <c r="AP285" i="1" s="1"/>
  <c r="Z285" i="1"/>
  <c r="AA267" i="1"/>
  <c r="AB267" i="1"/>
  <c r="AD267" i="1"/>
  <c r="AC267" i="1"/>
  <c r="X267" i="1"/>
  <c r="Z267" i="1"/>
  <c r="Y267" i="1"/>
  <c r="AD300" i="1"/>
  <c r="AP300" i="1" s="1"/>
  <c r="AR300" i="1" s="1"/>
  <c r="AA300" i="1"/>
  <c r="Y300" i="1"/>
  <c r="X300" i="1"/>
  <c r="Z300" i="1"/>
  <c r="AB300" i="1"/>
  <c r="AC300" i="1"/>
  <c r="AC269" i="1"/>
  <c r="AA269" i="1"/>
  <c r="Z269" i="1"/>
  <c r="X269" i="1"/>
  <c r="AB269" i="1"/>
  <c r="Y269" i="1"/>
  <c r="AD269" i="1"/>
  <c r="AD259" i="1"/>
  <c r="AP259" i="1" s="1"/>
  <c r="X259" i="1"/>
  <c r="Z259" i="1"/>
  <c r="AC259" i="1"/>
  <c r="AA259" i="1"/>
  <c r="Y259" i="1"/>
  <c r="AB259" i="1"/>
  <c r="Y266" i="1"/>
  <c r="X266" i="1"/>
  <c r="AA266" i="1"/>
  <c r="AC266" i="1"/>
  <c r="AB266" i="1"/>
  <c r="AD266" i="1"/>
  <c r="AP266" i="1" s="1"/>
  <c r="Z266" i="1"/>
  <c r="AD258" i="1"/>
  <c r="Z258" i="1"/>
  <c r="AC258" i="1"/>
  <c r="X258" i="1"/>
  <c r="AA258" i="1"/>
  <c r="AB258" i="1"/>
  <c r="Y258" i="1"/>
  <c r="AD295" i="1"/>
  <c r="AA295" i="1"/>
  <c r="Z295" i="1"/>
  <c r="Y295" i="1"/>
  <c r="X295" i="1"/>
  <c r="AB295" i="1"/>
  <c r="AC295" i="1"/>
  <c r="Z264" i="1"/>
  <c r="AB264" i="1"/>
  <c r="X264" i="1"/>
  <c r="AD264" i="1"/>
  <c r="AP264" i="1" s="1"/>
  <c r="AC264" i="1"/>
  <c r="Y264" i="1"/>
  <c r="AA264" i="1"/>
  <c r="AD283" i="1"/>
  <c r="AP283" i="1" s="1"/>
  <c r="AC283" i="1"/>
  <c r="X283" i="1"/>
  <c r="AB283" i="1"/>
  <c r="AA283" i="1"/>
  <c r="Y283" i="1"/>
  <c r="Z283" i="1"/>
  <c r="AD292" i="1"/>
  <c r="AP292" i="1" s="1"/>
  <c r="AR292" i="1" s="1"/>
  <c r="Z292" i="1"/>
  <c r="AB292" i="1"/>
  <c r="X292" i="1"/>
  <c r="AC292" i="1"/>
  <c r="AA292" i="1"/>
  <c r="Y292" i="1"/>
  <c r="AA254" i="1"/>
  <c r="AC254" i="1"/>
  <c r="Z254" i="1"/>
  <c r="Y254" i="1"/>
  <c r="AD254" i="1"/>
  <c r="AT254" i="1" s="1"/>
  <c r="AB254" i="1"/>
  <c r="X254" i="1"/>
  <c r="Z294" i="1"/>
  <c r="AC294" i="1"/>
  <c r="X294" i="1"/>
  <c r="AB294" i="1"/>
  <c r="AA294" i="1"/>
  <c r="Y294" i="1"/>
  <c r="AD294" i="1"/>
  <c r="AP294" i="1" s="1"/>
  <c r="X263" i="1"/>
  <c r="Y263" i="1"/>
  <c r="AB263" i="1"/>
  <c r="AC263" i="1"/>
  <c r="AD263" i="1"/>
  <c r="AA263" i="1"/>
  <c r="Z263" i="1"/>
  <c r="AC288" i="1"/>
  <c r="X288" i="1"/>
  <c r="AA288" i="1"/>
  <c r="Z288" i="1"/>
  <c r="Y288" i="1"/>
  <c r="AD288" i="1"/>
  <c r="AP288" i="1" s="1"/>
  <c r="AB288" i="1"/>
  <c r="Z284" i="1"/>
  <c r="Y284" i="1"/>
  <c r="AA284" i="1"/>
  <c r="X284" i="1"/>
  <c r="AB284" i="1"/>
  <c r="AD284" i="1"/>
  <c r="AP284" i="1" s="1"/>
  <c r="AC284" i="1"/>
  <c r="AD261" i="1"/>
  <c r="AP261" i="1" s="1"/>
  <c r="Z261" i="1"/>
  <c r="AC261" i="1"/>
  <c r="X261" i="1"/>
  <c r="AA261" i="1"/>
  <c r="Y261" i="1"/>
  <c r="AB261" i="1"/>
  <c r="AC280" i="1"/>
  <c r="AD280" i="1"/>
  <c r="AP280" i="1" s="1"/>
  <c r="Z280" i="1"/>
  <c r="AA280" i="1"/>
  <c r="AB280" i="1"/>
  <c r="Y280" i="1"/>
  <c r="X280" i="1"/>
  <c r="AD308" i="1"/>
  <c r="AP308" i="1" s="1"/>
  <c r="Y308" i="1"/>
  <c r="AC308" i="1"/>
  <c r="AB308" i="1"/>
  <c r="Z308" i="1"/>
  <c r="AA308" i="1"/>
  <c r="X308" i="1"/>
  <c r="Y293" i="1"/>
  <c r="AC293" i="1"/>
  <c r="Z293" i="1"/>
  <c r="X293" i="1"/>
  <c r="AA293" i="1"/>
  <c r="AD293" i="1"/>
  <c r="AP293" i="1" s="1"/>
  <c r="AB293" i="1"/>
  <c r="AD270" i="1"/>
  <c r="AP270" i="1" s="1"/>
  <c r="AA270" i="1"/>
  <c r="AB270" i="1"/>
  <c r="Y270" i="1"/>
  <c r="X270" i="1"/>
  <c r="AC270" i="1"/>
  <c r="Z270" i="1"/>
  <c r="X307" i="1"/>
  <c r="AA307" i="1"/>
  <c r="AB307" i="1"/>
  <c r="AD307" i="1"/>
  <c r="AP307" i="1" s="1"/>
  <c r="AC307" i="1"/>
  <c r="Z307" i="1"/>
  <c r="Y307" i="1"/>
  <c r="Y296" i="1"/>
  <c r="AC296" i="1"/>
  <c r="AB296" i="1"/>
  <c r="X296" i="1"/>
  <c r="Z296" i="1"/>
  <c r="AD296" i="1"/>
  <c r="AP296" i="1" s="1"/>
  <c r="AA296" i="1"/>
  <c r="AC256" i="1"/>
  <c r="X256" i="1"/>
  <c r="Z256" i="1"/>
  <c r="AB256" i="1"/>
  <c r="Y256" i="1"/>
  <c r="AD256" i="1"/>
  <c r="AQ257" i="1" s="1"/>
  <c r="AA256" i="1"/>
  <c r="Y310" i="1"/>
  <c r="AD310" i="1"/>
  <c r="AA310" i="1"/>
  <c r="AB310" i="1"/>
  <c r="X310" i="1"/>
  <c r="AC310" i="1"/>
  <c r="Z310" i="1"/>
  <c r="X306" i="1"/>
  <c r="AC306" i="1"/>
  <c r="Y306" i="1"/>
  <c r="Z306" i="1"/>
  <c r="AD306" i="1"/>
  <c r="AP306" i="1" s="1"/>
  <c r="AR306" i="1" s="1"/>
  <c r="AA306" i="1"/>
  <c r="AB306" i="1"/>
  <c r="AB282" i="1"/>
  <c r="AA282" i="1"/>
  <c r="AD282" i="1"/>
  <c r="AP282" i="1" s="1"/>
  <c r="AC282" i="1"/>
  <c r="Y282" i="1"/>
  <c r="X282" i="1"/>
  <c r="Z282" i="1"/>
  <c r="Y273" i="1"/>
  <c r="Z273" i="1"/>
  <c r="AD273" i="1"/>
  <c r="AP273" i="1" s="1"/>
  <c r="AA273" i="1"/>
  <c r="AB273" i="1"/>
  <c r="X273" i="1"/>
  <c r="AC273" i="1"/>
  <c r="Z303" i="1"/>
  <c r="AC303" i="1"/>
  <c r="AA303" i="1"/>
  <c r="Y303" i="1"/>
  <c r="X303" i="1"/>
  <c r="AB303" i="1"/>
  <c r="AD303" i="1"/>
  <c r="AP303" i="1" s="1"/>
  <c r="Y304" i="1"/>
  <c r="AA304" i="1"/>
  <c r="AC304" i="1"/>
  <c r="AB304" i="1"/>
  <c r="AD304" i="1"/>
  <c r="AP304" i="1" s="1"/>
  <c r="X304" i="1"/>
  <c r="Z304" i="1"/>
  <c r="AC278" i="1"/>
  <c r="AD278" i="1"/>
  <c r="AP278" i="1" s="1"/>
  <c r="X278" i="1"/>
  <c r="AA278" i="1"/>
  <c r="Z278" i="1"/>
  <c r="AB278" i="1"/>
  <c r="Y278" i="1"/>
  <c r="X286" i="1"/>
  <c r="AA286" i="1"/>
  <c r="Y286" i="1"/>
  <c r="AB286" i="1"/>
  <c r="AC286" i="1"/>
  <c r="AD286" i="1"/>
  <c r="AQ287" i="1" s="1"/>
  <c r="Z286" i="1"/>
  <c r="AC289" i="1"/>
  <c r="AD289" i="1"/>
  <c r="AA289" i="1"/>
  <c r="Y289" i="1"/>
  <c r="AB289" i="1"/>
  <c r="X289" i="1"/>
  <c r="Z289" i="1"/>
  <c r="Z277" i="1"/>
  <c r="AB277" i="1"/>
  <c r="X277" i="1"/>
  <c r="Y277" i="1"/>
  <c r="AA277" i="1"/>
  <c r="AD277" i="1"/>
  <c r="AP277" i="1" s="1"/>
  <c r="AC277" i="1"/>
  <c r="Z281" i="1"/>
  <c r="AD281" i="1"/>
  <c r="AP281" i="1" s="1"/>
  <c r="AA281" i="1"/>
  <c r="AC281" i="1"/>
  <c r="Y281" i="1"/>
  <c r="AB281" i="1"/>
  <c r="X281" i="1"/>
  <c r="AC279" i="1"/>
  <c r="AA279" i="1"/>
  <c r="Y279" i="1"/>
  <c r="AB279" i="1"/>
  <c r="X279" i="1"/>
  <c r="AD279" i="1"/>
  <c r="AP279" i="1" s="1"/>
  <c r="Z279" i="1"/>
  <c r="Y302" i="1"/>
  <c r="X302" i="1"/>
  <c r="Z302" i="1"/>
  <c r="AA302" i="1"/>
  <c r="AC302" i="1"/>
  <c r="AB302" i="1"/>
  <c r="AD302" i="1"/>
  <c r="AP302" i="1" s="1"/>
  <c r="X309" i="1"/>
  <c r="AC309" i="1"/>
  <c r="AB309" i="1"/>
  <c r="AA309" i="1"/>
  <c r="Z309" i="1"/>
  <c r="AD309" i="1"/>
  <c r="AP309" i="1" s="1"/>
  <c r="Y309" i="1"/>
  <c r="AC274" i="1"/>
  <c r="AB274" i="1"/>
  <c r="X274" i="1"/>
  <c r="AD274" i="1"/>
  <c r="AP274" i="1" s="1"/>
  <c r="Y274" i="1"/>
  <c r="AA274" i="1"/>
  <c r="Z274" i="1"/>
  <c r="AM271" i="1"/>
  <c r="AM297" i="1"/>
  <c r="AM298" i="1"/>
  <c r="AM265" i="1"/>
  <c r="AM272" i="1"/>
  <c r="AP295" i="1"/>
  <c r="AM276" i="1"/>
  <c r="AM268" i="1"/>
  <c r="AM290" i="1"/>
  <c r="AM301" i="1"/>
  <c r="AM285" i="1"/>
  <c r="AM267" i="1"/>
  <c r="AP268" i="1"/>
  <c r="AM300" i="1"/>
  <c r="AM269" i="1"/>
  <c r="AM259" i="1"/>
  <c r="AM266" i="1"/>
  <c r="AM258" i="1"/>
  <c r="AT260" i="1"/>
  <c r="AM295" i="1"/>
  <c r="AM264" i="1"/>
  <c r="AM283" i="1"/>
  <c r="AP310" i="1"/>
  <c r="AR311" i="1" s="1"/>
  <c r="AP289" i="1"/>
  <c r="AM292" i="1"/>
  <c r="AM254" i="1"/>
  <c r="AM294" i="1"/>
  <c r="AM263" i="1"/>
  <c r="AM288" i="1"/>
  <c r="AT299" i="1"/>
  <c r="AM284" i="1"/>
  <c r="AM261" i="1"/>
  <c r="AM280" i="1"/>
  <c r="AM308" i="1"/>
  <c r="AM293" i="1"/>
  <c r="AM270" i="1"/>
  <c r="AM307" i="1"/>
  <c r="AM296" i="1"/>
  <c r="AM256" i="1"/>
  <c r="AM310" i="1"/>
  <c r="AM306" i="1"/>
  <c r="AM282" i="1"/>
  <c r="AM273" i="1"/>
  <c r="AM303" i="1"/>
  <c r="AM304" i="1"/>
  <c r="AP301" i="1"/>
  <c r="AM278" i="1"/>
  <c r="AM286" i="1"/>
  <c r="AM289" i="1"/>
  <c r="AT305" i="1"/>
  <c r="AT287" i="1"/>
  <c r="AT257" i="1"/>
  <c r="AT255" i="1"/>
  <c r="AQ255" i="1"/>
  <c r="AM277" i="1"/>
  <c r="AP267" i="1"/>
  <c r="AM281" i="1"/>
  <c r="AP254" i="1"/>
  <c r="AR255" i="1" s="1"/>
  <c r="AM279" i="1"/>
  <c r="AM302" i="1"/>
  <c r="AM309" i="1"/>
  <c r="AP276" i="1"/>
  <c r="AR276" i="1" s="1"/>
  <c r="AM274" i="1"/>
  <c r="AT262" i="1"/>
  <c r="AT291" i="1"/>
  <c r="AT275" i="1"/>
  <c r="Z253" i="1"/>
  <c r="Y253" i="1"/>
  <c r="AB253" i="1"/>
  <c r="AC253" i="1"/>
  <c r="AA253" i="1"/>
  <c r="AD253" i="1"/>
  <c r="X253" i="1"/>
  <c r="AJ253" i="1"/>
  <c r="AK253" i="1"/>
  <c r="AH253" i="1"/>
  <c r="AI253" i="1"/>
  <c r="AM253" i="1"/>
  <c r="AB252" i="1"/>
  <c r="Z252" i="1"/>
  <c r="AA252" i="1"/>
  <c r="Y252" i="1"/>
  <c r="X252" i="1"/>
  <c r="AC252" i="1"/>
  <c r="AD252" i="1"/>
  <c r="AQ252" i="1" s="1"/>
  <c r="AI252" i="1"/>
  <c r="AK252" i="1"/>
  <c r="AH252" i="1"/>
  <c r="AJ252" i="1"/>
  <c r="AM252" i="1"/>
  <c r="AP251" i="1"/>
  <c r="AT147" i="1"/>
  <c r="AT248" i="1"/>
  <c r="AT244" i="1"/>
  <c r="AT246" i="1"/>
  <c r="AT242" i="1"/>
  <c r="U109" i="1"/>
  <c r="X146" i="1"/>
  <c r="Z146" i="1"/>
  <c r="AD146" i="1"/>
  <c r="AA146" i="1"/>
  <c r="Y146" i="1"/>
  <c r="AC146" i="1"/>
  <c r="AB146" i="1"/>
  <c r="AK146" i="1"/>
  <c r="AJ146" i="1"/>
  <c r="AI146" i="1"/>
  <c r="AH146" i="1"/>
  <c r="AM146" i="1"/>
  <c r="AT175" i="1"/>
  <c r="AT158" i="1"/>
  <c r="AT176" i="1"/>
  <c r="AP147" i="1"/>
  <c r="X145" i="1"/>
  <c r="AD145" i="1"/>
  <c r="AC145" i="1"/>
  <c r="AB145" i="1"/>
  <c r="AA145" i="1"/>
  <c r="Z145" i="1"/>
  <c r="Y145" i="1"/>
  <c r="AK145" i="1"/>
  <c r="AH145" i="1"/>
  <c r="AI145" i="1"/>
  <c r="AJ145" i="1"/>
  <c r="AM145" i="1"/>
  <c r="AQ247" i="1"/>
  <c r="AT247" i="1"/>
  <c r="AQ148" i="1"/>
  <c r="AT148" i="1"/>
  <c r="AQ243" i="1"/>
  <c r="AT243" i="1"/>
  <c r="AQ245" i="1"/>
  <c r="AT245" i="1"/>
  <c r="AQ149" i="1"/>
  <c r="AQ176" i="1"/>
  <c r="AP249" i="1"/>
  <c r="AQ249" i="1"/>
  <c r="AQ244" i="1"/>
  <c r="AQ246" i="1"/>
  <c r="AQ248" i="1"/>
  <c r="AP250" i="1"/>
  <c r="AQ251" i="1"/>
  <c r="AQ250" i="1"/>
  <c r="AP148" i="1"/>
  <c r="AP243" i="1"/>
  <c r="AP242" i="1"/>
  <c r="AP149" i="1"/>
  <c r="AP175" i="1"/>
  <c r="AP245" i="1"/>
  <c r="AP176" i="1"/>
  <c r="AP244" i="1"/>
  <c r="AP246" i="1"/>
  <c r="AP248" i="1"/>
  <c r="AP158" i="1"/>
  <c r="AP247" i="1"/>
  <c r="W60" i="1"/>
  <c r="AI159" i="1"/>
  <c r="AJ159" i="1"/>
  <c r="AK159" i="1"/>
  <c r="AH159" i="1"/>
  <c r="AC159" i="1"/>
  <c r="Y159" i="1"/>
  <c r="Z159" i="1"/>
  <c r="X159" i="1"/>
  <c r="AA159" i="1"/>
  <c r="AD159" i="1"/>
  <c r="AB159" i="1"/>
  <c r="AM159" i="1"/>
  <c r="AU109" i="1"/>
  <c r="BE110" i="1"/>
  <c r="AP298" i="1" l="1"/>
  <c r="AR299" i="1" s="1"/>
  <c r="AR260" i="1"/>
  <c r="AR267" i="1"/>
  <c r="AQ262" i="1"/>
  <c r="AP290" i="1"/>
  <c r="AR291" i="1" s="1"/>
  <c r="AR266" i="1"/>
  <c r="AQ275" i="1"/>
  <c r="AR310" i="1"/>
  <c r="AR272" i="1"/>
  <c r="AR304" i="1"/>
  <c r="AR273" i="1"/>
  <c r="AR296" i="1"/>
  <c r="AR283" i="1"/>
  <c r="AR307" i="1"/>
  <c r="AR284" i="1"/>
  <c r="AP286" i="1"/>
  <c r="AR287" i="1" s="1"/>
  <c r="AR302" i="1"/>
  <c r="AR308" i="1"/>
  <c r="AR309" i="1"/>
  <c r="AP256" i="1"/>
  <c r="AR285" i="1"/>
  <c r="AQ260" i="1"/>
  <c r="AR271" i="1"/>
  <c r="AR274" i="1"/>
  <c r="AR275" i="1"/>
  <c r="AR294" i="1"/>
  <c r="AQ305" i="1"/>
  <c r="AR262" i="1"/>
  <c r="AR261" i="1"/>
  <c r="AR305" i="1"/>
  <c r="AR280" i="1"/>
  <c r="AR278" i="1"/>
  <c r="AR303" i="1"/>
  <c r="AR268" i="1"/>
  <c r="AR288" i="1"/>
  <c r="AR289" i="1"/>
  <c r="AR281" i="1"/>
  <c r="AR282" i="1"/>
  <c r="AR277" i="1"/>
  <c r="AR297" i="1"/>
  <c r="AT309" i="1"/>
  <c r="AQ309" i="1"/>
  <c r="AT282" i="1"/>
  <c r="AQ282" i="1"/>
  <c r="AT280" i="1"/>
  <c r="AQ280" i="1"/>
  <c r="AT261" i="1"/>
  <c r="AQ261" i="1"/>
  <c r="AT266" i="1"/>
  <c r="AQ266" i="1"/>
  <c r="AT272" i="1"/>
  <c r="AQ272" i="1"/>
  <c r="AT281" i="1"/>
  <c r="AQ281" i="1"/>
  <c r="AT304" i="1"/>
  <c r="AQ304" i="1"/>
  <c r="AT273" i="1"/>
  <c r="AQ273" i="1"/>
  <c r="AT296" i="1"/>
  <c r="AQ296" i="1"/>
  <c r="AT288" i="1"/>
  <c r="AQ288" i="1"/>
  <c r="AT263" i="1"/>
  <c r="AQ263" i="1"/>
  <c r="AP263" i="1"/>
  <c r="AR263" i="1" s="1"/>
  <c r="AT283" i="1"/>
  <c r="AQ283" i="1"/>
  <c r="AT265" i="1"/>
  <c r="AQ265" i="1"/>
  <c r="AR265" i="1"/>
  <c r="AR279" i="1"/>
  <c r="AT286" i="1"/>
  <c r="AQ286" i="1"/>
  <c r="AT256" i="1"/>
  <c r="AQ256" i="1"/>
  <c r="AT307" i="1"/>
  <c r="AQ307" i="1"/>
  <c r="AT308" i="1"/>
  <c r="AQ308" i="1"/>
  <c r="AT284" i="1"/>
  <c r="AQ284" i="1"/>
  <c r="AT292" i="1"/>
  <c r="AQ292" i="1"/>
  <c r="AT300" i="1"/>
  <c r="AQ300" i="1"/>
  <c r="AR293" i="1"/>
  <c r="AR295" i="1"/>
  <c r="AR301" i="1"/>
  <c r="AT274" i="1"/>
  <c r="AQ274" i="1"/>
  <c r="AT285" i="1"/>
  <c r="AQ285" i="1"/>
  <c r="AT268" i="1"/>
  <c r="AQ268" i="1"/>
  <c r="AT277" i="1"/>
  <c r="AQ277" i="1"/>
  <c r="AT270" i="1"/>
  <c r="AQ270" i="1"/>
  <c r="AT259" i="1"/>
  <c r="AQ259" i="1"/>
  <c r="AT298" i="1"/>
  <c r="AQ298" i="1"/>
  <c r="AT278" i="1"/>
  <c r="AQ278" i="1"/>
  <c r="AT306" i="1"/>
  <c r="AQ306" i="1"/>
  <c r="AT264" i="1"/>
  <c r="AQ264" i="1"/>
  <c r="AT269" i="1"/>
  <c r="AQ269" i="1"/>
  <c r="AP269" i="1"/>
  <c r="AR269" i="1" s="1"/>
  <c r="AT302" i="1"/>
  <c r="AQ302" i="1"/>
  <c r="AT279" i="1"/>
  <c r="AQ279" i="1"/>
  <c r="AT303" i="1"/>
  <c r="AQ303" i="1"/>
  <c r="AT293" i="1"/>
  <c r="AQ293" i="1"/>
  <c r="AT294" i="1"/>
  <c r="AQ294" i="1"/>
  <c r="AT258" i="1"/>
  <c r="AQ258" i="1"/>
  <c r="AP258" i="1"/>
  <c r="AR258" i="1" s="1"/>
  <c r="AT290" i="1"/>
  <c r="AQ290" i="1"/>
  <c r="AT297" i="1"/>
  <c r="AQ297" i="1"/>
  <c r="AT271" i="1"/>
  <c r="AQ271" i="1"/>
  <c r="AT289" i="1"/>
  <c r="AQ289" i="1"/>
  <c r="AT310" i="1"/>
  <c r="AQ310" i="1"/>
  <c r="AT295" i="1"/>
  <c r="AQ295" i="1"/>
  <c r="AT267" i="1"/>
  <c r="AQ267" i="1"/>
  <c r="AT301" i="1"/>
  <c r="AQ301" i="1"/>
  <c r="AT276" i="1"/>
  <c r="AQ276" i="1"/>
  <c r="AT253" i="1"/>
  <c r="AQ254" i="1"/>
  <c r="AP253" i="1"/>
  <c r="AR254" i="1" s="1"/>
  <c r="AT252" i="1"/>
  <c r="AQ253" i="1"/>
  <c r="AP252" i="1"/>
  <c r="AT145" i="1"/>
  <c r="AT146" i="1"/>
  <c r="AT159" i="1"/>
  <c r="U111" i="1"/>
  <c r="U110" i="1"/>
  <c r="AP146" i="1"/>
  <c r="AR147" i="1" s="1"/>
  <c r="AQ147" i="1"/>
  <c r="AQ159" i="1"/>
  <c r="AP159" i="1"/>
  <c r="AR159" i="1" s="1"/>
  <c r="AQ146" i="1"/>
  <c r="AR148" i="1"/>
  <c r="AP145" i="1"/>
  <c r="AR246" i="1"/>
  <c r="AR247" i="1"/>
  <c r="AR244" i="1"/>
  <c r="AR249" i="1"/>
  <c r="AR176" i="1"/>
  <c r="AR149" i="1"/>
  <c r="AR248" i="1"/>
  <c r="AR250" i="1"/>
  <c r="AR251" i="1"/>
  <c r="AR245" i="1"/>
  <c r="AR243" i="1"/>
  <c r="AU110" i="1"/>
  <c r="AU111" i="1"/>
  <c r="BE111" i="1"/>
  <c r="AH144" i="1" a="1"/>
  <c r="AH156" i="1" a="1"/>
  <c r="X144" i="1" a="1"/>
  <c r="AH241" i="1" a="1"/>
  <c r="X241" i="1" a="1"/>
  <c r="X173" i="1" a="1"/>
  <c r="AH173" i="1" a="1"/>
  <c r="X156" i="1" a="1"/>
  <c r="AR298" i="1" l="1"/>
  <c r="AR290" i="1"/>
  <c r="AR286" i="1"/>
  <c r="AR256" i="1"/>
  <c r="AR257" i="1"/>
  <c r="AR259" i="1"/>
  <c r="AR264" i="1"/>
  <c r="AR270" i="1"/>
  <c r="AR253" i="1"/>
  <c r="AR252" i="1"/>
  <c r="U112" i="1"/>
  <c r="AR146" i="1"/>
  <c r="AU112" i="1"/>
  <c r="AB173" i="1"/>
  <c r="AD173" i="1"/>
  <c r="AA173" i="1"/>
  <c r="Z173" i="1"/>
  <c r="X173" i="1"/>
  <c r="Y173" i="1"/>
  <c r="AC173" i="1"/>
  <c r="AC241" i="1"/>
  <c r="AD241" i="1"/>
  <c r="AA241" i="1"/>
  <c r="Z241" i="1"/>
  <c r="Y241" i="1"/>
  <c r="X241" i="1"/>
  <c r="AB241" i="1"/>
  <c r="AC156" i="1"/>
  <c r="Z156" i="1"/>
  <c r="X156" i="1"/>
  <c r="Y156" i="1"/>
  <c r="AD156" i="1"/>
  <c r="AA156" i="1"/>
  <c r="AB156" i="1"/>
  <c r="AA144" i="1"/>
  <c r="AD144" i="1"/>
  <c r="AC144" i="1"/>
  <c r="Y144" i="1"/>
  <c r="AB144" i="1"/>
  <c r="Z144" i="1"/>
  <c r="X144" i="1"/>
  <c r="AH241" i="1"/>
  <c r="AK241" i="1"/>
  <c r="AI241" i="1"/>
  <c r="AJ241" i="1"/>
  <c r="AI173" i="1"/>
  <c r="AK173" i="1"/>
  <c r="AJ173" i="1"/>
  <c r="AH173" i="1"/>
  <c r="AH156" i="1"/>
  <c r="AK156" i="1"/>
  <c r="AI156" i="1"/>
  <c r="AJ156" i="1"/>
  <c r="AK144" i="1"/>
  <c r="AJ144" i="1"/>
  <c r="AH144" i="1"/>
  <c r="AI144" i="1"/>
  <c r="BE112" i="1"/>
  <c r="AT156" i="1" l="1"/>
  <c r="AT241" i="1"/>
  <c r="U113" i="1"/>
  <c r="AT144" i="1"/>
  <c r="AP144" i="1"/>
  <c r="AQ145" i="1"/>
  <c r="AT173" i="1"/>
  <c r="AQ242" i="1"/>
  <c r="AP156" i="1"/>
  <c r="AP173" i="1"/>
  <c r="AP241" i="1"/>
  <c r="AU113" i="1"/>
  <c r="BE113" i="1"/>
  <c r="U114" i="1" l="1"/>
  <c r="AR145" i="1"/>
  <c r="AR242" i="1"/>
  <c r="AU114" i="1"/>
  <c r="BE114" i="1"/>
  <c r="U115" i="1" l="1"/>
  <c r="AU115" i="1"/>
  <c r="BE115" i="1"/>
  <c r="X177" i="1" a="1"/>
  <c r="AH177" i="1" a="1"/>
  <c r="U116" i="1" l="1"/>
  <c r="AU116" i="1"/>
  <c r="AB177" i="1"/>
  <c r="AA177" i="1"/>
  <c r="AD177" i="1"/>
  <c r="Y177" i="1"/>
  <c r="X177" i="1"/>
  <c r="AC177" i="1"/>
  <c r="Z177" i="1"/>
  <c r="AI177" i="1"/>
  <c r="AH177" i="1"/>
  <c r="AK177" i="1"/>
  <c r="AJ177" i="1"/>
  <c r="BE116" i="1"/>
  <c r="U117" i="1" l="1"/>
  <c r="AT177" i="1"/>
  <c r="AQ177" i="1"/>
  <c r="AP177" i="1"/>
  <c r="AU117" i="1"/>
  <c r="BE117" i="1"/>
  <c r="AH157" i="1" a="1"/>
  <c r="X157" i="1" a="1"/>
  <c r="U118" i="1" l="1"/>
  <c r="AR177" i="1"/>
  <c r="AD157" i="1"/>
  <c r="AC157" i="1"/>
  <c r="Y157" i="1"/>
  <c r="AB157" i="1"/>
  <c r="X157" i="1"/>
  <c r="Z157" i="1"/>
  <c r="AA157" i="1"/>
  <c r="AJ157" i="1"/>
  <c r="AI157" i="1"/>
  <c r="AH157" i="1"/>
  <c r="AK157" i="1"/>
  <c r="AU118" i="1"/>
  <c r="BE118" i="1"/>
  <c r="AT157" i="1" l="1"/>
  <c r="AQ157" i="1"/>
  <c r="AQ158" i="1"/>
  <c r="AP157" i="1"/>
  <c r="AU119" i="1"/>
  <c r="BE119" i="1"/>
  <c r="U120" i="1" l="1"/>
  <c r="AR157" i="1"/>
  <c r="AR158" i="1"/>
  <c r="AU120" i="1"/>
  <c r="BE120" i="1"/>
  <c r="AU121" i="1" l="1"/>
  <c r="BE121" i="1"/>
  <c r="U122" i="1" l="1"/>
  <c r="AU122" i="1"/>
  <c r="BE122" i="1"/>
  <c r="D55" i="1"/>
  <c r="D38" i="1"/>
  <c r="D77" i="1"/>
  <c r="D117" i="1"/>
  <c r="D83" i="1"/>
  <c r="D96" i="1"/>
  <c r="D42" i="1"/>
  <c r="D86" i="1"/>
  <c r="D25" i="1"/>
  <c r="D19" i="1"/>
  <c r="D54" i="1"/>
  <c r="D93" i="1"/>
  <c r="D34" i="1"/>
  <c r="D110" i="1"/>
  <c r="D78" i="1"/>
  <c r="D80" i="1"/>
  <c r="D59" i="1"/>
  <c r="D109" i="1"/>
  <c r="D11" i="1"/>
  <c r="D81" i="1"/>
  <c r="D37" i="1"/>
  <c r="D23" i="1"/>
  <c r="D49" i="1"/>
  <c r="D35" i="1"/>
  <c r="D14" i="1"/>
  <c r="D102" i="1"/>
  <c r="D100" i="1"/>
  <c r="D47" i="1"/>
  <c r="D95" i="1"/>
  <c r="D67" i="1"/>
  <c r="D13" i="1"/>
  <c r="D121" i="1"/>
  <c r="D71" i="1"/>
  <c r="D44" i="1"/>
  <c r="D94" i="1"/>
  <c r="D103" i="1"/>
  <c r="D73" i="1"/>
  <c r="D48" i="1"/>
  <c r="D106" i="1"/>
  <c r="D119" i="1"/>
  <c r="D101" i="1"/>
  <c r="D76" i="1"/>
  <c r="D51" i="1"/>
  <c r="D32" i="1"/>
  <c r="D52" i="1"/>
  <c r="D108" i="1"/>
  <c r="D31" i="1"/>
  <c r="D112" i="1"/>
  <c r="D68" i="1"/>
  <c r="D75" i="1"/>
  <c r="D61" i="1"/>
  <c r="D62" i="1"/>
  <c r="D72" i="1"/>
  <c r="D89" i="1"/>
  <c r="D123" i="1"/>
  <c r="D46" i="1"/>
  <c r="D29" i="1"/>
  <c r="D99" i="1"/>
  <c r="D88" i="1"/>
  <c r="D57" i="1"/>
  <c r="D98" i="1"/>
  <c r="D20" i="1"/>
  <c r="D21" i="1"/>
  <c r="D27" i="1"/>
  <c r="D105" i="1"/>
  <c r="D90" i="1"/>
  <c r="D70" i="1"/>
  <c r="D92" i="1"/>
  <c r="D113" i="1"/>
  <c r="D82" i="1"/>
  <c r="D85" i="1"/>
  <c r="D22" i="1"/>
  <c r="D114" i="1"/>
  <c r="D30" i="1"/>
  <c r="D115" i="1"/>
  <c r="D17" i="1"/>
  <c r="D66" i="1"/>
  <c r="D39" i="1"/>
  <c r="D12" i="1"/>
  <c r="D97" i="1"/>
  <c r="D36" i="1"/>
  <c r="D16" i="1"/>
  <c r="D111" i="1"/>
  <c r="D41" i="1"/>
  <c r="D53" i="1"/>
  <c r="D40" i="1"/>
  <c r="D43" i="1"/>
  <c r="D116" i="1"/>
  <c r="D91" i="1"/>
  <c r="D64" i="1"/>
  <c r="D15" i="1"/>
  <c r="D87" i="1"/>
  <c r="D18" i="1"/>
  <c r="D118" i="1"/>
  <c r="D120" i="1"/>
  <c r="D24" i="1"/>
  <c r="D104" i="1"/>
  <c r="D74" i="1"/>
  <c r="D33" i="1"/>
  <c r="D58" i="1"/>
  <c r="D79" i="1"/>
  <c r="D122" i="1"/>
  <c r="D63" i="1"/>
  <c r="D60" i="1"/>
  <c r="D28" i="1"/>
  <c r="D26" i="1"/>
  <c r="D45" i="1"/>
  <c r="D50" i="1"/>
  <c r="D69" i="1"/>
  <c r="D56" i="1"/>
  <c r="D65" i="1"/>
  <c r="D84" i="1"/>
  <c r="D107" i="1"/>
  <c r="X232" i="1" a="1"/>
  <c r="X167" i="1" a="1"/>
  <c r="AH207" i="1" a="1"/>
  <c r="X226" i="1" a="1"/>
  <c r="AH200" i="1" a="1"/>
  <c r="X203" i="1" a="1"/>
  <c r="AH227" i="1" a="1"/>
  <c r="X221" i="1" a="1"/>
  <c r="X189" i="1" a="1"/>
  <c r="AH237" i="1" a="1"/>
  <c r="X237" i="1" a="1"/>
  <c r="AH220" i="1" a="1"/>
  <c r="X231" i="1" a="1"/>
  <c r="X212" i="1" a="1"/>
  <c r="X174" i="1" a="1"/>
  <c r="AH187" i="1" a="1"/>
  <c r="AH240" i="1" a="1"/>
  <c r="X178" i="1" a="1"/>
  <c r="AH151" i="1" a="1"/>
  <c r="AH212" i="1" a="1"/>
  <c r="AH202" i="1" a="1"/>
  <c r="AH229" i="1" a="1"/>
  <c r="X202" i="1" a="1"/>
  <c r="X234" i="1" a="1"/>
  <c r="X210" i="1" a="1"/>
  <c r="AH235" i="1" a="1"/>
  <c r="AH231" i="1" a="1"/>
  <c r="X224" i="1" a="1"/>
  <c r="AH191" i="1" a="1"/>
  <c r="AH181" i="1" a="1"/>
  <c r="X200" i="1" a="1"/>
  <c r="X180" i="1" a="1"/>
  <c r="AH215" i="1" a="1"/>
  <c r="AH206" i="1" a="1"/>
  <c r="X211" i="1" a="1"/>
  <c r="AH203" i="1" a="1"/>
  <c r="X199" i="1" a="1"/>
  <c r="AH226" i="1" a="1"/>
  <c r="X227" i="1" a="1"/>
  <c r="X184" i="1" a="1"/>
  <c r="X160" i="1" a="1"/>
  <c r="AH165" i="1" a="1"/>
  <c r="X185" i="1" a="1"/>
  <c r="AH183" i="1" a="1"/>
  <c r="AH152" i="1" a="1"/>
  <c r="AH223" i="1" a="1"/>
  <c r="AH160" i="1" a="1"/>
  <c r="X179" i="1" a="1"/>
  <c r="AH166" i="1" a="1"/>
  <c r="X151" i="1" a="1"/>
  <c r="X206" i="1" a="1"/>
  <c r="AH195" i="1" a="1"/>
  <c r="X223" i="1" a="1"/>
  <c r="X238" i="1" a="1"/>
  <c r="X225" i="1" a="1"/>
  <c r="X207" i="1" a="1"/>
  <c r="X240" i="1" a="1"/>
  <c r="AH228" i="1" a="1"/>
  <c r="AH162" i="1" a="1"/>
  <c r="AH217" i="1" a="1"/>
  <c r="X191" i="1" a="1"/>
  <c r="AH179" i="1" a="1"/>
  <c r="X194" i="1" a="1"/>
  <c r="X155" i="1" a="1"/>
  <c r="X229" i="1" a="1"/>
  <c r="AH150" i="1" a="1"/>
  <c r="X236" i="1" a="1"/>
  <c r="X187" i="1" a="1"/>
  <c r="AH213" i="1" a="1"/>
  <c r="AH201" i="1" a="1"/>
  <c r="AH186" i="1" a="1"/>
  <c r="AH170" i="1" a="1"/>
  <c r="X230" i="1" a="1"/>
  <c r="AH193" i="1" a="1"/>
  <c r="AH214" i="1" a="1"/>
  <c r="AH216" i="1" a="1"/>
  <c r="AH153" i="1" a="1"/>
  <c r="AH174" i="1" a="1"/>
  <c r="AH210" i="1" a="1"/>
  <c r="X182" i="1" a="1"/>
  <c r="AH154" i="1" a="1"/>
  <c r="AH218" i="1" a="1"/>
  <c r="X205" i="1" a="1"/>
  <c r="AH233" i="1" a="1"/>
  <c r="X183" i="1" a="1"/>
  <c r="AH236" i="1" a="1"/>
  <c r="X169" i="1" a="1"/>
  <c r="X152" i="1" a="1"/>
  <c r="X222" i="1" a="1"/>
  <c r="AH234" i="1" a="1"/>
  <c r="X220" i="1" a="1"/>
  <c r="X150" i="1" a="1"/>
  <c r="AH224" i="1" a="1"/>
  <c r="AH171" i="1" a="1"/>
  <c r="X239" i="1" a="1"/>
  <c r="AH172" i="1" a="1"/>
  <c r="AH239" i="1" a="1"/>
  <c r="AH190" i="1" a="1"/>
  <c r="X215" i="1" a="1"/>
  <c r="X154" i="1" a="1"/>
  <c r="X208" i="1" a="1"/>
  <c r="AH196" i="1" a="1"/>
  <c r="X153" i="1" a="1"/>
  <c r="AH189" i="1" a="1"/>
  <c r="X193" i="1" a="1"/>
  <c r="X163" i="1" a="1"/>
  <c r="AH204" i="1" a="1"/>
  <c r="X204" i="1" a="1"/>
  <c r="AH169" i="1" a="1"/>
  <c r="AH185" i="1" a="1"/>
  <c r="X201" i="1" a="1"/>
  <c r="AH238" i="1" a="1"/>
  <c r="X228" i="1" a="1"/>
  <c r="X213" i="1" a="1"/>
  <c r="AH222" i="1" a="1"/>
  <c r="AH194" i="1" a="1"/>
  <c r="X235" i="1" a="1"/>
  <c r="AH205" i="1" a="1"/>
  <c r="X168" i="1" a="1"/>
  <c r="AH180" i="1" a="1"/>
  <c r="X181" i="1" a="1"/>
  <c r="AH161" i="1" a="1"/>
  <c r="AH197" i="1" a="1"/>
  <c r="X164" i="1" a="1"/>
  <c r="AH221" i="1" a="1"/>
  <c r="AH230" i="1" a="1"/>
  <c r="AH188" i="1" a="1"/>
  <c r="X209" i="1" a="1"/>
  <c r="X218" i="1" a="1"/>
  <c r="AH211" i="1" a="1"/>
  <c r="X161" i="1" a="1"/>
  <c r="X214" i="1" a="1"/>
  <c r="AH219" i="1" a="1"/>
  <c r="X195" i="1" a="1"/>
  <c r="X216" i="1" a="1"/>
  <c r="AH164" i="1" a="1"/>
  <c r="AH208" i="1" a="1"/>
  <c r="AH155" i="1" a="1"/>
  <c r="AH163" i="1" a="1"/>
  <c r="X188" i="1" a="1"/>
  <c r="AH198" i="1" a="1"/>
  <c r="X165" i="1" a="1"/>
  <c r="AH199" i="1" a="1"/>
  <c r="X192" i="1" a="1"/>
  <c r="AH192" i="1" a="1"/>
  <c r="X172" i="1" a="1"/>
  <c r="X196" i="1" a="1"/>
  <c r="X170" i="1" a="1"/>
  <c r="X190" i="1" a="1"/>
  <c r="X162" i="1" a="1"/>
  <c r="AH178" i="1" a="1"/>
  <c r="AH182" i="1" a="1"/>
  <c r="AH167" i="1" a="1"/>
  <c r="X198" i="1" a="1"/>
  <c r="X219" i="1" a="1"/>
  <c r="AH168" i="1" a="1"/>
  <c r="X233" i="1" a="1"/>
  <c r="X166" i="1" a="1"/>
  <c r="AH225" i="1" a="1"/>
  <c r="AH184" i="1" a="1"/>
  <c r="AH232" i="1" a="1"/>
  <c r="X217" i="1" a="1"/>
  <c r="AH209" i="1" a="1"/>
  <c r="X186" i="1" a="1"/>
  <c r="X171" i="1" a="1"/>
  <c r="X197" i="1" a="1"/>
  <c r="AO11" i="1"/>
  <c r="AL11" i="1"/>
  <c r="U123" i="1" l="1"/>
  <c r="Y213" i="1"/>
  <c r="X213" i="1"/>
  <c r="AD213" i="1"/>
  <c r="AB213" i="1"/>
  <c r="Z213" i="1"/>
  <c r="AC213" i="1"/>
  <c r="AA213" i="1"/>
  <c r="AH185" i="1"/>
  <c r="AK185" i="1"/>
  <c r="AI185" i="1"/>
  <c r="AJ185" i="1"/>
  <c r="AJ228" i="1"/>
  <c r="AK228" i="1"/>
  <c r="AI228" i="1"/>
  <c r="AH228" i="1"/>
  <c r="X168" i="1"/>
  <c r="AD168" i="1"/>
  <c r="AC168" i="1"/>
  <c r="AB168" i="1"/>
  <c r="AA168" i="1"/>
  <c r="Y168" i="1"/>
  <c r="Z168" i="1"/>
  <c r="AJ199" i="1"/>
  <c r="AI199" i="1"/>
  <c r="AH199" i="1"/>
  <c r="AK199" i="1"/>
  <c r="Z232" i="1"/>
  <c r="X232" i="1"/>
  <c r="AC232" i="1"/>
  <c r="AA232" i="1"/>
  <c r="Y232" i="1"/>
  <c r="AD232" i="1"/>
  <c r="AB232" i="1"/>
  <c r="Y167" i="1"/>
  <c r="AB167" i="1"/>
  <c r="AD167" i="1"/>
  <c r="AC167" i="1"/>
  <c r="X167" i="1"/>
  <c r="AA167" i="1"/>
  <c r="Z167" i="1"/>
  <c r="AD210" i="1"/>
  <c r="AC210" i="1"/>
  <c r="Y210" i="1"/>
  <c r="AB210" i="1"/>
  <c r="AA210" i="1"/>
  <c r="Z210" i="1"/>
  <c r="X210" i="1"/>
  <c r="AB188" i="1"/>
  <c r="AC188" i="1"/>
  <c r="AA188" i="1"/>
  <c r="AD188" i="1"/>
  <c r="Z188" i="1"/>
  <c r="X188" i="1"/>
  <c r="Y188" i="1"/>
  <c r="AA238" i="1"/>
  <c r="Z238" i="1"/>
  <c r="Y238" i="1"/>
  <c r="AB238" i="1"/>
  <c r="AD238" i="1"/>
  <c r="AC238" i="1"/>
  <c r="X238" i="1"/>
  <c r="AK189" i="1"/>
  <c r="AJ189" i="1"/>
  <c r="AH189" i="1"/>
  <c r="AI189" i="1"/>
  <c r="AB236" i="1"/>
  <c r="X236" i="1"/>
  <c r="Y236" i="1"/>
  <c r="AD236" i="1"/>
  <c r="AA236" i="1"/>
  <c r="AC236" i="1"/>
  <c r="Z236" i="1"/>
  <c r="AK180" i="1"/>
  <c r="AH180" i="1"/>
  <c r="AI180" i="1"/>
  <c r="AJ180" i="1"/>
  <c r="Z234" i="1"/>
  <c r="X234" i="1"/>
  <c r="AA234" i="1"/>
  <c r="AB234" i="1"/>
  <c r="Y234" i="1"/>
  <c r="AC234" i="1"/>
  <c r="AD234" i="1"/>
  <c r="AB165" i="1"/>
  <c r="AA165" i="1"/>
  <c r="Y165" i="1"/>
  <c r="X165" i="1"/>
  <c r="AD165" i="1"/>
  <c r="Z165" i="1"/>
  <c r="AC165" i="1"/>
  <c r="AA231" i="1"/>
  <c r="AC231" i="1"/>
  <c r="AD231" i="1"/>
  <c r="Y231" i="1"/>
  <c r="AB231" i="1"/>
  <c r="Z231" i="1"/>
  <c r="X231" i="1"/>
  <c r="X150" i="1"/>
  <c r="Z150" i="1"/>
  <c r="AD150" i="1"/>
  <c r="AB150" i="1"/>
  <c r="Y150" i="1"/>
  <c r="AA150" i="1"/>
  <c r="AC150" i="1"/>
  <c r="AJ225" i="1"/>
  <c r="AH225" i="1"/>
  <c r="AI225" i="1"/>
  <c r="AK225" i="1"/>
  <c r="AJ221" i="1"/>
  <c r="AH221" i="1"/>
  <c r="AK221" i="1"/>
  <c r="AI221" i="1"/>
  <c r="Y217" i="1"/>
  <c r="Z217" i="1"/>
  <c r="AB217" i="1"/>
  <c r="AA217" i="1"/>
  <c r="AD217" i="1"/>
  <c r="X217" i="1"/>
  <c r="AC217" i="1"/>
  <c r="Z154" i="1"/>
  <c r="X154" i="1"/>
  <c r="Y154" i="1"/>
  <c r="AA154" i="1"/>
  <c r="AC154" i="1"/>
  <c r="AB154" i="1"/>
  <c r="AD154" i="1"/>
  <c r="AJ187" i="1"/>
  <c r="AI187" i="1"/>
  <c r="AK187" i="1"/>
  <c r="AH187" i="1"/>
  <c r="AB215" i="1"/>
  <c r="AA215" i="1"/>
  <c r="Z215" i="1"/>
  <c r="AD215" i="1"/>
  <c r="AC215" i="1"/>
  <c r="X215" i="1"/>
  <c r="Y215" i="1"/>
  <c r="AH150" i="1"/>
  <c r="AI150" i="1"/>
  <c r="AK150" i="1"/>
  <c r="AJ150" i="1"/>
  <c r="AB222" i="1"/>
  <c r="Y222" i="1"/>
  <c r="AA222" i="1"/>
  <c r="X222" i="1"/>
  <c r="AC222" i="1"/>
  <c r="AD222" i="1"/>
  <c r="Z222" i="1"/>
  <c r="AH181" i="1"/>
  <c r="AI181" i="1"/>
  <c r="AK181" i="1"/>
  <c r="AJ181" i="1"/>
  <c r="AC208" i="1"/>
  <c r="AB208" i="1"/>
  <c r="X208" i="1"/>
  <c r="Y208" i="1"/>
  <c r="AD208" i="1"/>
  <c r="AA208" i="1"/>
  <c r="Z208" i="1"/>
  <c r="AK160" i="1"/>
  <c r="AH160" i="1"/>
  <c r="AI160" i="1"/>
  <c r="AJ160" i="1"/>
  <c r="AI155" i="1"/>
  <c r="AK155" i="1"/>
  <c r="AJ155" i="1"/>
  <c r="AH155" i="1"/>
  <c r="AI151" i="1"/>
  <c r="AK151" i="1"/>
  <c r="AH151" i="1"/>
  <c r="AJ151" i="1"/>
  <c r="AJ198" i="1"/>
  <c r="AH198" i="1"/>
  <c r="AI198" i="1"/>
  <c r="AK198" i="1"/>
  <c r="AI171" i="1"/>
  <c r="AH171" i="1"/>
  <c r="AK171" i="1"/>
  <c r="AJ171" i="1"/>
  <c r="Z219" i="1"/>
  <c r="X219" i="1"/>
  <c r="AD219" i="1"/>
  <c r="AB219" i="1"/>
  <c r="Y219" i="1"/>
  <c r="AC219" i="1"/>
  <c r="AA219" i="1"/>
  <c r="AH194" i="1"/>
  <c r="AK194" i="1"/>
  <c r="AJ194" i="1"/>
  <c r="AI194" i="1"/>
  <c r="AI233" i="1"/>
  <c r="AK233" i="1"/>
  <c r="AH233" i="1"/>
  <c r="AJ233" i="1"/>
  <c r="AA152" i="1"/>
  <c r="X152" i="1"/>
  <c r="Y152" i="1"/>
  <c r="AC152" i="1"/>
  <c r="AD152" i="1"/>
  <c r="Z152" i="1"/>
  <c r="AB152" i="1"/>
  <c r="X163" i="1"/>
  <c r="AC163" i="1"/>
  <c r="Z163" i="1"/>
  <c r="AD163" i="1"/>
  <c r="Y163" i="1"/>
  <c r="AB163" i="1"/>
  <c r="AA163" i="1"/>
  <c r="AD235" i="1"/>
  <c r="Z235" i="1"/>
  <c r="AB235" i="1"/>
  <c r="AC235" i="1"/>
  <c r="Y235" i="1"/>
  <c r="X235" i="1"/>
  <c r="AA235" i="1"/>
  <c r="AH240" i="1"/>
  <c r="AK240" i="1"/>
  <c r="AI240" i="1"/>
  <c r="AJ240" i="1"/>
  <c r="AC221" i="1"/>
  <c r="X221" i="1"/>
  <c r="AA221" i="1"/>
  <c r="AB221" i="1"/>
  <c r="Z221" i="1"/>
  <c r="Y221" i="1"/>
  <c r="AD221" i="1"/>
  <c r="AJ238" i="1"/>
  <c r="AK238" i="1"/>
  <c r="AH238" i="1"/>
  <c r="AI238" i="1"/>
  <c r="AJ164" i="1"/>
  <c r="AK164" i="1"/>
  <c r="AH164" i="1"/>
  <c r="AI164" i="1"/>
  <c r="AJ218" i="1"/>
  <c r="AI218" i="1"/>
  <c r="AK218" i="1"/>
  <c r="AH218" i="1"/>
  <c r="AI232" i="1"/>
  <c r="AJ232" i="1"/>
  <c r="AK232" i="1"/>
  <c r="AH232" i="1"/>
  <c r="AD174" i="1"/>
  <c r="Z174" i="1"/>
  <c r="AB174" i="1"/>
  <c r="AA174" i="1"/>
  <c r="Y174" i="1"/>
  <c r="X174" i="1"/>
  <c r="AC174" i="1"/>
  <c r="Y189" i="1"/>
  <c r="AC189" i="1"/>
  <c r="AA189" i="1"/>
  <c r="AD189" i="1"/>
  <c r="AB189" i="1"/>
  <c r="Z189" i="1"/>
  <c r="X189" i="1"/>
  <c r="Y182" i="1"/>
  <c r="AD182" i="1"/>
  <c r="X182" i="1"/>
  <c r="AA182" i="1"/>
  <c r="AB182" i="1"/>
  <c r="Z182" i="1"/>
  <c r="AC182" i="1"/>
  <c r="AI200" i="1"/>
  <c r="AH200" i="1"/>
  <c r="AK200" i="1"/>
  <c r="AJ200" i="1"/>
  <c r="AK231" i="1"/>
  <c r="AI231" i="1"/>
  <c r="AJ231" i="1"/>
  <c r="AH231" i="1"/>
  <c r="AI236" i="1"/>
  <c r="AH236" i="1"/>
  <c r="AJ236" i="1"/>
  <c r="AK236" i="1"/>
  <c r="AI192" i="1"/>
  <c r="AK192" i="1"/>
  <c r="AH192" i="1"/>
  <c r="AJ192" i="1"/>
  <c r="Z198" i="1"/>
  <c r="AC198" i="1"/>
  <c r="AB198" i="1"/>
  <c r="Y198" i="1"/>
  <c r="X198" i="1"/>
  <c r="AA198" i="1"/>
  <c r="AD198" i="1"/>
  <c r="AD233" i="1"/>
  <c r="Z233" i="1"/>
  <c r="AA233" i="1"/>
  <c r="AC233" i="1"/>
  <c r="X233" i="1"/>
  <c r="Y233" i="1"/>
  <c r="AB233" i="1"/>
  <c r="AA239" i="1"/>
  <c r="X239" i="1"/>
  <c r="Y239" i="1"/>
  <c r="Z239" i="1"/>
  <c r="AD239" i="1"/>
  <c r="AB239" i="1"/>
  <c r="AC239" i="1"/>
  <c r="AH212" i="1"/>
  <c r="AJ212" i="1"/>
  <c r="AK212" i="1"/>
  <c r="AI212" i="1"/>
  <c r="AK161" i="1"/>
  <c r="AI161" i="1"/>
  <c r="AH161" i="1"/>
  <c r="AJ161" i="1"/>
  <c r="AK203" i="1"/>
  <c r="AH203" i="1"/>
  <c r="AI203" i="1"/>
  <c r="AJ203" i="1"/>
  <c r="AJ235" i="1"/>
  <c r="AI235" i="1"/>
  <c r="AK235" i="1"/>
  <c r="AH235" i="1"/>
  <c r="AB179" i="1"/>
  <c r="AC179" i="1"/>
  <c r="X179" i="1"/>
  <c r="AD179" i="1"/>
  <c r="Z179" i="1"/>
  <c r="Y179" i="1"/>
  <c r="AA179" i="1"/>
  <c r="AH190" i="1"/>
  <c r="AK190" i="1"/>
  <c r="AJ190" i="1"/>
  <c r="AI190" i="1"/>
  <c r="Z237" i="1"/>
  <c r="AD237" i="1"/>
  <c r="AC237" i="1"/>
  <c r="X237" i="1"/>
  <c r="AB237" i="1"/>
  <c r="AA237" i="1"/>
  <c r="Y237" i="1"/>
  <c r="AH196" i="1"/>
  <c r="AI196" i="1"/>
  <c r="AJ196" i="1"/>
  <c r="AK196" i="1"/>
  <c r="AA226" i="1"/>
  <c r="Z226" i="1"/>
  <c r="AD226" i="1"/>
  <c r="AB226" i="1"/>
  <c r="AC226" i="1"/>
  <c r="X226" i="1"/>
  <c r="Y226" i="1"/>
  <c r="AA229" i="1"/>
  <c r="Y229" i="1"/>
  <c r="X229" i="1"/>
  <c r="AB229" i="1"/>
  <c r="Z229" i="1"/>
  <c r="AD229" i="1"/>
  <c r="AC229" i="1"/>
  <c r="AC211" i="1"/>
  <c r="Y211" i="1"/>
  <c r="AA211" i="1"/>
  <c r="AB211" i="1"/>
  <c r="X211" i="1"/>
  <c r="AD211" i="1"/>
  <c r="Z211" i="1"/>
  <c r="X184" i="1"/>
  <c r="Y184" i="1"/>
  <c r="AB184" i="1"/>
  <c r="Z184" i="1"/>
  <c r="AA184" i="1"/>
  <c r="AD184" i="1"/>
  <c r="AC184" i="1"/>
  <c r="AI154" i="1"/>
  <c r="AJ154" i="1"/>
  <c r="AK154" i="1"/>
  <c r="AH154" i="1"/>
  <c r="AK179" i="1"/>
  <c r="AH179" i="1"/>
  <c r="AJ179" i="1"/>
  <c r="AI179" i="1"/>
  <c r="AI227" i="1"/>
  <c r="AJ227" i="1"/>
  <c r="AK227" i="1"/>
  <c r="AH227" i="1"/>
  <c r="AA192" i="1"/>
  <c r="Z192" i="1"/>
  <c r="AC192" i="1"/>
  <c r="AD192" i="1"/>
  <c r="X192" i="1"/>
  <c r="Y192" i="1"/>
  <c r="AB192" i="1"/>
  <c r="AK188" i="1"/>
  <c r="AJ188" i="1"/>
  <c r="AH188" i="1"/>
  <c r="AI188" i="1"/>
  <c r="AK237" i="1"/>
  <c r="AI237" i="1"/>
  <c r="AJ237" i="1"/>
  <c r="AH237" i="1"/>
  <c r="AB180" i="1"/>
  <c r="Y180" i="1"/>
  <c r="X180" i="1"/>
  <c r="Z180" i="1"/>
  <c r="AA180" i="1"/>
  <c r="AD180" i="1"/>
  <c r="AC180" i="1"/>
  <c r="AH210" i="1"/>
  <c r="AI210" i="1"/>
  <c r="AK210" i="1"/>
  <c r="AJ210" i="1"/>
  <c r="AJ202" i="1"/>
  <c r="AK202" i="1"/>
  <c r="AH202" i="1"/>
  <c r="AI202" i="1"/>
  <c r="Y196" i="1"/>
  <c r="AD196" i="1"/>
  <c r="X196" i="1"/>
  <c r="AC196" i="1"/>
  <c r="Z196" i="1"/>
  <c r="AB196" i="1"/>
  <c r="AA196" i="1"/>
  <c r="AC197" i="1"/>
  <c r="X197" i="1"/>
  <c r="Y197" i="1"/>
  <c r="AD197" i="1"/>
  <c r="Z197" i="1"/>
  <c r="AA197" i="1"/>
  <c r="AB197" i="1"/>
  <c r="AA203" i="1"/>
  <c r="AC203" i="1"/>
  <c r="Z203" i="1"/>
  <c r="AD203" i="1"/>
  <c r="Y203" i="1"/>
  <c r="AB203" i="1"/>
  <c r="X203" i="1"/>
  <c r="AH193" i="1"/>
  <c r="AK193" i="1"/>
  <c r="AJ193" i="1"/>
  <c r="AI193" i="1"/>
  <c r="AH184" i="1"/>
  <c r="AI184" i="1"/>
  <c r="AJ184" i="1"/>
  <c r="AK184" i="1"/>
  <c r="AJ222" i="1"/>
  <c r="AK222" i="1"/>
  <c r="AI222" i="1"/>
  <c r="AH222" i="1"/>
  <c r="AB220" i="1"/>
  <c r="AC220" i="1"/>
  <c r="X220" i="1"/>
  <c r="Y220" i="1"/>
  <c r="Z220" i="1"/>
  <c r="AD220" i="1"/>
  <c r="AA220" i="1"/>
  <c r="AK214" i="1"/>
  <c r="AJ214" i="1"/>
  <c r="AH214" i="1"/>
  <c r="AI214" i="1"/>
  <c r="AK152" i="1"/>
  <c r="AH152" i="1"/>
  <c r="AI152" i="1"/>
  <c r="AJ152" i="1"/>
  <c r="AC169" i="1"/>
  <c r="AA169" i="1"/>
  <c r="Y169" i="1"/>
  <c r="AD169" i="1"/>
  <c r="AB169" i="1"/>
  <c r="X169" i="1"/>
  <c r="Z169" i="1"/>
  <c r="X191" i="1"/>
  <c r="AD191" i="1"/>
  <c r="Y191" i="1"/>
  <c r="AA191" i="1"/>
  <c r="AB191" i="1"/>
  <c r="AC191" i="1"/>
  <c r="Z191" i="1"/>
  <c r="AB153" i="1"/>
  <c r="Y153" i="1"/>
  <c r="AC153" i="1"/>
  <c r="X153" i="1"/>
  <c r="AA153" i="1"/>
  <c r="Z153" i="1"/>
  <c r="AD153" i="1"/>
  <c r="AC227" i="1"/>
  <c r="Z227" i="1"/>
  <c r="X227" i="1"/>
  <c r="Y227" i="1"/>
  <c r="AD227" i="1"/>
  <c r="AA227" i="1"/>
  <c r="AB227" i="1"/>
  <c r="Z195" i="1"/>
  <c r="X195" i="1"/>
  <c r="AA195" i="1"/>
  <c r="Y195" i="1"/>
  <c r="AD195" i="1"/>
  <c r="AC195" i="1"/>
  <c r="AB195" i="1"/>
  <c r="AC225" i="1"/>
  <c r="AD225" i="1"/>
  <c r="AB225" i="1"/>
  <c r="X225" i="1"/>
  <c r="Y225" i="1"/>
  <c r="Z225" i="1"/>
  <c r="AA225" i="1"/>
  <c r="AJ169" i="1"/>
  <c r="AH169" i="1"/>
  <c r="AK169" i="1"/>
  <c r="AI169" i="1"/>
  <c r="AC224" i="1"/>
  <c r="X224" i="1"/>
  <c r="Y224" i="1"/>
  <c r="AD224" i="1"/>
  <c r="Z224" i="1"/>
  <c r="AA224" i="1"/>
  <c r="AB224" i="1"/>
  <c r="Y212" i="1"/>
  <c r="AB212" i="1"/>
  <c r="X212" i="1"/>
  <c r="AC212" i="1"/>
  <c r="AA212" i="1"/>
  <c r="Z212" i="1"/>
  <c r="AD212" i="1"/>
  <c r="AH183" i="1"/>
  <c r="AJ183" i="1"/>
  <c r="AI183" i="1"/>
  <c r="AK183" i="1"/>
  <c r="AI165" i="1"/>
  <c r="AK165" i="1"/>
  <c r="AJ165" i="1"/>
  <c r="AH165" i="1"/>
  <c r="Y202" i="1"/>
  <c r="AD202" i="1"/>
  <c r="AA202" i="1"/>
  <c r="X202" i="1"/>
  <c r="AB202" i="1"/>
  <c r="AC202" i="1"/>
  <c r="Z202" i="1"/>
  <c r="Z187" i="1"/>
  <c r="AA187" i="1"/>
  <c r="AD187" i="1"/>
  <c r="Y187" i="1"/>
  <c r="AB187" i="1"/>
  <c r="AC187" i="1"/>
  <c r="X187" i="1"/>
  <c r="AK182" i="1"/>
  <c r="AJ182" i="1"/>
  <c r="AI182" i="1"/>
  <c r="AH182" i="1"/>
  <c r="AA199" i="1"/>
  <c r="Y199" i="1"/>
  <c r="AC199" i="1"/>
  <c r="Z199" i="1"/>
  <c r="X199" i="1"/>
  <c r="AB199" i="1"/>
  <c r="AD199" i="1"/>
  <c r="X201" i="1"/>
  <c r="AC201" i="1"/>
  <c r="Z201" i="1"/>
  <c r="AD201" i="1"/>
  <c r="AB201" i="1"/>
  <c r="AA201" i="1"/>
  <c r="Y201" i="1"/>
  <c r="AH229" i="1"/>
  <c r="AI229" i="1"/>
  <c r="AJ229" i="1"/>
  <c r="AK229" i="1"/>
  <c r="AJ191" i="1"/>
  <c r="AH191" i="1"/>
  <c r="AK191" i="1"/>
  <c r="AI191" i="1"/>
  <c r="AH234" i="1"/>
  <c r="AI234" i="1"/>
  <c r="AK234" i="1"/>
  <c r="AJ234" i="1"/>
  <c r="AI162" i="1"/>
  <c r="AH162" i="1"/>
  <c r="AJ162" i="1"/>
  <c r="AK162" i="1"/>
  <c r="Y181" i="1"/>
  <c r="X181" i="1"/>
  <c r="AB181" i="1"/>
  <c r="AA181" i="1"/>
  <c r="AD181" i="1"/>
  <c r="Z181" i="1"/>
  <c r="AC181" i="1"/>
  <c r="AI197" i="1"/>
  <c r="AK197" i="1"/>
  <c r="AH197" i="1"/>
  <c r="AJ197" i="1"/>
  <c r="Y155" i="1"/>
  <c r="AD155" i="1"/>
  <c r="AA155" i="1"/>
  <c r="AC155" i="1"/>
  <c r="AB155" i="1"/>
  <c r="X155" i="1"/>
  <c r="Z155" i="1"/>
  <c r="X207" i="1"/>
  <c r="AD207" i="1"/>
  <c r="Y207" i="1"/>
  <c r="Z207" i="1"/>
  <c r="AA207" i="1"/>
  <c r="AB207" i="1"/>
  <c r="AC207" i="1"/>
  <c r="AH163" i="1"/>
  <c r="AJ163" i="1"/>
  <c r="AK163" i="1"/>
  <c r="AI163" i="1"/>
  <c r="X186" i="1"/>
  <c r="AC186" i="1"/>
  <c r="AB186" i="1"/>
  <c r="Z186" i="1"/>
  <c r="Y186" i="1"/>
  <c r="AA186" i="1"/>
  <c r="AD186" i="1"/>
  <c r="Y190" i="1"/>
  <c r="AC190" i="1"/>
  <c r="X190" i="1"/>
  <c r="AB190" i="1"/>
  <c r="AD190" i="1"/>
  <c r="Z190" i="1"/>
  <c r="AA190" i="1"/>
  <c r="AC206" i="1"/>
  <c r="Y206" i="1"/>
  <c r="AB206" i="1"/>
  <c r="AA206" i="1"/>
  <c r="Z206" i="1"/>
  <c r="X206" i="1"/>
  <c r="AD206" i="1"/>
  <c r="AK219" i="1"/>
  <c r="AH219" i="1"/>
  <c r="AI219" i="1"/>
  <c r="AJ219" i="1"/>
  <c r="Z240" i="1"/>
  <c r="AB240" i="1"/>
  <c r="AA240" i="1"/>
  <c r="Y240" i="1"/>
  <c r="X240" i="1"/>
  <c r="AC240" i="1"/>
  <c r="AD240" i="1"/>
  <c r="AH201" i="1"/>
  <c r="AI201" i="1"/>
  <c r="AJ201" i="1"/>
  <c r="AK201" i="1"/>
  <c r="Z160" i="1"/>
  <c r="AB160" i="1"/>
  <c r="Y160" i="1"/>
  <c r="AD160" i="1"/>
  <c r="AC160" i="1"/>
  <c r="AA160" i="1"/>
  <c r="X160" i="1"/>
  <c r="AH224" i="1"/>
  <c r="AI224" i="1"/>
  <c r="AJ224" i="1"/>
  <c r="AK224" i="1"/>
  <c r="AK223" i="1"/>
  <c r="AI223" i="1"/>
  <c r="AH223" i="1"/>
  <c r="AJ223" i="1"/>
  <c r="AC230" i="1"/>
  <c r="AB230" i="1"/>
  <c r="AA230" i="1"/>
  <c r="X230" i="1"/>
  <c r="Z230" i="1"/>
  <c r="Y230" i="1"/>
  <c r="AD230" i="1"/>
  <c r="Y170" i="1"/>
  <c r="AB170" i="1"/>
  <c r="AA170" i="1"/>
  <c r="AD170" i="1"/>
  <c r="Z170" i="1"/>
  <c r="AC170" i="1"/>
  <c r="X170" i="1"/>
  <c r="AH220" i="1"/>
  <c r="AK220" i="1"/>
  <c r="AI220" i="1"/>
  <c r="AJ220" i="1"/>
  <c r="AH170" i="1"/>
  <c r="AJ170" i="1"/>
  <c r="AK170" i="1"/>
  <c r="AI170" i="1"/>
  <c r="AA162" i="1"/>
  <c r="AC162" i="1"/>
  <c r="X162" i="1"/>
  <c r="Z162" i="1"/>
  <c r="Y162" i="1"/>
  <c r="AD162" i="1"/>
  <c r="AB162" i="1"/>
  <c r="AK204" i="1"/>
  <c r="AI204" i="1"/>
  <c r="AJ204" i="1"/>
  <c r="AH204" i="1"/>
  <c r="X228" i="1"/>
  <c r="Y228" i="1"/>
  <c r="Z228" i="1"/>
  <c r="AD228" i="1"/>
  <c r="AC228" i="1"/>
  <c r="AA228" i="1"/>
  <c r="AB228" i="1"/>
  <c r="AI211" i="1"/>
  <c r="AJ211" i="1"/>
  <c r="AH211" i="1"/>
  <c r="AK211" i="1"/>
  <c r="AK172" i="1"/>
  <c r="AI172" i="1"/>
  <c r="AH172" i="1"/>
  <c r="AJ172" i="1"/>
  <c r="AJ226" i="1"/>
  <c r="AH226" i="1"/>
  <c r="AI226" i="1"/>
  <c r="AK226" i="1"/>
  <c r="Z151" i="1"/>
  <c r="AD151" i="1"/>
  <c r="AC151" i="1"/>
  <c r="Y151" i="1"/>
  <c r="X151" i="1"/>
  <c r="AB151" i="1"/>
  <c r="AA151" i="1"/>
  <c r="AH239" i="1"/>
  <c r="AK239" i="1"/>
  <c r="AI239" i="1"/>
  <c r="AJ239" i="1"/>
  <c r="Z205" i="1"/>
  <c r="AD205" i="1"/>
  <c r="AC205" i="1"/>
  <c r="AB205" i="1"/>
  <c r="Y205" i="1"/>
  <c r="AA205" i="1"/>
  <c r="X205" i="1"/>
  <c r="AJ167" i="1"/>
  <c r="AH167" i="1"/>
  <c r="AK167" i="1"/>
  <c r="AI167" i="1"/>
  <c r="AI207" i="1"/>
  <c r="AH207" i="1"/>
  <c r="AJ207" i="1"/>
  <c r="AK207" i="1"/>
  <c r="AD161" i="1"/>
  <c r="AC161" i="1"/>
  <c r="AA161" i="1"/>
  <c r="Y161" i="1"/>
  <c r="X161" i="1"/>
  <c r="AB161" i="1"/>
  <c r="Z161" i="1"/>
  <c r="AH153" i="1"/>
  <c r="AJ153" i="1"/>
  <c r="AK153" i="1"/>
  <c r="AI153" i="1"/>
  <c r="X218" i="1"/>
  <c r="AB218" i="1"/>
  <c r="Z218" i="1"/>
  <c r="AD218" i="1"/>
  <c r="AC218" i="1"/>
  <c r="Y218" i="1"/>
  <c r="AA218" i="1"/>
  <c r="Y178" i="1"/>
  <c r="X178" i="1"/>
  <c r="AD178" i="1"/>
  <c r="AA178" i="1"/>
  <c r="Z178" i="1"/>
  <c r="AC178" i="1"/>
  <c r="AB178" i="1"/>
  <c r="AD194" i="1"/>
  <c r="Z194" i="1"/>
  <c r="AB194" i="1"/>
  <c r="X194" i="1"/>
  <c r="AC194" i="1"/>
  <c r="Y194" i="1"/>
  <c r="AA194" i="1"/>
  <c r="Z204" i="1"/>
  <c r="AA204" i="1"/>
  <c r="X204" i="1"/>
  <c r="Y204" i="1"/>
  <c r="AC204" i="1"/>
  <c r="AD204" i="1"/>
  <c r="AB204" i="1"/>
  <c r="AJ216" i="1"/>
  <c r="AH216" i="1"/>
  <c r="AI216" i="1"/>
  <c r="AK216" i="1"/>
  <c r="Z223" i="1"/>
  <c r="AB223" i="1"/>
  <c r="Y223" i="1"/>
  <c r="AC223" i="1"/>
  <c r="AD223" i="1"/>
  <c r="X223" i="1"/>
  <c r="AA223" i="1"/>
  <c r="AK174" i="1"/>
  <c r="AI174" i="1"/>
  <c r="AH174" i="1"/>
  <c r="AJ174" i="1"/>
  <c r="AD166" i="1"/>
  <c r="Y166" i="1"/>
  <c r="X166" i="1"/>
  <c r="AC166" i="1"/>
  <c r="AA166" i="1"/>
  <c r="AB166" i="1"/>
  <c r="Z166" i="1"/>
  <c r="AJ168" i="1"/>
  <c r="AK168" i="1"/>
  <c r="AI168" i="1"/>
  <c r="AH168" i="1"/>
  <c r="AK178" i="1"/>
  <c r="AJ178" i="1"/>
  <c r="AH178" i="1"/>
  <c r="AI178" i="1"/>
  <c r="AJ206" i="1"/>
  <c r="AH206" i="1"/>
  <c r="AI206" i="1"/>
  <c r="AK206" i="1"/>
  <c r="AB185" i="1"/>
  <c r="AD185" i="1"/>
  <c r="Y185" i="1"/>
  <c r="AC185" i="1"/>
  <c r="AA185" i="1"/>
  <c r="X185" i="1"/>
  <c r="Z185" i="1"/>
  <c r="Z183" i="1"/>
  <c r="AB183" i="1"/>
  <c r="AC183" i="1"/>
  <c r="AA183" i="1"/>
  <c r="X183" i="1"/>
  <c r="AD183" i="1"/>
  <c r="Y183" i="1"/>
  <c r="X172" i="1"/>
  <c r="AB172" i="1"/>
  <c r="AC172" i="1"/>
  <c r="AA172" i="1"/>
  <c r="AD172" i="1"/>
  <c r="Y172" i="1"/>
  <c r="Z172" i="1"/>
  <c r="AD193" i="1"/>
  <c r="AA193" i="1"/>
  <c r="Y193" i="1"/>
  <c r="AC193" i="1"/>
  <c r="X193" i="1"/>
  <c r="AB193" i="1"/>
  <c r="Z193" i="1"/>
  <c r="AI208" i="1"/>
  <c r="AH208" i="1"/>
  <c r="AJ208" i="1"/>
  <c r="AK208" i="1"/>
  <c r="AJ215" i="1"/>
  <c r="AH215" i="1"/>
  <c r="AI215" i="1"/>
  <c r="AK215" i="1"/>
  <c r="AI166" i="1"/>
  <c r="AK166" i="1"/>
  <c r="AH166" i="1"/>
  <c r="AJ166" i="1"/>
  <c r="AC216" i="1"/>
  <c r="AA216" i="1"/>
  <c r="X216" i="1"/>
  <c r="AB216" i="1"/>
  <c r="Y216" i="1"/>
  <c r="AD216" i="1"/>
  <c r="Z216" i="1"/>
  <c r="AI186" i="1"/>
  <c r="AK186" i="1"/>
  <c r="AJ186" i="1"/>
  <c r="AH186" i="1"/>
  <c r="AA164" i="1"/>
  <c r="AC164" i="1"/>
  <c r="Z164" i="1"/>
  <c r="Y164" i="1"/>
  <c r="AB164" i="1"/>
  <c r="AD164" i="1"/>
  <c r="X164" i="1"/>
  <c r="AK213" i="1"/>
  <c r="AJ213" i="1"/>
  <c r="AH213" i="1"/>
  <c r="AI213" i="1"/>
  <c r="X214" i="1"/>
  <c r="Z214" i="1"/>
  <c r="AB214" i="1"/>
  <c r="AD214" i="1"/>
  <c r="Y214" i="1"/>
  <c r="AC214" i="1"/>
  <c r="AA214" i="1"/>
  <c r="AH195" i="1"/>
  <c r="AK195" i="1"/>
  <c r="AJ195" i="1"/>
  <c r="AI195" i="1"/>
  <c r="AK217" i="1"/>
  <c r="AJ217" i="1"/>
  <c r="AH217" i="1"/>
  <c r="AI217" i="1"/>
  <c r="AH209" i="1"/>
  <c r="AI209" i="1"/>
  <c r="AK209" i="1"/>
  <c r="AJ209" i="1"/>
  <c r="AB171" i="1"/>
  <c r="AC171" i="1"/>
  <c r="AD171" i="1"/>
  <c r="AA171" i="1"/>
  <c r="X171" i="1"/>
  <c r="Y171" i="1"/>
  <c r="Z171" i="1"/>
  <c r="AC200" i="1"/>
  <c r="Z200" i="1"/>
  <c r="Y200" i="1"/>
  <c r="X200" i="1"/>
  <c r="AB200" i="1"/>
  <c r="AD200" i="1"/>
  <c r="AA200" i="1"/>
  <c r="AC209" i="1"/>
  <c r="AA209" i="1"/>
  <c r="Z209" i="1"/>
  <c r="AB209" i="1"/>
  <c r="Y209" i="1"/>
  <c r="AD209" i="1"/>
  <c r="X209" i="1"/>
  <c r="AH205" i="1"/>
  <c r="AJ205" i="1"/>
  <c r="AK205" i="1"/>
  <c r="AI205" i="1"/>
  <c r="AJ230" i="1"/>
  <c r="AI230" i="1"/>
  <c r="AH230" i="1"/>
  <c r="AK230" i="1"/>
  <c r="AU123" i="1"/>
  <c r="AO29" i="1"/>
  <c r="AL29" i="1"/>
  <c r="AL28" i="1"/>
  <c r="AO28" i="1"/>
  <c r="AL20" i="1"/>
  <c r="AO23" i="1"/>
  <c r="AL14" i="1"/>
  <c r="AO24" i="1"/>
  <c r="AL26" i="1"/>
  <c r="AO21" i="1"/>
  <c r="AO20" i="1"/>
  <c r="AL12" i="1"/>
  <c r="AL13" i="1"/>
  <c r="AL25" i="1"/>
  <c r="AO19" i="1"/>
  <c r="AO25" i="1"/>
  <c r="AO26" i="1"/>
  <c r="AO22" i="1"/>
  <c r="AL22" i="1"/>
  <c r="AO14" i="1"/>
  <c r="AL16" i="1"/>
  <c r="AO27" i="1"/>
  <c r="AL19" i="1"/>
  <c r="AO12" i="1"/>
  <c r="AL27" i="1"/>
  <c r="AL21" i="1"/>
  <c r="AO18" i="1"/>
  <c r="AL18" i="1"/>
  <c r="AL24" i="1"/>
  <c r="AO16" i="1"/>
  <c r="AO13" i="1"/>
  <c r="AL23" i="1"/>
  <c r="AL17" i="1"/>
  <c r="AO15" i="1"/>
  <c r="AO17" i="1"/>
  <c r="AL15" i="1"/>
  <c r="AO52" i="1"/>
  <c r="AO37" i="1"/>
  <c r="AO74" i="1"/>
  <c r="AL58" i="1"/>
  <c r="AO65" i="1"/>
  <c r="AL62" i="1"/>
  <c r="AO72" i="1"/>
  <c r="AL55" i="1"/>
  <c r="AO57" i="1"/>
  <c r="AO41" i="1"/>
  <c r="AL59" i="1"/>
  <c r="AO79" i="1"/>
  <c r="AO67" i="1"/>
  <c r="AO35" i="1"/>
  <c r="AO80" i="1"/>
  <c r="AL50" i="1"/>
  <c r="AL79" i="1"/>
  <c r="AL47" i="1"/>
  <c r="AL44" i="1"/>
  <c r="AO59" i="1"/>
  <c r="AL66" i="1"/>
  <c r="AO58" i="1"/>
  <c r="AO78" i="1"/>
  <c r="AL42" i="1"/>
  <c r="AO31" i="1"/>
  <c r="AL81" i="1"/>
  <c r="AL35" i="1"/>
  <c r="AO71" i="1"/>
  <c r="AL83" i="1"/>
  <c r="AO60" i="1"/>
  <c r="AL85" i="1"/>
  <c r="AO61" i="1"/>
  <c r="AO42" i="1"/>
  <c r="AO86" i="1"/>
  <c r="AL70" i="1"/>
  <c r="AO55" i="1"/>
  <c r="AL45" i="1"/>
  <c r="AO43" i="1"/>
  <c r="AL40" i="1"/>
  <c r="AL51" i="1"/>
  <c r="AL54" i="1"/>
  <c r="AO44" i="1"/>
  <c r="AO56" i="1"/>
  <c r="AL48" i="1"/>
  <c r="AO84" i="1"/>
  <c r="AL73" i="1"/>
  <c r="AL63" i="1"/>
  <c r="AO76" i="1"/>
  <c r="AO32" i="1"/>
  <c r="AL60" i="1"/>
  <c r="AL71" i="1"/>
  <c r="AL30" i="1"/>
  <c r="AL74" i="1"/>
  <c r="AL84" i="1"/>
  <c r="AO45" i="1"/>
  <c r="AO62" i="1"/>
  <c r="AL49" i="1"/>
  <c r="AO64" i="1"/>
  <c r="AL37" i="1"/>
  <c r="AL38" i="1"/>
  <c r="AL64" i="1"/>
  <c r="AL75" i="1"/>
  <c r="AO39" i="1"/>
  <c r="AL56" i="1"/>
  <c r="AO48" i="1"/>
  <c r="AO66" i="1"/>
  <c r="AO46" i="1"/>
  <c r="AL31" i="1"/>
  <c r="AO81" i="1"/>
  <c r="AL86" i="1"/>
  <c r="AO69" i="1"/>
  <c r="AO87" i="1"/>
  <c r="AO50" i="1"/>
  <c r="AL39" i="1"/>
  <c r="AO40" i="1"/>
  <c r="AO36" i="1"/>
  <c r="AL43" i="1"/>
  <c r="AL53" i="1"/>
  <c r="AO83" i="1"/>
  <c r="AO63" i="1"/>
  <c r="AO53" i="1"/>
  <c r="AO82" i="1"/>
  <c r="AL80" i="1"/>
  <c r="AL65" i="1"/>
  <c r="AL72" i="1"/>
  <c r="AL46" i="1"/>
  <c r="AO68" i="1"/>
  <c r="AO49" i="1"/>
  <c r="AO54" i="1"/>
  <c r="AO33" i="1"/>
  <c r="AO51" i="1"/>
  <c r="AO47" i="1"/>
  <c r="AO85" i="1"/>
  <c r="AO77" i="1"/>
  <c r="AO73" i="1"/>
  <c r="AL82" i="1"/>
  <c r="AL78" i="1"/>
  <c r="AL36" i="1"/>
  <c r="AO70" i="1"/>
  <c r="AL57" i="1"/>
  <c r="AL61" i="1"/>
  <c r="AL33" i="1"/>
  <c r="AL76" i="1"/>
  <c r="AL34" i="1"/>
  <c r="AL87" i="1"/>
  <c r="AL32" i="1"/>
  <c r="AO34" i="1"/>
  <c r="AL77" i="1"/>
  <c r="AL67" i="1"/>
  <c r="AO30" i="1"/>
  <c r="AL69" i="1"/>
  <c r="AL41" i="1"/>
  <c r="AO75" i="1"/>
  <c r="AL52" i="1"/>
  <c r="AO38" i="1"/>
  <c r="AL68" i="1"/>
  <c r="AO109" i="1"/>
  <c r="AO113" i="1"/>
  <c r="AO120" i="1"/>
  <c r="AL102" i="1"/>
  <c r="AL120" i="1"/>
  <c r="AO119" i="1"/>
  <c r="AO108" i="1"/>
  <c r="AO94" i="1"/>
  <c r="AL121" i="1"/>
  <c r="AL105" i="1"/>
  <c r="AO103" i="1"/>
  <c r="AL97" i="1"/>
  <c r="AL118" i="1"/>
  <c r="AL112" i="1"/>
  <c r="AO89" i="1"/>
  <c r="AO123" i="1"/>
  <c r="AO118" i="1"/>
  <c r="AO96" i="1"/>
  <c r="AO88" i="1"/>
  <c r="AL98" i="1"/>
  <c r="AL119" i="1"/>
  <c r="AL108" i="1"/>
  <c r="AL101" i="1"/>
  <c r="AO112" i="1"/>
  <c r="AO115" i="1"/>
  <c r="AO110" i="1"/>
  <c r="AO99" i="1"/>
  <c r="AO90" i="1"/>
  <c r="AO114" i="1"/>
  <c r="AO116" i="1"/>
  <c r="AL115" i="1"/>
  <c r="AL109" i="1"/>
  <c r="AO97" i="1"/>
  <c r="AL92" i="1"/>
  <c r="AL113" i="1"/>
  <c r="AL122" i="1"/>
  <c r="AL100" i="1"/>
  <c r="AL88" i="1"/>
  <c r="AL103" i="1"/>
  <c r="AO111" i="1"/>
  <c r="AO121" i="1"/>
  <c r="AL96" i="1"/>
  <c r="AL95" i="1"/>
  <c r="AO106" i="1"/>
  <c r="AO100" i="1"/>
  <c r="AO98" i="1"/>
  <c r="AO102" i="1"/>
  <c r="AO95" i="1"/>
  <c r="AL94" i="1"/>
  <c r="AO107" i="1"/>
  <c r="AL89" i="1"/>
  <c r="AL114" i="1"/>
  <c r="AL111" i="1"/>
  <c r="AL116" i="1"/>
  <c r="AO92" i="1"/>
  <c r="AO122" i="1"/>
  <c r="AO93" i="1"/>
  <c r="AL90" i="1"/>
  <c r="AL107" i="1"/>
  <c r="AO117" i="1"/>
  <c r="AO104" i="1"/>
  <c r="AO105" i="1"/>
  <c r="AL104" i="1"/>
  <c r="AO101" i="1"/>
  <c r="AL117" i="1"/>
  <c r="AL110" i="1"/>
  <c r="AL106" i="1"/>
  <c r="AL99" i="1"/>
  <c r="AL93" i="1"/>
  <c r="AO91" i="1"/>
  <c r="AL91" i="1"/>
  <c r="BE123" i="1"/>
  <c r="D124" i="1"/>
  <c r="AT199" i="1" l="1"/>
  <c r="AT203" i="1"/>
  <c r="AT191" i="1"/>
  <c r="AT192" i="1"/>
  <c r="AT193" i="1"/>
  <c r="AT155" i="1"/>
  <c r="AT195" i="1"/>
  <c r="AT196" i="1"/>
  <c r="AT150" i="1"/>
  <c r="AT190" i="1"/>
  <c r="AT200" i="1"/>
  <c r="AT188" i="1"/>
  <c r="AT235" i="1"/>
  <c r="AT204" i="1"/>
  <c r="AT201" i="1"/>
  <c r="AT238" i="1"/>
  <c r="AT239" i="1"/>
  <c r="AT240" i="1"/>
  <c r="AT186" i="1"/>
  <c r="AT237" i="1"/>
  <c r="U124" i="1"/>
  <c r="AT151" i="1"/>
  <c r="AP151" i="1"/>
  <c r="AT181" i="1"/>
  <c r="AP181" i="1"/>
  <c r="AT178" i="1"/>
  <c r="AP178" i="1"/>
  <c r="AR178" i="1" s="1"/>
  <c r="AQ178" i="1"/>
  <c r="AT210" i="1"/>
  <c r="AT216" i="1"/>
  <c r="AT213" i="1"/>
  <c r="AT207" i="1"/>
  <c r="AT209" i="1"/>
  <c r="AT164" i="1"/>
  <c r="AT172" i="1"/>
  <c r="AT183" i="1"/>
  <c r="AT223" i="1"/>
  <c r="AT218" i="1"/>
  <c r="AT228" i="1"/>
  <c r="AT162" i="1"/>
  <c r="AT170" i="1"/>
  <c r="AT160" i="1"/>
  <c r="AT212" i="1"/>
  <c r="AT224" i="1"/>
  <c r="AT227" i="1"/>
  <c r="AT220" i="1"/>
  <c r="AT180" i="1"/>
  <c r="AT229" i="1"/>
  <c r="AT226" i="1"/>
  <c r="AT233" i="1"/>
  <c r="AT174" i="1"/>
  <c r="AT165" i="1"/>
  <c r="AT232" i="1"/>
  <c r="AT168" i="1"/>
  <c r="AQ171" i="1"/>
  <c r="AT171" i="1"/>
  <c r="AQ214" i="1"/>
  <c r="AT214" i="1"/>
  <c r="AQ185" i="1"/>
  <c r="AT185" i="1"/>
  <c r="AQ166" i="1"/>
  <c r="AT166" i="1"/>
  <c r="AQ194" i="1"/>
  <c r="AT194" i="1"/>
  <c r="AQ161" i="1"/>
  <c r="AT161" i="1"/>
  <c r="AQ205" i="1"/>
  <c r="AT205" i="1"/>
  <c r="AQ230" i="1"/>
  <c r="AT230" i="1"/>
  <c r="AQ206" i="1"/>
  <c r="AT206" i="1"/>
  <c r="AQ187" i="1"/>
  <c r="AT187" i="1"/>
  <c r="AQ202" i="1"/>
  <c r="AT202" i="1"/>
  <c r="AQ225" i="1"/>
  <c r="AT225" i="1"/>
  <c r="AQ153" i="1"/>
  <c r="AT153" i="1"/>
  <c r="AQ169" i="1"/>
  <c r="AT169" i="1"/>
  <c r="AQ197" i="1"/>
  <c r="AT197" i="1"/>
  <c r="AQ184" i="1"/>
  <c r="AT184" i="1"/>
  <c r="AQ211" i="1"/>
  <c r="AT211" i="1"/>
  <c r="AQ179" i="1"/>
  <c r="AT179" i="1"/>
  <c r="AQ198" i="1"/>
  <c r="AT198" i="1"/>
  <c r="AQ182" i="1"/>
  <c r="AT182" i="1"/>
  <c r="AQ189" i="1"/>
  <c r="AT189" i="1"/>
  <c r="AQ221" i="1"/>
  <c r="AT221" i="1"/>
  <c r="AQ163" i="1"/>
  <c r="AT163" i="1"/>
  <c r="AQ152" i="1"/>
  <c r="AT152" i="1"/>
  <c r="AQ219" i="1"/>
  <c r="AT219" i="1"/>
  <c r="AQ208" i="1"/>
  <c r="AT208" i="1"/>
  <c r="AQ222" i="1"/>
  <c r="AT222" i="1"/>
  <c r="AQ215" i="1"/>
  <c r="AT215" i="1"/>
  <c r="AQ154" i="1"/>
  <c r="AT154" i="1"/>
  <c r="AQ217" i="1"/>
  <c r="AT217" i="1"/>
  <c r="AQ231" i="1"/>
  <c r="AT231" i="1"/>
  <c r="AQ234" i="1"/>
  <c r="AT234" i="1"/>
  <c r="AQ236" i="1"/>
  <c r="AT236" i="1"/>
  <c r="AQ167" i="1"/>
  <c r="AT167" i="1"/>
  <c r="AQ238" i="1"/>
  <c r="AQ196" i="1"/>
  <c r="AQ190" i="1"/>
  <c r="AQ233" i="1"/>
  <c r="AQ172" i="1"/>
  <c r="AQ173" i="1"/>
  <c r="AQ223" i="1"/>
  <c r="AQ200" i="1"/>
  <c r="AQ216" i="1"/>
  <c r="AQ193" i="1"/>
  <c r="AQ218" i="1"/>
  <c r="AQ228" i="1"/>
  <c r="AP160" i="1"/>
  <c r="AR160" i="1" s="1"/>
  <c r="AQ160" i="1"/>
  <c r="AQ240" i="1"/>
  <c r="AQ241" i="1"/>
  <c r="AQ155" i="1"/>
  <c r="AQ156" i="1"/>
  <c r="AQ201" i="1"/>
  <c r="AQ195" i="1"/>
  <c r="AQ191" i="1"/>
  <c r="AQ237" i="1"/>
  <c r="AQ235" i="1"/>
  <c r="AQ210" i="1"/>
  <c r="AQ168" i="1"/>
  <c r="AQ174" i="1"/>
  <c r="AQ175" i="1"/>
  <c r="AQ188" i="1"/>
  <c r="AQ209" i="1"/>
  <c r="AQ183" i="1"/>
  <c r="AQ204" i="1"/>
  <c r="AQ162" i="1"/>
  <c r="AQ186" i="1"/>
  <c r="AQ207" i="1"/>
  <c r="AQ165" i="1"/>
  <c r="AQ232" i="1"/>
  <c r="AP192" i="1"/>
  <c r="AQ192" i="1"/>
  <c r="AQ199" i="1"/>
  <c r="AQ226" i="1"/>
  <c r="AQ164" i="1"/>
  <c r="AQ212" i="1"/>
  <c r="AQ150" i="1"/>
  <c r="AQ151" i="1"/>
  <c r="AQ213" i="1"/>
  <c r="AQ224" i="1"/>
  <c r="AQ227" i="1"/>
  <c r="AQ203" i="1"/>
  <c r="AQ239" i="1"/>
  <c r="AQ170" i="1"/>
  <c r="AQ220" i="1"/>
  <c r="AQ181" i="1"/>
  <c r="AQ180" i="1"/>
  <c r="AQ229" i="1"/>
  <c r="AP209" i="1"/>
  <c r="AP200" i="1"/>
  <c r="AP171" i="1"/>
  <c r="AP214" i="1"/>
  <c r="AP164" i="1"/>
  <c r="AP216" i="1"/>
  <c r="AP193" i="1"/>
  <c r="AP172" i="1"/>
  <c r="AP183" i="1"/>
  <c r="AP185" i="1"/>
  <c r="AP166" i="1"/>
  <c r="AP223" i="1"/>
  <c r="AP204" i="1"/>
  <c r="AP194" i="1"/>
  <c r="AP218" i="1"/>
  <c r="AP161" i="1"/>
  <c r="AP205" i="1"/>
  <c r="AP228" i="1"/>
  <c r="AP162" i="1"/>
  <c r="AP170" i="1"/>
  <c r="AP230" i="1"/>
  <c r="AP240" i="1"/>
  <c r="AP206" i="1"/>
  <c r="AP190" i="1"/>
  <c r="AP186" i="1"/>
  <c r="AP207" i="1"/>
  <c r="AP155" i="1"/>
  <c r="AP201" i="1"/>
  <c r="AP199" i="1"/>
  <c r="AP187" i="1"/>
  <c r="AP202" i="1"/>
  <c r="AP212" i="1"/>
  <c r="AP224" i="1"/>
  <c r="AP225" i="1"/>
  <c r="AP195" i="1"/>
  <c r="AP227" i="1"/>
  <c r="AP153" i="1"/>
  <c r="AP191" i="1"/>
  <c r="AP169" i="1"/>
  <c r="AP220" i="1"/>
  <c r="AP203" i="1"/>
  <c r="AP197" i="1"/>
  <c r="AP196" i="1"/>
  <c r="AP180" i="1"/>
  <c r="AP184" i="1"/>
  <c r="AP211" i="1"/>
  <c r="AP229" i="1"/>
  <c r="AP226" i="1"/>
  <c r="AP237" i="1"/>
  <c r="AP179" i="1"/>
  <c r="AP239" i="1"/>
  <c r="AP233" i="1"/>
  <c r="AP198" i="1"/>
  <c r="AP182" i="1"/>
  <c r="AP189" i="1"/>
  <c r="AP174" i="1"/>
  <c r="AP221" i="1"/>
  <c r="AP235" i="1"/>
  <c r="AP163" i="1"/>
  <c r="AP152" i="1"/>
  <c r="AP219" i="1"/>
  <c r="AP208" i="1"/>
  <c r="AP222" i="1"/>
  <c r="AP215" i="1"/>
  <c r="AP154" i="1"/>
  <c r="AP217" i="1"/>
  <c r="AP150" i="1"/>
  <c r="AP231" i="1"/>
  <c r="AP165" i="1"/>
  <c r="AP234" i="1"/>
  <c r="AP236" i="1"/>
  <c r="AP238" i="1"/>
  <c r="AP188" i="1"/>
  <c r="AP210" i="1"/>
  <c r="AP167" i="1"/>
  <c r="AP232" i="1"/>
  <c r="AP168" i="1"/>
  <c r="AP213" i="1"/>
  <c r="AU124" i="1"/>
  <c r="AL124" i="1"/>
  <c r="AL123" i="1"/>
  <c r="BE124" i="1"/>
  <c r="D125" i="1"/>
  <c r="U125" i="1" l="1"/>
  <c r="AR179" i="1"/>
  <c r="AR182" i="1"/>
  <c r="AR152" i="1"/>
  <c r="AR201" i="1"/>
  <c r="AR170" i="1"/>
  <c r="AR223" i="1"/>
  <c r="AR208" i="1"/>
  <c r="AR184" i="1"/>
  <c r="AR163" i="1"/>
  <c r="AR167" i="1"/>
  <c r="AR161" i="1"/>
  <c r="AR165" i="1"/>
  <c r="AR232" i="1"/>
  <c r="AR190" i="1"/>
  <c r="AR196" i="1"/>
  <c r="AR217" i="1"/>
  <c r="AR154" i="1"/>
  <c r="AR205" i="1"/>
  <c r="AR226" i="1"/>
  <c r="AR214" i="1"/>
  <c r="AR195" i="1"/>
  <c r="AR215" i="1"/>
  <c r="AR212" i="1"/>
  <c r="AR236" i="1"/>
  <c r="AR229" i="1"/>
  <c r="AR218" i="1"/>
  <c r="AR192" i="1"/>
  <c r="AR220" i="1"/>
  <c r="AR238" i="1"/>
  <c r="AR231" i="1"/>
  <c r="AR222" i="1"/>
  <c r="AR189" i="1"/>
  <c r="AR169" i="1"/>
  <c r="AR206" i="1"/>
  <c r="AR166" i="1"/>
  <c r="AR210" i="1"/>
  <c r="AR187" i="1"/>
  <c r="AR185" i="1"/>
  <c r="AR200" i="1"/>
  <c r="AR225" i="1"/>
  <c r="AR174" i="1"/>
  <c r="AR175" i="1"/>
  <c r="AR155" i="1"/>
  <c r="AR156" i="1"/>
  <c r="AR191" i="1"/>
  <c r="AR216" i="1"/>
  <c r="AR233" i="1"/>
  <c r="AR181" i="1"/>
  <c r="AR180" i="1"/>
  <c r="AR172" i="1"/>
  <c r="AR173" i="1"/>
  <c r="AR151" i="1"/>
  <c r="AR150" i="1"/>
  <c r="AR171" i="1"/>
  <c r="AR213" i="1"/>
  <c r="AR234" i="1"/>
  <c r="AR197" i="1"/>
  <c r="AR228" i="1"/>
  <c r="AR227" i="1"/>
  <c r="AR239" i="1"/>
  <c r="AR202" i="1"/>
  <c r="AR162" i="1"/>
  <c r="AR193" i="1"/>
  <c r="AR235" i="1"/>
  <c r="AR211" i="1"/>
  <c r="AR207" i="1"/>
  <c r="AR240" i="1"/>
  <c r="AR241" i="1"/>
  <c r="AR194" i="1"/>
  <c r="AR168" i="1"/>
  <c r="AR188" i="1"/>
  <c r="AR219" i="1"/>
  <c r="AR221" i="1"/>
  <c r="AR198" i="1"/>
  <c r="AR237" i="1"/>
  <c r="AR203" i="1"/>
  <c r="AR153" i="1"/>
  <c r="AR224" i="1"/>
  <c r="AR199" i="1"/>
  <c r="AR186" i="1"/>
  <c r="AR230" i="1"/>
  <c r="AR204" i="1"/>
  <c r="AR183" i="1"/>
  <c r="AR164" i="1"/>
  <c r="AR209" i="1"/>
  <c r="AU125" i="1"/>
  <c r="AO124" i="1"/>
  <c r="AO125" i="1"/>
  <c r="BE125" i="1"/>
  <c r="D126" i="1"/>
  <c r="U126" i="1" l="1"/>
  <c r="AU126" i="1"/>
  <c r="AL125" i="1"/>
  <c r="AL126" i="1"/>
  <c r="BE126" i="1"/>
  <c r="D127" i="1"/>
  <c r="U127" i="1" l="1"/>
  <c r="AU127" i="1"/>
  <c r="AO127" i="1"/>
  <c r="AO126" i="1"/>
  <c r="BE127" i="1"/>
  <c r="D128" i="1"/>
  <c r="U128" i="1" l="1"/>
  <c r="AU128" i="1"/>
  <c r="AL127" i="1"/>
  <c r="AL128" i="1"/>
  <c r="BE128" i="1"/>
  <c r="D129" i="1"/>
  <c r="AU129" i="1" l="1"/>
  <c r="AO129" i="1"/>
  <c r="AO128" i="1"/>
  <c r="AL129" i="1"/>
  <c r="BE129" i="1"/>
  <c r="D130" i="1"/>
  <c r="U130" i="1" l="1"/>
  <c r="AU130" i="1"/>
  <c r="AO130" i="1"/>
  <c r="BE130" i="1"/>
  <c r="BE131" i="1" s="1"/>
  <c r="BE132" i="1"/>
  <c r="D131" i="1"/>
  <c r="AU131" i="1" l="1"/>
  <c r="AL130" i="1"/>
  <c r="BE133" i="1"/>
  <c r="D132" i="1"/>
  <c r="U132" i="1" l="1"/>
  <c r="AU132" i="1"/>
  <c r="BE134" i="1"/>
  <c r="D133" i="1"/>
  <c r="U133" i="1" l="1"/>
  <c r="AU133" i="1"/>
  <c r="AO132" i="1"/>
  <c r="AL132" i="1"/>
  <c r="BE135" i="1"/>
  <c r="D134" i="1"/>
  <c r="U134" i="1" l="1"/>
  <c r="AU134" i="1"/>
  <c r="AO133" i="1"/>
  <c r="AL133" i="1"/>
  <c r="BE136" i="1"/>
  <c r="D135" i="1"/>
  <c r="U135" i="1" l="1"/>
  <c r="AU135" i="1"/>
  <c r="AO135" i="1"/>
  <c r="AL134" i="1"/>
  <c r="AO134" i="1"/>
  <c r="BE137" i="1"/>
  <c r="D136" i="1"/>
  <c r="AU136" i="1" l="1"/>
  <c r="AL135" i="1"/>
  <c r="BE138" i="1"/>
  <c r="D137" i="1"/>
  <c r="U136" i="1" l="1"/>
  <c r="AU137" i="1"/>
  <c r="AO136" i="1"/>
  <c r="BE139" i="1"/>
  <c r="D138" i="1"/>
  <c r="U137" i="1" l="1"/>
  <c r="AU138" i="1"/>
  <c r="AL136" i="1"/>
  <c r="BE140" i="1"/>
  <c r="D139" i="1"/>
  <c r="U138" i="1" l="1"/>
  <c r="AU139" i="1"/>
  <c r="AL138" i="1"/>
  <c r="BE141" i="1"/>
  <c r="D140" i="1"/>
  <c r="U139" i="1" l="1"/>
  <c r="AU140" i="1"/>
  <c r="AO138" i="1"/>
  <c r="BE142" i="1"/>
  <c r="D141" i="1"/>
  <c r="U140" i="1" l="1"/>
  <c r="AU141" i="1"/>
  <c r="AL140" i="1"/>
  <c r="BE143" i="1"/>
  <c r="D142" i="1"/>
  <c r="U141" i="1" l="1"/>
  <c r="AU142" i="1"/>
  <c r="AU326" i="1"/>
  <c r="AU327" i="1"/>
  <c r="AO140" i="1"/>
  <c r="AO141" i="1"/>
  <c r="BE144" i="1"/>
  <c r="D143" i="1"/>
  <c r="U142" i="1" l="1"/>
  <c r="AU143" i="1"/>
  <c r="J2" i="28" s="1"/>
  <c r="AL141" i="1"/>
  <c r="AO142" i="1"/>
  <c r="BE145" i="1"/>
  <c r="U143" i="1" l="1"/>
  <c r="L10" i="38"/>
  <c r="J6" i="38"/>
  <c r="L6" i="38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AL142" i="1"/>
  <c r="BE146" i="1"/>
  <c r="L16" i="38" l="1"/>
  <c r="K19" i="38" s="1"/>
  <c r="N5" i="38"/>
  <c r="K13" i="3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E147" i="1"/>
  <c r="L17" i="38" l="1"/>
  <c r="L11" i="38"/>
  <c r="M25" i="38" s="1"/>
  <c r="BE148" i="1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BE149" i="1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BE150" i="1"/>
  <c r="I2" i="28" l="1"/>
  <c r="H2" i="28"/>
  <c r="BE151" i="1"/>
  <c r="W87" i="1" l="1"/>
  <c r="BE152" i="1"/>
  <c r="AM87" i="1" l="1"/>
  <c r="W79" i="1"/>
  <c r="BE153" i="1"/>
  <c r="AM79" i="1" l="1"/>
  <c r="W90" i="1"/>
  <c r="BE154" i="1"/>
  <c r="AM90" i="1" l="1"/>
  <c r="W83" i="1"/>
  <c r="BE155" i="1"/>
  <c r="AM83" i="1" l="1"/>
  <c r="W89" i="1"/>
  <c r="BE156" i="1"/>
  <c r="AM89" i="1" l="1"/>
  <c r="W93" i="1"/>
  <c r="BE157" i="1"/>
  <c r="AM93" i="1" l="1"/>
  <c r="W85" i="1"/>
  <c r="BE158" i="1"/>
  <c r="AM85" i="1" l="1"/>
  <c r="W84" i="1"/>
  <c r="BE159" i="1"/>
  <c r="AM84" i="1" l="1"/>
  <c r="W95" i="1"/>
  <c r="BE160" i="1"/>
  <c r="AM95" i="1" l="1"/>
  <c r="W80" i="1"/>
  <c r="W96" i="1"/>
  <c r="BE161" i="1"/>
  <c r="AM96" i="1" l="1"/>
  <c r="AM80" i="1"/>
  <c r="W86" i="1"/>
  <c r="BE162" i="1"/>
  <c r="AM86" i="1" l="1"/>
  <c r="W91" i="1"/>
  <c r="BE163" i="1"/>
  <c r="AM91" i="1" l="1"/>
  <c r="W88" i="1"/>
  <c r="BE164" i="1"/>
  <c r="AM88" i="1" l="1"/>
  <c r="W82" i="1"/>
  <c r="BE165" i="1"/>
  <c r="AM82" i="1" l="1"/>
  <c r="W72" i="1"/>
  <c r="W94" i="1"/>
  <c r="BE166" i="1"/>
  <c r="AM94" i="1" l="1"/>
  <c r="AM72" i="1"/>
  <c r="W75" i="1"/>
  <c r="BE167" i="1"/>
  <c r="AM75" i="1" l="1"/>
  <c r="W23" i="1"/>
  <c r="W33" i="1"/>
  <c r="W28" i="1"/>
  <c r="W40" i="1"/>
  <c r="W16" i="1"/>
  <c r="BE168" i="1"/>
  <c r="AM16" i="1" l="1"/>
  <c r="AM40" i="1"/>
  <c r="AM28" i="1"/>
  <c r="AM33" i="1"/>
  <c r="AM23" i="1"/>
  <c r="W22" i="1"/>
  <c r="BE169" i="1"/>
  <c r="AM22" i="1" l="1"/>
  <c r="W12" i="1"/>
  <c r="BE170" i="1"/>
  <c r="AM12" i="1" l="1"/>
  <c r="AM60" i="1"/>
  <c r="W18" i="1"/>
  <c r="W27" i="1"/>
  <c r="BE171" i="1"/>
  <c r="AM27" i="1" l="1"/>
  <c r="AM18" i="1"/>
  <c r="W15" i="1"/>
  <c r="BE172" i="1"/>
  <c r="AM15" i="1" l="1"/>
  <c r="W97" i="1"/>
  <c r="W21" i="1"/>
  <c r="BE173" i="1"/>
  <c r="AM21" i="1" l="1"/>
  <c r="AM97" i="1"/>
  <c r="W57" i="1"/>
  <c r="W25" i="1"/>
  <c r="BE174" i="1"/>
  <c r="AM57" i="1" l="1"/>
  <c r="AM25" i="1"/>
  <c r="W59" i="1"/>
  <c r="W58" i="1"/>
  <c r="BE175" i="1"/>
  <c r="AM58" i="1" l="1"/>
  <c r="AM59" i="1"/>
  <c r="W29" i="1"/>
  <c r="BE176" i="1"/>
  <c r="AM29" i="1" l="1"/>
  <c r="W73" i="1"/>
  <c r="W24" i="1"/>
  <c r="BE177" i="1"/>
  <c r="AM73" i="1" l="1"/>
  <c r="AM24" i="1"/>
  <c r="W76" i="1"/>
  <c r="BE178" i="1"/>
  <c r="AM76" i="1" l="1"/>
  <c r="W20" i="1"/>
  <c r="BE179" i="1"/>
  <c r="AM20" i="1" l="1"/>
  <c r="W77" i="1"/>
  <c r="BE180" i="1"/>
  <c r="AM77" i="1" l="1"/>
  <c r="W67" i="1"/>
  <c r="W14" i="1"/>
  <c r="BE181" i="1"/>
  <c r="AM14" i="1" l="1"/>
  <c r="AM67" i="1"/>
  <c r="W71" i="1"/>
  <c r="BE182" i="1"/>
  <c r="AM71" i="1" l="1"/>
  <c r="W92" i="1"/>
  <c r="BE183" i="1"/>
  <c r="AM92" i="1" l="1"/>
  <c r="W81" i="1"/>
  <c r="W19" i="1"/>
  <c r="BE184" i="1"/>
  <c r="AM81" i="1" l="1"/>
  <c r="AM19" i="1"/>
  <c r="W30" i="1"/>
  <c r="BE185" i="1"/>
  <c r="AM30" i="1" l="1"/>
  <c r="W11" i="1"/>
  <c r="AM11" i="1" s="1"/>
  <c r="BE186" i="1"/>
  <c r="W74" i="1" l="1"/>
  <c r="BE187" i="1"/>
  <c r="AM74" i="1" l="1"/>
  <c r="W70" i="1"/>
  <c r="BE188" i="1"/>
  <c r="AM70" i="1" l="1"/>
  <c r="W38" i="1"/>
  <c r="BE189" i="1"/>
  <c r="AM38" i="1" l="1"/>
  <c r="W13" i="1"/>
  <c r="BE190" i="1"/>
  <c r="AM13" i="1" l="1"/>
  <c r="W65" i="1"/>
  <c r="W46" i="1"/>
  <c r="BE191" i="1"/>
  <c r="AM46" i="1" l="1"/>
  <c r="AM65" i="1"/>
  <c r="W35" i="1"/>
  <c r="BE192" i="1"/>
  <c r="AM35" i="1" l="1"/>
  <c r="W56" i="1"/>
  <c r="W69" i="1"/>
  <c r="BE193" i="1"/>
  <c r="AM56" i="1" l="1"/>
  <c r="AM69" i="1"/>
  <c r="W34" i="1"/>
  <c r="BE194" i="1"/>
  <c r="AM34" i="1" l="1"/>
  <c r="W54" i="1"/>
  <c r="BE195" i="1"/>
  <c r="AM54" i="1" l="1"/>
  <c r="W32" i="1"/>
  <c r="BE196" i="1"/>
  <c r="AM32" i="1" l="1"/>
  <c r="W64" i="1"/>
  <c r="BE197" i="1"/>
  <c r="AM64" i="1" l="1"/>
  <c r="W53" i="1"/>
  <c r="W52" i="1"/>
  <c r="BE198" i="1"/>
  <c r="AM52" i="1" l="1"/>
  <c r="AM53" i="1"/>
  <c r="W26" i="1"/>
  <c r="W36" i="1"/>
  <c r="BE199" i="1"/>
  <c r="AM36" i="1" l="1"/>
  <c r="AM26" i="1"/>
  <c r="W17" i="1"/>
  <c r="BE200" i="1"/>
  <c r="AM17" i="1" l="1"/>
  <c r="W68" i="1"/>
  <c r="BE201" i="1"/>
  <c r="AM68" i="1" l="1"/>
  <c r="W48" i="1"/>
  <c r="BE202" i="1"/>
  <c r="AM48" i="1" l="1"/>
  <c r="W63" i="1"/>
  <c r="W98" i="1"/>
  <c r="BE203" i="1"/>
  <c r="AM98" i="1" l="1"/>
  <c r="AM63" i="1"/>
  <c r="W99" i="1"/>
  <c r="W31" i="1"/>
  <c r="W62" i="1"/>
  <c r="W43" i="1"/>
  <c r="W37" i="1"/>
  <c r="W41" i="1"/>
  <c r="W49" i="1"/>
  <c r="W42" i="1"/>
  <c r="W39" i="1"/>
  <c r="W51" i="1"/>
  <c r="W50" i="1"/>
  <c r="W122" i="1"/>
  <c r="BE204" i="1"/>
  <c r="AM37" i="1" l="1"/>
  <c r="AM43" i="1"/>
  <c r="AM50" i="1"/>
  <c r="AM62" i="1"/>
  <c r="AM51" i="1"/>
  <c r="AM31" i="1"/>
  <c r="AM41" i="1"/>
  <c r="AM39" i="1"/>
  <c r="AM99" i="1"/>
  <c r="AM42" i="1"/>
  <c r="AM122" i="1"/>
  <c r="AM49" i="1"/>
  <c r="W138" i="1"/>
  <c r="W101" i="1"/>
  <c r="W61" i="1"/>
  <c r="W55" i="1"/>
  <c r="W105" i="1"/>
  <c r="W108" i="1"/>
  <c r="W78" i="1"/>
  <c r="W44" i="1"/>
  <c r="W134" i="1"/>
  <c r="W112" i="1"/>
  <c r="W111" i="1"/>
  <c r="W116" i="1"/>
  <c r="W100" i="1"/>
  <c r="W128" i="1"/>
  <c r="W143" i="1"/>
  <c r="W119" i="1"/>
  <c r="W126" i="1"/>
  <c r="W123" i="1"/>
  <c r="W110" i="1"/>
  <c r="W103" i="1"/>
  <c r="W120" i="1"/>
  <c r="W135" i="1"/>
  <c r="W121" i="1"/>
  <c r="W117" i="1"/>
  <c r="W113" i="1"/>
  <c r="W114" i="1"/>
  <c r="W139" i="1"/>
  <c r="W130" i="1"/>
  <c r="W102" i="1"/>
  <c r="W106" i="1"/>
  <c r="W137" i="1"/>
  <c r="W133" i="1"/>
  <c r="W124" i="1"/>
  <c r="W104" i="1"/>
  <c r="W115" i="1"/>
  <c r="W125" i="1"/>
  <c r="W127" i="1"/>
  <c r="W129" i="1"/>
  <c r="W142" i="1"/>
  <c r="W109" i="1"/>
  <c r="W140" i="1"/>
  <c r="W132" i="1"/>
  <c r="W107" i="1"/>
  <c r="W118" i="1"/>
  <c r="W141" i="1"/>
  <c r="W136" i="1"/>
  <c r="W45" i="1"/>
  <c r="AL137" i="1"/>
  <c r="AO137" i="1"/>
  <c r="AL143" i="1"/>
  <c r="AO139" i="1"/>
  <c r="AL139" i="1"/>
  <c r="AO143" i="1"/>
  <c r="BE205" i="1"/>
  <c r="AM109" i="1" l="1"/>
  <c r="AM133" i="1"/>
  <c r="AM113" i="1"/>
  <c r="AM126" i="1"/>
  <c r="AM134" i="1"/>
  <c r="AM138" i="1"/>
  <c r="AM45" i="1"/>
  <c r="AM142" i="1"/>
  <c r="AM137" i="1"/>
  <c r="AM117" i="1"/>
  <c r="AM119" i="1"/>
  <c r="AM44" i="1"/>
  <c r="AM136" i="1"/>
  <c r="AM129" i="1"/>
  <c r="AM106" i="1"/>
  <c r="AM121" i="1"/>
  <c r="AM143" i="1"/>
  <c r="AM78" i="1"/>
  <c r="AM141" i="1"/>
  <c r="AM127" i="1"/>
  <c r="AM102" i="1"/>
  <c r="AM135" i="1"/>
  <c r="AM128" i="1"/>
  <c r="AM108" i="1"/>
  <c r="AM118" i="1"/>
  <c r="AM125" i="1"/>
  <c r="AM130" i="1"/>
  <c r="AM120" i="1"/>
  <c r="AM100" i="1"/>
  <c r="AM105" i="1"/>
  <c r="AM107" i="1"/>
  <c r="AM115" i="1"/>
  <c r="AM103" i="1"/>
  <c r="AM116" i="1"/>
  <c r="AM55" i="1"/>
  <c r="AM132" i="1"/>
  <c r="AM104" i="1"/>
  <c r="AM139" i="1"/>
  <c r="AM110" i="1"/>
  <c r="AM111" i="1"/>
  <c r="AM61" i="1"/>
  <c r="AM140" i="1"/>
  <c r="AM124" i="1"/>
  <c r="AM114" i="1"/>
  <c r="AM123" i="1"/>
  <c r="AM112" i="1"/>
  <c r="AM101" i="1"/>
  <c r="W47" i="1"/>
  <c r="BE206" i="1"/>
  <c r="X139" i="1" a="1"/>
  <c r="X141" i="1" a="1"/>
  <c r="AH141" i="1" a="1"/>
  <c r="AH139" i="1" a="1"/>
  <c r="AM47" i="1" l="1"/>
  <c r="AJ141" i="1"/>
  <c r="AK141" i="1"/>
  <c r="AH141" i="1"/>
  <c r="AI141" i="1"/>
  <c r="AD141" i="1"/>
  <c r="AT141" i="1" s="1"/>
  <c r="X141" i="1"/>
  <c r="Z141" i="1"/>
  <c r="AA141" i="1"/>
  <c r="AB141" i="1"/>
  <c r="Y141" i="1"/>
  <c r="AC141" i="1"/>
  <c r="AI139" i="1"/>
  <c r="AH139" i="1"/>
  <c r="AJ139" i="1"/>
  <c r="AK139" i="1"/>
  <c r="AB139" i="1"/>
  <c r="Y139" i="1"/>
  <c r="AC139" i="1"/>
  <c r="Z139" i="1"/>
  <c r="X139" i="1"/>
  <c r="AD139" i="1"/>
  <c r="AA139" i="1"/>
  <c r="W66" i="1"/>
  <c r="BE207" i="1"/>
  <c r="AT139" i="1" l="1"/>
  <c r="AP139" i="1"/>
  <c r="AP141" i="1"/>
  <c r="AM66" i="1"/>
  <c r="BE208" i="1"/>
  <c r="AH140" i="1" a="1"/>
  <c r="AH138" i="1" a="1"/>
  <c r="X138" i="1" a="1"/>
  <c r="X140" i="1" a="1"/>
  <c r="Y138" i="1" l="1"/>
  <c r="X138" i="1"/>
  <c r="Z138" i="1"/>
  <c r="AB138" i="1"/>
  <c r="AC138" i="1"/>
  <c r="AD138" i="1"/>
  <c r="AA138" i="1"/>
  <c r="AI138" i="1"/>
  <c r="AH138" i="1"/>
  <c r="AJ138" i="1"/>
  <c r="AK138" i="1"/>
  <c r="AD140" i="1"/>
  <c r="AA140" i="1"/>
  <c r="Y140" i="1"/>
  <c r="AC140" i="1"/>
  <c r="X140" i="1"/>
  <c r="AB140" i="1"/>
  <c r="Z140" i="1"/>
  <c r="AH140" i="1"/>
  <c r="AI140" i="1"/>
  <c r="AK140" i="1"/>
  <c r="AJ140" i="1"/>
  <c r="BE209" i="1"/>
  <c r="X143" i="1" a="1"/>
  <c r="AH143" i="1" a="1"/>
  <c r="AH137" i="1" a="1"/>
  <c r="X137" i="1" a="1"/>
  <c r="AT140" i="1" l="1"/>
  <c r="AT138" i="1"/>
  <c r="AQ140" i="1"/>
  <c r="AQ141" i="1"/>
  <c r="AQ139" i="1"/>
  <c r="AP140" i="1"/>
  <c r="AP138" i="1"/>
  <c r="AH137" i="1"/>
  <c r="AJ137" i="1"/>
  <c r="AK137" i="1"/>
  <c r="AI137" i="1"/>
  <c r="AD143" i="1"/>
  <c r="AB143" i="1"/>
  <c r="X143" i="1"/>
  <c r="AA143" i="1"/>
  <c r="Y143" i="1"/>
  <c r="Z143" i="1"/>
  <c r="AC143" i="1"/>
  <c r="AC137" i="1"/>
  <c r="Y137" i="1"/>
  <c r="Z137" i="1"/>
  <c r="AA137" i="1"/>
  <c r="X137" i="1"/>
  <c r="AD137" i="1"/>
  <c r="AB137" i="1"/>
  <c r="AK143" i="1"/>
  <c r="AI143" i="1"/>
  <c r="AJ143" i="1"/>
  <c r="AH143" i="1"/>
  <c r="BE210" i="1"/>
  <c r="X142" i="1" a="1"/>
  <c r="AH142" i="1" a="1"/>
  <c r="X136" i="1" a="1"/>
  <c r="AH136" i="1" a="1"/>
  <c r="AT137" i="1" l="1"/>
  <c r="AP137" i="1"/>
  <c r="AR138" i="1" s="1"/>
  <c r="AQ138" i="1"/>
  <c r="AT143" i="1"/>
  <c r="AQ144" i="1"/>
  <c r="AP143" i="1"/>
  <c r="AR144" i="1" s="1"/>
  <c r="AR139" i="1"/>
  <c r="AR140" i="1"/>
  <c r="AR141" i="1"/>
  <c r="AK136" i="1"/>
  <c r="AJ136" i="1"/>
  <c r="AH136" i="1"/>
  <c r="AI136" i="1"/>
  <c r="AI142" i="1"/>
  <c r="AH142" i="1"/>
  <c r="AJ142" i="1"/>
  <c r="AK142" i="1"/>
  <c r="AB142" i="1"/>
  <c r="AC142" i="1"/>
  <c r="Y142" i="1"/>
  <c r="AD142" i="1"/>
  <c r="AT142" i="1" s="1"/>
  <c r="X142" i="1"/>
  <c r="Z142" i="1"/>
  <c r="AA142" i="1"/>
  <c r="AA136" i="1"/>
  <c r="AB136" i="1"/>
  <c r="AC136" i="1"/>
  <c r="Z136" i="1"/>
  <c r="Y136" i="1"/>
  <c r="X136" i="1"/>
  <c r="AD136" i="1"/>
  <c r="BE211" i="1"/>
  <c r="AT136" i="1" l="1"/>
  <c r="AQ137" i="1"/>
  <c r="AQ142" i="1"/>
  <c r="AQ143" i="1"/>
  <c r="AP136" i="1"/>
  <c r="AP142" i="1"/>
  <c r="BE212" i="1"/>
  <c r="AH135" i="1" a="1"/>
  <c r="X135" i="1" a="1"/>
  <c r="AR137" i="1" l="1"/>
  <c r="AR142" i="1"/>
  <c r="AR143" i="1"/>
  <c r="AI135" i="1"/>
  <c r="AH135" i="1"/>
  <c r="AJ135" i="1"/>
  <c r="AK135" i="1"/>
  <c r="AA135" i="1"/>
  <c r="Z135" i="1"/>
  <c r="Y135" i="1"/>
  <c r="X135" i="1"/>
  <c r="AD135" i="1"/>
  <c r="AT135" i="1" s="1"/>
  <c r="AC135" i="1"/>
  <c r="AB135" i="1"/>
  <c r="BE213" i="1"/>
  <c r="AQ136" i="1" l="1"/>
  <c r="AP135" i="1"/>
  <c r="BE214" i="1"/>
  <c r="AR136" i="1" l="1"/>
  <c r="BE215" i="1"/>
  <c r="X131" i="1" a="1"/>
  <c r="AH131" i="1" a="1"/>
  <c r="AH98" i="1" a="1"/>
  <c r="AH116" i="1" a="1"/>
  <c r="AH52" i="1" a="1"/>
  <c r="AH25" i="1" a="1"/>
  <c r="AH91" i="1" a="1"/>
  <c r="AH85" i="1" a="1"/>
  <c r="X54" i="1" a="1"/>
  <c r="AH45" i="1" a="1"/>
  <c r="X116" i="1" a="1"/>
  <c r="X74" i="1" a="1"/>
  <c r="AH95" i="1" a="1"/>
  <c r="X132" i="1" a="1"/>
  <c r="AH18" i="1" a="1"/>
  <c r="AH81" i="1" a="1"/>
  <c r="X16" i="1" a="1"/>
  <c r="X108" i="1" a="1"/>
  <c r="X75" i="1" a="1"/>
  <c r="X85" i="1" a="1"/>
  <c r="AH61" i="1" a="1"/>
  <c r="X12" i="1" a="1"/>
  <c r="X126" i="1" a="1"/>
  <c r="AH44" i="1" a="1"/>
  <c r="AH47" i="1" a="1"/>
  <c r="AH82" i="1" a="1"/>
  <c r="X19" i="1" a="1"/>
  <c r="AH99" i="1" a="1"/>
  <c r="AH22" i="1" a="1"/>
  <c r="X103" i="1" a="1"/>
  <c r="AH23" i="1" a="1"/>
  <c r="AH107" i="1" a="1"/>
  <c r="AH30" i="1" a="1"/>
  <c r="AH66" i="1" a="1"/>
  <c r="AH73" i="1" a="1"/>
  <c r="AH59" i="1" a="1"/>
  <c r="X134" i="1" a="1"/>
  <c r="AH24" i="1" a="1"/>
  <c r="AH118" i="1" a="1"/>
  <c r="X95" i="1" a="1"/>
  <c r="AH31" i="1" a="1"/>
  <c r="AH83" i="1" a="1"/>
  <c r="AH119" i="1" a="1"/>
  <c r="X119" i="1" a="1"/>
  <c r="X57" i="1" a="1"/>
  <c r="AH124" i="1" a="1"/>
  <c r="AH105" i="1" a="1"/>
  <c r="AH103" i="1" a="1"/>
  <c r="X47" i="1" a="1"/>
  <c r="X36" i="1" a="1"/>
  <c r="AH21" i="1" a="1"/>
  <c r="X23" i="1" a="1"/>
  <c r="X96" i="1" a="1"/>
  <c r="AH126" i="1" a="1"/>
  <c r="X129" i="1" a="1"/>
  <c r="X25" i="1" a="1"/>
  <c r="X100" i="1" a="1"/>
  <c r="AH38" i="1" a="1"/>
  <c r="X64" i="1" a="1"/>
  <c r="X88" i="1" a="1"/>
  <c r="AH12" i="1" a="1"/>
  <c r="X101" i="1" a="1"/>
  <c r="AH71" i="1" a="1"/>
  <c r="AH14" i="1" a="1"/>
  <c r="AH104" i="1" a="1"/>
  <c r="AH121" i="1" a="1"/>
  <c r="AH57" i="1" a="1"/>
  <c r="X71" i="1" a="1"/>
  <c r="X122" i="1" a="1"/>
  <c r="AH40" i="1" a="1"/>
  <c r="X90" i="1" a="1"/>
  <c r="AH102" i="1" a="1"/>
  <c r="X130" i="1" a="1"/>
  <c r="X13" i="1" a="1"/>
  <c r="AH89" i="1" a="1"/>
  <c r="X123" i="1" a="1"/>
  <c r="AH15" i="1" a="1"/>
  <c r="X110" i="1" a="1"/>
  <c r="AH42" i="1" a="1"/>
  <c r="AH49" i="1" a="1"/>
  <c r="X125" i="1" a="1"/>
  <c r="X24" i="1" a="1"/>
  <c r="X102" i="1" a="1"/>
  <c r="X37" i="1" a="1"/>
  <c r="X105" i="1" a="1"/>
  <c r="X128" i="1" a="1"/>
  <c r="AH16" i="1" a="1"/>
  <c r="X118" i="1" a="1"/>
  <c r="AH48" i="1" a="1"/>
  <c r="X82" i="1" a="1"/>
  <c r="AH68" i="1" a="1"/>
  <c r="X81" i="1" a="1"/>
  <c r="AH35" i="1" a="1"/>
  <c r="AH117" i="1" a="1"/>
  <c r="AH110" i="1" a="1"/>
  <c r="AH88" i="1" a="1"/>
  <c r="X80" i="1" a="1"/>
  <c r="X38" i="1" a="1"/>
  <c r="AH46" i="1" a="1"/>
  <c r="X15" i="1" a="1"/>
  <c r="AH92" i="1" a="1"/>
  <c r="X32" i="1" a="1"/>
  <c r="AH80" i="1" a="1"/>
  <c r="X76" i="1" a="1"/>
  <c r="AH87" i="1" a="1"/>
  <c r="AH127" i="1" a="1"/>
  <c r="X14" i="1" a="1"/>
  <c r="X11" i="1" a="1"/>
  <c r="X84" i="1" a="1"/>
  <c r="AH11" i="1" a="1"/>
  <c r="X17" i="1" a="1"/>
  <c r="X29" i="1" a="1"/>
  <c r="X68" i="1" a="1"/>
  <c r="AH84" i="1" a="1"/>
  <c r="X69" i="1" a="1"/>
  <c r="AH60" i="1" a="1"/>
  <c r="X112" i="1" a="1"/>
  <c r="X97" i="1" a="1"/>
  <c r="AH32" i="1" a="1"/>
  <c r="X127" i="1" a="1"/>
  <c r="X44" i="1" a="1"/>
  <c r="X46" i="1" a="1"/>
  <c r="X60" i="1" a="1"/>
  <c r="X72" i="1" a="1"/>
  <c r="AH55" i="1" a="1"/>
  <c r="X83" i="1" a="1"/>
  <c r="X79" i="1" a="1"/>
  <c r="X45" i="1" a="1"/>
  <c r="AH93" i="1" a="1"/>
  <c r="X113" i="1" a="1"/>
  <c r="X39" i="1" a="1"/>
  <c r="X89" i="1" a="1"/>
  <c r="X104" i="1" a="1"/>
  <c r="X91" i="1" a="1"/>
  <c r="AH108" i="1" a="1"/>
  <c r="X42" i="1" a="1"/>
  <c r="AH111" i="1" a="1"/>
  <c r="X40" i="1" a="1"/>
  <c r="AH112" i="1" a="1"/>
  <c r="AH28" i="1" a="1"/>
  <c r="X53" i="1" a="1"/>
  <c r="AH20" i="1" a="1"/>
  <c r="AH33" i="1" a="1"/>
  <c r="AH37" i="1" a="1"/>
  <c r="X93" i="1" a="1"/>
  <c r="X107" i="1" a="1"/>
  <c r="X41" i="1" a="1"/>
  <c r="AH58" i="1" a="1"/>
  <c r="X43" i="1" a="1"/>
  <c r="X18" i="1" a="1"/>
  <c r="X124" i="1" a="1"/>
  <c r="X52" i="1" a="1"/>
  <c r="AH109" i="1" a="1"/>
  <c r="AH43" i="1" a="1"/>
  <c r="X31" i="1" a="1"/>
  <c r="X20" i="1" a="1"/>
  <c r="AH106" i="1" a="1"/>
  <c r="AH97" i="1" a="1"/>
  <c r="AH50" i="1" a="1"/>
  <c r="AH70" i="1" a="1"/>
  <c r="X51" i="1" a="1"/>
  <c r="X114" i="1" a="1"/>
  <c r="AH27" i="1" a="1"/>
  <c r="AH19" i="1" a="1"/>
  <c r="AH62" i="1" a="1"/>
  <c r="AH78" i="1" a="1"/>
  <c r="X115" i="1" a="1"/>
  <c r="AH75" i="1" a="1"/>
  <c r="X62" i="1" a="1"/>
  <c r="AH69" i="1" a="1"/>
  <c r="AH13" i="1" a="1"/>
  <c r="AH129" i="1" a="1"/>
  <c r="X26" i="1" a="1"/>
  <c r="X30" i="1" a="1"/>
  <c r="X50" i="1" a="1"/>
  <c r="AH41" i="1" a="1"/>
  <c r="AH115" i="1" a="1"/>
  <c r="AH120" i="1" a="1"/>
  <c r="X133" i="1" a="1"/>
  <c r="X55" i="1" a="1"/>
  <c r="X21" i="1" a="1"/>
  <c r="AH94" i="1" a="1"/>
  <c r="AH90" i="1" a="1"/>
  <c r="X35" i="1" a="1"/>
  <c r="AH123" i="1" a="1"/>
  <c r="X67" i="1" a="1"/>
  <c r="AH133" i="1" a="1"/>
  <c r="X98" i="1" a="1"/>
  <c r="X109" i="1" a="1"/>
  <c r="AH86" i="1" a="1"/>
  <c r="X34" i="1" a="1"/>
  <c r="AH51" i="1" a="1"/>
  <c r="X78" i="1" a="1"/>
  <c r="AH36" i="1" a="1"/>
  <c r="AH79" i="1" a="1"/>
  <c r="X27" i="1" a="1"/>
  <c r="AH63" i="1" a="1"/>
  <c r="AH113" i="1" a="1"/>
  <c r="AH100" i="1" a="1"/>
  <c r="X92" i="1" a="1"/>
  <c r="X65" i="1" a="1"/>
  <c r="X94" i="1" a="1"/>
  <c r="AH96" i="1" a="1"/>
  <c r="AH65" i="1" a="1"/>
  <c r="AH76" i="1" a="1"/>
  <c r="AH17" i="1" a="1"/>
  <c r="X48" i="1" a="1"/>
  <c r="X66" i="1" a="1"/>
  <c r="AH39" i="1" a="1"/>
  <c r="AH130" i="1" a="1"/>
  <c r="AH77" i="1" a="1"/>
  <c r="X22" i="1" a="1"/>
  <c r="X77" i="1" a="1"/>
  <c r="X117" i="1" a="1"/>
  <c r="AH74" i="1" a="1"/>
  <c r="AH101" i="1" a="1"/>
  <c r="AH72" i="1" a="1"/>
  <c r="AH54" i="1" a="1"/>
  <c r="X121" i="1" a="1"/>
  <c r="AH134" i="1" a="1"/>
  <c r="X33" i="1" a="1"/>
  <c r="X28" i="1" a="1"/>
  <c r="AH122" i="1" a="1"/>
  <c r="AH29" i="1" a="1"/>
  <c r="X56" i="1" a="1"/>
  <c r="X73" i="1" a="1"/>
  <c r="AH26" i="1" a="1"/>
  <c r="X99" i="1" a="1"/>
  <c r="AH128" i="1" a="1"/>
  <c r="X49" i="1" a="1"/>
  <c r="X63" i="1" a="1"/>
  <c r="X106" i="1" a="1"/>
  <c r="AH114" i="1" a="1"/>
  <c r="AH67" i="1" a="1"/>
  <c r="AH125" i="1" a="1"/>
  <c r="X61" i="1" a="1"/>
  <c r="AH53" i="1" a="1"/>
  <c r="X87" i="1" a="1"/>
  <c r="X59" i="1" a="1"/>
  <c r="AH34" i="1" a="1"/>
  <c r="X86" i="1" a="1"/>
  <c r="AH56" i="1" a="1"/>
  <c r="X120" i="1" a="1"/>
  <c r="X70" i="1" a="1"/>
  <c r="AH132" i="1" a="1"/>
  <c r="AH64" i="1" a="1"/>
  <c r="X111" i="1" a="1"/>
  <c r="X58" i="1" a="1"/>
  <c r="AK68" i="1" l="1"/>
  <c r="AI68" i="1"/>
  <c r="AJ68" i="1"/>
  <c r="AH68" i="1"/>
  <c r="Z12" i="1"/>
  <c r="AA12" i="1"/>
  <c r="AD12" i="1"/>
  <c r="AB12" i="1"/>
  <c r="X12" i="1"/>
  <c r="AC12" i="1"/>
  <c r="Y12" i="1"/>
  <c r="AA86" i="1"/>
  <c r="Z86" i="1"/>
  <c r="Y86" i="1"/>
  <c r="AD86" i="1"/>
  <c r="AB86" i="1"/>
  <c r="AC86" i="1"/>
  <c r="X86" i="1"/>
  <c r="AJ107" i="1"/>
  <c r="AK107" i="1"/>
  <c r="AI107" i="1"/>
  <c r="AH107" i="1"/>
  <c r="AH22" i="1"/>
  <c r="AI22" i="1"/>
  <c r="AJ22" i="1"/>
  <c r="AK22" i="1"/>
  <c r="Y74" i="1"/>
  <c r="AD74" i="1"/>
  <c r="X74" i="1"/>
  <c r="AC74" i="1"/>
  <c r="AA74" i="1"/>
  <c r="Z74" i="1"/>
  <c r="AB74" i="1"/>
  <c r="AA51" i="1"/>
  <c r="Z51" i="1"/>
  <c r="AB51" i="1"/>
  <c r="Y51" i="1"/>
  <c r="X51" i="1"/>
  <c r="AD51" i="1"/>
  <c r="AC51" i="1"/>
  <c r="AC58" i="1"/>
  <c r="Y58" i="1"/>
  <c r="AB58" i="1"/>
  <c r="Z58" i="1"/>
  <c r="AA58" i="1"/>
  <c r="AD58" i="1"/>
  <c r="X58" i="1"/>
  <c r="AC18" i="1"/>
  <c r="AA18" i="1"/>
  <c r="AB18" i="1"/>
  <c r="AD18" i="1"/>
  <c r="AT18" i="1" s="1"/>
  <c r="Y18" i="1"/>
  <c r="X18" i="1"/>
  <c r="Z18" i="1"/>
  <c r="Y84" i="1"/>
  <c r="AD84" i="1"/>
  <c r="AT84" i="1" s="1"/>
  <c r="AC84" i="1"/>
  <c r="AA84" i="1"/>
  <c r="X84" i="1"/>
  <c r="AB84" i="1"/>
  <c r="Z84" i="1"/>
  <c r="AK112" i="1"/>
  <c r="AJ112" i="1"/>
  <c r="AI112" i="1"/>
  <c r="AH112" i="1"/>
  <c r="Z79" i="1"/>
  <c r="AC79" i="1"/>
  <c r="X79" i="1"/>
  <c r="AB79" i="1"/>
  <c r="Y79" i="1"/>
  <c r="AD79" i="1"/>
  <c r="AA79" i="1"/>
  <c r="Y101" i="1"/>
  <c r="AC101" i="1"/>
  <c r="AA101" i="1"/>
  <c r="AB101" i="1"/>
  <c r="AD101" i="1"/>
  <c r="Z101" i="1"/>
  <c r="X101" i="1"/>
  <c r="AA91" i="1"/>
  <c r="AC91" i="1"/>
  <c r="AB91" i="1"/>
  <c r="X91" i="1"/>
  <c r="Z91" i="1"/>
  <c r="AD91" i="1"/>
  <c r="AT91" i="1" s="1"/>
  <c r="Y91" i="1"/>
  <c r="AK67" i="1"/>
  <c r="AJ67" i="1"/>
  <c r="AH67" i="1"/>
  <c r="AI67" i="1"/>
  <c r="AA132" i="1"/>
  <c r="Y132" i="1"/>
  <c r="AD132" i="1"/>
  <c r="X132" i="1"/>
  <c r="Z132" i="1"/>
  <c r="AC132" i="1"/>
  <c r="AB132" i="1"/>
  <c r="AJ116" i="1"/>
  <c r="AI116" i="1"/>
  <c r="AH116" i="1"/>
  <c r="AK116" i="1"/>
  <c r="AK126" i="1"/>
  <c r="AJ126" i="1"/>
  <c r="AH126" i="1"/>
  <c r="AI126" i="1"/>
  <c r="AH99" i="1"/>
  <c r="AI99" i="1"/>
  <c r="AK99" i="1"/>
  <c r="AJ99" i="1"/>
  <c r="AC94" i="1"/>
  <c r="X94" i="1"/>
  <c r="AB94" i="1"/>
  <c r="AD94" i="1"/>
  <c r="AA94" i="1"/>
  <c r="Y94" i="1"/>
  <c r="Z94" i="1"/>
  <c r="AJ108" i="1"/>
  <c r="AH108" i="1"/>
  <c r="AI108" i="1"/>
  <c r="AK108" i="1"/>
  <c r="AH89" i="1"/>
  <c r="AK89" i="1"/>
  <c r="AI89" i="1"/>
  <c r="AJ89" i="1"/>
  <c r="AC33" i="1"/>
  <c r="AD33" i="1"/>
  <c r="AT33" i="1" s="1"/>
  <c r="Z33" i="1"/>
  <c r="Y33" i="1"/>
  <c r="AB33" i="1"/>
  <c r="X33" i="1"/>
  <c r="AA33" i="1"/>
  <c r="AK93" i="1"/>
  <c r="AH93" i="1"/>
  <c r="AI93" i="1"/>
  <c r="AJ93" i="1"/>
  <c r="Z28" i="1"/>
  <c r="X28" i="1"/>
  <c r="Y28" i="1"/>
  <c r="AC28" i="1"/>
  <c r="AA28" i="1"/>
  <c r="AB28" i="1"/>
  <c r="AD28" i="1"/>
  <c r="AK91" i="1"/>
  <c r="AH91" i="1"/>
  <c r="AJ91" i="1"/>
  <c r="AI91" i="1"/>
  <c r="Y127" i="1"/>
  <c r="X127" i="1"/>
  <c r="AA127" i="1"/>
  <c r="AD127" i="1"/>
  <c r="AC127" i="1"/>
  <c r="AB127" i="1"/>
  <c r="Z127" i="1"/>
  <c r="AC130" i="1"/>
  <c r="AD130" i="1"/>
  <c r="AT130" i="1" s="1"/>
  <c r="Y130" i="1"/>
  <c r="AB130" i="1"/>
  <c r="X130" i="1"/>
  <c r="Z130" i="1"/>
  <c r="AA130" i="1"/>
  <c r="AH77" i="1"/>
  <c r="AK77" i="1"/>
  <c r="AI77" i="1"/>
  <c r="AJ77" i="1"/>
  <c r="Y22" i="1"/>
  <c r="AC22" i="1"/>
  <c r="X22" i="1"/>
  <c r="AB22" i="1"/>
  <c r="Z22" i="1"/>
  <c r="AA22" i="1"/>
  <c r="AD22" i="1"/>
  <c r="AT22" i="1" s="1"/>
  <c r="AH69" i="1"/>
  <c r="AK69" i="1"/>
  <c r="AJ69" i="1"/>
  <c r="AI69" i="1"/>
  <c r="AB73" i="1"/>
  <c r="X73" i="1"/>
  <c r="AC73" i="1"/>
  <c r="AA73" i="1"/>
  <c r="Y73" i="1"/>
  <c r="AD73" i="1"/>
  <c r="Z73" i="1"/>
  <c r="AI92" i="1"/>
  <c r="AK92" i="1"/>
  <c r="AH92" i="1"/>
  <c r="AJ92" i="1"/>
  <c r="AD11" i="1"/>
  <c r="Y11" i="1"/>
  <c r="AC11" i="1"/>
  <c r="Z11" i="1"/>
  <c r="X11" i="1"/>
  <c r="AB11" i="1"/>
  <c r="AA11" i="1"/>
  <c r="AB21" i="1"/>
  <c r="AC21" i="1"/>
  <c r="Z21" i="1"/>
  <c r="X21" i="1"/>
  <c r="Y21" i="1"/>
  <c r="AD21" i="1"/>
  <c r="AT21" i="1" s="1"/>
  <c r="AA21" i="1"/>
  <c r="AH122" i="1"/>
  <c r="AJ122" i="1"/>
  <c r="AK122" i="1"/>
  <c r="AI122" i="1"/>
  <c r="AA54" i="1"/>
  <c r="X54" i="1"/>
  <c r="AB54" i="1"/>
  <c r="Y54" i="1"/>
  <c r="AC54" i="1"/>
  <c r="Z54" i="1"/>
  <c r="AD54" i="1"/>
  <c r="Z49" i="1"/>
  <c r="AD49" i="1"/>
  <c r="AB49" i="1"/>
  <c r="AC49" i="1"/>
  <c r="Y49" i="1"/>
  <c r="AA49" i="1"/>
  <c r="X49" i="1"/>
  <c r="AA45" i="1"/>
  <c r="AD45" i="1"/>
  <c r="Z45" i="1"/>
  <c r="AC45" i="1"/>
  <c r="X45" i="1"/>
  <c r="AB45" i="1"/>
  <c r="Y45" i="1"/>
  <c r="AK121" i="1"/>
  <c r="AI121" i="1"/>
  <c r="AH121" i="1"/>
  <c r="AJ121" i="1"/>
  <c r="AK20" i="1"/>
  <c r="AJ20" i="1"/>
  <c r="AI20" i="1"/>
  <c r="AH20" i="1"/>
  <c r="AD78" i="1"/>
  <c r="Y78" i="1"/>
  <c r="Z78" i="1"/>
  <c r="X78" i="1"/>
  <c r="AC78" i="1"/>
  <c r="AA78" i="1"/>
  <c r="AB78" i="1"/>
  <c r="AJ82" i="1"/>
  <c r="AH82" i="1"/>
  <c r="AI82" i="1"/>
  <c r="AK82" i="1"/>
  <c r="AK86" i="1"/>
  <c r="AJ86" i="1"/>
  <c r="AI86" i="1"/>
  <c r="AH86" i="1"/>
  <c r="AI76" i="1"/>
  <c r="AJ76" i="1"/>
  <c r="AH76" i="1"/>
  <c r="AK76" i="1"/>
  <c r="AI15" i="1"/>
  <c r="AJ15" i="1"/>
  <c r="AK15" i="1"/>
  <c r="AH15" i="1"/>
  <c r="AI27" i="1"/>
  <c r="AK27" i="1"/>
  <c r="AJ27" i="1"/>
  <c r="AH27" i="1"/>
  <c r="AK100" i="1"/>
  <c r="AI100" i="1"/>
  <c r="AH100" i="1"/>
  <c r="AJ100" i="1"/>
  <c r="AA76" i="1"/>
  <c r="AC76" i="1"/>
  <c r="X76" i="1"/>
  <c r="Z76" i="1"/>
  <c r="AB76" i="1"/>
  <c r="Y76" i="1"/>
  <c r="AD76" i="1"/>
  <c r="AC92" i="1"/>
  <c r="AA92" i="1"/>
  <c r="X92" i="1"/>
  <c r="Y92" i="1"/>
  <c r="AB92" i="1"/>
  <c r="AD92" i="1"/>
  <c r="AT92" i="1" s="1"/>
  <c r="Z92" i="1"/>
  <c r="AH115" i="1"/>
  <c r="AJ115" i="1"/>
  <c r="AK115" i="1"/>
  <c r="AI115" i="1"/>
  <c r="AB55" i="1"/>
  <c r="AA55" i="1"/>
  <c r="Z55" i="1"/>
  <c r="AD55" i="1"/>
  <c r="X55" i="1"/>
  <c r="Y55" i="1"/>
  <c r="AC55" i="1"/>
  <c r="Z36" i="1"/>
  <c r="AC36" i="1"/>
  <c r="AD36" i="1"/>
  <c r="AT36" i="1" s="1"/>
  <c r="AA36" i="1"/>
  <c r="AB36" i="1"/>
  <c r="X36" i="1"/>
  <c r="Y36" i="1"/>
  <c r="AK30" i="1"/>
  <c r="AI30" i="1"/>
  <c r="AH30" i="1"/>
  <c r="AJ30" i="1"/>
  <c r="AK14" i="1"/>
  <c r="AI14" i="1"/>
  <c r="AH14" i="1"/>
  <c r="AJ14" i="1"/>
  <c r="AD68" i="1"/>
  <c r="X68" i="1"/>
  <c r="Z68" i="1"/>
  <c r="AC68" i="1"/>
  <c r="Y68" i="1"/>
  <c r="AA68" i="1"/>
  <c r="AB68" i="1"/>
  <c r="Y116" i="1"/>
  <c r="X116" i="1"/>
  <c r="AD116" i="1"/>
  <c r="Z116" i="1"/>
  <c r="AA116" i="1"/>
  <c r="AB116" i="1"/>
  <c r="AC116" i="1"/>
  <c r="AI96" i="1"/>
  <c r="AK96" i="1"/>
  <c r="AH96" i="1"/>
  <c r="AJ96" i="1"/>
  <c r="Y90" i="1"/>
  <c r="X90" i="1"/>
  <c r="AD90" i="1"/>
  <c r="AT90" i="1" s="1"/>
  <c r="AA90" i="1"/>
  <c r="Z90" i="1"/>
  <c r="AB90" i="1"/>
  <c r="AC90" i="1"/>
  <c r="AK90" i="1"/>
  <c r="AI90" i="1"/>
  <c r="AH90" i="1"/>
  <c r="AJ90" i="1"/>
  <c r="AJ81" i="1"/>
  <c r="AH81" i="1"/>
  <c r="AI81" i="1"/>
  <c r="AK81" i="1"/>
  <c r="Y122" i="1"/>
  <c r="Z122" i="1"/>
  <c r="AB122" i="1"/>
  <c r="X122" i="1"/>
  <c r="AC122" i="1"/>
  <c r="AA122" i="1"/>
  <c r="AD122" i="1"/>
  <c r="Z111" i="1"/>
  <c r="X111" i="1"/>
  <c r="AC111" i="1"/>
  <c r="AB111" i="1"/>
  <c r="Y111" i="1"/>
  <c r="AD111" i="1"/>
  <c r="AA111" i="1"/>
  <c r="AJ118" i="1"/>
  <c r="AH118" i="1"/>
  <c r="AK118" i="1"/>
  <c r="AI118" i="1"/>
  <c r="AI113" i="1"/>
  <c r="AJ113" i="1"/>
  <c r="AH113" i="1"/>
  <c r="AK113" i="1"/>
  <c r="AH88" i="1"/>
  <c r="AJ88" i="1"/>
  <c r="AI88" i="1"/>
  <c r="AK88" i="1"/>
  <c r="AH129" i="1"/>
  <c r="AJ129" i="1"/>
  <c r="AK129" i="1"/>
  <c r="AI129" i="1"/>
  <c r="AB115" i="1"/>
  <c r="AD115" i="1"/>
  <c r="AA115" i="1"/>
  <c r="AC115" i="1"/>
  <c r="X115" i="1"/>
  <c r="Z115" i="1"/>
  <c r="Y115" i="1"/>
  <c r="AB42" i="1"/>
  <c r="AD42" i="1"/>
  <c r="Y42" i="1"/>
  <c r="Z42" i="1"/>
  <c r="X42" i="1"/>
  <c r="AC42" i="1"/>
  <c r="AA42" i="1"/>
  <c r="AD17" i="1"/>
  <c r="AT17" i="1" s="1"/>
  <c r="AC17" i="1"/>
  <c r="AB17" i="1"/>
  <c r="Z17" i="1"/>
  <c r="AA17" i="1"/>
  <c r="X17" i="1"/>
  <c r="Y17" i="1"/>
  <c r="AK80" i="1"/>
  <c r="AI80" i="1"/>
  <c r="AH80" i="1"/>
  <c r="AJ80" i="1"/>
  <c r="AH101" i="1"/>
  <c r="AK101" i="1"/>
  <c r="AI101" i="1"/>
  <c r="AJ101" i="1"/>
  <c r="AH13" i="1"/>
  <c r="AK13" i="1"/>
  <c r="AI13" i="1"/>
  <c r="AJ13" i="1"/>
  <c r="Y95" i="1"/>
  <c r="AC95" i="1"/>
  <c r="Z95" i="1"/>
  <c r="X95" i="1"/>
  <c r="AD95" i="1"/>
  <c r="AA95" i="1"/>
  <c r="AB95" i="1"/>
  <c r="AD104" i="1"/>
  <c r="AA104" i="1"/>
  <c r="Y104" i="1"/>
  <c r="AB104" i="1"/>
  <c r="X104" i="1"/>
  <c r="Z104" i="1"/>
  <c r="AC104" i="1"/>
  <c r="AJ56" i="1"/>
  <c r="AK56" i="1"/>
  <c r="AI56" i="1"/>
  <c r="AH56" i="1"/>
  <c r="AI110" i="1"/>
  <c r="AJ110" i="1"/>
  <c r="AH110" i="1"/>
  <c r="AK110" i="1"/>
  <c r="Z27" i="1"/>
  <c r="AD27" i="1"/>
  <c r="AC27" i="1"/>
  <c r="Y27" i="1"/>
  <c r="X27" i="1"/>
  <c r="AB27" i="1"/>
  <c r="AA27" i="1"/>
  <c r="AI87" i="1"/>
  <c r="AH87" i="1"/>
  <c r="AK87" i="1"/>
  <c r="AJ87" i="1"/>
  <c r="AC48" i="1"/>
  <c r="AD48" i="1"/>
  <c r="Z48" i="1"/>
  <c r="Y48" i="1"/>
  <c r="AB48" i="1"/>
  <c r="AA48" i="1"/>
  <c r="X48" i="1"/>
  <c r="AI97" i="1"/>
  <c r="AJ97" i="1"/>
  <c r="AH97" i="1"/>
  <c r="AK97" i="1"/>
  <c r="Z60" i="1"/>
  <c r="AA60" i="1"/>
  <c r="AD60" i="1"/>
  <c r="Y60" i="1"/>
  <c r="AC60" i="1"/>
  <c r="X60" i="1"/>
  <c r="AB60" i="1"/>
  <c r="AI17" i="1"/>
  <c r="AJ17" i="1"/>
  <c r="AK17" i="1"/>
  <c r="AH17" i="1"/>
  <c r="AJ63" i="1"/>
  <c r="AK63" i="1"/>
  <c r="AI63" i="1"/>
  <c r="AH63" i="1"/>
  <c r="AC19" i="1"/>
  <c r="AB19" i="1"/>
  <c r="AD19" i="1"/>
  <c r="Z19" i="1"/>
  <c r="AA19" i="1"/>
  <c r="X19" i="1"/>
  <c r="Y19" i="1"/>
  <c r="AC82" i="1"/>
  <c r="AA82" i="1"/>
  <c r="Z82" i="1"/>
  <c r="AB82" i="1"/>
  <c r="AD82" i="1"/>
  <c r="Y82" i="1"/>
  <c r="X82" i="1"/>
  <c r="AK46" i="1"/>
  <c r="AH46" i="1"/>
  <c r="AI46" i="1"/>
  <c r="AJ46" i="1"/>
  <c r="AB109" i="1"/>
  <c r="AA109" i="1"/>
  <c r="AC109" i="1"/>
  <c r="Y109" i="1"/>
  <c r="AD109" i="1"/>
  <c r="Z109" i="1"/>
  <c r="X109" i="1"/>
  <c r="AC71" i="1"/>
  <c r="AA71" i="1"/>
  <c r="AB71" i="1"/>
  <c r="AD71" i="1"/>
  <c r="Z71" i="1"/>
  <c r="X71" i="1"/>
  <c r="Y71" i="1"/>
  <c r="AA103" i="1"/>
  <c r="AD103" i="1"/>
  <c r="AB103" i="1"/>
  <c r="AC103" i="1"/>
  <c r="Z103" i="1"/>
  <c r="Y103" i="1"/>
  <c r="X103" i="1"/>
  <c r="AH51" i="1"/>
  <c r="AJ51" i="1"/>
  <c r="AI51" i="1"/>
  <c r="AK51" i="1"/>
  <c r="AB53" i="1"/>
  <c r="Y53" i="1"/>
  <c r="AC53" i="1"/>
  <c r="X53" i="1"/>
  <c r="AD53" i="1"/>
  <c r="AA53" i="1"/>
  <c r="Z53" i="1"/>
  <c r="Y63" i="1"/>
  <c r="Z63" i="1"/>
  <c r="AC63" i="1"/>
  <c r="AB63" i="1"/>
  <c r="AA63" i="1"/>
  <c r="X63" i="1"/>
  <c r="AD63" i="1"/>
  <c r="AK124" i="1"/>
  <c r="AH124" i="1"/>
  <c r="AJ124" i="1"/>
  <c r="AI124" i="1"/>
  <c r="AC16" i="1"/>
  <c r="Y16" i="1"/>
  <c r="AD16" i="1"/>
  <c r="AA16" i="1"/>
  <c r="Z16" i="1"/>
  <c r="X16" i="1"/>
  <c r="AB16" i="1"/>
  <c r="X77" i="1"/>
  <c r="Y77" i="1"/>
  <c r="AD77" i="1"/>
  <c r="AC77" i="1"/>
  <c r="Z77" i="1"/>
  <c r="AB77" i="1"/>
  <c r="AA77" i="1"/>
  <c r="AD39" i="1"/>
  <c r="AC39" i="1"/>
  <c r="X39" i="1"/>
  <c r="AB39" i="1"/>
  <c r="Z39" i="1"/>
  <c r="AA39" i="1"/>
  <c r="Y39" i="1"/>
  <c r="AK70" i="1"/>
  <c r="AJ70" i="1"/>
  <c r="AI70" i="1"/>
  <c r="AH70" i="1"/>
  <c r="AI44" i="1"/>
  <c r="AJ44" i="1"/>
  <c r="AK44" i="1"/>
  <c r="AH44" i="1"/>
  <c r="AK62" i="1"/>
  <c r="AH62" i="1"/>
  <c r="AJ62" i="1"/>
  <c r="AI62" i="1"/>
  <c r="X62" i="1"/>
  <c r="AD62" i="1"/>
  <c r="Y62" i="1"/>
  <c r="AB62" i="1"/>
  <c r="AC62" i="1"/>
  <c r="AA62" i="1"/>
  <c r="Z62" i="1"/>
  <c r="AK125" i="1"/>
  <c r="AJ125" i="1"/>
  <c r="AH125" i="1"/>
  <c r="AI125" i="1"/>
  <c r="AK37" i="1"/>
  <c r="AI37" i="1"/>
  <c r="AJ37" i="1"/>
  <c r="AH37" i="1"/>
  <c r="AC114" i="1"/>
  <c r="Y114" i="1"/>
  <c r="AB114" i="1"/>
  <c r="Z114" i="1"/>
  <c r="AA114" i="1"/>
  <c r="AD114" i="1"/>
  <c r="X114" i="1"/>
  <c r="AK45" i="1"/>
  <c r="AJ45" i="1"/>
  <c r="AI45" i="1"/>
  <c r="AH45" i="1"/>
  <c r="AB119" i="1"/>
  <c r="Y119" i="1"/>
  <c r="AD119" i="1"/>
  <c r="AC119" i="1"/>
  <c r="AA119" i="1"/>
  <c r="X119" i="1"/>
  <c r="Z119" i="1"/>
  <c r="X112" i="1"/>
  <c r="AD112" i="1"/>
  <c r="AA112" i="1"/>
  <c r="AB112" i="1"/>
  <c r="Z112" i="1"/>
  <c r="AC112" i="1"/>
  <c r="Y112" i="1"/>
  <c r="X120" i="1"/>
  <c r="AA120" i="1"/>
  <c r="Z120" i="1"/>
  <c r="AD120" i="1"/>
  <c r="AT120" i="1" s="1"/>
  <c r="Y120" i="1"/>
  <c r="AC120" i="1"/>
  <c r="AB120" i="1"/>
  <c r="X96" i="1"/>
  <c r="AD96" i="1"/>
  <c r="AB96" i="1"/>
  <c r="Y96" i="1"/>
  <c r="AC96" i="1"/>
  <c r="Z96" i="1"/>
  <c r="AA96" i="1"/>
  <c r="Z26" i="1"/>
  <c r="AA26" i="1"/>
  <c r="AB26" i="1"/>
  <c r="X26" i="1"/>
  <c r="AD26" i="1"/>
  <c r="AT26" i="1" s="1"/>
  <c r="AC26" i="1"/>
  <c r="Y26" i="1"/>
  <c r="AJ94" i="1"/>
  <c r="AI94" i="1"/>
  <c r="AH94" i="1"/>
  <c r="AK94" i="1"/>
  <c r="AI26" i="1"/>
  <c r="AH26" i="1"/>
  <c r="AK26" i="1"/>
  <c r="AJ26" i="1"/>
  <c r="X80" i="1"/>
  <c r="Y80" i="1"/>
  <c r="Z80" i="1"/>
  <c r="AD80" i="1"/>
  <c r="AB80" i="1"/>
  <c r="AA80" i="1"/>
  <c r="AC80" i="1"/>
  <c r="AI19" i="1"/>
  <c r="AJ19" i="1"/>
  <c r="AK19" i="1"/>
  <c r="AH19" i="1"/>
  <c r="AI61" i="1"/>
  <c r="AK61" i="1"/>
  <c r="AJ61" i="1"/>
  <c r="AH61" i="1"/>
  <c r="Z69" i="1"/>
  <c r="AD69" i="1"/>
  <c r="AC69" i="1"/>
  <c r="Y69" i="1"/>
  <c r="AA69" i="1"/>
  <c r="X69" i="1"/>
  <c r="AB69" i="1"/>
  <c r="AA50" i="1"/>
  <c r="Z50" i="1"/>
  <c r="AD50" i="1"/>
  <c r="X50" i="1"/>
  <c r="Y50" i="1"/>
  <c r="AB50" i="1"/>
  <c r="AC50" i="1"/>
  <c r="AI34" i="1"/>
  <c r="AH34" i="1"/>
  <c r="AK34" i="1"/>
  <c r="AJ34" i="1"/>
  <c r="AJ28" i="1"/>
  <c r="AI28" i="1"/>
  <c r="AK28" i="1"/>
  <c r="AH28" i="1"/>
  <c r="AD81" i="1"/>
  <c r="X81" i="1"/>
  <c r="Z81" i="1"/>
  <c r="Y81" i="1"/>
  <c r="AC81" i="1"/>
  <c r="AA81" i="1"/>
  <c r="AB81" i="1"/>
  <c r="AH35" i="1"/>
  <c r="AK35" i="1"/>
  <c r="AI35" i="1"/>
  <c r="AJ35" i="1"/>
  <c r="AH79" i="1"/>
  <c r="AK79" i="1"/>
  <c r="AJ79" i="1"/>
  <c r="AI79" i="1"/>
  <c r="AJ103" i="1"/>
  <c r="AH103" i="1"/>
  <c r="AK103" i="1"/>
  <c r="AI103" i="1"/>
  <c r="AJ31" i="1"/>
  <c r="AK31" i="1"/>
  <c r="AI31" i="1"/>
  <c r="AH31" i="1"/>
  <c r="AI48" i="1"/>
  <c r="AJ48" i="1"/>
  <c r="AH48" i="1"/>
  <c r="AK48" i="1"/>
  <c r="AB59" i="1"/>
  <c r="Z59" i="1"/>
  <c r="AA59" i="1"/>
  <c r="AD59" i="1"/>
  <c r="AN5" i="1" s="1"/>
  <c r="Y59" i="1"/>
  <c r="AC59" i="1"/>
  <c r="X59" i="1"/>
  <c r="AK39" i="1"/>
  <c r="AI39" i="1"/>
  <c r="AH39" i="1"/>
  <c r="AJ39" i="1"/>
  <c r="AH11" i="1"/>
  <c r="AK11" i="1"/>
  <c r="AI11" i="1"/>
  <c r="AJ11" i="1"/>
  <c r="AI25" i="1"/>
  <c r="AJ25" i="1"/>
  <c r="AH25" i="1"/>
  <c r="AK25" i="1"/>
  <c r="AD41" i="1"/>
  <c r="X41" i="1"/>
  <c r="Y41" i="1"/>
  <c r="AC41" i="1"/>
  <c r="AB41" i="1"/>
  <c r="Z41" i="1"/>
  <c r="AA41" i="1"/>
  <c r="AB100" i="1"/>
  <c r="AC100" i="1"/>
  <c r="AA100" i="1"/>
  <c r="X100" i="1"/>
  <c r="AD100" i="1"/>
  <c r="Z100" i="1"/>
  <c r="Y100" i="1"/>
  <c r="AC75" i="1"/>
  <c r="Y75" i="1"/>
  <c r="X75" i="1"/>
  <c r="AB75" i="1"/>
  <c r="Z75" i="1"/>
  <c r="AA75" i="1"/>
  <c r="AD75" i="1"/>
  <c r="AB89" i="1"/>
  <c r="Z89" i="1"/>
  <c r="Y89" i="1"/>
  <c r="AD89" i="1"/>
  <c r="AT89" i="1" s="1"/>
  <c r="AA89" i="1"/>
  <c r="X89" i="1"/>
  <c r="AC89" i="1"/>
  <c r="AK53" i="1"/>
  <c r="AI53" i="1"/>
  <c r="AH53" i="1"/>
  <c r="AJ53" i="1"/>
  <c r="AH42" i="1"/>
  <c r="AI42" i="1"/>
  <c r="AJ42" i="1"/>
  <c r="AK42" i="1"/>
  <c r="AK98" i="1"/>
  <c r="AJ98" i="1"/>
  <c r="AH98" i="1"/>
  <c r="AI98" i="1"/>
  <c r="X110" i="1"/>
  <c r="Y110" i="1"/>
  <c r="AA110" i="1"/>
  <c r="AC110" i="1"/>
  <c r="Z110" i="1"/>
  <c r="AD110" i="1"/>
  <c r="AB110" i="1"/>
  <c r="AI109" i="1"/>
  <c r="AH109" i="1"/>
  <c r="AJ109" i="1"/>
  <c r="AK109" i="1"/>
  <c r="AJ29" i="1"/>
  <c r="AK29" i="1"/>
  <c r="AI29" i="1"/>
  <c r="AH29" i="1"/>
  <c r="AJ117" i="1"/>
  <c r="AI117" i="1"/>
  <c r="AH117" i="1"/>
  <c r="AK117" i="1"/>
  <c r="AI24" i="1"/>
  <c r="AH24" i="1"/>
  <c r="AK24" i="1"/>
  <c r="AJ24" i="1"/>
  <c r="AI57" i="1"/>
  <c r="AJ57" i="1"/>
  <c r="AK57" i="1"/>
  <c r="AH57" i="1"/>
  <c r="AK12" i="1"/>
  <c r="AI12" i="1"/>
  <c r="AH12" i="1"/>
  <c r="AJ12" i="1"/>
  <c r="AH58" i="1"/>
  <c r="AJ58" i="1"/>
  <c r="AI58" i="1"/>
  <c r="AK58" i="1"/>
  <c r="X133" i="1"/>
  <c r="Z133" i="1"/>
  <c r="AD133" i="1"/>
  <c r="AA133" i="1"/>
  <c r="AC133" i="1"/>
  <c r="Y133" i="1"/>
  <c r="AB133" i="1"/>
  <c r="AJ95" i="1"/>
  <c r="AH95" i="1"/>
  <c r="AI95" i="1"/>
  <c r="AK95" i="1"/>
  <c r="AK120" i="1"/>
  <c r="AJ120" i="1"/>
  <c r="AI120" i="1"/>
  <c r="AH120" i="1"/>
  <c r="AJ114" i="1"/>
  <c r="AI114" i="1"/>
  <c r="AH114" i="1"/>
  <c r="AK114" i="1"/>
  <c r="AA125" i="1"/>
  <c r="X125" i="1"/>
  <c r="AB125" i="1"/>
  <c r="Z125" i="1"/>
  <c r="AC125" i="1"/>
  <c r="AD125" i="1"/>
  <c r="Y125" i="1"/>
  <c r="Y66" i="1"/>
  <c r="AC66" i="1"/>
  <c r="AA66" i="1"/>
  <c r="Z66" i="1"/>
  <c r="AB66" i="1"/>
  <c r="X66" i="1"/>
  <c r="AD66" i="1"/>
  <c r="AD87" i="1"/>
  <c r="Y87" i="1"/>
  <c r="Z87" i="1"/>
  <c r="AC87" i="1"/>
  <c r="AA87" i="1"/>
  <c r="X87" i="1"/>
  <c r="AB87" i="1"/>
  <c r="AA134" i="1"/>
  <c r="AC134" i="1"/>
  <c r="AD134" i="1"/>
  <c r="Y134" i="1"/>
  <c r="Z134" i="1"/>
  <c r="AB134" i="1"/>
  <c r="X134" i="1"/>
  <c r="AJ72" i="1"/>
  <c r="AK72" i="1"/>
  <c r="AH72" i="1"/>
  <c r="AI72" i="1"/>
  <c r="X121" i="1"/>
  <c r="AC121" i="1"/>
  <c r="Z121" i="1"/>
  <c r="AA121" i="1"/>
  <c r="AD121" i="1"/>
  <c r="AB121" i="1"/>
  <c r="Y121" i="1"/>
  <c r="Y88" i="1"/>
  <c r="AA88" i="1"/>
  <c r="Z88" i="1"/>
  <c r="X88" i="1"/>
  <c r="AB88" i="1"/>
  <c r="AD88" i="1"/>
  <c r="AT88" i="1" s="1"/>
  <c r="AC88" i="1"/>
  <c r="AH55" i="1"/>
  <c r="AK55" i="1"/>
  <c r="AI55" i="1"/>
  <c r="AJ55" i="1"/>
  <c r="AH41" i="1"/>
  <c r="AJ41" i="1"/>
  <c r="AK41" i="1"/>
  <c r="AI41" i="1"/>
  <c r="X85" i="1"/>
  <c r="AD85" i="1"/>
  <c r="AT85" i="1" s="1"/>
  <c r="Y85" i="1"/>
  <c r="Z85" i="1"/>
  <c r="AA85" i="1"/>
  <c r="AC85" i="1"/>
  <c r="AB85" i="1"/>
  <c r="Y64" i="1"/>
  <c r="AB64" i="1"/>
  <c r="AC64" i="1"/>
  <c r="Z64" i="1"/>
  <c r="X64" i="1"/>
  <c r="AD64" i="1"/>
  <c r="AN6" i="1" s="1"/>
  <c r="AA64" i="1"/>
  <c r="AI85" i="1"/>
  <c r="AH85" i="1"/>
  <c r="AJ85" i="1"/>
  <c r="AK85" i="1"/>
  <c r="X31" i="1"/>
  <c r="AD31" i="1"/>
  <c r="Z31" i="1"/>
  <c r="AA31" i="1"/>
  <c r="Y31" i="1"/>
  <c r="AC31" i="1"/>
  <c r="AB31" i="1"/>
  <c r="Z40" i="1"/>
  <c r="AB40" i="1"/>
  <c r="X40" i="1"/>
  <c r="Y40" i="1"/>
  <c r="AD40" i="1"/>
  <c r="AT40" i="1" s="1"/>
  <c r="AC40" i="1"/>
  <c r="AA40" i="1"/>
  <c r="AJ52" i="1"/>
  <c r="AH52" i="1"/>
  <c r="AK52" i="1"/>
  <c r="AI52" i="1"/>
  <c r="AI33" i="1"/>
  <c r="AH33" i="1"/>
  <c r="AK33" i="1"/>
  <c r="AJ33" i="1"/>
  <c r="AD20" i="1"/>
  <c r="X20" i="1"/>
  <c r="AB20" i="1"/>
  <c r="AA20" i="1"/>
  <c r="AC20" i="1"/>
  <c r="Y20" i="1"/>
  <c r="Z20" i="1"/>
  <c r="AA99" i="1"/>
  <c r="AD99" i="1"/>
  <c r="AB99" i="1"/>
  <c r="AC99" i="1"/>
  <c r="Y99" i="1"/>
  <c r="X99" i="1"/>
  <c r="Z99" i="1"/>
  <c r="X46" i="1"/>
  <c r="AB46" i="1"/>
  <c r="Y46" i="1"/>
  <c r="AD46" i="1"/>
  <c r="AA46" i="1"/>
  <c r="AC46" i="1"/>
  <c r="Z46" i="1"/>
  <c r="AI128" i="1"/>
  <c r="AJ128" i="1"/>
  <c r="AK128" i="1"/>
  <c r="AH128" i="1"/>
  <c r="Z15" i="1"/>
  <c r="X15" i="1"/>
  <c r="Y15" i="1"/>
  <c r="AD15" i="1"/>
  <c r="AT15" i="1" s="1"/>
  <c r="AB15" i="1"/>
  <c r="AC15" i="1"/>
  <c r="AA15" i="1"/>
  <c r="AH21" i="1"/>
  <c r="AJ21" i="1"/>
  <c r="AI21" i="1"/>
  <c r="AK21" i="1"/>
  <c r="AK74" i="1"/>
  <c r="AJ74" i="1"/>
  <c r="AI74" i="1"/>
  <c r="AH74" i="1"/>
  <c r="AK131" i="1"/>
  <c r="AI131" i="1"/>
  <c r="AJ131" i="1"/>
  <c r="AH131" i="1"/>
  <c r="AD106" i="1"/>
  <c r="Y106" i="1"/>
  <c r="X106" i="1"/>
  <c r="AB106" i="1"/>
  <c r="Z106" i="1"/>
  <c r="AA106" i="1"/>
  <c r="AC106" i="1"/>
  <c r="Y47" i="1"/>
  <c r="AD47" i="1"/>
  <c r="AA47" i="1"/>
  <c r="AB47" i="1"/>
  <c r="AC47" i="1"/>
  <c r="Z47" i="1"/>
  <c r="X47" i="1"/>
  <c r="AB105" i="1"/>
  <c r="AD105" i="1"/>
  <c r="Y105" i="1"/>
  <c r="AC105" i="1"/>
  <c r="Z105" i="1"/>
  <c r="AA105" i="1"/>
  <c r="X105" i="1"/>
  <c r="AH132" i="1"/>
  <c r="AJ132" i="1"/>
  <c r="AK132" i="1"/>
  <c r="AI132" i="1"/>
  <c r="AA29" i="1"/>
  <c r="Y29" i="1"/>
  <c r="X29" i="1"/>
  <c r="AD29" i="1"/>
  <c r="AT29" i="1" s="1"/>
  <c r="AB29" i="1"/>
  <c r="Z29" i="1"/>
  <c r="AC29" i="1"/>
  <c r="AC117" i="1"/>
  <c r="AB117" i="1"/>
  <c r="AD117" i="1"/>
  <c r="Z117" i="1"/>
  <c r="X117" i="1"/>
  <c r="Y117" i="1"/>
  <c r="AA117" i="1"/>
  <c r="AJ102" i="1"/>
  <c r="AK102" i="1"/>
  <c r="AH102" i="1"/>
  <c r="AI102" i="1"/>
  <c r="AH50" i="1"/>
  <c r="AK50" i="1"/>
  <c r="AI50" i="1"/>
  <c r="AJ50" i="1"/>
  <c r="AH73" i="1"/>
  <c r="AI73" i="1"/>
  <c r="AK73" i="1"/>
  <c r="AJ73" i="1"/>
  <c r="AD52" i="1"/>
  <c r="Y52" i="1"/>
  <c r="AB52" i="1"/>
  <c r="Z52" i="1"/>
  <c r="AA52" i="1"/>
  <c r="AC52" i="1"/>
  <c r="X52" i="1"/>
  <c r="AC72" i="1"/>
  <c r="Z72" i="1"/>
  <c r="AD72" i="1"/>
  <c r="AB72" i="1"/>
  <c r="Y72" i="1"/>
  <c r="X72" i="1"/>
  <c r="AA72" i="1"/>
  <c r="AK130" i="1"/>
  <c r="AJ130" i="1"/>
  <c r="AH130" i="1"/>
  <c r="AI130" i="1"/>
  <c r="AI18" i="1"/>
  <c r="AH18" i="1"/>
  <c r="AJ18" i="1"/>
  <c r="AK18" i="1"/>
  <c r="Y35" i="1"/>
  <c r="X35" i="1"/>
  <c r="AB35" i="1"/>
  <c r="AC35" i="1"/>
  <c r="AA35" i="1"/>
  <c r="AD35" i="1"/>
  <c r="AT35" i="1" s="1"/>
  <c r="Z35" i="1"/>
  <c r="AH60" i="1"/>
  <c r="AK60" i="1"/>
  <c r="AJ60" i="1"/>
  <c r="AI60" i="1"/>
  <c r="AJ49" i="1"/>
  <c r="AK49" i="1"/>
  <c r="AI49" i="1"/>
  <c r="AH49" i="1"/>
  <c r="Z70" i="1"/>
  <c r="X70" i="1"/>
  <c r="AB70" i="1"/>
  <c r="AA70" i="1"/>
  <c r="AC70" i="1"/>
  <c r="AD70" i="1"/>
  <c r="Y70" i="1"/>
  <c r="AK16" i="1"/>
  <c r="AJ16" i="1"/>
  <c r="AI16" i="1"/>
  <c r="AH16" i="1"/>
  <c r="AI36" i="1"/>
  <c r="AK36" i="1"/>
  <c r="AH36" i="1"/>
  <c r="AJ36" i="1"/>
  <c r="AJ104" i="1"/>
  <c r="AI104" i="1"/>
  <c r="AH104" i="1"/>
  <c r="AK104" i="1"/>
  <c r="AK105" i="1"/>
  <c r="AI105" i="1"/>
  <c r="AH105" i="1"/>
  <c r="AJ105" i="1"/>
  <c r="AC108" i="1"/>
  <c r="X108" i="1"/>
  <c r="AB108" i="1"/>
  <c r="Z108" i="1"/>
  <c r="AD108" i="1"/>
  <c r="AA108" i="1"/>
  <c r="Y108" i="1"/>
  <c r="X93" i="1"/>
  <c r="AD93" i="1"/>
  <c r="AC93" i="1"/>
  <c r="AB93" i="1"/>
  <c r="Y93" i="1"/>
  <c r="AA93" i="1"/>
  <c r="Z93" i="1"/>
  <c r="AK123" i="1"/>
  <c r="AJ123" i="1"/>
  <c r="AI123" i="1"/>
  <c r="AH123" i="1"/>
  <c r="AC34" i="1"/>
  <c r="Z34" i="1"/>
  <c r="AA34" i="1"/>
  <c r="Y34" i="1"/>
  <c r="AD34" i="1"/>
  <c r="AT34" i="1" s="1"/>
  <c r="X34" i="1"/>
  <c r="AB34" i="1"/>
  <c r="X57" i="1"/>
  <c r="Y57" i="1"/>
  <c r="AA57" i="1"/>
  <c r="AB57" i="1"/>
  <c r="Z57" i="1"/>
  <c r="AC57" i="1"/>
  <c r="AD57" i="1"/>
  <c r="AC24" i="1"/>
  <c r="AA24" i="1"/>
  <c r="X24" i="1"/>
  <c r="AD24" i="1"/>
  <c r="Z24" i="1"/>
  <c r="AB24" i="1"/>
  <c r="Y24" i="1"/>
  <c r="AI106" i="1"/>
  <c r="AH106" i="1"/>
  <c r="AJ106" i="1"/>
  <c r="AK106" i="1"/>
  <c r="Y23" i="1"/>
  <c r="AB23" i="1"/>
  <c r="X23" i="1"/>
  <c r="Z23" i="1"/>
  <c r="AD23" i="1"/>
  <c r="AA23" i="1"/>
  <c r="AC23" i="1"/>
  <c r="Y56" i="1"/>
  <c r="AC56" i="1"/>
  <c r="Z56" i="1"/>
  <c r="AA56" i="1"/>
  <c r="X56" i="1"/>
  <c r="AB56" i="1"/>
  <c r="AD56" i="1"/>
  <c r="H9" i="1" s="1"/>
  <c r="AK127" i="1"/>
  <c r="AJ127" i="1"/>
  <c r="AH127" i="1"/>
  <c r="AI127" i="1"/>
  <c r="AH40" i="1"/>
  <c r="AJ40" i="1"/>
  <c r="AK40" i="1"/>
  <c r="AI40" i="1"/>
  <c r="AA83" i="1"/>
  <c r="AC83" i="1"/>
  <c r="X83" i="1"/>
  <c r="AD83" i="1"/>
  <c r="Z83" i="1"/>
  <c r="Y83" i="1"/>
  <c r="AB83" i="1"/>
  <c r="AA98" i="1"/>
  <c r="AB98" i="1"/>
  <c r="Y98" i="1"/>
  <c r="X98" i="1"/>
  <c r="Z98" i="1"/>
  <c r="AD98" i="1"/>
  <c r="AC98" i="1"/>
  <c r="AA126" i="1"/>
  <c r="Z126" i="1"/>
  <c r="Y126" i="1"/>
  <c r="AD126" i="1"/>
  <c r="AB126" i="1"/>
  <c r="X126" i="1"/>
  <c r="AC126" i="1"/>
  <c r="Z97" i="1"/>
  <c r="Y97" i="1"/>
  <c r="AB97" i="1"/>
  <c r="AC97" i="1"/>
  <c r="AA97" i="1"/>
  <c r="AD97" i="1"/>
  <c r="X97" i="1"/>
  <c r="AA30" i="1"/>
  <c r="AD30" i="1"/>
  <c r="AB30" i="1"/>
  <c r="X30" i="1"/>
  <c r="Z30" i="1"/>
  <c r="AC30" i="1"/>
  <c r="Y30" i="1"/>
  <c r="AH65" i="1"/>
  <c r="AI65" i="1"/>
  <c r="AJ65" i="1"/>
  <c r="AK65" i="1"/>
  <c r="AI78" i="1"/>
  <c r="AK78" i="1"/>
  <c r="AH78" i="1"/>
  <c r="AJ78" i="1"/>
  <c r="AK84" i="1"/>
  <c r="AI84" i="1"/>
  <c r="AJ84" i="1"/>
  <c r="AH84" i="1"/>
  <c r="AJ64" i="1"/>
  <c r="AH64" i="1"/>
  <c r="AK64" i="1"/>
  <c r="AI64" i="1"/>
  <c r="X65" i="1"/>
  <c r="Z65" i="1"/>
  <c r="Y65" i="1"/>
  <c r="AD65" i="1"/>
  <c r="AB65" i="1"/>
  <c r="AA65" i="1"/>
  <c r="AC65" i="1"/>
  <c r="AJ75" i="1"/>
  <c r="AI75" i="1"/>
  <c r="AK75" i="1"/>
  <c r="AH75" i="1"/>
  <c r="AJ47" i="1"/>
  <c r="AK47" i="1"/>
  <c r="AH47" i="1"/>
  <c r="AI47" i="1"/>
  <c r="AC14" i="1"/>
  <c r="AA14" i="1"/>
  <c r="Z14" i="1"/>
  <c r="AB14" i="1"/>
  <c r="Y14" i="1"/>
  <c r="X14" i="1"/>
  <c r="AD14" i="1"/>
  <c r="AI134" i="1"/>
  <c r="AH134" i="1"/>
  <c r="AJ134" i="1"/>
  <c r="AK134" i="1"/>
  <c r="AK32" i="1"/>
  <c r="AJ32" i="1"/>
  <c r="AH32" i="1"/>
  <c r="AI32" i="1"/>
  <c r="AI23" i="1"/>
  <c r="AH23" i="1"/>
  <c r="AJ23" i="1"/>
  <c r="AK23" i="1"/>
  <c r="AA37" i="1"/>
  <c r="AD37" i="1"/>
  <c r="AT37" i="1" s="1"/>
  <c r="AB37" i="1"/>
  <c r="X37" i="1"/>
  <c r="Y37" i="1"/>
  <c r="AC37" i="1"/>
  <c r="Z37" i="1"/>
  <c r="X124" i="1"/>
  <c r="AD124" i="1"/>
  <c r="AB124" i="1"/>
  <c r="Z124" i="1"/>
  <c r="AA124" i="1"/>
  <c r="Y124" i="1"/>
  <c r="AC124" i="1"/>
  <c r="AA32" i="1"/>
  <c r="Y32" i="1"/>
  <c r="X32" i="1"/>
  <c r="AD32" i="1"/>
  <c r="AT32" i="1" s="1"/>
  <c r="Z32" i="1"/>
  <c r="AB32" i="1"/>
  <c r="AC32" i="1"/>
  <c r="AJ133" i="1"/>
  <c r="AH133" i="1"/>
  <c r="AK133" i="1"/>
  <c r="AI133" i="1"/>
  <c r="AB129" i="1"/>
  <c r="Y129" i="1"/>
  <c r="X129" i="1"/>
  <c r="AC129" i="1"/>
  <c r="AD129" i="1"/>
  <c r="AA129" i="1"/>
  <c r="Z129" i="1"/>
  <c r="AH66" i="1"/>
  <c r="AK66" i="1"/>
  <c r="AI66" i="1"/>
  <c r="AJ66" i="1"/>
  <c r="Z44" i="1"/>
  <c r="AD44" i="1"/>
  <c r="X44" i="1"/>
  <c r="AA44" i="1"/>
  <c r="Y44" i="1"/>
  <c r="AC44" i="1"/>
  <c r="AB44" i="1"/>
  <c r="Y128" i="1"/>
  <c r="X128" i="1"/>
  <c r="AB128" i="1"/>
  <c r="Z128" i="1"/>
  <c r="AD128" i="1"/>
  <c r="AC128" i="1"/>
  <c r="AA128" i="1"/>
  <c r="AH119" i="1"/>
  <c r="AI119" i="1"/>
  <c r="AK119" i="1"/>
  <c r="AJ119" i="1"/>
  <c r="AJ111" i="1"/>
  <c r="AI111" i="1"/>
  <c r="AK111" i="1"/>
  <c r="AH111" i="1"/>
  <c r="AB38" i="1"/>
  <c r="X38" i="1"/>
  <c r="AC38" i="1"/>
  <c r="AA38" i="1"/>
  <c r="Y38" i="1"/>
  <c r="Z38" i="1"/>
  <c r="AD38" i="1"/>
  <c r="AB107" i="1"/>
  <c r="Y107" i="1"/>
  <c r="AD107" i="1"/>
  <c r="X107" i="1"/>
  <c r="AA107" i="1"/>
  <c r="AC107" i="1"/>
  <c r="Z107" i="1"/>
  <c r="AA43" i="1"/>
  <c r="X43" i="1"/>
  <c r="AB43" i="1"/>
  <c r="Z43" i="1"/>
  <c r="AC43" i="1"/>
  <c r="Y43" i="1"/>
  <c r="AD43" i="1"/>
  <c r="AK54" i="1"/>
  <c r="AJ54" i="1"/>
  <c r="AI54" i="1"/>
  <c r="AH54" i="1"/>
  <c r="AD102" i="1"/>
  <c r="X102" i="1"/>
  <c r="AA102" i="1"/>
  <c r="Y102" i="1"/>
  <c r="AC102" i="1"/>
  <c r="Z102" i="1"/>
  <c r="AB102" i="1"/>
  <c r="AD25" i="1"/>
  <c r="AT25" i="1" s="1"/>
  <c r="Z25" i="1"/>
  <c r="Y25" i="1"/>
  <c r="AB25" i="1"/>
  <c r="AA25" i="1"/>
  <c r="X25" i="1"/>
  <c r="AC25" i="1"/>
  <c r="AK59" i="1"/>
  <c r="AJ59" i="1"/>
  <c r="AI59" i="1"/>
  <c r="AH59" i="1"/>
  <c r="Z61" i="1"/>
  <c r="X61" i="1"/>
  <c r="AD61" i="1"/>
  <c r="AA61" i="1"/>
  <c r="Y61" i="1"/>
  <c r="AC61" i="1"/>
  <c r="AB61" i="1"/>
  <c r="X123" i="1"/>
  <c r="AD123" i="1"/>
  <c r="AC123" i="1"/>
  <c r="Z123" i="1"/>
  <c r="AA123" i="1"/>
  <c r="AB123" i="1"/>
  <c r="Y123" i="1"/>
  <c r="AJ43" i="1"/>
  <c r="AI43" i="1"/>
  <c r="AK43" i="1"/>
  <c r="AH43" i="1"/>
  <c r="X13" i="1"/>
  <c r="AB13" i="1"/>
  <c r="AC13" i="1"/>
  <c r="AD13" i="1"/>
  <c r="AT13" i="1" s="1"/>
  <c r="Y13" i="1"/>
  <c r="AA13" i="1"/>
  <c r="Z13" i="1"/>
  <c r="AJ38" i="1"/>
  <c r="AK38" i="1"/>
  <c r="AH38" i="1"/>
  <c r="AI38" i="1"/>
  <c r="AB67" i="1"/>
  <c r="Z67" i="1"/>
  <c r="AA67" i="1"/>
  <c r="AC67" i="1"/>
  <c r="AD67" i="1"/>
  <c r="AN7" i="1" s="1"/>
  <c r="Y67" i="1"/>
  <c r="X67" i="1"/>
  <c r="AH83" i="1"/>
  <c r="AI83" i="1"/>
  <c r="AJ83" i="1"/>
  <c r="AK83" i="1"/>
  <c r="AI71" i="1"/>
  <c r="AK71" i="1"/>
  <c r="AH71" i="1"/>
  <c r="AJ71" i="1"/>
  <c r="AC118" i="1"/>
  <c r="Z118" i="1"/>
  <c r="AA118" i="1"/>
  <c r="X118" i="1"/>
  <c r="AB118" i="1"/>
  <c r="AD118" i="1"/>
  <c r="Y118" i="1"/>
  <c r="AB131" i="1"/>
  <c r="Z131" i="1"/>
  <c r="AA131" i="1"/>
  <c r="AD131" i="1"/>
  <c r="AC131" i="1"/>
  <c r="X131" i="1"/>
  <c r="Y131" i="1"/>
  <c r="AD113" i="1"/>
  <c r="Z113" i="1"/>
  <c r="X113" i="1"/>
  <c r="AA113" i="1"/>
  <c r="Y113" i="1"/>
  <c r="AC113" i="1"/>
  <c r="AB113" i="1"/>
  <c r="BE216" i="1"/>
  <c r="BB11" i="1" a="1"/>
  <c r="AT30" i="1" l="1"/>
  <c r="E6" i="1"/>
  <c r="E5" i="1"/>
  <c r="E2" i="1"/>
  <c r="E4" i="1"/>
  <c r="E1" i="1"/>
  <c r="E3" i="1"/>
  <c r="E9" i="1"/>
  <c r="F8" i="1"/>
  <c r="F9" i="1"/>
  <c r="G8" i="1"/>
  <c r="E8" i="1"/>
  <c r="G6" i="1"/>
  <c r="V9" i="1"/>
  <c r="W9" i="1"/>
  <c r="AD9" i="1"/>
  <c r="W8" i="1"/>
  <c r="T8" i="1"/>
  <c r="U8" i="1"/>
  <c r="V8" i="1"/>
  <c r="S8" i="1"/>
  <c r="D9" i="1"/>
  <c r="D8" i="1"/>
  <c r="H21" i="28"/>
  <c r="H30" i="28" s="1"/>
  <c r="AT79" i="1"/>
  <c r="Q8" i="1"/>
  <c r="H8" i="1"/>
  <c r="AT43" i="1"/>
  <c r="AP7" i="1"/>
  <c r="AQ70" i="1"/>
  <c r="AT44" i="1"/>
  <c r="AT82" i="1"/>
  <c r="AT81" i="1"/>
  <c r="AT47" i="1"/>
  <c r="AT76" i="1"/>
  <c r="BB11" i="1"/>
  <c r="AV11" i="1" s="1"/>
  <c r="BB75" i="1"/>
  <c r="AV75" i="1" s="1"/>
  <c r="BB70" i="1"/>
  <c r="AV70" i="1" s="1"/>
  <c r="BB25" i="1"/>
  <c r="AV25" i="1" s="1"/>
  <c r="BB58" i="1"/>
  <c r="AV58" i="1" s="1"/>
  <c r="BB44" i="1"/>
  <c r="AV44" i="1" s="1"/>
  <c r="BB45" i="1"/>
  <c r="AV45" i="1" s="1"/>
  <c r="BB62" i="1"/>
  <c r="AV62" i="1" s="1"/>
  <c r="BB79" i="1"/>
  <c r="AV79" i="1" s="1"/>
  <c r="BB33" i="1"/>
  <c r="AV33" i="1" s="1"/>
  <c r="BB63" i="1"/>
  <c r="AV63" i="1" s="1"/>
  <c r="BB68" i="1"/>
  <c r="AV68" i="1" s="1"/>
  <c r="BB40" i="1"/>
  <c r="AV40" i="1" s="1"/>
  <c r="BB28" i="1"/>
  <c r="AV28" i="1" s="1"/>
  <c r="BB19" i="1"/>
  <c r="AV19" i="1" s="1"/>
  <c r="BB83" i="1"/>
  <c r="AV83" i="1" s="1"/>
  <c r="BB86" i="1"/>
  <c r="AV86" i="1" s="1"/>
  <c r="BB49" i="1"/>
  <c r="AV49" i="1" s="1"/>
  <c r="BB66" i="1"/>
  <c r="AV66" i="1" s="1"/>
  <c r="BB52" i="1"/>
  <c r="AV52" i="1" s="1"/>
  <c r="BB61" i="1"/>
  <c r="AV61" i="1" s="1"/>
  <c r="BB78" i="1"/>
  <c r="AV78" i="1" s="1"/>
  <c r="BB16" i="1"/>
  <c r="AV16" i="1" s="1"/>
  <c r="BB41" i="1"/>
  <c r="AV41" i="1" s="1"/>
  <c r="BB35" i="1"/>
  <c r="AV35" i="1" s="1"/>
  <c r="BB18" i="1"/>
  <c r="AV18" i="1" s="1"/>
  <c r="BB31" i="1"/>
  <c r="AV31" i="1" s="1"/>
  <c r="BB48" i="1"/>
  <c r="AV48" i="1" s="1"/>
  <c r="BB80" i="1"/>
  <c r="AV80" i="1" s="1"/>
  <c r="BB27" i="1"/>
  <c r="AV27" i="1" s="1"/>
  <c r="BB21" i="1"/>
  <c r="AV21" i="1" s="1"/>
  <c r="BB23" i="1"/>
  <c r="AV23" i="1" s="1"/>
  <c r="BB65" i="1"/>
  <c r="AV65" i="1" s="1"/>
  <c r="BB74" i="1"/>
  <c r="AV74" i="1" s="1"/>
  <c r="BB60" i="1"/>
  <c r="AV60" i="1" s="1"/>
  <c r="BB69" i="1"/>
  <c r="AV69" i="1" s="1"/>
  <c r="BB15" i="1"/>
  <c r="AV15" i="1" s="1"/>
  <c r="BB32" i="1"/>
  <c r="AV32" i="1" s="1"/>
  <c r="BB57" i="1"/>
  <c r="AV57" i="1" s="1"/>
  <c r="BB37" i="1"/>
  <c r="AV37" i="1" s="1"/>
  <c r="BB82" i="1"/>
  <c r="AV82" i="1" s="1"/>
  <c r="BB85" i="1"/>
  <c r="AV85" i="1" s="1"/>
  <c r="BB73" i="1"/>
  <c r="AV73" i="1" s="1"/>
  <c r="BB42" i="1"/>
  <c r="AV42" i="1" s="1"/>
  <c r="BB38" i="1"/>
  <c r="AV38" i="1" s="1"/>
  <c r="BB43" i="1"/>
  <c r="AV43" i="1" s="1"/>
  <c r="BB53" i="1"/>
  <c r="AV53" i="1" s="1"/>
  <c r="BB87" i="1"/>
  <c r="AV87" i="1" s="1"/>
  <c r="BB26" i="1"/>
  <c r="AV26" i="1" s="1"/>
  <c r="BB12" i="1"/>
  <c r="AV12" i="1" s="1"/>
  <c r="BB76" i="1"/>
  <c r="AV76" i="1" s="1"/>
  <c r="BB14" i="1"/>
  <c r="AV14" i="1" s="1"/>
  <c r="BB39" i="1"/>
  <c r="AV39" i="1" s="1"/>
  <c r="BB56" i="1"/>
  <c r="AV56" i="1" s="1"/>
  <c r="BB81" i="1"/>
  <c r="AV81" i="1" s="1"/>
  <c r="BB51" i="1"/>
  <c r="AV51" i="1" s="1"/>
  <c r="BB77" i="1"/>
  <c r="AV77" i="1" s="1"/>
  <c r="BB24" i="1"/>
  <c r="AV24" i="1" s="1"/>
  <c r="BB34" i="1"/>
  <c r="AV34" i="1" s="1"/>
  <c r="BB20" i="1"/>
  <c r="AV20" i="1" s="1"/>
  <c r="BB84" i="1"/>
  <c r="AV84" i="1" s="1"/>
  <c r="BB30" i="1"/>
  <c r="AV30" i="1" s="1"/>
  <c r="BB47" i="1"/>
  <c r="AV47" i="1" s="1"/>
  <c r="BB72" i="1"/>
  <c r="AV72" i="1" s="1"/>
  <c r="BB22" i="1"/>
  <c r="AV22" i="1" s="1"/>
  <c r="BB55" i="1"/>
  <c r="AV55" i="1" s="1"/>
  <c r="BB67" i="1"/>
  <c r="AV67" i="1" s="1"/>
  <c r="BB46" i="1"/>
  <c r="AV46" i="1" s="1"/>
  <c r="BB64" i="1"/>
  <c r="AV64" i="1" s="1"/>
  <c r="BB50" i="1"/>
  <c r="AV50" i="1" s="1"/>
  <c r="BB36" i="1"/>
  <c r="AV36" i="1" s="1"/>
  <c r="BB29" i="1"/>
  <c r="AV29" i="1" s="1"/>
  <c r="BB54" i="1"/>
  <c r="AV54" i="1" s="1"/>
  <c r="BB71" i="1"/>
  <c r="AV71" i="1" s="1"/>
  <c r="BB17" i="1"/>
  <c r="AV17" i="1" s="1"/>
  <c r="BB59" i="1"/>
  <c r="AV59" i="1" s="1"/>
  <c r="BB13" i="1"/>
  <c r="AV13" i="1" s="1"/>
  <c r="AT46" i="1"/>
  <c r="AT107" i="1"/>
  <c r="AT75" i="1"/>
  <c r="AT86" i="1"/>
  <c r="AT27" i="1"/>
  <c r="N2" i="28"/>
  <c r="K2" i="28"/>
  <c r="P2" i="28"/>
  <c r="Y2" i="28"/>
  <c r="S2" i="28"/>
  <c r="W2" i="28"/>
  <c r="V2" i="28"/>
  <c r="X2" i="28"/>
  <c r="T2" i="28"/>
  <c r="O2" i="28"/>
  <c r="L2" i="28"/>
  <c r="Q2" i="28"/>
  <c r="M2" i="28"/>
  <c r="U2" i="28"/>
  <c r="AT28" i="1"/>
  <c r="AB2" i="28"/>
  <c r="AG2" i="28"/>
  <c r="AC2" i="28"/>
  <c r="AD2" i="28"/>
  <c r="AE2" i="28"/>
  <c r="AF2" i="28"/>
  <c r="AA2" i="28"/>
  <c r="AT98" i="1"/>
  <c r="AT97" i="1"/>
  <c r="AT96" i="1"/>
  <c r="AT99" i="1"/>
  <c r="AT94" i="1"/>
  <c r="AT126" i="1"/>
  <c r="AT100" i="1"/>
  <c r="AT108" i="1"/>
  <c r="AT102" i="1"/>
  <c r="AT128" i="1"/>
  <c r="AT125" i="1"/>
  <c r="AT101" i="1"/>
  <c r="AT117" i="1"/>
  <c r="AT93" i="1"/>
  <c r="AT113" i="1"/>
  <c r="AT111" i="1"/>
  <c r="AT110" i="1"/>
  <c r="AT127" i="1"/>
  <c r="AT129" i="1"/>
  <c r="AT123" i="1"/>
  <c r="AT133" i="1"/>
  <c r="AT118" i="1"/>
  <c r="AT131" i="1"/>
  <c r="AT106" i="1"/>
  <c r="AT116" i="1"/>
  <c r="AT115" i="1"/>
  <c r="AT77" i="1"/>
  <c r="AT78" i="1"/>
  <c r="AT19" i="1"/>
  <c r="AT80" i="1"/>
  <c r="AT20" i="1"/>
  <c r="AT83" i="1"/>
  <c r="AT23" i="1"/>
  <c r="AT24" i="1"/>
  <c r="AT87" i="1"/>
  <c r="AT31" i="1"/>
  <c r="AT16" i="1"/>
  <c r="AT14" i="1"/>
  <c r="AT12" i="1"/>
  <c r="AT60" i="1"/>
  <c r="AT119" i="1"/>
  <c r="AT69" i="1"/>
  <c r="AT55" i="1"/>
  <c r="AT103" i="1"/>
  <c r="AT66" i="1"/>
  <c r="AT112" i="1"/>
  <c r="AT70" i="1"/>
  <c r="AT67" i="1"/>
  <c r="AT61" i="1"/>
  <c r="AT124" i="1"/>
  <c r="AT65" i="1"/>
  <c r="AT56" i="1"/>
  <c r="AT57" i="1"/>
  <c r="AT72" i="1"/>
  <c r="AT105" i="1"/>
  <c r="AT64" i="1"/>
  <c r="AT121" i="1"/>
  <c r="AT59" i="1"/>
  <c r="AT114" i="1"/>
  <c r="AT62" i="1"/>
  <c r="AT63" i="1"/>
  <c r="AT71" i="1"/>
  <c r="AT104" i="1"/>
  <c r="AT68" i="1"/>
  <c r="AT54" i="1"/>
  <c r="AT73" i="1"/>
  <c r="AT58" i="1"/>
  <c r="AT74" i="1"/>
  <c r="AT52" i="1"/>
  <c r="AT48" i="1"/>
  <c r="AT51" i="1"/>
  <c r="AT45" i="1"/>
  <c r="AT122" i="1"/>
  <c r="AP122" i="1"/>
  <c r="AT49" i="1"/>
  <c r="AT132" i="1"/>
  <c r="AP132" i="1"/>
  <c r="AT134" i="1"/>
  <c r="AP134" i="1"/>
  <c r="AR135" i="1" s="1"/>
  <c r="AQ135" i="1"/>
  <c r="AT53" i="1"/>
  <c r="AT109" i="1"/>
  <c r="AP109" i="1"/>
  <c r="AT39" i="1"/>
  <c r="AT41" i="1"/>
  <c r="AT42" i="1"/>
  <c r="AT38" i="1"/>
  <c r="AT50" i="1"/>
  <c r="AT95" i="1"/>
  <c r="AP95" i="1"/>
  <c r="AP11" i="1"/>
  <c r="AT11" i="1"/>
  <c r="AP107" i="1"/>
  <c r="AQ107" i="1"/>
  <c r="AP47" i="1"/>
  <c r="AQ47" i="1"/>
  <c r="AP82" i="1"/>
  <c r="AQ82" i="1"/>
  <c r="AP60" i="1"/>
  <c r="AQ60" i="1"/>
  <c r="AP76" i="1"/>
  <c r="AQ76" i="1"/>
  <c r="AP127" i="1"/>
  <c r="AQ127" i="1"/>
  <c r="AP28" i="1"/>
  <c r="AQ28" i="1"/>
  <c r="AP51" i="1"/>
  <c r="AQ51" i="1"/>
  <c r="AP86" i="1"/>
  <c r="AQ86" i="1"/>
  <c r="AP104" i="1"/>
  <c r="AQ104" i="1"/>
  <c r="AP50" i="1"/>
  <c r="AQ50" i="1"/>
  <c r="AP69" i="1"/>
  <c r="AQ69" i="1"/>
  <c r="AP19" i="1"/>
  <c r="AQ19" i="1"/>
  <c r="AP17" i="1"/>
  <c r="AQ17" i="1"/>
  <c r="AP111" i="1"/>
  <c r="AQ111" i="1"/>
  <c r="AP55" i="1"/>
  <c r="AQ55" i="1"/>
  <c r="AP49" i="1"/>
  <c r="AQ49" i="1"/>
  <c r="AP73" i="1"/>
  <c r="AQ73" i="1"/>
  <c r="AP91" i="1"/>
  <c r="AQ91" i="1"/>
  <c r="AP101" i="1"/>
  <c r="AQ101" i="1"/>
  <c r="AP58" i="1"/>
  <c r="AQ58" i="1"/>
  <c r="AP14" i="1"/>
  <c r="AQ14" i="1"/>
  <c r="AP93" i="1"/>
  <c r="AQ93" i="1"/>
  <c r="AP105" i="1"/>
  <c r="AQ105" i="1"/>
  <c r="AP46" i="1"/>
  <c r="AQ46" i="1"/>
  <c r="AP85" i="1"/>
  <c r="AQ85" i="1"/>
  <c r="AP133" i="1"/>
  <c r="AQ133" i="1"/>
  <c r="AQ134" i="1"/>
  <c r="AP110" i="1"/>
  <c r="AQ110" i="1"/>
  <c r="AP119" i="1"/>
  <c r="AQ119" i="1"/>
  <c r="AP114" i="1"/>
  <c r="AQ114" i="1"/>
  <c r="AP103" i="1"/>
  <c r="AQ103" i="1"/>
  <c r="AP90" i="1"/>
  <c r="AQ90" i="1"/>
  <c r="AP92" i="1"/>
  <c r="AQ92" i="1"/>
  <c r="AP45" i="1"/>
  <c r="AQ45" i="1"/>
  <c r="AP71" i="1"/>
  <c r="AQ71" i="1"/>
  <c r="AQ132" i="1"/>
  <c r="AP31" i="1"/>
  <c r="AQ31" i="1"/>
  <c r="AP25" i="1"/>
  <c r="AQ25" i="1"/>
  <c r="AP22" i="1"/>
  <c r="AQ22" i="1"/>
  <c r="AP130" i="1"/>
  <c r="AQ130" i="1"/>
  <c r="AP18" i="1"/>
  <c r="AQ18" i="1"/>
  <c r="AP27" i="1"/>
  <c r="AQ27" i="1"/>
  <c r="AP21" i="1"/>
  <c r="AQ21" i="1"/>
  <c r="AP102" i="1"/>
  <c r="AQ102" i="1"/>
  <c r="AP106" i="1"/>
  <c r="AQ106" i="1"/>
  <c r="AP23" i="1"/>
  <c r="AQ23" i="1"/>
  <c r="AP20" i="1"/>
  <c r="AQ20" i="1"/>
  <c r="AP75" i="1"/>
  <c r="AQ75" i="1"/>
  <c r="AP74" i="1"/>
  <c r="AQ74" i="1"/>
  <c r="AP113" i="1"/>
  <c r="AQ113" i="1"/>
  <c r="AP66" i="1"/>
  <c r="AQ66" i="1"/>
  <c r="AP125" i="1"/>
  <c r="AQ125" i="1"/>
  <c r="AP100" i="1"/>
  <c r="AQ100" i="1"/>
  <c r="AP81" i="1"/>
  <c r="AQ81" i="1"/>
  <c r="AP26" i="1"/>
  <c r="AQ26" i="1"/>
  <c r="AP112" i="1"/>
  <c r="AQ112" i="1"/>
  <c r="AP53" i="1"/>
  <c r="AQ53" i="1"/>
  <c r="AP48" i="1"/>
  <c r="AQ48" i="1"/>
  <c r="AP78" i="1"/>
  <c r="AQ78" i="1"/>
  <c r="AP126" i="1"/>
  <c r="AQ126" i="1"/>
  <c r="AP15" i="1"/>
  <c r="AQ15" i="1"/>
  <c r="AP42" i="1"/>
  <c r="AQ42" i="1"/>
  <c r="AP79" i="1"/>
  <c r="AQ79" i="1"/>
  <c r="AP33" i="1"/>
  <c r="AQ33" i="1"/>
  <c r="AP13" i="1"/>
  <c r="AQ13" i="1"/>
  <c r="AP56" i="1"/>
  <c r="AQ56" i="1"/>
  <c r="AP39" i="1"/>
  <c r="AQ39" i="1"/>
  <c r="AP32" i="1"/>
  <c r="AQ32" i="1"/>
  <c r="AP57" i="1"/>
  <c r="AQ57" i="1"/>
  <c r="AP124" i="1"/>
  <c r="AQ124" i="1"/>
  <c r="AP99" i="1"/>
  <c r="AQ99" i="1"/>
  <c r="AP120" i="1"/>
  <c r="AQ120" i="1"/>
  <c r="AP54" i="1"/>
  <c r="AQ54" i="1"/>
  <c r="AP128" i="1"/>
  <c r="AQ128" i="1"/>
  <c r="AP98" i="1"/>
  <c r="AQ98" i="1"/>
  <c r="AP72" i="1"/>
  <c r="AQ72" i="1"/>
  <c r="AP29" i="1"/>
  <c r="AQ29" i="1"/>
  <c r="AP118" i="1"/>
  <c r="AQ118" i="1"/>
  <c r="AP67" i="1"/>
  <c r="AQ67" i="1"/>
  <c r="AP43" i="1"/>
  <c r="AQ43" i="1"/>
  <c r="AP83" i="1"/>
  <c r="AQ83" i="1"/>
  <c r="AP108" i="1"/>
  <c r="AQ109" i="1"/>
  <c r="AQ108" i="1"/>
  <c r="AP52" i="1"/>
  <c r="AQ52" i="1"/>
  <c r="AP88" i="1"/>
  <c r="AQ88" i="1"/>
  <c r="AP121" i="1"/>
  <c r="AQ121" i="1"/>
  <c r="AQ122" i="1"/>
  <c r="AP62" i="1"/>
  <c r="AQ62" i="1"/>
  <c r="AP16" i="1"/>
  <c r="AQ16" i="1"/>
  <c r="AP116" i="1"/>
  <c r="AQ116" i="1"/>
  <c r="AP94" i="1"/>
  <c r="AQ94" i="1"/>
  <c r="AQ95" i="1"/>
  <c r="AP64" i="1"/>
  <c r="AQ64" i="1"/>
  <c r="AP89" i="1"/>
  <c r="AQ89" i="1"/>
  <c r="AP37" i="1"/>
  <c r="AQ37" i="1"/>
  <c r="AP65" i="1"/>
  <c r="AQ65" i="1"/>
  <c r="AP35" i="1"/>
  <c r="AQ35" i="1"/>
  <c r="AP38" i="1"/>
  <c r="AQ38" i="1"/>
  <c r="AP30" i="1"/>
  <c r="AQ30" i="1"/>
  <c r="AP34" i="1"/>
  <c r="AQ34" i="1"/>
  <c r="AP70" i="1"/>
  <c r="AP87" i="1"/>
  <c r="AQ87" i="1"/>
  <c r="AP63" i="1"/>
  <c r="AQ63" i="1"/>
  <c r="AP36" i="1"/>
  <c r="AQ36" i="1"/>
  <c r="AP61" i="1"/>
  <c r="AQ61" i="1"/>
  <c r="AP123" i="1"/>
  <c r="AQ123" i="1"/>
  <c r="AP44" i="1"/>
  <c r="AQ44" i="1"/>
  <c r="AP129" i="1"/>
  <c r="AQ129" i="1"/>
  <c r="AP97" i="1"/>
  <c r="AQ97" i="1"/>
  <c r="AP24" i="1"/>
  <c r="AQ24" i="1"/>
  <c r="AP117" i="1"/>
  <c r="AQ117" i="1"/>
  <c r="AP40" i="1"/>
  <c r="AQ40" i="1"/>
  <c r="AP41" i="1"/>
  <c r="AQ41" i="1"/>
  <c r="AP59" i="1"/>
  <c r="AQ59" i="1"/>
  <c r="AP80" i="1"/>
  <c r="AQ80" i="1"/>
  <c r="AP96" i="1"/>
  <c r="AQ96" i="1"/>
  <c r="AP77" i="1"/>
  <c r="AQ77" i="1"/>
  <c r="AP115" i="1"/>
  <c r="AQ115" i="1"/>
  <c r="AP68" i="1"/>
  <c r="AQ68" i="1"/>
  <c r="AP84" i="1"/>
  <c r="AQ84" i="1"/>
  <c r="AP12" i="1"/>
  <c r="AQ12" i="1"/>
  <c r="AP5" i="1"/>
  <c r="AP6" i="1"/>
  <c r="BE217" i="1"/>
  <c r="H27" i="28" l="1"/>
  <c r="H32" i="28"/>
  <c r="H40" i="28"/>
  <c r="H24" i="28"/>
  <c r="H44" i="28"/>
  <c r="H29" i="28"/>
  <c r="H26" i="28"/>
  <c r="H34" i="28"/>
  <c r="H41" i="28"/>
  <c r="H43" i="28"/>
  <c r="H42" i="28"/>
  <c r="H47" i="28"/>
  <c r="H36" i="28"/>
  <c r="H28" i="28"/>
  <c r="H23" i="28"/>
  <c r="H25" i="28"/>
  <c r="H31" i="28"/>
  <c r="H33" i="28"/>
  <c r="H38" i="28"/>
  <c r="H39" i="28"/>
  <c r="H37" i="28"/>
  <c r="H35" i="28"/>
  <c r="H46" i="28"/>
  <c r="H45" i="28"/>
  <c r="B4" i="40"/>
  <c r="G5" i="1"/>
  <c r="G4" i="1"/>
  <c r="G3" i="1"/>
  <c r="G2" i="1"/>
  <c r="G1" i="1"/>
  <c r="F6" i="1"/>
  <c r="F5" i="1"/>
  <c r="F4" i="1"/>
  <c r="F2" i="1"/>
  <c r="F3" i="1"/>
  <c r="C10" i="40"/>
  <c r="B9" i="40"/>
  <c r="C9" i="40"/>
  <c r="AR96" i="1"/>
  <c r="AR12" i="1"/>
  <c r="AR61" i="1"/>
  <c r="AR70" i="1"/>
  <c r="AR52" i="1"/>
  <c r="AR110" i="1"/>
  <c r="K11" i="28"/>
  <c r="E10" i="40"/>
  <c r="E9" i="40"/>
  <c r="E8" i="40"/>
  <c r="E7" i="40"/>
  <c r="E5" i="40"/>
  <c r="E6" i="40"/>
  <c r="E4" i="40"/>
  <c r="D9" i="40"/>
  <c r="D10" i="40"/>
  <c r="D8" i="40"/>
  <c r="D6" i="40"/>
  <c r="D7" i="40"/>
  <c r="D4" i="40"/>
  <c r="D5" i="40"/>
  <c r="C8" i="40"/>
  <c r="C7" i="40"/>
  <c r="C5" i="40"/>
  <c r="C6" i="40"/>
  <c r="C4" i="40"/>
  <c r="B5" i="40"/>
  <c r="B10" i="40"/>
  <c r="B7" i="40"/>
  <c r="B8" i="40"/>
  <c r="B6" i="40"/>
  <c r="K10" i="28"/>
  <c r="AR67" i="1"/>
  <c r="AR123" i="1"/>
  <c r="AR59" i="1"/>
  <c r="AR87" i="1"/>
  <c r="AR126" i="1"/>
  <c r="AR129" i="1"/>
  <c r="AR74" i="1"/>
  <c r="AR15" i="1"/>
  <c r="AR117" i="1"/>
  <c r="AR30" i="1"/>
  <c r="AR44" i="1"/>
  <c r="AR54" i="1"/>
  <c r="AR116" i="1"/>
  <c r="AR73" i="1"/>
  <c r="AR17" i="1"/>
  <c r="AR127" i="1"/>
  <c r="AR47" i="1"/>
  <c r="AR18" i="1"/>
  <c r="AR77" i="1"/>
  <c r="AR20" i="1"/>
  <c r="AR84" i="1"/>
  <c r="AR34" i="1"/>
  <c r="AR103" i="1"/>
  <c r="AR89" i="1"/>
  <c r="AR118" i="1"/>
  <c r="AR128" i="1"/>
  <c r="AR124" i="1"/>
  <c r="AR48" i="1"/>
  <c r="AR81" i="1"/>
  <c r="AR113" i="1"/>
  <c r="AR25" i="1"/>
  <c r="AR93" i="1"/>
  <c r="AR50" i="1"/>
  <c r="AR41" i="1"/>
  <c r="AR97" i="1"/>
  <c r="AR35" i="1"/>
  <c r="AR64" i="1"/>
  <c r="AR90" i="1"/>
  <c r="AR39" i="1"/>
  <c r="AR26" i="1"/>
  <c r="AR66" i="1"/>
  <c r="AR105" i="1"/>
  <c r="AR101" i="1"/>
  <c r="AR55" i="1"/>
  <c r="AR69" i="1"/>
  <c r="AR51" i="1"/>
  <c r="AR60" i="1"/>
  <c r="AR78" i="1"/>
  <c r="AR79" i="1"/>
  <c r="AR63" i="1"/>
  <c r="AR40" i="1"/>
  <c r="AR36" i="1"/>
  <c r="AR56" i="1"/>
  <c r="AR23" i="1"/>
  <c r="AR80" i="1"/>
  <c r="AR45" i="1"/>
  <c r="AR29" i="1"/>
  <c r="AR13" i="1"/>
  <c r="AR14" i="1"/>
  <c r="AR104" i="1"/>
  <c r="AR132" i="1"/>
  <c r="AR99" i="1"/>
  <c r="AR22" i="1"/>
  <c r="AR94" i="1"/>
  <c r="AR95" i="1"/>
  <c r="AR109" i="1"/>
  <c r="AR108" i="1"/>
  <c r="AR133" i="1"/>
  <c r="AR134" i="1"/>
  <c r="AR91" i="1"/>
  <c r="AR82" i="1"/>
  <c r="AR68" i="1"/>
  <c r="AR114" i="1"/>
  <c r="AR83" i="1"/>
  <c r="AR57" i="1"/>
  <c r="AR53" i="1"/>
  <c r="AR38" i="1"/>
  <c r="AR88" i="1"/>
  <c r="AR92" i="1"/>
  <c r="AR119" i="1"/>
  <c r="AR62" i="1"/>
  <c r="AR98" i="1"/>
  <c r="AR21" i="1"/>
  <c r="AR65" i="1"/>
  <c r="AR71" i="1"/>
  <c r="AR42" i="1"/>
  <c r="AR27" i="1"/>
  <c r="AR111" i="1"/>
  <c r="AR28" i="1"/>
  <c r="AR37" i="1"/>
  <c r="AR121" i="1"/>
  <c r="AR122" i="1"/>
  <c r="AR100" i="1"/>
  <c r="AR106" i="1"/>
  <c r="AR31" i="1"/>
  <c r="AR85" i="1"/>
  <c r="AR115" i="1"/>
  <c r="AR24" i="1"/>
  <c r="AR16" i="1"/>
  <c r="AR43" i="1"/>
  <c r="AR72" i="1"/>
  <c r="AR120" i="1"/>
  <c r="AR32" i="1"/>
  <c r="AR33" i="1"/>
  <c r="AR112" i="1"/>
  <c r="AR125" i="1"/>
  <c r="AR75" i="1"/>
  <c r="AR102" i="1"/>
  <c r="AR130" i="1"/>
  <c r="AR46" i="1"/>
  <c r="AR58" i="1"/>
  <c r="AR49" i="1"/>
  <c r="AR19" i="1"/>
  <c r="AR86" i="1"/>
  <c r="AR76" i="1"/>
  <c r="AR107" i="1"/>
  <c r="AQ6" i="1"/>
  <c r="V6" i="1"/>
  <c r="Q6" i="1"/>
  <c r="S5" i="1"/>
  <c r="Q2" i="1"/>
  <c r="T1" i="1"/>
  <c r="Q1" i="1"/>
  <c r="S6" i="1"/>
  <c r="H3" i="1"/>
  <c r="U6" i="1"/>
  <c r="W2" i="1"/>
  <c r="T2" i="1"/>
  <c r="T4" i="1"/>
  <c r="W3" i="1"/>
  <c r="H4" i="1"/>
  <c r="F1" i="1"/>
  <c r="Q5" i="1"/>
  <c r="T6" i="1"/>
  <c r="S1" i="1"/>
  <c r="U5" i="1"/>
  <c r="V2" i="1"/>
  <c r="W1" i="1"/>
  <c r="W4" i="1"/>
  <c r="S4" i="1"/>
  <c r="H6" i="1"/>
  <c r="U1" i="1"/>
  <c r="Q4" i="1"/>
  <c r="V5" i="1"/>
  <c r="U2" i="1"/>
  <c r="Q3" i="1"/>
  <c r="W6" i="1"/>
  <c r="T3" i="1"/>
  <c r="H1" i="1"/>
  <c r="S3" i="1"/>
  <c r="W5" i="1"/>
  <c r="T5" i="1"/>
  <c r="S2" i="1"/>
  <c r="H2" i="1"/>
  <c r="H5" i="1"/>
  <c r="V1" i="1"/>
  <c r="BE218" i="1"/>
  <c r="BE219" i="1"/>
  <c r="G20" i="28" l="1"/>
  <c r="BE220" i="1"/>
  <c r="BE221" i="1"/>
  <c r="BE222" i="1" s="1"/>
  <c r="BE223" i="1"/>
  <c r="BE224" i="1"/>
  <c r="BE225" i="1"/>
  <c r="BE226" i="1" l="1"/>
  <c r="BE227" i="1" l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355" i="1" l="1"/>
  <c r="BF442" i="1"/>
  <c r="BF352" i="1"/>
  <c r="BF295" i="1"/>
  <c r="BF545" i="1"/>
  <c r="BF121" i="1"/>
  <c r="BF279" i="1"/>
  <c r="BF599" i="1"/>
  <c r="BF174" i="1"/>
  <c r="BF72" i="1"/>
  <c r="BF34" i="1"/>
  <c r="BF178" i="1"/>
  <c r="BF15" i="1"/>
  <c r="BF65" i="1"/>
  <c r="BF369" i="1"/>
  <c r="BF304" i="1"/>
  <c r="BF170" i="1"/>
  <c r="BF490" i="1"/>
  <c r="BF344" i="1"/>
  <c r="BF188" i="1"/>
  <c r="BF83" i="1"/>
  <c r="BF406" i="1"/>
  <c r="BF259" i="1"/>
  <c r="BF372" i="1"/>
  <c r="BF115" i="1"/>
  <c r="BF566" i="1"/>
  <c r="BF247" i="1"/>
  <c r="BF399" i="1"/>
  <c r="BF228" i="1"/>
  <c r="BF296" i="1"/>
  <c r="BF60" i="1"/>
  <c r="BF408" i="1"/>
  <c r="BF78" i="1"/>
  <c r="BF350" i="1"/>
  <c r="BF128" i="1"/>
  <c r="BF81" i="1"/>
  <c r="BF402" i="1"/>
  <c r="BF461" i="1"/>
  <c r="BF528" i="1"/>
  <c r="BF518" i="1"/>
  <c r="BF594" i="1"/>
  <c r="BF30" i="1"/>
  <c r="BF413" i="1"/>
  <c r="BF593" i="1"/>
  <c r="BF576" i="1"/>
  <c r="BF354" i="1"/>
  <c r="BF443" i="1"/>
  <c r="BF302" i="1"/>
  <c r="BF438" i="1"/>
  <c r="BF206" i="1"/>
  <c r="BF171" i="1"/>
  <c r="BF267" i="1"/>
  <c r="BF445" i="1"/>
  <c r="BF16" i="1"/>
  <c r="BF48" i="1"/>
  <c r="BF291" i="1"/>
  <c r="BF124" i="1"/>
  <c r="BF93" i="1"/>
  <c r="BF553" i="1"/>
  <c r="BF597" i="1"/>
  <c r="BF560" i="1"/>
  <c r="BF18" i="1"/>
  <c r="BF104" i="1"/>
  <c r="BF591" i="1"/>
  <c r="BF205" i="1"/>
  <c r="BF249" i="1"/>
  <c r="BF379" i="1"/>
  <c r="BF289" i="1"/>
  <c r="BF160" i="1"/>
  <c r="BF19" i="1"/>
  <c r="BF320" i="1"/>
  <c r="BF329" i="1"/>
  <c r="BF463" i="1"/>
  <c r="BF551" i="1"/>
  <c r="BF409" i="1"/>
  <c r="BF264" i="1"/>
  <c r="BF398" i="1"/>
  <c r="BF548" i="1"/>
  <c r="BF430" i="1"/>
  <c r="BF322" i="1"/>
  <c r="BF415" i="1"/>
  <c r="BF391" i="1"/>
  <c r="BF482" i="1"/>
  <c r="BF529" i="1"/>
  <c r="BF305" i="1"/>
  <c r="BF592" i="1"/>
  <c r="BF243" i="1"/>
  <c r="BF117" i="1"/>
  <c r="BF367" i="1"/>
  <c r="BF220" i="1"/>
  <c r="BF526" i="1"/>
  <c r="BF368" i="1"/>
  <c r="BF28" i="1"/>
  <c r="BF314" i="1"/>
  <c r="BF40" i="1"/>
  <c r="BF149" i="1"/>
  <c r="BF167" i="1"/>
  <c r="BF569" i="1"/>
  <c r="BF328" i="1"/>
  <c r="BF39" i="1"/>
  <c r="BF189" i="1"/>
  <c r="BF127" i="1"/>
  <c r="BF199" i="1"/>
  <c r="BF52" i="1"/>
  <c r="BF472" i="1"/>
  <c r="BF276" i="1"/>
  <c r="BF263" i="1"/>
  <c r="BF204" i="1"/>
  <c r="BF154" i="1"/>
  <c r="BF361" i="1"/>
  <c r="BF589" i="1"/>
  <c r="BF156" i="1"/>
  <c r="BF182" i="1"/>
  <c r="BF311" i="1"/>
  <c r="BF493" i="1"/>
  <c r="BF14" i="1"/>
  <c r="BF478" i="1"/>
  <c r="BF103" i="1"/>
  <c r="BF521" i="1"/>
  <c r="BF163" i="1"/>
  <c r="BF410" i="1"/>
  <c r="BF492" i="1"/>
  <c r="BF382" i="1"/>
  <c r="BF447" i="1"/>
  <c r="BF596" i="1"/>
  <c r="BF394" i="1"/>
  <c r="BF433" i="1"/>
  <c r="BF201" i="1"/>
  <c r="BF421" i="1"/>
  <c r="BF58" i="1"/>
  <c r="BF562" i="1"/>
  <c r="BF507" i="1"/>
  <c r="BF75" i="1"/>
  <c r="BF202" i="1"/>
  <c r="BF477" i="1"/>
  <c r="BF544" i="1"/>
  <c r="BF32" i="1"/>
  <c r="BF356" i="1"/>
  <c r="BF323" i="1"/>
  <c r="BF565" i="1"/>
  <c r="BF301" i="1"/>
  <c r="BF395" i="1"/>
  <c r="BF419" i="1"/>
  <c r="BF575" i="1"/>
  <c r="BF585" i="1"/>
  <c r="BF373" i="1"/>
  <c r="BF252" i="1"/>
  <c r="BF312" i="1"/>
  <c r="BF47" i="1"/>
  <c r="BF248" i="1"/>
  <c r="BF426" i="1"/>
  <c r="BF362" i="1"/>
  <c r="BF499" i="1"/>
  <c r="BF330" i="1"/>
  <c r="BF579" i="1"/>
  <c r="BF549" i="1"/>
  <c r="BF209" i="1"/>
  <c r="BF418" i="1"/>
  <c r="BF63" i="1"/>
  <c r="BF94" i="1"/>
  <c r="BF458" i="1"/>
  <c r="BF587" i="1"/>
  <c r="BF424" i="1"/>
  <c r="BF231" i="1"/>
  <c r="BF598" i="1"/>
  <c r="BF358" i="1"/>
  <c r="BF404" i="1"/>
  <c r="BF152" i="1"/>
  <c r="BF288" i="1"/>
  <c r="BF261" i="1"/>
  <c r="BF396" i="1"/>
  <c r="BF321" i="1"/>
  <c r="BF465" i="1"/>
  <c r="BF184" i="1"/>
  <c r="BF53" i="1"/>
  <c r="BF236" i="1"/>
  <c r="BF214" i="1"/>
  <c r="BF505" i="1"/>
  <c r="BF229" i="1"/>
  <c r="BF441" i="1"/>
  <c r="BF245" i="1"/>
  <c r="BF515" i="1"/>
  <c r="BF306" i="1"/>
  <c r="BF180" i="1"/>
  <c r="BF381" i="1"/>
  <c r="BF307" i="1"/>
  <c r="BF96" i="1"/>
  <c r="BF326" i="1"/>
  <c r="BF523" i="1"/>
  <c r="BF297" i="1"/>
  <c r="BF532" i="1"/>
  <c r="BF446" i="1"/>
  <c r="BF542" i="1"/>
  <c r="BF238" i="1"/>
  <c r="BF242" i="1"/>
  <c r="BF255" i="1"/>
  <c r="BF148" i="1"/>
  <c r="BF334" i="1"/>
  <c r="BF559" i="1"/>
  <c r="BF436" i="1"/>
  <c r="BF561" i="1"/>
  <c r="BF570" i="1"/>
  <c r="BF23" i="1"/>
  <c r="BF67" i="1"/>
  <c r="BF253" i="1"/>
  <c r="BF450" i="1"/>
  <c r="BF469" i="1"/>
  <c r="BF13" i="1"/>
  <c r="BF416" i="1"/>
  <c r="BF531" i="1"/>
  <c r="BF317" i="1"/>
  <c r="BF298" i="1"/>
  <c r="BF192" i="1"/>
  <c r="BF69" i="1"/>
  <c r="BF386" i="1"/>
  <c r="BF516" i="1"/>
  <c r="BF265" i="1"/>
  <c r="BF134" i="1"/>
  <c r="BF130" i="1"/>
  <c r="BF537" i="1"/>
  <c r="BF346" i="1"/>
  <c r="BF219" i="1"/>
  <c r="BF227" i="1"/>
  <c r="BF432" i="1"/>
  <c r="BF331" i="1"/>
  <c r="BF522" i="1"/>
  <c r="BF407" i="1"/>
  <c r="BF508" i="1"/>
  <c r="BF207" i="1"/>
  <c r="BF583" i="1"/>
  <c r="BF215" i="1"/>
  <c r="BF420" i="1"/>
  <c r="BF84" i="1"/>
  <c r="BF166" i="1"/>
  <c r="BF31" i="1"/>
  <c r="BF45" i="1"/>
  <c r="BF342" i="1"/>
  <c r="BF309" i="1"/>
  <c r="BF347" i="1"/>
  <c r="BF144" i="1"/>
  <c r="BF319" i="1"/>
  <c r="BF20" i="1"/>
  <c r="BF525" i="1"/>
  <c r="BF467" i="1"/>
  <c r="BF374" i="1"/>
  <c r="BF125" i="1"/>
  <c r="BF164" i="1"/>
  <c r="BF239" i="1"/>
  <c r="BF471" i="1"/>
  <c r="BF237" i="1"/>
  <c r="BF200" i="1"/>
  <c r="BF434" i="1"/>
  <c r="BF400" i="1"/>
  <c r="BF474" i="1"/>
  <c r="BF269" i="1"/>
  <c r="BF109" i="1"/>
  <c r="BF114" i="1"/>
  <c r="BF194" i="1"/>
  <c r="BF485" i="1"/>
  <c r="BF555" i="1"/>
  <c r="BF359" i="1"/>
  <c r="BF502" i="1"/>
  <c r="BF363" i="1"/>
  <c r="BF197" i="1"/>
  <c r="BF280" i="1"/>
  <c r="BF270" i="1"/>
  <c r="BF388" i="1"/>
  <c r="BF506" i="1"/>
  <c r="BF175" i="1"/>
  <c r="BF582" i="1"/>
  <c r="BF186" i="1"/>
  <c r="BF12" i="1"/>
  <c r="BF491" i="1"/>
  <c r="BF550" i="1"/>
  <c r="BF233" i="1"/>
  <c r="BF91" i="1"/>
  <c r="BF466" i="1"/>
  <c r="BF22" i="1"/>
  <c r="BF498" i="1"/>
  <c r="BF310" i="1"/>
  <c r="BF42" i="1"/>
  <c r="BF504" i="1"/>
  <c r="BF97" i="1"/>
  <c r="BF59" i="1"/>
  <c r="BF453" i="1"/>
  <c r="BF564" i="1"/>
  <c r="BF452" i="1"/>
  <c r="BF385" i="1"/>
  <c r="BF581" i="1"/>
  <c r="BF324" i="1"/>
  <c r="BF417" i="1"/>
  <c r="BF451" i="1"/>
  <c r="BF283" i="1"/>
  <c r="BF568" i="1"/>
  <c r="BF161" i="1"/>
  <c r="BF143" i="1"/>
  <c r="BF142" i="1"/>
  <c r="BF193" i="1"/>
  <c r="BF51" i="1"/>
  <c r="BF213" i="1"/>
  <c r="BF285" i="1"/>
  <c r="BF392" i="1"/>
  <c r="BF547" i="1"/>
  <c r="BF99" i="1"/>
  <c r="BF514" i="1"/>
  <c r="BF380" i="1"/>
  <c r="BF162" i="1"/>
  <c r="BF79" i="1"/>
  <c r="BF340" i="1"/>
  <c r="BF327" i="1"/>
  <c r="BF211" i="1"/>
  <c r="BF510" i="1"/>
  <c r="BF494" i="1"/>
  <c r="BF437" i="1"/>
  <c r="BF300" i="1"/>
  <c r="BF87" i="1"/>
  <c r="BF240" i="1"/>
  <c r="BF530" i="1"/>
  <c r="BF190" i="1"/>
  <c r="BF68" i="1"/>
  <c r="BF268" i="1"/>
  <c r="BF218" i="1"/>
  <c r="BF100" i="1"/>
  <c r="BF554" i="1"/>
  <c r="BF146" i="1"/>
  <c r="BF580" i="1"/>
  <c r="BF132" i="1"/>
  <c r="BF411" i="1"/>
  <c r="BF455" i="1"/>
  <c r="BF126" i="1"/>
  <c r="BF155" i="1"/>
  <c r="BF558" i="1"/>
  <c r="BF376" i="1"/>
  <c r="BF266" i="1"/>
  <c r="BF503" i="1"/>
  <c r="BF191" i="1"/>
  <c r="BF46" i="1"/>
  <c r="BF108" i="1"/>
  <c r="BF303" i="1"/>
  <c r="BF271" i="1"/>
  <c r="BF80" i="1"/>
  <c r="BF66" i="1"/>
  <c r="BF431" i="1"/>
  <c r="BF332" i="1"/>
  <c r="BF173" i="1"/>
  <c r="BF535" i="1"/>
  <c r="BF343" i="1"/>
  <c r="BF294" i="1"/>
  <c r="BF57" i="1"/>
  <c r="BF556" i="1"/>
  <c r="BF345" i="1"/>
  <c r="BF225" i="1"/>
  <c r="BF90" i="1"/>
  <c r="BF118" i="1"/>
  <c r="BF141" i="1"/>
  <c r="BF571" i="1"/>
  <c r="BF212" i="1"/>
  <c r="BF102" i="1"/>
  <c r="BF120" i="1"/>
  <c r="BF54" i="1"/>
  <c r="BF185" i="1"/>
  <c r="BF489" i="1"/>
  <c r="BF456" i="1"/>
  <c r="BF552" i="1"/>
  <c r="BF371" i="1"/>
  <c r="BF138" i="1"/>
  <c r="BF122" i="1"/>
  <c r="BF159" i="1"/>
  <c r="BF119" i="1"/>
  <c r="BF217" i="1"/>
  <c r="BF337" i="1"/>
  <c r="BF26" i="1"/>
  <c r="BF387" i="1"/>
  <c r="BF196" i="1"/>
  <c r="BF88" i="1"/>
  <c r="BF150" i="1"/>
  <c r="BF241" i="1"/>
  <c r="BF181" i="1"/>
  <c r="BF457" i="1"/>
  <c r="BF540" i="1"/>
  <c r="BF38" i="1"/>
  <c r="BF172" i="1"/>
  <c r="BF37" i="1"/>
  <c r="BF370" i="1"/>
  <c r="BF135" i="1"/>
  <c r="BF208" i="1"/>
  <c r="BF49" i="1"/>
  <c r="BF538" i="1"/>
  <c r="BF77" i="1"/>
  <c r="BF423" i="1"/>
  <c r="BF574" i="1"/>
  <c r="BF140" i="1"/>
  <c r="BF61" i="1"/>
  <c r="BF85" i="1"/>
  <c r="BF573" i="1"/>
  <c r="BF384" i="1"/>
  <c r="BF82" i="1"/>
  <c r="BF444" i="1"/>
  <c r="BF223" i="1"/>
  <c r="BF315" i="1"/>
  <c r="BF244" i="1"/>
  <c r="BF360" i="1"/>
  <c r="BF497" i="1"/>
  <c r="BF36" i="1"/>
  <c r="BF357" i="1"/>
  <c r="BF536" i="1"/>
  <c r="BF586" i="1"/>
  <c r="BF383" i="1"/>
  <c r="BF595" i="1"/>
  <c r="BF422" i="1"/>
  <c r="BF513" i="1"/>
  <c r="BF470" i="1"/>
  <c r="BF389" i="1"/>
  <c r="BF224" i="1"/>
  <c r="BF448" i="1"/>
  <c r="BF414" i="1"/>
  <c r="BF136" i="1"/>
  <c r="BF246" i="1"/>
  <c r="BF460" i="1"/>
  <c r="BF500" i="1"/>
  <c r="BF43" i="1"/>
  <c r="BF50" i="1"/>
  <c r="BF486" i="1"/>
  <c r="BF338" i="1"/>
  <c r="BF333" i="1"/>
  <c r="BF348" i="1"/>
  <c r="BF318" i="1"/>
  <c r="BF273" i="1"/>
  <c r="BF584" i="1"/>
  <c r="BF25" i="1"/>
  <c r="BF534" i="1"/>
  <c r="BF483" i="1"/>
  <c r="BF284" i="1"/>
  <c r="BF462" i="1"/>
  <c r="BF179" i="1"/>
  <c r="BF572" i="1"/>
  <c r="BF27" i="1"/>
  <c r="BF541" i="1"/>
  <c r="BF464" i="1"/>
  <c r="BF378" i="1"/>
  <c r="BF74" i="1"/>
  <c r="BF428" i="1"/>
  <c r="BF257" i="1"/>
  <c r="BF282" i="1"/>
  <c r="BF476" i="1"/>
  <c r="BF480" i="1"/>
  <c r="BF427" i="1"/>
  <c r="BF397" i="1"/>
  <c r="BF336" i="1"/>
  <c r="BF183" i="1"/>
  <c r="BF203" i="1"/>
  <c r="BF62" i="1"/>
  <c r="BF35" i="1"/>
  <c r="BF17" i="1"/>
  <c r="BF33" i="1"/>
  <c r="BF107" i="1"/>
  <c r="BF176" i="1"/>
  <c r="BF290" i="1"/>
  <c r="BF351" i="1"/>
  <c r="BF590" i="1"/>
  <c r="BF449" i="1"/>
  <c r="BF475" i="1"/>
  <c r="BF113" i="1"/>
  <c r="BF232" i="1"/>
  <c r="BF165" i="1"/>
  <c r="BF286" i="1"/>
  <c r="BF439" i="1"/>
  <c r="BF230" i="1"/>
  <c r="BF129" i="1"/>
  <c r="BF106" i="1"/>
  <c r="BF137" i="1"/>
  <c r="BF277" i="1"/>
  <c r="BF226" i="1"/>
  <c r="BF496" i="1"/>
  <c r="BF95" i="1"/>
  <c r="BF341" i="1"/>
  <c r="BF98" i="1"/>
  <c r="BF281" i="1"/>
  <c r="BF578" i="1"/>
  <c r="BF56" i="1"/>
  <c r="BF366" i="1"/>
  <c r="BF221" i="1"/>
  <c r="BF393" i="1"/>
  <c r="BF92" i="1"/>
  <c r="BF258" i="1"/>
  <c r="BF235" i="1"/>
  <c r="BF187" i="1"/>
  <c r="BF405" i="1"/>
  <c r="BF101" i="1"/>
  <c r="BF390" i="1"/>
  <c r="BF468" i="1"/>
  <c r="BF278" i="1"/>
  <c r="BF308" i="1"/>
  <c r="BF364" i="1"/>
  <c r="BF509" i="1"/>
  <c r="BF533" i="1"/>
  <c r="BF365" i="1"/>
  <c r="BF234" i="1"/>
  <c r="BF41" i="1"/>
  <c r="BF44" i="1"/>
  <c r="BF29" i="1"/>
  <c r="BF169" i="1"/>
  <c r="BF157" i="1"/>
  <c r="BF454" i="1"/>
  <c r="BF260" i="1"/>
  <c r="BF353" i="1"/>
  <c r="BF153" i="1"/>
  <c r="BF479" i="1"/>
  <c r="BF147" i="1"/>
  <c r="BF112" i="1"/>
  <c r="BF123" i="1"/>
  <c r="BF293" i="1"/>
  <c r="BF89" i="1"/>
  <c r="BF254" i="1"/>
  <c r="BF401" i="1"/>
  <c r="BF543" i="1"/>
  <c r="BF158" i="1"/>
  <c r="BF195" i="1"/>
  <c r="BF272" i="1"/>
  <c r="BF11" i="1"/>
  <c r="BF539" i="1"/>
  <c r="BF375" i="1"/>
  <c r="BF262" i="1"/>
  <c r="BF577" i="1"/>
  <c r="BF76" i="1"/>
  <c r="BF339" i="1"/>
  <c r="BF459" i="1"/>
  <c r="BF588" i="1"/>
  <c r="BF313" i="1"/>
  <c r="BF210" i="1"/>
  <c r="BF275" i="1"/>
  <c r="BF133" i="1"/>
  <c r="BF256" i="1"/>
  <c r="BF316" i="1"/>
  <c r="BF425" i="1"/>
  <c r="BF299" i="1"/>
  <c r="BF274" i="1"/>
  <c r="BF403" i="1"/>
  <c r="BF557" i="1"/>
  <c r="BF325" i="1"/>
  <c r="BF412" i="1"/>
  <c r="BF487" i="1"/>
  <c r="BF511" i="1"/>
  <c r="BF335" i="1"/>
  <c r="BF484" i="1"/>
  <c r="BF145" i="1"/>
  <c r="BF139" i="1"/>
  <c r="BF429" i="1"/>
  <c r="BF70" i="1"/>
  <c r="BF55" i="1"/>
  <c r="BF481" i="1"/>
  <c r="BF24" i="1"/>
  <c r="BF512" i="1"/>
  <c r="BF21" i="1"/>
  <c r="BF131" i="1"/>
  <c r="BF111" i="1"/>
  <c r="BF377" i="1"/>
  <c r="BF251" i="1"/>
  <c r="BF520" i="1"/>
  <c r="BF110" i="1"/>
  <c r="BF519" i="1"/>
  <c r="BF495" i="1"/>
  <c r="BF546" i="1"/>
  <c r="BF73" i="1"/>
  <c r="BF168" i="1"/>
  <c r="BF488" i="1"/>
  <c r="BF86" i="1"/>
  <c r="BF567" i="1"/>
  <c r="BF177" i="1"/>
  <c r="BF222" i="1"/>
  <c r="BF116" i="1"/>
  <c r="BF473" i="1"/>
  <c r="BF64" i="1"/>
  <c r="BF563" i="1"/>
  <c r="BF250" i="1"/>
  <c r="BF71" i="1"/>
  <c r="BF501" i="1"/>
  <c r="BF151" i="1"/>
  <c r="BF527" i="1"/>
  <c r="BF349" i="1"/>
  <c r="BF440" i="1"/>
  <c r="BF105" i="1"/>
  <c r="BF292" i="1"/>
  <c r="BF216" i="1"/>
  <c r="BF524" i="1"/>
  <c r="BF198" i="1"/>
  <c r="BF287" i="1"/>
  <c r="BF435" i="1"/>
  <c r="BF517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<sst xmlns="http://schemas.openxmlformats.org/spreadsheetml/2006/main" count="5590" uniqueCount="2086">
  <si>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</si>
  <si>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</si>
  <si>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</si>
  <si>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</si>
  <si>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</si>
  <si>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</si>
  <si>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</si>
  <si>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</si>
  <si>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</si>
  <si>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</si>
  <si>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</si>
  <si>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</si>
  <si>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</si>
  <si>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</si>
  <si>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</si>
  <si>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</si>
  <si>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</si>
  <si>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</si>
  <si>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</si>
  <si>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</si>
  <si>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</si>
  <si>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</si>
  <si>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</si>
  <si>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</si>
  <si>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</si>
  <si>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</si>
  <si>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</si>
  <si>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</si>
  <si>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</si>
  <si>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</si>
  <si>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</si>
  <si>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</si>
  <si>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</si>
  <si>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</si>
  <si>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</si>
  <si>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</si>
  <si>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</si>
  <si>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</si>
  <si>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</si>
  <si>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</si>
  <si>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</si>
  <si>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</si>
  <si>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</si>
  <si>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</si>
  <si>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</si>
  <si>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</si>
  <si>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</si>
  <si>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</si>
  <si>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</si>
  <si>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</si>
  <si>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</si>
  <si>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</si>
  <si>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</si>
  <si>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</si>
  <si>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</si>
  <si>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</si>
  <si>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</si>
  <si>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</si>
  <si>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</si>
  <si>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</si>
  <si>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</si>
  <si>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</si>
  <si>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</si>
  <si>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</si>
  <si>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</si>
  <si>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</si>
  <si>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</si>
  <si>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</si>
  <si>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</si>
  <si>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</si>
  <si>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</si>
  <si>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</si>
  <si>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</si>
  <si>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</si>
  <si>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</si>
  <si>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</si>
  <si>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</si>
  <si>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</si>
  <si>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</si>
  <si>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</si>
  <si>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</si>
  <si>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</si>
  <si>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</si>
  <si>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</si>
  <si>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</si>
  <si>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</si>
  <si>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</si>
  <si>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</si>
  <si>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</si>
  <si>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</si>
  <si>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</si>
  <si>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</si>
  <si>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</si>
  <si>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</si>
  <si>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</si>
  <si>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</si>
  <si>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</si>
  <si>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</si>
  <si>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</si>
  <si>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</si>
  <si>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</si>
  <si>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</si>
  <si>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</si>
  <si>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</si>
  <si>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</si>
  <si>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</si>
  <si>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</si>
  <si>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</si>
  <si>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</si>
  <si>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</si>
  <si>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</si>
  <si>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</si>
  <si>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</si>
  <si>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</si>
  <si>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</si>
  <si>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</si>
  <si>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</si>
  <si>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</si>
  <si>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</si>
  <si>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</si>
  <si>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</si>
  <si>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</si>
  <si>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</si>
  <si>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</si>
  <si>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</si>
  <si>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</si>
  <si>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</si>
  <si>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</si>
  <si>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</si>
  <si>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</si>
  <si>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</si>
  <si>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</si>
  <si>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</si>
  <si>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</si>
  <si>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</si>
  <si>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</si>
  <si>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</si>
  <si>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</si>
  <si>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</si>
  <si>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</si>
  <si>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</si>
  <si>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</si>
  <si>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</si>
  <si>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</si>
  <si>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</si>
  <si>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</si>
  <si>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</si>
  <si>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</si>
  <si>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</si>
  <si>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</si>
  <si>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</si>
  <si>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</si>
  <si>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</si>
  <si>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</si>
  <si>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</si>
  <si>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</si>
  <si>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</si>
  <si>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</si>
  <si>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</si>
  <si>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</si>
  <si>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</si>
  <si>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</si>
  <si>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</si>
  <si>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</si>
  <si>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</si>
  <si>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</si>
  <si>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</si>
  <si>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</si>
  <si>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</si>
  <si>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</si>
  <si>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</si>
  <si>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</si>
  <si>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</si>
  <si>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</si>
  <si>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</si>
  <si>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</si>
  <si>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</si>
  <si>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</si>
  <si>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</si>
  <si>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</si>
  <si>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</si>
  <si>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</si>
  <si>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</si>
  <si>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</si>
  <si>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</si>
  <si>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</si>
  <si>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</si>
  <si>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</si>
  <si>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</si>
  <si>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</si>
  <si>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</si>
  <si>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</si>
  <si>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</si>
  <si>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</si>
  <si>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</si>
  <si>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</si>
  <si>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</si>
  <si>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</si>
  <si>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</si>
  <si>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</si>
  <si>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</si>
  <si>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</si>
  <si>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</si>
  <si>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</si>
  <si>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</si>
  <si>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</si>
  <si>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</si>
  <si>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</si>
  <si>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</si>
  <si>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</si>
  <si>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</si>
  <si>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</si>
  <si>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</si>
  <si>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</si>
  <si>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</si>
  <si>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</si>
  <si>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</si>
  <si>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</si>
  <si>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</si>
  <si>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</si>
  <si>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</si>
  <si>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</si>
  <si>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</si>
  <si>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</si>
  <si>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</si>
  <si>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</si>
  <si>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</si>
  <si>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</si>
  <si>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</si>
  <si>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</si>
  <si>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</si>
  <si>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</si>
  <si>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</si>
  <si>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</si>
  <si>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</si>
  <si>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</si>
  <si>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</si>
  <si>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</si>
  <si>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</si>
  <si>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</si>
  <si>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</si>
  <si>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</si>
  <si>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</si>
  <si>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</si>
  <si>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</si>
  <si>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</si>
  <si>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</si>
  <si>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</si>
  <si>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</si>
  <si>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</si>
  <si>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</si>
  <si>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</si>
  <si>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</si>
  <si>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</si>
  <si>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</si>
  <si>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</si>
  <si>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</si>
  <si>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</si>
  <si>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</si>
  <si>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</si>
  <si>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</si>
  <si>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</si>
  <si>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</si>
  <si>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</si>
  <si>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</si>
  <si>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</si>
  <si>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</si>
  <si>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</si>
  <si>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</si>
  <si>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</si>
  <si>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</si>
  <si>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</si>
  <si>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</si>
  <si>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</si>
  <si>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</si>
  <si>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</si>
  <si>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</si>
  <si>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</si>
  <si>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</si>
  <si>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</si>
  <si>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</si>
  <si>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</si>
  <si>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</si>
  <si>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</si>
  <si>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</si>
  <si>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</si>
  <si>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</si>
  <si>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</si>
  <si>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</si>
  <si>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</si>
  <si>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</si>
  <si>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</si>
  <si>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</si>
  <si>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</si>
  <si>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</si>
  <si>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</si>
  <si>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</si>
  <si>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</si>
  <si>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</si>
  <si>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</si>
  <si>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</si>
  <si>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</si>
  <si>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</si>
  <si>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</si>
  <si>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</si>
  <si>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</si>
  <si>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</si>
  <si>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</si>
  <si>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</si>
  <si>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</si>
  <si>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</si>
  <si>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</si>
  <si>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</si>
  <si>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</si>
  <si>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</si>
  <si>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</si>
  <si>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</si>
  <si>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</si>
  <si>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</si>
  <si>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</si>
  <si>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</si>
  <si>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</si>
  <si>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</si>
  <si>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</si>
  <si>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</si>
  <si>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</si>
  <si>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</si>
  <si>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</si>
  <si>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</si>
  <si>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</si>
  <si>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</si>
  <si>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</si>
  <si>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</si>
  <si>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</si>
  <si>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</si>
  <si>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</si>
  <si>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</si>
  <si>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</si>
  <si>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</si>
  <si>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</si>
  <si>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</si>
  <si>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</si>
  <si>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</si>
  <si>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</si>
  <si>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</si>
  <si>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</si>
  <si>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</si>
  <si>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</si>
  <si>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</si>
  <si>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</si>
  <si>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</si>
  <si>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</si>
  <si>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</si>
  <si>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</si>
  <si>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</si>
  <si>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</si>
  <si>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</si>
  <si>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</si>
  <si>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</si>
  <si>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</si>
  <si>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</si>
  <si>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</si>
  <si>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</si>
  <si>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</si>
  <si>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</si>
  <si>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</si>
  <si>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</si>
  <si>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</si>
  <si>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</si>
  <si>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</si>
  <si>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</si>
  <si>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</si>
  <si>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</si>
  <si>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</si>
  <si>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</si>
  <si>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</si>
  <si>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</si>
  <si>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</si>
  <si>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</si>
  <si>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</si>
  <si>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</si>
  <si>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</si>
  <si>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</si>
  <si>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</si>
  <si>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</si>
  <si>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</si>
  <si>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</si>
  <si>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</si>
  <si>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</si>
  <si>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</si>
  <si>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</si>
  <si>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</si>
  <si>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</si>
  <si>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</si>
  <si>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</si>
  <si>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</si>
  <si>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</si>
  <si>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</si>
  <si>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</si>
  <si>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</si>
  <si>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</si>
  <si>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</si>
  <si>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</si>
  <si>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</si>
  <si>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</si>
  <si>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</si>
  <si>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</si>
  <si>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</si>
  <si>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</si>
  <si>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</si>
  <si>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</si>
  <si>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</si>
  <si>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</si>
  <si>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</si>
  <si>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</si>
  <si>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</si>
  <si>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</si>
  <si>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</si>
  <si>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</si>
  <si>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</si>
  <si>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</si>
  <si>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</si>
  <si>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</si>
  <si>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</si>
  <si>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</si>
  <si>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</si>
  <si>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</si>
  <si>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</si>
  <si>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</si>
  <si>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</si>
  <si>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</si>
  <si>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</si>
  <si>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</si>
  <si>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</si>
  <si>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</si>
  <si>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</si>
  <si>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</si>
  <si>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</si>
  <si>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</si>
  <si>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</si>
  <si>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</si>
  <si>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</si>
  <si>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</si>
  <si>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</si>
  <si>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</si>
  <si>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</si>
  <si>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</si>
  <si>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</si>
  <si>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</si>
  <si>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</si>
  <si>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</si>
  <si>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</si>
  <si>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</si>
  <si>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</si>
  <si>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</si>
  <si>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</si>
  <si>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</si>
  <si>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</si>
  <si>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</si>
  <si>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</si>
  <si>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</si>
  <si>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</si>
  <si>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</si>
  <si>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</si>
  <si>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</si>
  <si>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</si>
  <si>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</si>
  <si>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</si>
  <si>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</si>
  <si>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</si>
  <si>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</si>
  <si>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</si>
  <si>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</si>
  <si>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</si>
  <si>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</si>
  <si>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</si>
  <si>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</si>
  <si>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</si>
  <si>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</si>
  <si>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</si>
  <si>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</si>
  <si>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</si>
  <si>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</si>
  <si>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</si>
  <si>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</si>
  <si>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</si>
  <si>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</si>
  <si>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</si>
  <si>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</si>
  <si>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</si>
  <si>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</si>
  <si>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</si>
  <si>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</si>
  <si>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</si>
  <si>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</si>
  <si>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</si>
  <si>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</si>
  <si>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</si>
  <si>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</si>
  <si>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</si>
  <si>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</si>
  <si>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</si>
  <si>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</si>
  <si>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</si>
  <si>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</si>
  <si>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</si>
  <si>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</si>
  <si>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</si>
  <si>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</si>
  <si>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</si>
  <si>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</si>
  <si>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</si>
  <si>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</si>
  <si>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</si>
  <si>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</si>
  <si>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</si>
  <si>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</si>
  <si>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</si>
  <si>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</si>
  <si>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</si>
  <si>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</si>
  <si>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</si>
  <si>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</si>
  <si>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</si>
  <si>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</si>
  <si>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</si>
  <si>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</si>
  <si>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</si>
  <si>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</si>
  <si>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</si>
  <si>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</si>
  <si>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</si>
  <si>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</si>
  <si>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</si>
  <si>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</si>
  <si>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</si>
  <si>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</si>
  <si>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</si>
  <si>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</si>
  <si>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</si>
  <si>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</si>
  <si>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</si>
  <si>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</si>
  <si>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</si>
  <si>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</si>
  <si>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</si>
  <si>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</si>
  <si>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</si>
  <si>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</si>
  <si>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</si>
  <si>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</si>
  <si>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</si>
  <si>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</si>
  <si>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</si>
  <si>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</si>
  <si>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</si>
  <si>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</si>
  <si>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</si>
  <si>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</si>
  <si>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</si>
  <si>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</si>
  <si>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</si>
  <si>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</si>
  <si>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</si>
  <si>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</si>
  <si>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</si>
  <si>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</si>
  <si>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</si>
  <si>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</si>
  <si>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</si>
  <si>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</si>
  <si>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</si>
  <si>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</si>
  <si>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</si>
  <si>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</si>
  <si>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</si>
  <si>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</si>
  <si>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</si>
  <si>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</si>
  <si>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</si>
  <si>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</si>
  <si>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</si>
  <si>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</si>
  <si>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</si>
  <si>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</si>
  <si>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</si>
  <si>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</si>
  <si>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</si>
  <si>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</si>
  <si>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</si>
  <si>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</si>
  <si>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</si>
  <si>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</si>
  <si>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</si>
  <si>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</si>
  <si>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</si>
  <si>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</si>
  <si>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</si>
  <si>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</si>
  <si>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</si>
  <si>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</si>
  <si>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</si>
  <si>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</si>
  <si>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</si>
  <si>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</si>
  <si>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</si>
  <si>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</si>
  <si>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</si>
  <si>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</si>
  <si>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</si>
  <si>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</si>
  <si>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</si>
  <si>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</si>
  <si>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</si>
  <si>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</si>
  <si>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</si>
  <si>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</si>
  <si>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</si>
  <si>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</si>
  <si>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</si>
  <si>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</si>
  <si>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</si>
  <si>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</si>
  <si>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</si>
  <si>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</si>
  <si>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</si>
  <si>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</si>
  <si>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</si>
  <si>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</si>
  <si>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</si>
  <si>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</si>
  <si>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</si>
  <si>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</si>
  <si>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</si>
  <si>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</si>
  <si>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</si>
  <si>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</si>
  <si>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</si>
  <si>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</si>
  <si>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</si>
  <si>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</si>
  <si>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</si>
  <si>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</si>
  <si>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</si>
  <si>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</si>
  <si>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</si>
  <si>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</si>
  <si>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</si>
  <si>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</si>
  <si>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</si>
  <si>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</si>
  <si>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</si>
  <si>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</si>
  <si>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</si>
  <si>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</si>
  <si>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</si>
  <si>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</si>
  <si>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</si>
  <si>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</si>
  <si>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</si>
  <si>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</si>
  <si>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</si>
  <si>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</si>
  <si>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</si>
  <si>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</si>
  <si>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</si>
  <si>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</si>
  <si>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</si>
  <si>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</si>
  <si>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</si>
  <si>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</si>
  <si>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</si>
  <si>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</si>
  <si>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</si>
  <si>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</si>
  <si>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</si>
  <si>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</si>
  <si>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</si>
  <si>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</si>
  <si>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</si>
  <si>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</si>
  <si>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</si>
  <si>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</si>
  <si>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</si>
  <si>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</si>
  <si>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</si>
  <si>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</si>
  <si>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</si>
  <si>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</si>
  <si>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</si>
  <si>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</si>
  <si>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</si>
  <si>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</si>
  <si>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</si>
  <si>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</si>
  <si>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</si>
  <si>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</si>
  <si>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</si>
  <si>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</si>
  <si>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</si>
  <si>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</si>
  <si>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</si>
  <si>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</si>
  <si>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</si>
  <si>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</si>
  <si>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</si>
  <si>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</si>
  <si>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</si>
  <si>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</si>
  <si>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</si>
  <si>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</si>
  <si>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</si>
  <si>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</si>
  <si>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</si>
  <si>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</si>
  <si>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</si>
  <si>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</si>
  <si>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</si>
  <si>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</si>
  <si>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</si>
  <si>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</si>
  <si>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</si>
  <si>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</si>
  <si>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</si>
  <si>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</si>
  <si>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</si>
  <si>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</si>
  <si>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</si>
  <si>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</si>
  <si>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</si>
  <si>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</si>
  <si>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</si>
  <si>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</si>
  <si>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</si>
  <si>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</si>
  <si>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</si>
  <si>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</si>
  <si>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</si>
  <si>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</si>
  <si>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</si>
  <si>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</si>
  <si>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</si>
  <si>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</si>
  <si>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</si>
  <si>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</si>
  <si>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</si>
  <si>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</si>
  <si>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</si>
  <si>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</si>
  <si>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</si>
  <si>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</si>
  <si>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</si>
  <si>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</si>
  <si>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</si>
  <si>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</si>
  <si>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</si>
  <si>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</si>
  <si>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</si>
  <si>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</si>
  <si>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</si>
  <si>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</si>
  <si>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</si>
  <si>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</si>
  <si>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</si>
  <si>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</si>
  <si>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</si>
  <si>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</si>
  <si>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</si>
  <si>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</si>
  <si>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</si>
  <si>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</si>
  <si>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</si>
  <si>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</si>
  <si>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</si>
  <si>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</si>
  <si>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</si>
  <si>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</si>
  <si>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</si>
  <si>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</si>
  <si>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</si>
  <si>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</si>
  <si>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</si>
  <si>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</si>
  <si>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</si>
  <si>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</si>
  <si>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</si>
  <si>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</si>
  <si>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</si>
  <si>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</si>
  <si>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</si>
  <si>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</si>
  <si>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</si>
  <si>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</si>
  <si>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</si>
  <si>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</si>
  <si>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</si>
  <si>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</si>
  <si>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</si>
  <si>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</si>
  <si>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</si>
  <si>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</si>
  <si>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</si>
  <si>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</si>
  <si>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</si>
  <si>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</si>
  <si>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</si>
  <si>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</si>
  <si>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</si>
  <si>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</si>
  <si>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</si>
  <si>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</si>
  <si>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</si>
  <si>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</si>
  <si>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</si>
  <si>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</si>
  <si>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</si>
  <si>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</si>
  <si>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</si>
  <si>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</si>
  <si>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</si>
  <si>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</si>
  <si>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</si>
  <si>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</si>
  <si>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</si>
  <si>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</si>
  <si>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</si>
  <si>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</si>
  <si>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</si>
  <si>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</si>
  <si>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</si>
  <si>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</si>
  <si>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</si>
  <si>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</si>
  <si>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</si>
  <si>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</si>
  <si>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</si>
  <si>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</si>
  <si>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</si>
  <si>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</si>
  <si>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</si>
  <si>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</si>
  <si>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</si>
  <si>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</si>
  <si>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</si>
  <si>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</si>
  <si>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</si>
  <si>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</si>
  <si>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</si>
  <si>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</si>
  <si>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</si>
  <si>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</si>
  <si>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</si>
  <si>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</si>
  <si>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</si>
  <si>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</si>
  <si>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</si>
  <si>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</si>
  <si>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</si>
  <si>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</si>
  <si>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</si>
  <si>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</si>
  <si>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</si>
  <si>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</si>
  <si>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</si>
  <si>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</si>
  <si>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</si>
  <si>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</si>
  <si>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</si>
  <si>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</si>
  <si>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</si>
  <si>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</si>
  <si>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</si>
  <si>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</si>
  <si>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</si>
  <si>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</si>
  <si>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</si>
  <si>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</si>
  <si>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</si>
  <si>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</si>
  <si>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</si>
  <si>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</si>
  <si>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</si>
  <si>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</si>
  <si>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</si>
  <si>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</si>
  <si>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</si>
  <si>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</si>
  <si>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</si>
  <si>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</si>
  <si>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</si>
  <si>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</si>
  <si>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</si>
  <si>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</si>
  <si>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</si>
  <si>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</si>
  <si>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</si>
  <si>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</si>
  <si>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</si>
  <si>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</si>
  <si>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</si>
  <si>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</si>
  <si>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</si>
  <si>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</si>
  <si>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</si>
  <si>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</si>
  <si>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</si>
  <si>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</si>
  <si>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</si>
  <si>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</si>
  <si>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</si>
  <si>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</si>
  <si>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</si>
  <si>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</si>
  <si>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</si>
  <si>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</si>
  <si>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</si>
  <si>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</si>
  <si>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</si>
  <si>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</si>
  <si>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</si>
  <si>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</si>
  <si>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</si>
  <si>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</si>
  <si>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</si>
  <si>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</si>
  <si>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</si>
  <si>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</si>
  <si>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</si>
  <si>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</si>
  <si>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</si>
  <si>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</si>
  <si>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</si>
  <si>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</si>
  <si>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</si>
  <si>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</si>
  <si>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</si>
  <si>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</si>
  <si>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</si>
  <si>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</si>
  <si>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</si>
  <si>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</si>
  <si>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</si>
  <si>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</si>
  <si>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</si>
  <si>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</si>
  <si>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</si>
  <si>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</si>
  <si>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</si>
  <si>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</si>
  <si>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</si>
  <si>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</si>
  <si>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</si>
  <si>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</si>
  <si>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</si>
  <si>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</si>
  <si>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</si>
  <si>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</si>
  <si>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</si>
  <si>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</si>
  <si>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</si>
  <si>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</si>
  <si>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</si>
  <si>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</si>
  <si>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</si>
  <si>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</si>
  <si>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</si>
  <si>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</si>
  <si>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</si>
  <si>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</si>
  <si>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</si>
  <si>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</si>
  <si>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</si>
  <si>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</si>
  <si>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</si>
  <si>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</si>
  <si>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</si>
  <si>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</si>
  <si>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</si>
  <si>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</si>
  <si>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</si>
  <si>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</si>
  <si>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</si>
  <si>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</si>
  <si>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</si>
  <si>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</si>
  <si>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</si>
  <si>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</si>
  <si>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</si>
  <si>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</si>
  <si>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</si>
  <si>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</si>
  <si>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</si>
  <si>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</si>
  <si>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</si>
  <si>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</si>
  <si>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</si>
  <si>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</si>
  <si>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</si>
  <si>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</si>
  <si>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</si>
  <si>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</si>
  <si>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</si>
  <si>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</si>
  <si>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</si>
  <si>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</si>
  <si>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</si>
  <si>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</si>
  <si>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</si>
  <si>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</si>
  <si>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</si>
  <si>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</si>
  <si>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</si>
  <si>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</si>
  <si>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</si>
  <si>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</si>
  <si>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</si>
  <si>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</si>
  <si>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</si>
  <si>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</si>
  <si>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</si>
  <si>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</si>
  <si>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</si>
  <si>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</si>
  <si>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</si>
  <si>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</si>
  <si>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</si>
  <si>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</si>
  <si>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</si>
  <si>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</si>
  <si>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</si>
  <si>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</si>
  <si>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</si>
  <si>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</si>
  <si>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</si>
  <si>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</si>
  <si>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</si>
  <si>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</si>
  <si>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</si>
  <si>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</si>
  <si>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</si>
  <si>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</si>
  <si>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</si>
  <si>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</si>
  <si>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</si>
  <si>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</si>
  <si>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</si>
  <si>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</si>
  <si>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</si>
  <si>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</si>
  <si>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</si>
  <si>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</si>
  <si>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</si>
  <si>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</si>
  <si>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</si>
  <si>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</si>
  <si>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</si>
  <si>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</si>
  <si>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</si>
  <si>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</si>
  <si>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</si>
  <si>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</si>
  <si>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</si>
  <si>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</si>
  <si>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</si>
  <si>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</si>
  <si>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</si>
  <si>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</si>
  <si>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</si>
  <si>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</si>
  <si>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</si>
  <si>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</si>
  <si>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</si>
  <si>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</si>
  <si>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</si>
  <si>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</si>
  <si>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</si>
  <si>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</si>
  <si>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</si>
  <si>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</si>
  <si>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</si>
  <si>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</si>
  <si>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</si>
  <si>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</si>
  <si>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</si>
  <si>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</si>
  <si>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</si>
  <si>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</si>
  <si>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</si>
  <si>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</si>
  <si>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</si>
  <si>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</si>
  <si>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</si>
  <si>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</si>
  <si>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</si>
  <si>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</si>
  <si>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</si>
  <si>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</si>
  <si>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</si>
  <si>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</si>
  <si>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</si>
  <si>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</si>
  <si>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</si>
  <si>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</si>
  <si>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</si>
  <si>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</si>
  <si>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</si>
  <si>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</si>
  <si>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</si>
  <si>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</si>
  <si>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</si>
  <si>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</si>
  <si>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</si>
  <si>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</si>
  <si>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</si>
  <si>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</si>
  <si>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</si>
  <si>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</si>
  <si>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</si>
  <si>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</si>
  <si>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</si>
  <si>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</si>
  <si>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</si>
  <si>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</si>
  <si>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</si>
  <si>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</si>
  <si>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</si>
  <si>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</si>
  <si>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</si>
  <si>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</si>
  <si>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</si>
  <si>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</si>
  <si>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</si>
  <si>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</si>
  <si>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</si>
  <si>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</si>
  <si>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</si>
  <si>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</si>
  <si>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</si>
  <si>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</si>
  <si>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</si>
  <si>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</si>
  <si>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</si>
  <si>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</si>
  <si>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</si>
  <si>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</si>
  <si>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</si>
  <si>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</si>
  <si>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</si>
  <si>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</si>
  <si>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</si>
  <si>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</si>
  <si>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</si>
  <si>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</si>
  <si>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</si>
  <si>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</si>
  <si>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</si>
  <si>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</si>
  <si>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</si>
  <si>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</si>
  <si>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</si>
  <si>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</si>
  <si>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</si>
  <si>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</si>
  <si>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</si>
  <si>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</si>
  <si>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</si>
  <si>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</si>
  <si>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</si>
  <si>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</si>
  <si>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</si>
  <si>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</si>
  <si>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</si>
  <si>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</si>
  <si>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</si>
  <si>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</si>
  <si>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</si>
  <si>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</si>
  <si>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</si>
  <si>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</si>
  <si>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</si>
  <si>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</si>
  <si>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</si>
  <si>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</si>
  <si>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</si>
  <si>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</si>
  <si>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</si>
  <si>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</si>
  <si>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</si>
  <si>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</si>
  <si>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</si>
  <si>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</si>
  <si>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</si>
  <si>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</si>
  <si>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</si>
  <si>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</si>
  <si>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</si>
  <si>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</si>
  <si>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</si>
  <si>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</si>
  <si>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</si>
  <si>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</si>
  <si>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</si>
  <si>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</si>
  <si>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</si>
  <si>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</si>
  <si>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</si>
  <si>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</si>
  <si>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</si>
  <si>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</si>
  <si>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</si>
  <si>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</si>
  <si>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</si>
  <si>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</si>
  <si>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</si>
  <si>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</si>
  <si>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</si>
  <si>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</si>
  <si>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</si>
  <si>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</si>
  <si>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</si>
  <si>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</si>
  <si>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</si>
  <si>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</si>
  <si>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</si>
  <si>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</si>
  <si>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</si>
  <si>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</si>
  <si>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</si>
  <si>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</si>
  <si>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</si>
  <si>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</si>
  <si>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</si>
  <si>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</si>
  <si>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</si>
  <si>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</si>
  <si>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</si>
  <si>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</si>
  <si>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</si>
  <si>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</si>
  <si>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</si>
  <si>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</si>
  <si>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</si>
  <si>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</si>
  <si>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</si>
  <si>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</si>
  <si>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</si>
  <si>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</si>
  <si>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</si>
  <si>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</si>
  <si>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</si>
  <si>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</si>
  <si>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</si>
  <si>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</si>
  <si>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</si>
  <si>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</si>
  <si>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</si>
  <si>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</si>
  <si>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</si>
  <si>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</si>
  <si>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</si>
  <si>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</si>
  <si>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</si>
  <si>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</si>
  <si>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</si>
  <si>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</si>
  <si>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</si>
  <si>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</si>
  <si>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</si>
  <si>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</si>
  <si>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</si>
  <si>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</si>
  <si>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</si>
  <si>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</si>
  <si>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</si>
  <si>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</si>
  <si>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</si>
  <si>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</si>
  <si>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</si>
  <si>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</si>
  <si>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</si>
  <si>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</si>
  <si>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</si>
  <si>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</si>
  <si>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</si>
  <si>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</si>
  <si>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</si>
  <si>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</si>
  <si>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</si>
  <si>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</si>
  <si>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</si>
  <si>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</si>
  <si>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</si>
  <si>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</si>
  <si>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</si>
  <si>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</si>
  <si>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</si>
  <si>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</si>
  <si>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</si>
  <si>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</si>
  <si>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</si>
  <si>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</si>
  <si>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</si>
  <si>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</si>
  <si>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</si>
  <si>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</si>
  <si>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</si>
  <si>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</si>
  <si>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</si>
  <si>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</si>
  <si>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</si>
  <si>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</si>
  <si>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</si>
  <si>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</si>
  <si>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</si>
  <si>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</si>
  <si>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</si>
  <si>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</si>
  <si>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</si>
  <si>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</si>
  <si>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</si>
  <si>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</si>
  <si>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</si>
  <si>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</si>
  <si>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</si>
  <si>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</si>
  <si>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</si>
  <si>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</si>
  <si>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</si>
  <si>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</si>
  <si>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</si>
  <si>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</si>
  <si>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</si>
  <si>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</si>
  <si>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</si>
  <si>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</si>
  <si>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</si>
  <si>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</si>
  <si>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</si>
  <si>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</si>
  <si>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</si>
  <si>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</si>
  <si>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</si>
  <si>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</si>
  <si>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</si>
  <si>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</si>
  <si>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</si>
  <si>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</si>
  <si>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</si>
  <si>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</si>
  <si>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</si>
  <si>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</si>
  <si>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</si>
  <si>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</si>
  <si>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</si>
  <si>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</si>
  <si>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</si>
  <si>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</si>
  <si>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</si>
  <si>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</si>
  <si>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</si>
  <si>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</si>
  <si>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</si>
  <si>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</si>
  <si>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</si>
  <si>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</si>
  <si>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</si>
  <si>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</si>
  <si>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</si>
  <si>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</si>
  <si>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</si>
  <si>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</si>
  <si>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</si>
  <si>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</si>
  <si>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</si>
  <si>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</si>
  <si>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</si>
  <si>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</si>
  <si>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</si>
  <si>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</si>
  <si>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</si>
  <si>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</si>
  <si>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</si>
  <si>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</si>
  <si>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</si>
  <si>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</si>
  <si>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</si>
  <si>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</si>
  <si>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</si>
  <si>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</si>
  <si>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</si>
  <si>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</si>
  <si>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</si>
  <si>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</si>
  <si>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</si>
  <si>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</si>
  <si>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</si>
  <si>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</si>
  <si>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</si>
  <si>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</si>
  <si>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</si>
  <si>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</si>
  <si>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</si>
  <si>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</si>
  <si>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</si>
  <si>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</si>
  <si>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</si>
  <si>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</si>
  <si>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</si>
  <si>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</si>
  <si>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</si>
  <si>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</si>
  <si>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</si>
  <si>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</si>
  <si>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</si>
  <si>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</si>
  <si>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</si>
  <si>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</si>
  <si>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</si>
  <si>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</si>
  <si>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</si>
  <si>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</si>
  <si>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</si>
  <si>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</si>
  <si>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</si>
  <si>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</si>
  <si>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</si>
  <si>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</si>
  <si>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</si>
  <si>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</si>
  <si>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</si>
  <si>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</si>
  <si>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</si>
  <si>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</si>
  <si>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</si>
  <si>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</si>
  <si>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</si>
  <si>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</si>
  <si>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</si>
  <si>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</si>
  <si>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</si>
  <si>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</si>
  <si>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</si>
  <si>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</si>
  <si>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</si>
  <si>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</si>
  <si>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</si>
  <si>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</si>
  <si>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</si>
  <si>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</si>
  <si>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</si>
  <si>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</si>
  <si>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</si>
  <si>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</si>
  <si>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</si>
  <si>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</si>
  <si>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</si>
  <si>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</si>
  <si>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</si>
  <si>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</si>
  <si>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</si>
  <si>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</si>
  <si>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</si>
  <si>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</si>
  <si>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</si>
  <si>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</si>
  <si>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</si>
  <si>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</si>
  <si>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</si>
  <si>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</si>
  <si>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</si>
  <si>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</si>
  <si>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</si>
  <si>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</si>
  <si>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</si>
  <si>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</si>
  <si>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</si>
  <si>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</si>
  <si>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</si>
  <si>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</si>
  <si>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</si>
  <si>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</si>
  <si>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</si>
  <si>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</si>
  <si>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</si>
  <si>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</si>
  <si>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</si>
  <si>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</si>
  <si>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</si>
  <si>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</si>
  <si>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</si>
  <si>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</si>
  <si>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</si>
  <si>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</si>
  <si>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</si>
  <si>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</si>
  <si>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</si>
  <si>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</si>
  <si>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</si>
  <si>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</si>
  <si>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</si>
  <si>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</si>
  <si>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</si>
  <si>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</si>
  <si>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</si>
  <si>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</si>
  <si>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</si>
  <si>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</si>
  <si>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</si>
  <si>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</si>
  <si>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</si>
  <si>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</si>
  <si>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</si>
  <si>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</si>
  <si>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</si>
  <si>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</si>
  <si>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</si>
  <si>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</si>
  <si>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</si>
  <si>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</si>
  <si>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</si>
  <si>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</si>
  <si>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</si>
  <si>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</si>
  <si>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</si>
  <si>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</si>
  <si>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</si>
  <si>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</si>
  <si>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</si>
  <si>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</si>
  <si>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</si>
  <si>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</si>
  <si>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</si>
  <si>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</si>
  <si>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</si>
  <si>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</si>
  <si>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</si>
  <si>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</si>
  <si>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</si>
  <si>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</si>
  <si>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</si>
  <si>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</si>
  <si>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</si>
  <si>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</si>
  <si>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</si>
  <si>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</si>
  <si>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</si>
  <si>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</si>
  <si>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</si>
  <si>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</si>
  <si>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</si>
  <si>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</si>
  <si>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</si>
  <si>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</si>
  <si>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</si>
  <si>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</si>
  <si>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</si>
  <si>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</si>
  <si>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</si>
  <si>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</si>
  <si>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</si>
  <si>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</si>
  <si>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</si>
  <si>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</si>
  <si>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</si>
  <si>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</si>
  <si>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</si>
  <si>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</si>
  <si>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</si>
  <si>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</si>
  <si>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</si>
  <si>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</si>
  <si>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</si>
  <si>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</si>
  <si>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</si>
  <si>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</si>
  <si>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</si>
  <si>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</si>
  <si>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</si>
  <si>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</si>
  <si>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</si>
  <si>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</si>
  <si>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</si>
  <si>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</si>
  <si>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</si>
  <si>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</si>
  <si>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</si>
  <si>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</si>
  <si>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</si>
  <si>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</si>
  <si>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</si>
  <si>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</si>
  <si>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</si>
  <si>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</si>
  <si>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</si>
  <si>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</si>
  <si>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</si>
  <si>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</si>
  <si>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</si>
  <si>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</si>
  <si>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</si>
  <si>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</si>
  <si>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</si>
  <si>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</si>
  <si>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</si>
  <si>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</si>
  <si>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</si>
  <si>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</si>
  <si>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</si>
  <si>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</si>
  <si>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</si>
  <si>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</si>
  <si>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</si>
  <si>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</si>
  <si>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</si>
  <si>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</si>
  <si>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</si>
  <si>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</si>
  <si>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</si>
  <si>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</si>
  <si>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</si>
  <si>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</si>
  <si>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</si>
  <si>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</si>
  <si>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</si>
  <si>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</si>
  <si>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</si>
  <si>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</si>
  <si>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</si>
  <si>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</si>
  <si>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</si>
  <si>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</si>
  <si>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</si>
  <si>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</si>
  <si>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</si>
  <si>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</si>
  <si>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</si>
  <si>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</si>
  <si>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</si>
  <si>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</si>
  <si>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</si>
  <si>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</si>
  <si>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</si>
  <si>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</si>
  <si>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</si>
  <si>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</si>
  <si>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</si>
  <si>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</si>
  <si>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</si>
  <si>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</si>
  <si>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</si>
  <si>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</si>
  <si>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</si>
  <si>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</si>
  <si>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</si>
  <si>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</si>
  <si>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</si>
  <si>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</si>
  <si>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</si>
  <si>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</si>
  <si>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</si>
  <si>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</si>
  <si>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</si>
  <si>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</si>
  <si>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</si>
  <si>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</si>
  <si>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</si>
  <si>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</si>
  <si>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</si>
  <si>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</si>
  <si>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</si>
  <si>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</si>
  <si>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</si>
  <si>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</si>
  <si>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</si>
  <si>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</si>
  <si>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</si>
  <si>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</si>
  <si>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</si>
  <si>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</si>
  <si>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</si>
  <si>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</si>
  <si>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</si>
  <si>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</si>
  <si>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</si>
  <si>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</si>
  <si>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</si>
  <si>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</si>
  <si>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</si>
  <si>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</si>
  <si>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</si>
  <si>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</si>
  <si>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</si>
  <si>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</si>
  <si>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</si>
  <si>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</si>
  <si>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</si>
  <si>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</si>
  <si>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</si>
  <si>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</si>
  <si>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</si>
  <si>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</si>
  <si>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</si>
  <si>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</si>
  <si>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</si>
  <si>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</si>
  <si>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</si>
  <si>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 xml:space="preserve">Aus_OC18_1.150/Eux_Scz_Mar_18           </t>
  </si>
  <si>
    <t xml:space="preserve">Aus_MR19_4.350/Eux_Scz_Mar_18           </t>
  </si>
  <si>
    <t xml:space="preserve">Aus_JN19_1.950/Eux_Scz_Mar_18           </t>
  </si>
  <si>
    <t xml:space="preserve">Aus_OC19_0.250/Eux_Scz_Mar_18           </t>
  </si>
  <si>
    <t xml:space="preserve">Aus_JL20_3.900/Eux_Scz_Mar_18           </t>
  </si>
  <si>
    <t xml:space="preserve">Aus_SE21_3.500/Eux_Bob_Mar_18           </t>
  </si>
  <si>
    <t xml:space="preserve">Aus_AP22_3.650/Eux_Bob_Mar_18           </t>
  </si>
  <si>
    <t xml:space="preserve">Aus_SE22_0.000/Eux_Bob_Mar_18           </t>
  </si>
  <si>
    <t>Aus_SE22_0.000_EMTN</t>
  </si>
  <si>
    <t>Aus_SE22_0.000_EMTN/Eux_Bob_Mar_18</t>
  </si>
  <si>
    <t xml:space="preserve">Aus_JL23_0.000_REGS/Eux_Bob_Mar_18      </t>
  </si>
  <si>
    <t xml:space="preserve">Aus_OC23_1.750/Eux_Bob_Mar_18           </t>
  </si>
  <si>
    <t xml:space="preserve">Aus_OC24_1.650/Eux_Bob_Mar_18           </t>
  </si>
  <si>
    <t xml:space="preserve">Aus_OC25_1.200/Eux_Bun_Mar_18           </t>
  </si>
  <si>
    <t xml:space="preserve">Aus_MR26_4.850/Eux_Bun_Mar_18           </t>
  </si>
  <si>
    <t xml:space="preserve">Aus_OC26_0.750/Eux_Bun_Mar_18           </t>
  </si>
  <si>
    <t xml:space="preserve">Aus_AP27_0.500/Eux_Bun_Mar_18           </t>
  </si>
  <si>
    <t xml:space="preserve">Aus_JL27_6.25/Eux_Bun_Mar_18            </t>
  </si>
  <si>
    <t xml:space="preserve">Aus_MY34_2.400/Eux_Bun_Mar_18           </t>
  </si>
  <si>
    <t xml:space="preserve">Aus_MR37_4.150/Eux_Bun_Mar_18           </t>
  </si>
  <si>
    <t xml:space="preserve">Aus_JN44_3.150/Eux_Bun_Mar_18           </t>
  </si>
  <si>
    <t xml:space="preserve">Aus_FE47_1.500/Eux_Bun_Mar_18           </t>
  </si>
  <si>
    <t xml:space="preserve">Aus_JA62_3.800/Eux_Bun_Mar_18           </t>
  </si>
  <si>
    <t xml:space="preserve">Aus_NV86_1.500/Eux_Bun_Mar_18           </t>
  </si>
  <si>
    <t>Aus_SE17_2.100_EMTN/Eux_Bun_Mar_18</t>
  </si>
  <si>
    <t>Aus_SE17_2.100_EMTN</t>
  </si>
  <si>
    <t>AT0000A1XML2</t>
  </si>
  <si>
    <t xml:space="preserve">OLO52_MR18_4.000/Eux_Scz_Mar_18         </t>
  </si>
  <si>
    <t xml:space="preserve">OLO69_JN18_1.250/Eux_Scz_Mar_18         </t>
  </si>
  <si>
    <t xml:space="preserve">OLO55_MR19_4.000/Eux_Scz_Mar_18         </t>
  </si>
  <si>
    <t xml:space="preserve">OLO67_SE19_3.000/Eux_Scz_Mar_18         </t>
  </si>
  <si>
    <t xml:space="preserve">OLO58_SE20_3.750/Eux_Scz_Mar_18         </t>
  </si>
  <si>
    <t xml:space="preserve">OLO61_SE21_4.250/Eux_Bob_Mar_18         </t>
  </si>
  <si>
    <t xml:space="preserve">OLO48_MR22_4.000/Eux_Bob_Mar_18         </t>
  </si>
  <si>
    <t xml:space="preserve">OLO65_SE22_4.250/Eux_Bob_Mar_18         </t>
  </si>
  <si>
    <t xml:space="preserve">OLO68_JN23_2.250/Eux_Bob_Mar_18         </t>
  </si>
  <si>
    <t xml:space="preserve">OLO79_OC23_0.200/Eux_Bob_Mar_18         </t>
  </si>
  <si>
    <t xml:space="preserve">OLO72_JN24_2.600/Eux_Bob_Mar_18         </t>
  </si>
  <si>
    <t xml:space="preserve">OLO82_OC24_0.500/Eux_Bob_Mar_18         </t>
  </si>
  <si>
    <t xml:space="preserve">OLO74_JN25_0.800/Eux_Bun_Mar_18         </t>
  </si>
  <si>
    <t xml:space="preserve">OLO64_MR26_4.500/Eux_Bun_Mar_18         </t>
  </si>
  <si>
    <t xml:space="preserve">OLO77_JN26_1.000/Eux_Bun_Mar_18         </t>
  </si>
  <si>
    <t xml:space="preserve">OLO81_JN27_0.800/Eux_Bun_Mar_18         </t>
  </si>
  <si>
    <t xml:space="preserve">OLO31_MR28_5.50/Eux_Bun_Mar_18          </t>
  </si>
  <si>
    <t xml:space="preserve">OLO75_JN31_1.000/Eux_Bun_Mar_18         </t>
  </si>
  <si>
    <t xml:space="preserve">OLO66_MR32_4.000/Eux_Bun_Mar_18         </t>
  </si>
  <si>
    <t xml:space="preserve">OLO73_JN34_3.000/Eux_Bun_Mar_18         </t>
  </si>
  <si>
    <t xml:space="preserve">OLO44_MR35_5.000/Eux_Bun_Mar_18         </t>
  </si>
  <si>
    <t xml:space="preserve">OLO84_JN37_1.450/Eux_Bun_Mar_18         </t>
  </si>
  <si>
    <t xml:space="preserve">OLO76_JN38_1.900/Eux_Bun_Mar_18         </t>
  </si>
  <si>
    <t xml:space="preserve">OLO60_MR41_4.250/Eux_Bun_Mar_18         </t>
  </si>
  <si>
    <t xml:space="preserve">OLO71_JN45_3.750/Eux_Bun_Mar_18         </t>
  </si>
  <si>
    <t xml:space="preserve">OLO78_JN47_1.600/Eux_Bun_Mar_18         </t>
  </si>
  <si>
    <t xml:space="preserve">OLO83_JN57_2.250/Eux_Bun_Mar_18         </t>
  </si>
  <si>
    <t xml:space="preserve">OLO80_JN66_2.150/Eux_Bun_Mar_18         </t>
  </si>
  <si>
    <t xml:space="preserve">Obl_166_0.250/Eux_Scz_Mar_18            </t>
  </si>
  <si>
    <t xml:space="preserve">Bun_JN18S_0.000/Eux_Scz_Mar_18          </t>
  </si>
  <si>
    <t xml:space="preserve">Bun_JL18_4.250/Eux_Scz_Mar_18           </t>
  </si>
  <si>
    <t xml:space="preserve">Bun_SE18S_0.000/Eux_Scz_Mar_18          </t>
  </si>
  <si>
    <t xml:space="preserve">Obl_167_1.000/Eux_Scz_Mar_18            </t>
  </si>
  <si>
    <t xml:space="preserve">Bun_DE18S_0.000/Eux_Scz_Mar_18          </t>
  </si>
  <si>
    <t xml:space="preserve">Bun_JA19_3.750/Eux_Scz_Mar_18           </t>
  </si>
  <si>
    <t xml:space="preserve">Obl_168_1.000/Eux_Scz_Mar_18            </t>
  </si>
  <si>
    <t xml:space="preserve">Bun_MR19S_0.000/Eux_Scz_Mar_18          </t>
  </si>
  <si>
    <t xml:space="preserve">Obl_169_0.500/Eux_Scz_Mar_18            </t>
  </si>
  <si>
    <t xml:space="preserve">Bun_JN19S_0.000/Eux_Scz_Mar_18          </t>
  </si>
  <si>
    <t xml:space="preserve">Bun_JL19_3.500/Eux_Scz_Mar_18           </t>
  </si>
  <si>
    <t xml:space="preserve">Bun_SE19S_0.000/Eux_Scz_Mar_18          </t>
  </si>
  <si>
    <t xml:space="preserve">Obl_170_0.250/Eux_Scz_Mar_18            </t>
  </si>
  <si>
    <t xml:space="preserve">Bun_DE19S_0.000/Eux_Scz_Mar_18          </t>
  </si>
  <si>
    <t>Bun_DE19S_0.000</t>
  </si>
  <si>
    <t xml:space="preserve">Bun_JA20_3.250/Eux_Scz_Mar_18           </t>
  </si>
  <si>
    <t xml:space="preserve">Obl_171_0.000/Eux_Scz_Mar_18            </t>
  </si>
  <si>
    <t xml:space="preserve">Bun_JL20_3.000/Eux_Scz_Mar_18           </t>
  </si>
  <si>
    <t xml:space="preserve">Bun_SE20_2.250/Eux_Scz_Mar_18           </t>
  </si>
  <si>
    <t xml:space="preserve">Obl_172_0.250/Eux_Scz_Mar_18            </t>
  </si>
  <si>
    <t xml:space="preserve">Bun_JA21_2.500/Eux_Scz_Mar_18           </t>
  </si>
  <si>
    <t xml:space="preserve">Obl_173_0.000/Eux_Bob_Mar_18            </t>
  </si>
  <si>
    <t xml:space="preserve">Bun_JL21_3.250/Eux_Bob_Mar_18           </t>
  </si>
  <si>
    <t xml:space="preserve">Bun_SE21_2.250/Eux_Bob_Mar_18           </t>
  </si>
  <si>
    <t xml:space="preserve">Obl_174_0.000/Eux_Bob_Mar_18            </t>
  </si>
  <si>
    <t xml:space="preserve">Bun_JA22_2.000/Eux_Bob_Mar_18           </t>
  </si>
  <si>
    <t xml:space="preserve">Obl_175_0.000/Eux_Bob_Mar_18            </t>
  </si>
  <si>
    <t xml:space="preserve">Bun_JL22_1.750/Eux_Bob_Mar_18           </t>
  </si>
  <si>
    <t xml:space="preserve">Bun_SE22_1.500/Eux_Bob_Mar_18           </t>
  </si>
  <si>
    <t xml:space="preserve">Obl_176_0.000/Eux_Bob_Mar_18            </t>
  </si>
  <si>
    <t xml:space="preserve">Bun_FE23_1.500/Eux_Bob_Mar_18           </t>
  </si>
  <si>
    <t xml:space="preserve">Bun_MY23_1.500/Eux_Bob_Mar_18           </t>
  </si>
  <si>
    <t xml:space="preserve">Bun_AG23_2.000/Eux_Bob_Mar_18           </t>
  </si>
  <si>
    <t xml:space="preserve">Bun_JA24_6.25/Eux_Bob_Mar_18            </t>
  </si>
  <si>
    <t xml:space="preserve">Bun_FE24_1.750/Eux_Bob_Mar_18           </t>
  </si>
  <si>
    <t xml:space="preserve">Bun_MY24_1.500/Eux_Bob_Mar_18           </t>
  </si>
  <si>
    <t xml:space="preserve">Bun_AG24_1.000/Eux_Bob_Mar_18           </t>
  </si>
  <si>
    <t xml:space="preserve">Bun_FE25_0.500/Eux_Bob_Mar_18           </t>
  </si>
  <si>
    <t xml:space="preserve">Bun_AG25_1.000/Eux_Bun_Mar_18           </t>
  </si>
  <si>
    <t xml:space="preserve">Bun_FE26_0.500/Eux_Bun_Mar_18           </t>
  </si>
  <si>
    <t xml:space="preserve">Bun_AG26_0.000/Eux_Bun_Mar_18           </t>
  </si>
  <si>
    <t xml:space="preserve">Bun_FE27_0.250/Eux_Bun_Mar_18           </t>
  </si>
  <si>
    <t xml:space="preserve">Bun_JL27_6.50/Eux_Bun_Mar_18            </t>
  </si>
  <si>
    <t xml:space="preserve">Bun_AG27_0.500/Eux_Bun_Mar_18           </t>
  </si>
  <si>
    <t xml:space="preserve">Bun_JA28_5.625/Eux_Bun_Mar_18           </t>
  </si>
  <si>
    <t xml:space="preserve">Bun_JL28_4.75/Eux_Bun_Mar_18            </t>
  </si>
  <si>
    <t xml:space="preserve">Bun_JA30_6.25/Eux_Bun_Mar_18            </t>
  </si>
  <si>
    <t xml:space="preserve">Bun_JA31_5.500/Eux_Bun_Mar_18           </t>
  </si>
  <si>
    <t xml:space="preserve">Bun_JL34_4.750/Eux_Bun_Mar_18           </t>
  </si>
  <si>
    <t xml:space="preserve">Bun_JL34_4.750/Eux_Bux_Mar_18           </t>
  </si>
  <si>
    <t xml:space="preserve">Bun_JA37_4.000/Eux_Bun_Mar_18           </t>
  </si>
  <si>
    <t xml:space="preserve">Bun_JA37_4.000/Eux_Bux_Mar_18           </t>
  </si>
  <si>
    <t xml:space="preserve">Bun_JL39_4.25/Eux_Bun_Mar_18            </t>
  </si>
  <si>
    <t xml:space="preserve">Bun_JL39_4.25/Eux_Bux_Mar_18            </t>
  </si>
  <si>
    <t xml:space="preserve">Bun_JL40_4.750/Eux_Bun_Mar_18           </t>
  </si>
  <si>
    <t xml:space="preserve">Bun_JL40_4.750/Eux_Bux_Mar_18           </t>
  </si>
  <si>
    <t xml:space="preserve">Bun_JL42_3.250/Eux_Bux_Mar_18           </t>
  </si>
  <si>
    <t xml:space="preserve">Bun_JL44_2.500/Eux_Bux_Mar_18           </t>
  </si>
  <si>
    <t xml:space="preserve">Bun_AG46_2.500/Eux_Bux_Mar_18           </t>
  </si>
  <si>
    <t xml:space="preserve">Bun_AG48_1.250/Eux_Bux_Mar_18           </t>
  </si>
  <si>
    <t>Bun_AG48_1.250</t>
  </si>
  <si>
    <t xml:space="preserve">Fin_SE18_1.125/Eux_Scz_Mar_18           </t>
  </si>
  <si>
    <t xml:space="preserve">Fin_JL19_4.375/Eux_Scz_Mar_18           </t>
  </si>
  <si>
    <t xml:space="preserve">FINL_AP20_3.375/Eux_Scz_Mar_18          </t>
  </si>
  <si>
    <t xml:space="preserve">Fin_SE20_0.375/Eux_Scz_Mar_18           </t>
  </si>
  <si>
    <t xml:space="preserve">Fin_AP21_3.500/Eux_Bob_Mar_18           </t>
  </si>
  <si>
    <t xml:space="preserve">Finl_AP22_0.000/Eux_Bob_Mar_18          </t>
  </si>
  <si>
    <t xml:space="preserve">FINL_SE22_1.625/Eux_Bob_Mar_18          </t>
  </si>
  <si>
    <t xml:space="preserve">FINL_AP23_1.500/Eux_Bob_Mar_18          </t>
  </si>
  <si>
    <t xml:space="preserve">Fin_SE23_0.000/Eux_Bob_Mar_18           </t>
  </si>
  <si>
    <t xml:space="preserve">FINL_AP24_2.000/Eux_Bob_Mar_18          </t>
  </si>
  <si>
    <t xml:space="preserve">FINL_JL25_4.000/Eux_Bun_Mar_18          </t>
  </si>
  <si>
    <t xml:space="preserve">Fin_SE25_0.875/Eux_Bun_Mar_18           </t>
  </si>
  <si>
    <t xml:space="preserve">Fin_AP26_0.500/Eux_Bun_Mar_18           </t>
  </si>
  <si>
    <t xml:space="preserve">Fin_SE27_0.500/Eux_Bun_Mar_18           </t>
  </si>
  <si>
    <t>Fin_SE27_0.500</t>
  </si>
  <si>
    <t>FI4000278551</t>
  </si>
  <si>
    <t xml:space="preserve">Fin_JL28_2.750/Eux_Bun_Mar_18           </t>
  </si>
  <si>
    <t xml:space="preserve">Fin_AP31_0.750/Eux_Bun_Mar_18           </t>
  </si>
  <si>
    <t xml:space="preserve">Fin_JL42_2.625/Eux_Bun_Mar_18           </t>
  </si>
  <si>
    <t xml:space="preserve">Finl_AP47_1.375/Eux_Bun_Mar_18          </t>
  </si>
  <si>
    <t xml:space="preserve">Oat_FE18_0.000/Eux_Scz_Mar_18           </t>
  </si>
  <si>
    <t xml:space="preserve">Oat_AP18_4.000/Eux_Scz_Mar_18           </t>
  </si>
  <si>
    <t xml:space="preserve">Oat_MY18_1.000/Eux_Scz_Mar_18           </t>
  </si>
  <si>
    <t xml:space="preserve">Oat_OC18_4.250/Eux_Scz_Mar_18           </t>
  </si>
  <si>
    <t xml:space="preserve">Oat_NV18_1.000/Eux_Scz_Mar_18           </t>
  </si>
  <si>
    <t xml:space="preserve">Oat_FE19_0.000/Eux_Scz_Mar_18           </t>
  </si>
  <si>
    <t xml:space="preserve">Oat_AP19_4.25/Eux_Scz_Mar_18            </t>
  </si>
  <si>
    <t xml:space="preserve">Oat_MY19_1.000/Eux_Scz_Mar_18           </t>
  </si>
  <si>
    <t xml:space="preserve">Oat_OC19_3.750/Eux_Scz_Mar_18           </t>
  </si>
  <si>
    <t xml:space="preserve">Oat_NV19_0.500/Eux_Scz_Mar_18           </t>
  </si>
  <si>
    <t xml:space="preserve">Oat_FE20_0.000/Eux_Scz_Mar_18           </t>
  </si>
  <si>
    <t xml:space="preserve">Oat_AP20_3.500/Eux_Scz_Mar_18           </t>
  </si>
  <si>
    <t xml:space="preserve">Oat_MY20_0.000/Eux_Scz_Mar_18           </t>
  </si>
  <si>
    <t xml:space="preserve">Oat_OC20_2.500/Eux_Scz_Mar_18           </t>
  </si>
  <si>
    <t xml:space="preserve">Oat_NV20_0.250/Eux_Scz_Mar_18           </t>
  </si>
  <si>
    <t xml:space="preserve">Oat_AP21_3.750/Eux_Bob_Mar_18           </t>
  </si>
  <si>
    <t xml:space="preserve">Oat_MY21_0.000/Eux_Bob_Mar_18           </t>
  </si>
  <si>
    <t xml:space="preserve">Oat_OC21_3.250/Eux_Bob_Mar_18           </t>
  </si>
  <si>
    <t xml:space="preserve">Oat_AP22_3.000/Eux_Bob_Mar_18           </t>
  </si>
  <si>
    <t xml:space="preserve">Oat_MY22_0.000/Eux_Bob_Mar_18           </t>
  </si>
  <si>
    <t xml:space="preserve">Oat_OC22_2.250/Eux_Bob_Mar_18           </t>
  </si>
  <si>
    <t xml:space="preserve">Oat_MR23_0.000/Eux_Bob_Mar_18           </t>
  </si>
  <si>
    <t>Oat_MR23_0.000</t>
  </si>
  <si>
    <t xml:space="preserve">Oat_MY23_1.750/Eux_Bob_Mar_18           </t>
  </si>
  <si>
    <t xml:space="preserve">Oat_OC23_4.250/Eux_Bob_Mar_18           </t>
  </si>
  <si>
    <t xml:space="preserve">Oat_MY24_2.250/Eux_Oat_Mar_18           </t>
  </si>
  <si>
    <t xml:space="preserve">Oat_NV24_1.750/Eux_Oat_Mar_18           </t>
  </si>
  <si>
    <t xml:space="preserve">Oat_MY25_0.500/Eux_Oat_Mar_18           </t>
  </si>
  <si>
    <t xml:space="preserve">Oat_OC25_6.00/Eux_Oat_Mar_18            </t>
  </si>
  <si>
    <t xml:space="preserve">Oat_NV25_1.000/Eux_Oat_Mar_18           </t>
  </si>
  <si>
    <t xml:space="preserve">Oat_AP26_3.500/Eux_Oat_Mar_18           </t>
  </si>
  <si>
    <t xml:space="preserve">Oat_MY26_0.500/Eux_Oat_Mar_18           </t>
  </si>
  <si>
    <t xml:space="preserve">Oat_NV26_0.250/Eux_Oat_Mar_18           </t>
  </si>
  <si>
    <t xml:space="preserve">Oat_MY27_1.000/Eux_Oat_Mar_18           </t>
  </si>
  <si>
    <t xml:space="preserve">Oat_OC27_2.750/Eux_Oat_Mar_18           </t>
  </si>
  <si>
    <t>Oat_MY28_0.750/Eux_Oat_Mar_18</t>
  </si>
  <si>
    <t>Oat_MY28_0.750</t>
  </si>
  <si>
    <t xml:space="preserve">Oat_AP29_5.50/Eux_Oat_Mar_18            </t>
  </si>
  <si>
    <t xml:space="preserve">Oat_MY30_2.500/Eux_Oat_Mar_18           </t>
  </si>
  <si>
    <t xml:space="preserve">Oat_MY31_1.500/Eux_Oat_Mar_18           </t>
  </si>
  <si>
    <t xml:space="preserve">Oat_OC32_5.75/Eux_Oat_Mar_18            </t>
  </si>
  <si>
    <t xml:space="preserve">Oat_AP35_4.750/Eux_Oat_Mar_18           </t>
  </si>
  <si>
    <t xml:space="preserve">Oat_MY36_1.250/Eux_Oat_Mar_18           </t>
  </si>
  <si>
    <t xml:space="preserve">Oat_OC38_4.000/Eux_Oat_Mar_18           </t>
  </si>
  <si>
    <t xml:space="preserve">Oat_JN39_1.750/Eux_Oat_Mar_18           </t>
  </si>
  <si>
    <t xml:space="preserve">Oat_AP41_4.500/Eux_Oat_Mar_18           </t>
  </si>
  <si>
    <t xml:space="preserve">Oat_MY45_3.250/Eux_Oat_Mar_18           </t>
  </si>
  <si>
    <t xml:space="preserve">Oat_MY48_2.000/Eux_Oat_Mar_18           </t>
  </si>
  <si>
    <t xml:space="preserve">Oat_AP55_4.000/Eux_Oat_Mar_18           </t>
  </si>
  <si>
    <t xml:space="preserve">Oat_AP60_4.000/Eux_Oat_Mar_18           </t>
  </si>
  <si>
    <t xml:space="preserve">Oat_MY66_1.750/Eux_Oat_Mar_18           </t>
  </si>
  <si>
    <t xml:space="preserve">BTPS_MY18_0.250/Eux_Bts_Mar_18          </t>
  </si>
  <si>
    <t xml:space="preserve">Btp_JN18_3.500/Eux_Bts_Mar_18           </t>
  </si>
  <si>
    <t xml:space="preserve">BTPS_AG18_4.500/Eux_Bts_Mar_18          </t>
  </si>
  <si>
    <t xml:space="preserve">BTPS_OC18_0.300/Eux_Bts_Mar_18          </t>
  </si>
  <si>
    <t xml:space="preserve">Btp_DE18_3.500/Eux_Bts_Mar_18           </t>
  </si>
  <si>
    <t xml:space="preserve">Btp_FE19_4.250/Eux_Bts_Mar_18           </t>
  </si>
  <si>
    <t xml:space="preserve">Btp_MR19_4.500/Eux_Bts_Mar_18           </t>
  </si>
  <si>
    <t xml:space="preserve">BTPS_AP19_0.100/Eux_Bts_Mar_18          </t>
  </si>
  <si>
    <t xml:space="preserve">BTPS_MY19_2.500/Eux_Bts_Mar_18          </t>
  </si>
  <si>
    <t xml:space="preserve">BTPS_AG19_1.500/Eux_Bts_Mar_18          </t>
  </si>
  <si>
    <t xml:space="preserve">Btp_SE19_4.250/Eux_Bts_Mar_18           </t>
  </si>
  <si>
    <t xml:space="preserve">BTPS_OC19_0.050/Eux_Bts_Mar_18          </t>
  </si>
  <si>
    <t xml:space="preserve">BTPS_DE19_1.050/Eux_Bts_Mar_18          </t>
  </si>
  <si>
    <t xml:space="preserve">Btp_FE20_4.500/Eux_Bts_Mar_18           </t>
  </si>
  <si>
    <t xml:space="preserve">BTPS_MR20_4.250/Eux_Bts_Mar_18          </t>
  </si>
  <si>
    <t xml:space="preserve">BTPS_MY20_0.700/Eux_Bts_Mar_18          </t>
  </si>
  <si>
    <t xml:space="preserve">BTPS_JN20_0.350/Eux_Bts_Mar_18          </t>
  </si>
  <si>
    <t xml:space="preserve">BTPS_SE20_4.000/Eux_Bts_Mar_18          </t>
  </si>
  <si>
    <t xml:space="preserve">BTPS_OC20_0.200/Eux_Bts_Mar_18          </t>
  </si>
  <si>
    <t>BTPS_OC20_0.200</t>
  </si>
  <si>
    <t xml:space="preserve">BTPS_NV20_0.650/Eux_Bts_Mar_18          </t>
  </si>
  <si>
    <t xml:space="preserve">BTPS_MR21_3.750/Eux_Bts_Mar_18          </t>
  </si>
  <si>
    <t xml:space="preserve">Btp_MY21_3.750/Eux_Btp_Mar_18           </t>
  </si>
  <si>
    <t xml:space="preserve">BTPS_JN21_0.450/Eux_Btp_Mar_18          </t>
  </si>
  <si>
    <t xml:space="preserve">BTPS_AG21_3.750/Eux_Btp_Mar_18          </t>
  </si>
  <si>
    <t xml:space="preserve">BTPS_SE21_4.750/Eux_Btp_Mar_18          </t>
  </si>
  <si>
    <t xml:space="preserve">BTPS_NV21_0.350/Eux_Btp_Mar_18          </t>
  </si>
  <si>
    <t xml:space="preserve">BTPS_DE21_2.150/Eux_Btp_Mar_18          </t>
  </si>
  <si>
    <t xml:space="preserve">BTPS_MR22_5.000/Eux_Btp_Mar_18          </t>
  </si>
  <si>
    <t xml:space="preserve">BTPS_AP22_1.200/Eux_Btp_Mar_18          </t>
  </si>
  <si>
    <t xml:space="preserve">BTPS_AP22_1.350/Eux_Btp_Mar_18          </t>
  </si>
  <si>
    <t xml:space="preserve">BTPS_AG22_0.900/Eux_Btp_Mar_18          </t>
  </si>
  <si>
    <t xml:space="preserve">BTPS_AG22_0.900                         </t>
  </si>
  <si>
    <t xml:space="preserve">Btp_SE22_5.500/Eux_Btp_Mar_18           </t>
  </si>
  <si>
    <t xml:space="preserve">BTPS_SE22_1.450/Eux_Btp_Mar_18          </t>
  </si>
  <si>
    <t xml:space="preserve">BTPS_NV22_5.500/Eux_Btp_Mar_18          </t>
  </si>
  <si>
    <t xml:space="preserve">BTPS_MR23_0.950/Eux_Btp_Mar_18          </t>
  </si>
  <si>
    <t xml:space="preserve">BTPS_MY23_4.500/Eux_Btp_Mar_18          </t>
  </si>
  <si>
    <t xml:space="preserve">BTPS_AG23_4.750/Eux_Btp_Mar_18          </t>
  </si>
  <si>
    <t xml:space="preserve">BTPS_OC23_0.650/Eux_Btp_Mar_18          </t>
  </si>
  <si>
    <t xml:space="preserve">Btp_NV23_9.00/Eux_Btp_Mar_18            </t>
  </si>
  <si>
    <t xml:space="preserve">Btp_DE23_8.50/Eux_Btp_Mar_18            </t>
  </si>
  <si>
    <t xml:space="preserve">BTPS_MR24_4.500/Eux_Btp_Mar_18          </t>
  </si>
  <si>
    <t xml:space="preserve">BTPS_MY24_1.850/Eux_Btp_Mar_18          </t>
  </si>
  <si>
    <t xml:space="preserve">BTPS_SE24_3.750/Eux_Btp_Mar_18          </t>
  </si>
  <si>
    <t xml:space="preserve">BTPS_NV24_1.450/Eux_Btp_Mar_18          </t>
  </si>
  <si>
    <t>BTPS_NV24_1.450</t>
  </si>
  <si>
    <t xml:space="preserve">BTPS_DE24_2.500/Eux_Btp_Mar_18          </t>
  </si>
  <si>
    <t xml:space="preserve">Btp_MR25_5.000/Eux_Btp_Mar_18           </t>
  </si>
  <si>
    <t xml:space="preserve">BTPS_JN25_1.500/Eux_Btp_Mar_18          </t>
  </si>
  <si>
    <t xml:space="preserve">BTPS_DE25_2.000/Eux_Btp_Mar_18          </t>
  </si>
  <si>
    <t xml:space="preserve">Btp_MR26_4.500/Eux_Btp_Mar_18           </t>
  </si>
  <si>
    <t xml:space="preserve">Btp_JN26_1.600/Eux_Btp_Mar_18           </t>
  </si>
  <si>
    <t xml:space="preserve">Btp_NV26_7.25/Eux_Btp_Mar_18            </t>
  </si>
  <si>
    <t xml:space="preserve">BTPS_DE26_1.250/Eux_Btp_Mar_18          </t>
  </si>
  <si>
    <t xml:space="preserve">BTPS_JN27_2.200/Eux_Btp_Mar_18          </t>
  </si>
  <si>
    <t xml:space="preserve">BTPS_AG27_2.050/Eux_Btp_Mar_18          </t>
  </si>
  <si>
    <t xml:space="preserve">Btp_NV27_6.50/Eux_Btp_Mar_18            </t>
  </si>
  <si>
    <t xml:space="preserve">Btp_SE28_4.750/Eux_Btp_Mar_18           </t>
  </si>
  <si>
    <t xml:space="preserve">Btp_NV29_5.25/Eux_Btp_Mar_18            </t>
  </si>
  <si>
    <t xml:space="preserve">BTPS_MR30_3.500/Eux_Btp_Mar_18          </t>
  </si>
  <si>
    <t xml:space="preserve">Btp_MY31_6.000/Eux_Btp_Mar_18           </t>
  </si>
  <si>
    <t xml:space="preserve">BTPS_MR32_1.650/Eux_Btp_Mar_18          </t>
  </si>
  <si>
    <t xml:space="preserve">Btp_FE33_5.75/Eux_Btp_Mar_18            </t>
  </si>
  <si>
    <t xml:space="preserve">BTPS_SE33_2.450/Eux_Btp_Mar_18          </t>
  </si>
  <si>
    <t xml:space="preserve">Btp_AG34_5.00/Eux_Btp_Mar_18            </t>
  </si>
  <si>
    <t xml:space="preserve">BTPS_SE36_2.250/Eux_Btp_Mar_18          </t>
  </si>
  <si>
    <t xml:space="preserve">Btp_FE37_4.000/Eux_Btp_Mar_18           </t>
  </si>
  <si>
    <t xml:space="preserve">Btp_AG39_5.000/Eux_Btp_Mar_18           </t>
  </si>
  <si>
    <t xml:space="preserve">BTPS_SE40_5.000/Eux_Btp_Mar_18          </t>
  </si>
  <si>
    <t xml:space="preserve">Btp_SE44_4.750/Eux_Btp_Mar_18           </t>
  </si>
  <si>
    <t xml:space="preserve">Btp_SE46_3.250/Eux_Btp_Mar_18           </t>
  </si>
  <si>
    <t xml:space="preserve">BTPS_MR47_2.700/Eux_Btp_Mar_18          </t>
  </si>
  <si>
    <t xml:space="preserve">BTPS_MR48_3.450/Eux_Btp_Mar_18          </t>
  </si>
  <si>
    <t>BTPS_MR48_3.450</t>
  </si>
  <si>
    <t xml:space="preserve">BTPS_MR67_2.800/Eux_Btp_Mar_18          </t>
  </si>
  <si>
    <t xml:space="preserve">Dsl_AP18_0.000/Eux_Scz_Mar_18           </t>
  </si>
  <si>
    <t xml:space="preserve">Dsl_JL18_4.000/Eux_Scz_Mar_18           </t>
  </si>
  <si>
    <t xml:space="preserve">Dsl_JA19_1.250/Eux_Scz_Mar_18           </t>
  </si>
  <si>
    <t xml:space="preserve">Dsl_JL19_4.000/Eux_Scz_Mar_18           </t>
  </si>
  <si>
    <t xml:space="preserve">Dsl_JA20_0.250/Eux_Scz_Mar_18           </t>
  </si>
  <si>
    <t xml:space="preserve">Dsl_JL20_3.500/Eux_Scz_Mar_18           </t>
  </si>
  <si>
    <t xml:space="preserve">Dsl_JL21_3.250/Eux_Bob_Mar_18           </t>
  </si>
  <si>
    <t xml:space="preserve">Dsl_JA22_0.000/Eux_Bob_Mar_18           </t>
  </si>
  <si>
    <t xml:space="preserve">Dsl_JL22_2.250/Eux_Bob_Mar_18           </t>
  </si>
  <si>
    <t xml:space="preserve">Dsl_JA23_3.750/Eux_Bob_Mar_18           </t>
  </si>
  <si>
    <t xml:space="preserve">Dsl_JA23_7.50/Eux_Bob_Mar_18            </t>
  </si>
  <si>
    <t xml:space="preserve">Dsl_JL23_1.750/Eux_Bob_Mar_18           </t>
  </si>
  <si>
    <t>Dsl_JL24_2.000/Eux_Bob_Mar_18</t>
  </si>
  <si>
    <t xml:space="preserve">Dsl_JA24_0.000                          </t>
  </si>
  <si>
    <t>NL0012650469</t>
  </si>
  <si>
    <t xml:space="preserve">Dsl_JL24_2.000/Eux_Bob_Mar_18           </t>
  </si>
  <si>
    <t xml:space="preserve">Dsl_JL25_0.250/Eux_Bun_Mar_18           </t>
  </si>
  <si>
    <t xml:space="preserve">Dsl_JL26_0.500/Eux_Bun_Mar_18           </t>
  </si>
  <si>
    <t xml:space="preserve">Dsl_JL27_0.750/Eux_Bun_Mar_18           </t>
  </si>
  <si>
    <t xml:space="preserve">Dsl_JA28_5.50/Eux_Bun_Mar_18            </t>
  </si>
  <si>
    <t xml:space="preserve">Dsl_JA33_2.500/Eux_Bun_Mar_18           </t>
  </si>
  <si>
    <t xml:space="preserve">DSL_JA37_4.000/Eux_Bun_Mar_18           </t>
  </si>
  <si>
    <t xml:space="preserve">DSL_JA42_3.750/Eux_Bun_Mar_18           </t>
  </si>
  <si>
    <t xml:space="preserve">Dsl_JA47_2.750/Eux_Bun_Mar_18           </t>
  </si>
  <si>
    <t>H8</t>
  </si>
  <si>
    <t>FGBSH8</t>
  </si>
  <si>
    <t>FGBMH8</t>
  </si>
  <si>
    <t>FGBLH8</t>
  </si>
  <si>
    <t>FBTSH8</t>
  </si>
  <si>
    <t>FOATH8</t>
  </si>
  <si>
    <t>FBTPH8</t>
  </si>
  <si>
    <t>AT0000A1XM92</t>
  </si>
  <si>
    <t>IT0000366721</t>
  </si>
  <si>
    <t>FGBXH8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</si>
  <si>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</si>
  <si>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</si>
  <si>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</si>
  <si>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</si>
  <si>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</si>
  <si>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</si>
  <si>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</si>
  <si>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</si>
  <si>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</si>
  <si>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</si>
  <si>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</si>
  <si>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</si>
  <si>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</si>
  <si>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</si>
  <si>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</si>
  <si>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</si>
  <si>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</si>
  <si>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</si>
  <si>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Btp_FB28_2/Eux_Btp_Mar_18            </t>
  </si>
  <si>
    <t xml:space="preserve">Btp_FB28_2.0                           </t>
  </si>
  <si>
    <t xml:space="preserve">Calcolare CF </t>
  </si>
  <si>
    <t>Selezionare titolo, funzione YA su bbg, settlement data scadenza future, yield al 6%, il prezzo corrispondente è il CF</t>
  </si>
  <si>
    <t>edf</t>
  </si>
  <si>
    <t>nbg</t>
  </si>
  <si>
    <t>masa+puri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</si>
  <si>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</si>
  <si>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</si>
  <si>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</si>
  <si>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</si>
  <si>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</si>
  <si>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</si>
  <si>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</si>
  <si>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</si>
  <si>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</si>
  <si>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</si>
  <si>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</si>
  <si>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</si>
  <si>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</si>
  <si>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</si>
  <si>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</si>
  <si>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</si>
  <si>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</si>
  <si>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</si>
  <si>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</si>
  <si>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</si>
  <si>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</si>
  <si>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</si>
  <si>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</si>
  <si>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</si>
  <si>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</si>
  <si>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</si>
  <si>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</si>
  <si>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</si>
  <si>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</si>
  <si>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</si>
  <si>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</si>
  <si>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</si>
  <si>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</si>
  <si>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</si>
  <si>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</si>
  <si>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</si>
  <si>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</si>
  <si>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</si>
  <si>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</si>
  <si>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</si>
  <si>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</si>
  <si>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</si>
  <si>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</si>
  <si>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</si>
  <si>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</si>
  <si>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</si>
  <si>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</si>
  <si>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</si>
  <si>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</si>
  <si>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</si>
  <si>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instrument</t>
  </si>
  <si>
    <t>#ERROR: Invalid ISIN</t>
  </si>
  <si>
    <t>FR0010870956=</t>
  </si>
  <si>
    <t>EI1823166</t>
  </si>
  <si>
    <t>BTP  15-May-24  1.85</t>
  </si>
  <si>
    <t>BTP  15-Apr-22  1.35</t>
  </si>
  <si>
    <t>BTP  01-May-20  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</si>
</sst>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00000000000"/>
    <numFmt numFmtId="204" formatCode="0.0%"/>
    <numFmt numFmtId="205" formatCode="dd\-mmm"/>
    <numFmt numFmtId="206" formatCode="[$-409]mmm\-yy;@"/>
    <numFmt numFmtId="207" formatCode="d\.m\.yy;@"/>
    <numFmt numFmtId="208" formatCode="[$-409]dd\-mmm\-yy;@"/>
    <numFmt numFmtId="209" formatCode="[$-F800]dddd\,\ mmmm\ dd\,\ yyyy"/>
    <numFmt numFmtId="210" formatCode="#,##0_ ;\(#,##0\)\ "/>
    <numFmt numFmtId="211" formatCode="_(&quot;£&quot;* #,##0.00_);_(&quot;£&quot;* \(#,##0.00\);_(&quot;£&quot;* &quot;-&quot;??_);_(@_)"/>
    <numFmt numFmtId="212" formatCode="##,#0_;\(#,##0\)\ "/>
  </numFmts>
  <fonts count="19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</fonts>
  <fills count="122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</borders>
  <cellStyleXfs count="55974">
    <xf numFmtId="0" fontId="0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3" borderId="0" applyNumberFormat="0" applyBorder="0" applyAlignment="0" applyProtection="0"/>
    <xf numFmtId="0" fontId="44" fillId="7" borderId="0" applyNumberFormat="0" applyBorder="0" applyAlignment="0" applyProtection="0"/>
    <xf numFmtId="0" fontId="44" fillId="8" borderId="0" applyNumberFormat="0" applyBorder="0" applyAlignment="0" applyProtection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3" borderId="0" applyNumberFormat="0" applyBorder="0" applyAlignment="0" applyProtection="0"/>
    <xf numFmtId="0" fontId="44" fillId="6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2" borderId="0" applyNumberFormat="0" applyBorder="0" applyAlignment="0" applyProtection="0"/>
    <xf numFmtId="0" fontId="44" fillId="6" borderId="0" applyNumberFormat="0" applyBorder="0" applyAlignment="0" applyProtection="0"/>
    <xf numFmtId="0" fontId="44" fillId="3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4" borderId="0" applyNumberFormat="0" applyBorder="0" applyAlignment="0" applyProtection="0"/>
    <xf numFmtId="0" fontId="44" fillId="16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19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0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6" fillId="24" borderId="0" applyNumberFormat="0" applyBorder="0" applyAlignment="0" applyProtection="0"/>
    <xf numFmtId="0" fontId="47" fillId="25" borderId="1" applyNumberFormat="0" applyAlignment="0" applyProtection="0"/>
    <xf numFmtId="0" fontId="47" fillId="5" borderId="1" applyNumberFormat="0" applyAlignment="0" applyProtection="0"/>
    <xf numFmtId="0" fontId="55" fillId="0" borderId="2" applyNumberFormat="0" applyFill="0" applyAlignment="0" applyProtection="0"/>
    <xf numFmtId="0" fontId="48" fillId="26" borderId="3" applyNumberFormat="0" applyAlignment="0" applyProtection="0"/>
    <xf numFmtId="0" fontId="48" fillId="8" borderId="3" applyNumberFormat="0" applyAlignment="0" applyProtection="0"/>
    <xf numFmtId="0" fontId="45" fillId="27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9" fillId="0" borderId="0" applyNumberFormat="0" applyFill="0" applyBorder="0" applyAlignment="0" applyProtection="0"/>
    <xf numFmtId="0" fontId="50" fillId="11" borderId="0" applyNumberFormat="0" applyBorder="0" applyAlignment="0" applyProtection="0"/>
    <xf numFmtId="0" fontId="51" fillId="0" borderId="4" applyNumberFormat="0" applyFill="0" applyAlignment="0" applyProtection="0"/>
    <xf numFmtId="0" fontId="52" fillId="0" borderId="5" applyNumberFormat="0" applyFill="0" applyAlignment="0" applyProtection="0"/>
    <xf numFmtId="0" fontId="53" fillId="0" borderId="6" applyNumberFormat="0" applyFill="0" applyAlignment="0" applyProtection="0"/>
    <xf numFmtId="0" fontId="53" fillId="0" borderId="0" applyNumberFormat="0" applyFill="0" applyBorder="0" applyAlignment="0" applyProtection="0"/>
    <xf numFmtId="0" fontId="54" fillId="3" borderId="1" applyNumberFormat="0" applyAlignment="0" applyProtection="0"/>
    <xf numFmtId="0" fontId="41" fillId="28" borderId="0"/>
    <xf numFmtId="0" fontId="55" fillId="0" borderId="2" applyNumberFormat="0" applyFill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18" fillId="0" borderId="0" applyNumberFormat="0" applyFont="0" applyFill="0" applyBorder="0" applyAlignment="0" applyProtection="0"/>
    <xf numFmtId="0" fontId="34" fillId="4" borderId="7" applyNumberFormat="0" applyFont="0" applyAlignment="0" applyProtection="0"/>
    <xf numFmtId="0" fontId="34" fillId="4" borderId="8" applyNumberFormat="0" applyFont="0" applyAlignment="0" applyProtection="0"/>
    <xf numFmtId="0" fontId="57" fillId="5" borderId="9" applyNumberFormat="0" applyAlignment="0" applyProtection="0"/>
    <xf numFmtId="9" fontId="18" fillId="0" borderId="0" applyFont="0" applyFill="0" applyBorder="0" applyAlignment="0" applyProtection="0"/>
    <xf numFmtId="0" fontId="42" fillId="29" borderId="0" applyAlignment="0"/>
    <xf numFmtId="0" fontId="6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0" applyNumberFormat="0" applyFill="0" applyAlignment="0" applyProtection="0"/>
    <xf numFmtId="0" fontId="65" fillId="0" borderId="11" applyNumberFormat="0" applyFill="0" applyAlignment="0" applyProtection="0"/>
    <xf numFmtId="0" fontId="66" fillId="0" borderId="12" applyNumberFormat="0" applyFill="0" applyAlignment="0" applyProtection="0"/>
    <xf numFmtId="0" fontId="66" fillId="0" borderId="0" applyNumberFormat="0" applyFill="0" applyBorder="0" applyAlignment="0" applyProtection="0"/>
    <xf numFmtId="0" fontId="59" fillId="0" borderId="13" applyNumberFormat="0" applyFill="0" applyAlignment="0" applyProtection="0"/>
    <xf numFmtId="0" fontId="59" fillId="0" borderId="14" applyNumberFormat="0" applyFill="0" applyAlignment="0" applyProtection="0"/>
    <xf numFmtId="0" fontId="46" fillId="8" borderId="0" applyNumberFormat="0" applyBorder="0" applyAlignment="0" applyProtection="0"/>
    <xf numFmtId="0" fontId="50" fillId="9" borderId="0" applyNumberFormat="0" applyBorder="0" applyAlignment="0" applyProtection="0"/>
    <xf numFmtId="0" fontId="60" fillId="0" borderId="0" applyNumberFormat="0" applyFill="0" applyBorder="0" applyAlignment="0" applyProtection="0"/>
    <xf numFmtId="40" fontId="69" fillId="0" borderId="0" applyFont="0" applyFill="0" applyBorder="0" applyAlignment="0" applyProtection="0"/>
    <xf numFmtId="0" fontId="69" fillId="0" borderId="0"/>
    <xf numFmtId="8" fontId="69" fillId="0" borderId="0" applyFont="0" applyFill="0" applyBorder="0" applyAlignment="0" applyProtection="0"/>
    <xf numFmtId="0" fontId="18" fillId="0" borderId="0"/>
    <xf numFmtId="0" fontId="18" fillId="4" borderId="7" applyNumberFormat="0" applyFont="0" applyAlignment="0" applyProtection="0"/>
    <xf numFmtId="0" fontId="18" fillId="4" borderId="8" applyNumberFormat="0" applyFon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0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0" fontId="18" fillId="0" borderId="0"/>
    <xf numFmtId="0" fontId="18" fillId="0" borderId="0"/>
    <xf numFmtId="9" fontId="78" fillId="0" borderId="0" applyFont="0" applyFill="0" applyBorder="0" applyAlignment="0" applyProtection="0"/>
    <xf numFmtId="181" fontId="18" fillId="0" borderId="0" applyFont="0" applyFill="0" applyBorder="0" applyAlignment="0" applyProtection="0"/>
    <xf numFmtId="181" fontId="18" fillId="0" borderId="0" applyFont="0" applyFill="0" applyBorder="0" applyAlignment="0" applyProtection="0"/>
    <xf numFmtId="182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0" fontId="79" fillId="0" borderId="0"/>
    <xf numFmtId="167" fontId="80" fillId="56" borderId="0"/>
    <xf numFmtId="3" fontId="81" fillId="0" borderId="0" applyFont="0" applyFill="0" applyBorder="0" applyAlignment="0" applyProtection="0"/>
    <xf numFmtId="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0" fontId="69" fillId="57" borderId="55" applyNumberFormat="0" applyFont="0" applyBorder="0" applyAlignment="0" applyProtection="0"/>
    <xf numFmtId="15" fontId="82" fillId="31" borderId="0">
      <alignment horizontal="right"/>
    </xf>
    <xf numFmtId="0" fontId="39" fillId="58" borderId="0" applyNumberFormat="0" applyBorder="0" applyAlignment="0">
      <alignment horizontal="center"/>
    </xf>
    <xf numFmtId="0" fontId="74" fillId="59" borderId="0" applyNumberFormat="0" applyBorder="0" applyAlignment="0"/>
    <xf numFmtId="0" fontId="83" fillId="59" borderId="0">
      <alignment horizontal="centerContinuous"/>
    </xf>
    <xf numFmtId="0" fontId="38" fillId="47" borderId="56">
      <alignment horizontal="center"/>
      <protection locked="0"/>
    </xf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0" applyProtection="0"/>
    <xf numFmtId="0" fontId="85" fillId="0" borderId="0" applyProtection="0"/>
    <xf numFmtId="0" fontId="20" fillId="0" borderId="0" applyProtection="0"/>
    <xf numFmtId="0" fontId="20" fillId="0" borderId="0" applyProtection="0"/>
    <xf numFmtId="0" fontId="43" fillId="0" borderId="0" applyProtection="0"/>
    <xf numFmtId="0" fontId="43" fillId="0" borderId="0" applyProtection="0"/>
    <xf numFmtId="0" fontId="84" fillId="0" borderId="0" applyProtection="0"/>
    <xf numFmtId="0" fontId="84" fillId="0" borderId="0" applyProtection="0"/>
    <xf numFmtId="0" fontId="86" fillId="0" borderId="0" applyProtection="0"/>
    <xf numFmtId="0" fontId="86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2" fontId="81" fillId="0" borderId="0" applyFont="0" applyFill="0" applyBorder="0" applyAlignment="0" applyProtection="0"/>
    <xf numFmtId="38" fontId="20" fillId="31" borderId="0" applyNumberFormat="0" applyBorder="0" applyAlignment="0" applyProtection="0"/>
    <xf numFmtId="0" fontId="89" fillId="49" borderId="57">
      <alignment horizontal="left"/>
    </xf>
    <xf numFmtId="0" fontId="23" fillId="0" borderId="51" applyNumberFormat="0" applyAlignment="0" applyProtection="0">
      <alignment horizontal="left" vertical="center"/>
    </xf>
    <xf numFmtId="0" fontId="23" fillId="0" borderId="25">
      <alignment horizontal="left" vertical="center"/>
    </xf>
    <xf numFmtId="0" fontId="90" fillId="50" borderId="36">
      <alignment horizontal="center"/>
    </xf>
    <xf numFmtId="10" fontId="20" fillId="30" borderId="17" applyNumberFormat="0" applyBorder="0" applyAlignment="0" applyProtection="0"/>
    <xf numFmtId="0" fontId="20" fillId="0" borderId="0">
      <alignment horizontal="center"/>
    </xf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77" fillId="28" borderId="0">
      <alignment horizontal="center"/>
    </xf>
    <xf numFmtId="0" fontId="91" fillId="31" borderId="0"/>
    <xf numFmtId="0" fontId="92" fillId="29" borderId="9">
      <alignment vertical="center"/>
    </xf>
    <xf numFmtId="10" fontId="69" fillId="60" borderId="55" applyBorder="0">
      <alignment horizontal="center"/>
      <protection locked="0"/>
    </xf>
    <xf numFmtId="184" fontId="93" fillId="0" borderId="0"/>
    <xf numFmtId="9" fontId="94" fillId="0" borderId="0" applyFont="0" applyFill="0" applyBorder="0" applyAlignment="0" applyProtection="0"/>
    <xf numFmtId="10" fontId="94" fillId="0" borderId="0" applyFont="0" applyFill="0" applyBorder="0" applyAlignment="0" applyProtection="0"/>
    <xf numFmtId="0" fontId="95" fillId="56" borderId="0"/>
    <xf numFmtId="0" fontId="18" fillId="31" borderId="0">
      <alignment horizontal="center"/>
    </xf>
    <xf numFmtId="0" fontId="18" fillId="31" borderId="0">
      <alignment horizontal="center"/>
    </xf>
    <xf numFmtId="0" fontId="17" fillId="0" borderId="0"/>
    <xf numFmtId="0" fontId="96" fillId="56" borderId="0"/>
    <xf numFmtId="0" fontId="18" fillId="0" borderId="0" applyNumberFormat="0" applyFill="0" applyBorder="0" applyAlignment="0" applyProtection="0"/>
    <xf numFmtId="0" fontId="95" fillId="56" borderId="0"/>
    <xf numFmtId="0" fontId="97" fillId="61" borderId="0">
      <alignment horizontal="centerContinuous"/>
    </xf>
    <xf numFmtId="0" fontId="98" fillId="25" borderId="0" applyNumberFormat="0" applyBorder="0" applyAlignment="0">
      <alignment horizontal="center"/>
    </xf>
    <xf numFmtId="0" fontId="44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3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44" fillId="7" borderId="0" applyNumberFormat="0" applyBorder="0" applyAlignment="0" applyProtection="0"/>
    <xf numFmtId="0" fontId="44" fillId="8" borderId="0" applyNumberFormat="0" applyBorder="0" applyAlignment="0" applyProtection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3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4" borderId="0" applyNumberFormat="0" applyBorder="0" applyAlignment="0" applyProtection="0"/>
    <xf numFmtId="0" fontId="44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7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6" fillId="8" borderId="0" applyNumberFormat="0" applyBorder="0" applyAlignment="0" applyProtection="0"/>
    <xf numFmtId="0" fontId="47" fillId="25" borderId="1" applyNumberFormat="0" applyAlignment="0" applyProtection="0"/>
    <xf numFmtId="0" fontId="48" fillId="26" borderId="3" applyNumberFormat="0" applyAlignment="0" applyProtection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18" fillId="0" borderId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50" fillId="9" borderId="0" applyNumberFormat="0" applyBorder="0" applyAlignment="0" applyProtection="0"/>
    <xf numFmtId="38" fontId="20" fillId="31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64" fillId="0" borderId="10" applyNumberFormat="0" applyFill="0" applyAlignment="0" applyProtection="0"/>
    <xf numFmtId="0" fontId="65" fillId="0" borderId="11" applyNumberFormat="0" applyFill="0" applyAlignment="0" applyProtection="0"/>
    <xf numFmtId="0" fontId="66" fillId="0" borderId="12" applyNumberFormat="0" applyFill="0" applyAlignment="0" applyProtection="0"/>
    <xf numFmtId="0" fontId="66" fillId="0" borderId="0" applyNumberFormat="0" applyFill="0" applyBorder="0" applyAlignment="0" applyProtection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0" fontId="20" fillId="30" borderId="17" applyNumberFormat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55" fillId="0" borderId="2" applyNumberFormat="0" applyFill="0" applyAlignment="0" applyProtection="0"/>
    <xf numFmtId="0" fontId="18" fillId="0" borderId="0"/>
    <xf numFmtId="0" fontId="18" fillId="0" borderId="0"/>
    <xf numFmtId="0" fontId="56" fillId="13" borderId="0" applyNumberFormat="0" applyBorder="0" applyAlignment="0" applyProtection="0"/>
    <xf numFmtId="0" fontId="18" fillId="0" borderId="0"/>
    <xf numFmtId="0" fontId="13" fillId="0" borderId="0"/>
    <xf numFmtId="0" fontId="44" fillId="4" borderId="7" applyNumberFormat="0" applyFont="0" applyAlignment="0" applyProtection="0"/>
    <xf numFmtId="0" fontId="57" fillId="25" borderId="9" applyNumberFormat="0" applyAlignment="0" applyProtection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63" fillId="0" borderId="0" applyNumberFormat="0" applyFill="0" applyBorder="0" applyAlignment="0" applyProtection="0"/>
    <xf numFmtId="0" fontId="18" fillId="0" borderId="0"/>
    <xf numFmtId="0" fontId="18" fillId="0" borderId="0"/>
    <xf numFmtId="0" fontId="59" fillId="0" borderId="14" applyNumberFormat="0" applyFill="0" applyAlignment="0" applyProtection="0"/>
    <xf numFmtId="0" fontId="60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9" fillId="0" borderId="0" applyNumberFormat="0" applyFill="0" applyBorder="0" applyAlignment="0" applyProtection="0"/>
    <xf numFmtId="0" fontId="13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6" fontId="81" fillId="0" borderId="0" applyFont="0" applyFill="0" applyBorder="0" applyAlignment="0" applyProtection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9" fillId="0" borderId="0"/>
    <xf numFmtId="0" fontId="8" fillId="0" borderId="0"/>
    <xf numFmtId="0" fontId="1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0" fontId="74" fillId="59" borderId="0" applyNumberFormat="0" applyBorder="0" applyAlignment="0"/>
    <xf numFmtId="0" fontId="38" fillId="47" borderId="56">
      <alignment horizontal="center"/>
      <protection locked="0"/>
    </xf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38" fontId="20" fillId="31" borderId="0" applyNumberFormat="0" applyBorder="0" applyAlignment="0" applyProtection="0"/>
    <xf numFmtId="10" fontId="20" fillId="30" borderId="17" applyNumberFormat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 applyNumberFormat="0" applyFill="0" applyBorder="0" applyAlignment="0" applyProtection="0"/>
    <xf numFmtId="0" fontId="44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1" fillId="0" borderId="0" applyFont="0" applyFill="0" applyBorder="0" applyAlignment="0" applyProtection="0"/>
    <xf numFmtId="0" fontId="18" fillId="0" borderId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44" fillId="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44" fillId="8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44" fillId="9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44" fillId="10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44" fillId="11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44" fillId="3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44" fillId="14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44" fillId="1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44" fillId="15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44" fillId="1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44" fillId="1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44" fillId="16" borderId="0" applyNumberFormat="0" applyBorder="0" applyAlignment="0" applyProtection="0"/>
    <xf numFmtId="0" fontId="142" fillId="85" borderId="0" applyNumberFormat="0" applyBorder="0" applyAlignment="0" applyProtection="0"/>
    <xf numFmtId="0" fontId="45" fillId="17" borderId="0" applyNumberFormat="0" applyBorder="0" applyAlignment="0" applyProtection="0"/>
    <xf numFmtId="0" fontId="142" fillId="89" borderId="0" applyNumberFormat="0" applyBorder="0" applyAlignment="0" applyProtection="0"/>
    <xf numFmtId="0" fontId="45" fillId="12" borderId="0" applyNumberFormat="0" applyBorder="0" applyAlignment="0" applyProtection="0"/>
    <xf numFmtId="0" fontId="142" fillId="93" borderId="0" applyNumberFormat="0" applyBorder="0" applyAlignment="0" applyProtection="0"/>
    <xf numFmtId="0" fontId="45" fillId="15" borderId="0" applyNumberFormat="0" applyBorder="0" applyAlignment="0" applyProtection="0"/>
    <xf numFmtId="0" fontId="142" fillId="97" borderId="0" applyNumberFormat="0" applyBorder="0" applyAlignment="0" applyProtection="0"/>
    <xf numFmtId="0" fontId="45" fillId="18" borderId="0" applyNumberFormat="0" applyBorder="0" applyAlignment="0" applyProtection="0"/>
    <xf numFmtId="0" fontId="142" fillId="101" borderId="0" applyNumberFormat="0" applyBorder="0" applyAlignment="0" applyProtection="0"/>
    <xf numFmtId="0" fontId="45" fillId="19" borderId="0" applyNumberFormat="0" applyBorder="0" applyAlignment="0" applyProtection="0"/>
    <xf numFmtId="0" fontId="142" fillId="105" borderId="0" applyNumberFormat="0" applyBorder="0" applyAlignment="0" applyProtection="0"/>
    <xf numFmtId="0" fontId="45" fillId="20" borderId="0" applyNumberFormat="0" applyBorder="0" applyAlignment="0" applyProtection="0"/>
    <xf numFmtId="0" fontId="142" fillId="82" borderId="0" applyNumberFormat="0" applyBorder="0" applyAlignment="0" applyProtection="0"/>
    <xf numFmtId="0" fontId="45" fillId="27" borderId="0" applyNumberFormat="0" applyBorder="0" applyAlignment="0" applyProtection="0"/>
    <xf numFmtId="0" fontId="142" fillId="86" borderId="0" applyNumberFormat="0" applyBorder="0" applyAlignment="0" applyProtection="0"/>
    <xf numFmtId="0" fontId="45" fillId="21" borderId="0" applyNumberFormat="0" applyBorder="0" applyAlignment="0" applyProtection="0"/>
    <xf numFmtId="0" fontId="142" fillId="90" borderId="0" applyNumberFormat="0" applyBorder="0" applyAlignment="0" applyProtection="0"/>
    <xf numFmtId="0" fontId="45" fillId="22" borderId="0" applyNumberFormat="0" applyBorder="0" applyAlignment="0" applyProtection="0"/>
    <xf numFmtId="0" fontId="142" fillId="94" borderId="0" applyNumberFormat="0" applyBorder="0" applyAlignment="0" applyProtection="0"/>
    <xf numFmtId="0" fontId="45" fillId="18" borderId="0" applyNumberFormat="0" applyBorder="0" applyAlignment="0" applyProtection="0"/>
    <xf numFmtId="0" fontId="142" fillId="98" borderId="0" applyNumberFormat="0" applyBorder="0" applyAlignment="0" applyProtection="0"/>
    <xf numFmtId="0" fontId="45" fillId="19" borderId="0" applyNumberFormat="0" applyBorder="0" applyAlignment="0" applyProtection="0"/>
    <xf numFmtId="0" fontId="142" fillId="102" borderId="0" applyNumberFormat="0" applyBorder="0" applyAlignment="0" applyProtection="0"/>
    <xf numFmtId="0" fontId="45" fillId="23" borderId="0" applyNumberFormat="0" applyBorder="0" applyAlignment="0" applyProtection="0"/>
    <xf numFmtId="0" fontId="133" fillId="76" borderId="0" applyNumberFormat="0" applyBorder="0" applyAlignment="0" applyProtection="0"/>
    <xf numFmtId="0" fontId="46" fillId="8" borderId="0" applyNumberFormat="0" applyBorder="0" applyAlignment="0" applyProtection="0"/>
    <xf numFmtId="0" fontId="48" fillId="106" borderId="0"/>
    <xf numFmtId="0" fontId="137" fillId="79" borderId="63" applyNumberFormat="0" applyAlignment="0" applyProtection="0"/>
    <xf numFmtId="0" fontId="47" fillId="25" borderId="1" applyNumberFormat="0" applyAlignment="0" applyProtection="0"/>
    <xf numFmtId="0" fontId="139" fillId="80" borderId="66" applyNumberFormat="0" applyAlignment="0" applyProtection="0"/>
    <xf numFmtId="0" fontId="48" fillId="26" borderId="3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0" fontId="14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32" fillId="75" borderId="0" applyNumberFormat="0" applyBorder="0" applyAlignment="0" applyProtection="0"/>
    <xf numFmtId="0" fontId="50" fillId="9" borderId="0" applyNumberFormat="0" applyBorder="0" applyAlignment="0" applyProtection="0"/>
    <xf numFmtId="0" fontId="129" fillId="0" borderId="60" applyNumberFormat="0" applyFill="0" applyAlignment="0" applyProtection="0"/>
    <xf numFmtId="0" fontId="64" fillId="0" borderId="10" applyNumberFormat="0" applyFill="0" applyAlignment="0" applyProtection="0"/>
    <xf numFmtId="0" fontId="130" fillId="0" borderId="61" applyNumberFormat="0" applyFill="0" applyAlignment="0" applyProtection="0"/>
    <xf numFmtId="0" fontId="65" fillId="0" borderId="11" applyNumberFormat="0" applyFill="0" applyAlignment="0" applyProtection="0"/>
    <xf numFmtId="0" fontId="131" fillId="0" borderId="62" applyNumberFormat="0" applyFill="0" applyAlignment="0" applyProtection="0"/>
    <xf numFmtId="0" fontId="66" fillId="0" borderId="12" applyNumberFormat="0" applyFill="0" applyAlignment="0" applyProtection="0"/>
    <xf numFmtId="0" fontId="13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35" fillId="78" borderId="63" applyNumberFormat="0" applyAlignment="0" applyProtection="0"/>
    <xf numFmtId="0" fontId="54" fillId="3" borderId="1" applyNumberFormat="0" applyAlignment="0" applyProtection="0"/>
    <xf numFmtId="0" fontId="54" fillId="3" borderId="1" applyNumberFormat="0" applyAlignment="0" applyProtection="0"/>
    <xf numFmtId="0" fontId="54" fillId="3" borderId="1" applyNumberFormat="0" applyAlignment="0" applyProtection="0"/>
    <xf numFmtId="0" fontId="138" fillId="0" borderId="65" applyNumberFormat="0" applyFill="0" applyAlignment="0" applyProtection="0"/>
    <xf numFmtId="0" fontId="55" fillId="0" borderId="2" applyNumberFormat="0" applyFill="0" applyAlignment="0" applyProtection="0"/>
    <xf numFmtId="41" fontId="126" fillId="0" borderId="0" applyFont="0" applyFill="0" applyBorder="0" applyAlignment="0" applyProtection="0"/>
    <xf numFmtId="0" fontId="134" fillId="77" borderId="0" applyNumberFormat="0" applyBorder="0" applyAlignment="0" applyProtection="0"/>
    <xf numFmtId="0" fontId="5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4" borderId="7" applyNumberFormat="0" applyFont="0" applyAlignment="0" applyProtection="0"/>
    <xf numFmtId="0" fontId="18" fillId="4" borderId="7" applyNumberFormat="0" applyFont="0" applyAlignment="0" applyProtection="0"/>
    <xf numFmtId="0" fontId="18" fillId="4" borderId="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44" fillId="4" borderId="7" applyNumberFormat="0" applyFont="0" applyAlignment="0" applyProtection="0"/>
    <xf numFmtId="0" fontId="136" fillId="79" borderId="64" applyNumberFormat="0" applyAlignment="0" applyProtection="0"/>
    <xf numFmtId="0" fontId="57" fillId="25" borderId="9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91" fontId="127" fillId="74" borderId="0">
      <alignment horizontal="center" vertical="center"/>
    </xf>
    <xf numFmtId="192" fontId="18" fillId="0" borderId="0"/>
    <xf numFmtId="192" fontId="18" fillId="0" borderId="0"/>
    <xf numFmtId="192" fontId="18" fillId="0" borderId="0"/>
    <xf numFmtId="0" fontId="18" fillId="0" borderId="0" applyNumberFormat="0" applyFill="0" applyBorder="0" applyAlignment="0" applyProtection="0"/>
    <xf numFmtId="192" fontId="18" fillId="0" borderId="0"/>
    <xf numFmtId="0" fontId="12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8" fillId="0" borderId="0"/>
    <xf numFmtId="0" fontId="141" fillId="0" borderId="68" applyNumberFormat="0" applyFill="0" applyAlignment="0" applyProtection="0"/>
    <xf numFmtId="0" fontId="59" fillId="0" borderId="14" applyNumberFormat="0" applyFill="0" applyAlignment="0" applyProtection="0"/>
    <xf numFmtId="0" fontId="18" fillId="0" borderId="0"/>
    <xf numFmtId="42" fontId="126" fillId="0" borderId="0" applyFont="0" applyFill="0" applyBorder="0" applyAlignment="0" applyProtection="0"/>
    <xf numFmtId="0" fontId="18" fillId="0" borderId="0"/>
    <xf numFmtId="0" fontId="10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9" fillId="0" borderId="0" applyNumberFormat="0" applyFill="0" applyBorder="0" applyAlignment="0" applyProtection="0"/>
    <xf numFmtId="0" fontId="20" fillId="56" borderId="17" applyNumberFormat="0" applyFont="0" applyAlignment="0">
      <protection locked="0"/>
    </xf>
    <xf numFmtId="0" fontId="20" fillId="0" borderId="0"/>
    <xf numFmtId="0" fontId="3" fillId="0" borderId="0"/>
    <xf numFmtId="0" fontId="20" fillId="0" borderId="0"/>
    <xf numFmtId="0" fontId="18" fillId="0" borderId="0"/>
    <xf numFmtId="0" fontId="18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47" fillId="25" borderId="85" applyNumberFormat="0" applyAlignment="0" applyProtection="0"/>
    <xf numFmtId="0" fontId="69" fillId="57" borderId="86" applyNumberFormat="0" applyFont="0" applyBorder="0" applyAlignment="0" applyProtection="0"/>
    <xf numFmtId="0" fontId="38" fillId="47" borderId="87">
      <alignment horizontal="center"/>
      <protection locked="0"/>
    </xf>
    <xf numFmtId="0" fontId="66" fillId="0" borderId="88" applyNumberFormat="0" applyFill="0" applyAlignment="0" applyProtection="0"/>
    <xf numFmtId="185" fontId="42" fillId="0" borderId="89" applyNumberFormat="0" applyFill="0" applyAlignment="0">
      <alignment horizontal="center"/>
      <protection locked="0"/>
    </xf>
    <xf numFmtId="10" fontId="69" fillId="60" borderId="86" applyBorder="0">
      <alignment horizontal="center"/>
      <protection locked="0"/>
    </xf>
    <xf numFmtId="0" fontId="2" fillId="0" borderId="0"/>
    <xf numFmtId="0" fontId="44" fillId="4" borderId="91" applyNumberFormat="0" applyFont="0" applyAlignment="0" applyProtection="0"/>
    <xf numFmtId="0" fontId="57" fillId="25" borderId="90" applyNumberFormat="0" applyAlignment="0" applyProtection="0"/>
    <xf numFmtId="0" fontId="59" fillId="0" borderId="92" applyNumberFormat="0" applyFill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74" fillId="59" borderId="0" applyNumberFormat="0" applyBorder="0" applyAlignment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2" fillId="0" borderId="0"/>
    <xf numFmtId="0" fontId="38" fillId="47" borderId="87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8" fillId="47" borderId="87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1" fillId="0" borderId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0" fontId="1" fillId="83" borderId="0" applyNumberFormat="0" applyBorder="0" applyAlignment="0" applyProtection="0"/>
    <xf numFmtId="209" fontId="174" fillId="7" borderId="0" applyNumberFormat="0" applyBorder="0" applyAlignment="0" applyProtection="0"/>
    <xf numFmtId="0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0" fontId="44" fillId="7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44" fillId="2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74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0" fontId="1" fillId="87" borderId="0" applyNumberFormat="0" applyBorder="0" applyAlignment="0" applyProtection="0"/>
    <xf numFmtId="209" fontId="174" fillId="8" borderId="0" applyNumberFormat="0" applyBorder="0" applyAlignment="0" applyProtection="0"/>
    <xf numFmtId="0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0" fontId="44" fillId="8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44" fillId="3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74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0" fontId="1" fillId="91" borderId="0" applyNumberFormat="0" applyBorder="0" applyAlignment="0" applyProtection="0"/>
    <xf numFmtId="209" fontId="174" fillId="9" borderId="0" applyNumberFormat="0" applyBorder="0" applyAlignment="0" applyProtection="0"/>
    <xf numFmtId="0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0" fontId="44" fillId="9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44" fillId="4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74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0" fontId="1" fillId="95" borderId="0" applyNumberFormat="0" applyBorder="0" applyAlignment="0" applyProtection="0"/>
    <xf numFmtId="209" fontId="174" fillId="10" borderId="0" applyNumberFormat="0" applyBorder="0" applyAlignment="0" applyProtection="0"/>
    <xf numFmtId="0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0" fontId="44" fillId="10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44" fillId="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74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0" fontId="1" fillId="99" borderId="0" applyNumberFormat="0" applyBorder="0" applyAlignment="0" applyProtection="0"/>
    <xf numFmtId="209" fontId="174" fillId="11" borderId="0" applyNumberFormat="0" applyBorder="0" applyAlignment="0" applyProtection="0"/>
    <xf numFmtId="0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0" fontId="44" fillId="11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44" fillId="6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74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0" fontId="1" fillId="103" borderId="0" applyNumberFormat="0" applyBorder="0" applyAlignment="0" applyProtection="0"/>
    <xf numFmtId="209" fontId="174" fillId="3" borderId="0" applyNumberFormat="0" applyBorder="0" applyAlignment="0" applyProtection="0"/>
    <xf numFmtId="0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44" fillId="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74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0" fontId="1" fillId="84" borderId="0" applyNumberFormat="0" applyBorder="0" applyAlignment="0" applyProtection="0"/>
    <xf numFmtId="209" fontId="174" fillId="14" borderId="0" applyNumberFormat="0" applyBorder="0" applyAlignment="0" applyProtection="0"/>
    <xf numFmtId="0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0" fontId="44" fillId="1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44" fillId="6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74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0" fontId="1" fillId="88" borderId="0" applyNumberFormat="0" applyBorder="0" applyAlignment="0" applyProtection="0"/>
    <xf numFmtId="209" fontId="174" fillId="12" borderId="0" applyNumberFormat="0" applyBorder="0" applyAlignment="0" applyProtection="0"/>
    <xf numFmtId="0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44" fillId="12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74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0" fontId="1" fillId="92" borderId="0" applyNumberFormat="0" applyBorder="0" applyAlignment="0" applyProtection="0"/>
    <xf numFmtId="209" fontId="174" fillId="15" borderId="0" applyNumberFormat="0" applyBorder="0" applyAlignment="0" applyProtection="0"/>
    <xf numFmtId="0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0" fontId="44" fillId="15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44" fillId="13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74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0" fontId="1" fillId="96" borderId="0" applyNumberFormat="0" applyBorder="0" applyAlignment="0" applyProtection="0"/>
    <xf numFmtId="209" fontId="174" fillId="10" borderId="0" applyNumberFormat="0" applyBorder="0" applyAlignment="0" applyProtection="0"/>
    <xf numFmtId="0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0" fontId="44" fillId="10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44" fillId="2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74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0" fontId="1" fillId="100" borderId="0" applyNumberFormat="0" applyBorder="0" applyAlignment="0" applyProtection="0"/>
    <xf numFmtId="209" fontId="174" fillId="14" borderId="0" applyNumberFormat="0" applyBorder="0" applyAlignment="0" applyProtection="0"/>
    <xf numFmtId="0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0" fontId="44" fillId="14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44" fillId="6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74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0" fontId="1" fillId="104" borderId="0" applyNumberFormat="0" applyBorder="0" applyAlignment="0" applyProtection="0"/>
    <xf numFmtId="209" fontId="174" fillId="16" borderId="0" applyNumberFormat="0" applyBorder="0" applyAlignment="0" applyProtection="0"/>
    <xf numFmtId="0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0" fontId="44" fillId="16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44" fillId="3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74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0" fontId="142" fillId="85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75" fillId="17" borderId="0" applyNumberFormat="0" applyBorder="0" applyAlignment="0" applyProtection="0"/>
    <xf numFmtId="0" fontId="45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42" fillId="85" borderId="0" applyNumberFormat="0" applyBorder="0" applyAlignment="0" applyProtection="0"/>
    <xf numFmtId="0" fontId="45" fillId="6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0" fontId="142" fillId="89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75" fillId="12" borderId="0" applyNumberFormat="0" applyBorder="0" applyAlignment="0" applyProtection="0"/>
    <xf numFmtId="0" fontId="45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42" fillId="89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0" fontId="142" fillId="93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75" fillId="15" borderId="0" applyNumberFormat="0" applyBorder="0" applyAlignment="0" applyProtection="0"/>
    <xf numFmtId="0" fontId="45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42" fillId="93" borderId="0" applyNumberFormat="0" applyBorder="0" applyAlignment="0" applyProtection="0"/>
    <xf numFmtId="0" fontId="45" fillId="13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0" fontId="142" fillId="97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75" fillId="18" borderId="0" applyNumberFormat="0" applyBorder="0" applyAlignment="0" applyProtection="0"/>
    <xf numFmtId="0" fontId="45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42" fillId="97" borderId="0" applyNumberFormat="0" applyBorder="0" applyAlignment="0" applyProtection="0"/>
    <xf numFmtId="0" fontId="45" fillId="2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0" fontId="142" fillId="101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75" fillId="19" borderId="0" applyNumberFormat="0" applyBorder="0" applyAlignment="0" applyProtection="0"/>
    <xf numFmtId="0" fontId="45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42" fillId="101" borderId="0" applyNumberFormat="0" applyBorder="0" applyAlignment="0" applyProtection="0"/>
    <xf numFmtId="0" fontId="45" fillId="6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0" fontId="142" fillId="105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75" fillId="20" borderId="0" applyNumberFormat="0" applyBorder="0" applyAlignment="0" applyProtection="0"/>
    <xf numFmtId="0" fontId="45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42" fillId="105" borderId="0" applyNumberFormat="0" applyBorder="0" applyAlignment="0" applyProtection="0"/>
    <xf numFmtId="0" fontId="45" fillId="3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0" fontId="142" fillId="82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75" fillId="27" borderId="0" applyNumberFormat="0" applyBorder="0" applyAlignment="0" applyProtection="0"/>
    <xf numFmtId="0" fontId="45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42" fillId="82" borderId="0" applyNumberFormat="0" applyBorder="0" applyAlignment="0" applyProtection="0"/>
    <xf numFmtId="0" fontId="45" fillId="19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0" fontId="142" fillId="86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75" fillId="21" borderId="0" applyNumberFormat="0" applyBorder="0" applyAlignment="0" applyProtection="0"/>
    <xf numFmtId="0" fontId="45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42" fillId="86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0" fontId="142" fillId="90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75" fillId="22" borderId="0" applyNumberFormat="0" applyBorder="0" applyAlignment="0" applyProtection="0"/>
    <xf numFmtId="0" fontId="45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42" fillId="90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0" fontId="142" fillId="94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75" fillId="18" borderId="0" applyNumberFormat="0" applyBorder="0" applyAlignment="0" applyProtection="0"/>
    <xf numFmtId="0" fontId="45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42" fillId="94" borderId="0" applyNumberFormat="0" applyBorder="0" applyAlignment="0" applyProtection="0"/>
    <xf numFmtId="0" fontId="45" fillId="10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0" fontId="142" fillId="9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75" fillId="19" borderId="0" applyNumberFormat="0" applyBorder="0" applyAlignment="0" applyProtection="0"/>
    <xf numFmtId="0" fontId="45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42" fillId="9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0" fontId="142" fillId="102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75" fillId="23" borderId="0" applyNumberFormat="0" applyBorder="0" applyAlignment="0" applyProtection="0"/>
    <xf numFmtId="0" fontId="45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42" fillId="102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0" fontId="133" fillId="76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76" fillId="8" borderId="0" applyNumberFormat="0" applyBorder="0" applyAlignment="0" applyProtection="0"/>
    <xf numFmtId="0" fontId="46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33" fillId="76" borderId="0" applyNumberFormat="0" applyBorder="0" applyAlignment="0" applyProtection="0"/>
    <xf numFmtId="0" fontId="46" fillId="24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0" fontId="137" fillId="79" borderId="63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0" fontId="47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77" fillId="25" borderId="85" applyNumberFormat="0" applyAlignment="0" applyProtection="0"/>
    <xf numFmtId="0" fontId="47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37" fillId="79" borderId="63" applyNumberFormat="0" applyAlignment="0" applyProtection="0"/>
    <xf numFmtId="0" fontId="47" fillId="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0" fontId="139" fillId="80" borderId="66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78" fillId="26" borderId="3" applyNumberFormat="0" applyAlignment="0" applyProtection="0"/>
    <xf numFmtId="0" fontId="4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39" fillId="80" borderId="66" applyNumberFormat="0" applyAlignment="0" applyProtection="0"/>
    <xf numFmtId="0" fontId="48" fillId="8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10" fontId="84" fillId="0" borderId="0"/>
    <xf numFmtId="210" fontId="84" fillId="0" borderId="0"/>
    <xf numFmtId="209" fontId="18" fillId="50" borderId="0"/>
    <xf numFmtId="209" fontId="179" fillId="50" borderId="0"/>
    <xf numFmtId="209" fontId="179" fillId="50" borderId="0"/>
    <xf numFmtId="209" fontId="179" fillId="50" borderId="0"/>
    <xf numFmtId="41" fontId="18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0" fontId="18" fillId="120" borderId="0" applyNumberFormat="0" applyBorder="0" applyAlignment="0" applyProtection="0"/>
    <xf numFmtId="0" fontId="18" fillId="120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0" fillId="0" borderId="0"/>
    <xf numFmtId="209" fontId="180" fillId="0" borderId="0"/>
    <xf numFmtId="209" fontId="180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9" fontId="181" fillId="0" borderId="17" applyNumberFormat="0">
      <protection locked="0"/>
    </xf>
    <xf numFmtId="190" fontId="18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4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2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4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2" fillId="75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3" fillId="9" borderId="0" applyNumberFormat="0" applyBorder="0" applyAlignment="0" applyProtection="0"/>
    <xf numFmtId="0" fontId="50" fillId="9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2" fillId="75" borderId="0" applyNumberFormat="0" applyBorder="0" applyAlignment="0" applyProtection="0"/>
    <xf numFmtId="0" fontId="50" fillId="11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61" fillId="121" borderId="24" applyNumberFormat="0" applyBorder="0" applyAlignment="0" applyProtection="0">
      <alignment textRotation="9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29" fillId="0" borderId="60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4" fillId="0" borderId="10" applyNumberFormat="0" applyFill="0" applyAlignment="0" applyProtection="0"/>
    <xf numFmtId="0" fontId="64" fillId="0" borderId="10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29" fillId="0" borderId="60" applyNumberFormat="0" applyFill="0" applyAlignment="0" applyProtection="0"/>
    <xf numFmtId="0" fontId="51" fillId="0" borderId="4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0" fillId="0" borderId="61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5" fillId="0" borderId="11" applyNumberFormat="0" applyFill="0" applyAlignment="0" applyProtection="0"/>
    <xf numFmtId="0" fontId="65" fillId="0" borderId="11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0" fillId="0" borderId="61" applyNumberFormat="0" applyFill="0" applyAlignment="0" applyProtection="0"/>
    <xf numFmtId="0" fontId="52" fillId="0" borderId="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1" fillId="0" borderId="6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66" fillId="0" borderId="88" applyNumberFormat="0" applyFill="0" applyAlignment="0" applyProtection="0"/>
    <xf numFmtId="209" fontId="18" fillId="0" borderId="0"/>
    <xf numFmtId="209" fontId="18" fillId="0" borderId="0"/>
    <xf numFmtId="209" fontId="66" fillId="0" borderId="88" applyNumberFormat="0" applyFill="0" applyAlignment="0" applyProtection="0"/>
    <xf numFmtId="0" fontId="66" fillId="0" borderId="88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1" fillId="0" borderId="62" applyNumberFormat="0" applyFill="0" applyAlignment="0" applyProtection="0"/>
    <xf numFmtId="0" fontId="53" fillId="0" borderId="6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1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1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08" fillId="0" borderId="0" applyNumberFormat="0" applyFill="0" applyBorder="0" applyAlignment="0" applyProtection="0">
      <alignment vertical="top"/>
      <protection locked="0"/>
    </xf>
    <xf numFmtId="209" fontId="184" fillId="0" borderId="0" applyNumberFormat="0" applyFill="0" applyBorder="0" applyAlignment="0" applyProtection="0">
      <alignment vertical="top"/>
      <protection locked="0"/>
    </xf>
    <xf numFmtId="0" fontId="109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5" fillId="78" borderId="63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5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8" fillId="0" borderId="6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6" fillId="0" borderId="2" applyNumberFormat="0" applyFill="0" applyAlignment="0" applyProtection="0"/>
    <xf numFmtId="0" fontId="55" fillId="0" borderId="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8" fillId="0" borderId="6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4" fillId="77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7" fillId="13" borderId="0" applyNumberFormat="0" applyBorder="0" applyAlignment="0" applyProtection="0"/>
    <xf numFmtId="0" fontId="56" fillId="13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4" fillId="77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>
      <alignment horizontal="left" wrapText="1"/>
    </xf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>
      <alignment horizontal="left" wrapText="1"/>
    </xf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0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8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0" fontId="44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20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8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44" fillId="4" borderId="91" applyNumberFormat="0" applyFont="0" applyAlignment="0" applyProtection="0"/>
    <xf numFmtId="209" fontId="18" fillId="4" borderId="91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8" fillId="4" borderId="91" applyNumberFormat="0" applyFont="0" applyAlignment="0" applyProtection="0"/>
    <xf numFmtId="0" fontId="44" fillId="4" borderId="91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0" fontId="18" fillId="4" borderId="8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44" fillId="4" borderId="91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0" fontId="18" fillId="4" borderId="91" applyNumberFormat="0" applyFont="0" applyAlignment="0" applyProtection="0"/>
    <xf numFmtId="0" fontId="18" fillId="4" borderId="8" applyNumberFormat="0" applyFont="0" applyAlignment="0" applyProtection="0"/>
    <xf numFmtId="0" fontId="18" fillId="4" borderId="91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6" fillId="79" borderId="64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57" fillId="25" borderId="90" applyNumberFormat="0" applyAlignment="0" applyProtection="0"/>
    <xf numFmtId="209" fontId="18" fillId="0" borderId="0"/>
    <xf numFmtId="209" fontId="18" fillId="0" borderId="0"/>
    <xf numFmtId="209" fontId="189" fillId="25" borderId="90" applyNumberFormat="0" applyAlignment="0" applyProtection="0"/>
    <xf numFmtId="0" fontId="57" fillId="25" borderId="90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6" fillId="79" borderId="64" applyNumberFormat="0" applyAlignment="0" applyProtection="0"/>
    <xf numFmtId="0" fontId="57" fillId="5" borderId="90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90" fillId="0" borderId="94" applyNumberFormat="0" applyAlignment="0" applyProtection="0"/>
    <xf numFmtId="0" fontId="94" fillId="34" borderId="0" applyNumberFormat="0" applyFont="0" applyBorder="0" applyAlignment="0" applyProtection="0"/>
    <xf numFmtId="0" fontId="20" fillId="35" borderId="73" applyNumberFormat="0" applyFont="0" applyBorder="0" applyAlignment="0" applyProtection="0">
      <alignment horizontal="center"/>
    </xf>
    <xf numFmtId="0" fontId="20" fillId="32" borderId="73" applyNumberFormat="0" applyFont="0" applyBorder="0" applyAlignment="0" applyProtection="0">
      <alignment horizontal="center"/>
    </xf>
    <xf numFmtId="0" fontId="94" fillId="0" borderId="95" applyNumberFormat="0" applyAlignment="0" applyProtection="0"/>
    <xf numFmtId="0" fontId="94" fillId="0" borderId="96" applyNumberFormat="0" applyAlignment="0" applyProtection="0"/>
    <xf numFmtId="0" fontId="190" fillId="0" borderId="97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212" fontId="84" fillId="0" borderId="0"/>
    <xf numFmtId="212" fontId="84" fillId="0" borderId="0"/>
    <xf numFmtId="191" fontId="127" fillId="74" borderId="0">
      <alignment horizontal="center" vertical="center"/>
    </xf>
    <xf numFmtId="0" fontId="126" fillId="0" borderId="74" applyNumberFormat="0" applyBorder="0"/>
    <xf numFmtId="0" fontId="18" fillId="34" borderId="0" applyNumberFormat="0" applyBorder="0" applyAlignment="0">
      <protection locked="0"/>
    </xf>
    <xf numFmtId="0" fontId="18" fillId="34" borderId="0" applyNumberFormat="0" applyBorder="0" applyAlignment="0">
      <protection locked="0"/>
    </xf>
    <xf numFmtId="0" fontId="1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2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2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41" fillId="0" borderId="68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59" fillId="0" borderId="92" applyNumberFormat="0" applyFill="0" applyAlignment="0" applyProtection="0"/>
    <xf numFmtId="209" fontId="18" fillId="0" borderId="0"/>
    <xf numFmtId="209" fontId="18" fillId="0" borderId="0"/>
    <xf numFmtId="209" fontId="191" fillId="0" borderId="92" applyNumberFormat="0" applyFill="0" applyAlignment="0" applyProtection="0"/>
    <xf numFmtId="0" fontId="59" fillId="0" borderId="9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41" fillId="0" borderId="68" applyNumberFormat="0" applyFill="0" applyAlignment="0" applyProtection="0"/>
    <xf numFmtId="0" fontId="59" fillId="0" borderId="13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33" borderId="18" applyNumberFormat="0" applyFont="0" applyBorder="0" applyAlignment="0" applyProtection="0">
      <alignment horizontal="left"/>
    </xf>
    <xf numFmtId="0" fontId="18" fillId="33" borderId="18" applyNumberFormat="0" applyFont="0" applyBorder="0" applyAlignment="0" applyProtection="0">
      <alignment horizontal="left"/>
    </xf>
    <xf numFmtId="0" fontId="18" fillId="37" borderId="0" applyNumberFormat="0" applyBorder="0" applyAlignment="0">
      <protection locked="0"/>
    </xf>
    <xf numFmtId="0" fontId="18" fillId="37" borderId="0" applyNumberFormat="0" applyBorder="0" applyAlignment="0">
      <protection locked="0"/>
    </xf>
    <xf numFmtId="0" fontId="18" fillId="31" borderId="0" applyNumberFormat="0" applyFont="0" applyFill="0" applyBorder="0" applyProtection="0">
      <alignment horizontal="center" textRotation="90" wrapText="1"/>
    </xf>
    <xf numFmtId="0" fontId="18" fillId="31" borderId="0" applyNumberFormat="0" applyFont="0" applyFill="0" applyBorder="0" applyProtection="0">
      <alignment horizontal="center" textRotation="90" wrapText="1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02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9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02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</cellStyleXfs>
  <cellXfs count="1021">
    <xf numFmtId="0" fontId="0" fillId="0" borderId="0" xfId="0"/>
    <xf numFmtId="0" fontId="22" fillId="0" borderId="0" xfId="0" applyFont="1"/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2" fillId="0" borderId="0" xfId="0" quotePrefix="1" applyFont="1"/>
    <xf numFmtId="0" fontId="23" fillId="0" borderId="21" xfId="0" applyFont="1" applyBorder="1" applyAlignment="1">
      <alignment horizontal="center"/>
    </xf>
    <xf numFmtId="0" fontId="23" fillId="0" borderId="0" xfId="0" applyFont="1"/>
    <xf numFmtId="0" fontId="22" fillId="0" borderId="21" xfId="0" applyFont="1" applyBorder="1"/>
    <xf numFmtId="0" fontId="23" fillId="0" borderId="21" xfId="0" applyFont="1" applyBorder="1"/>
    <xf numFmtId="0" fontId="22" fillId="0" borderId="21" xfId="0" applyFont="1" applyBorder="1" applyAlignment="1">
      <alignment horizontal="center"/>
    </xf>
    <xf numFmtId="0" fontId="22" fillId="34" borderId="22" xfId="0" applyFont="1" applyFill="1" applyBorder="1"/>
    <xf numFmtId="164" fontId="22" fillId="34" borderId="22" xfId="0" applyNumberFormat="1" applyFont="1" applyFill="1" applyBorder="1"/>
    <xf numFmtId="37" fontId="22" fillId="34" borderId="22" xfId="0" applyNumberFormat="1" applyFont="1" applyFill="1" applyBorder="1"/>
    <xf numFmtId="37" fontId="22" fillId="34" borderId="22" xfId="0" applyNumberFormat="1" applyFont="1" applyFill="1" applyBorder="1" applyAlignment="1">
      <alignment horizontal="center"/>
    </xf>
    <xf numFmtId="0" fontId="22" fillId="34" borderId="22" xfId="0" applyNumberFormat="1" applyFont="1" applyFill="1" applyBorder="1"/>
    <xf numFmtId="165" fontId="22" fillId="34" borderId="22" xfId="0" applyNumberFormat="1" applyFont="1" applyFill="1" applyBorder="1"/>
    <xf numFmtId="164" fontId="22" fillId="0" borderId="23" xfId="0" applyNumberFormat="1" applyFont="1" applyBorder="1"/>
    <xf numFmtId="0" fontId="22" fillId="0" borderId="23" xfId="0" applyFont="1" applyBorder="1"/>
    <xf numFmtId="37" fontId="22" fillId="0" borderId="23" xfId="0" applyNumberFormat="1" applyFont="1" applyBorder="1"/>
    <xf numFmtId="164" fontId="22" fillId="0" borderId="0" xfId="0" applyNumberFormat="1" applyFont="1"/>
    <xf numFmtId="164" fontId="22" fillId="37" borderId="22" xfId="0" applyNumberFormat="1" applyFont="1" applyFill="1" applyBorder="1"/>
    <xf numFmtId="37" fontId="22" fillId="37" borderId="22" xfId="0" applyNumberFormat="1" applyFont="1" applyFill="1" applyBorder="1"/>
    <xf numFmtId="37" fontId="22" fillId="37" borderId="22" xfId="0" applyNumberFormat="1" applyFont="1" applyFill="1" applyBorder="1" applyAlignment="1">
      <alignment horizontal="center"/>
    </xf>
    <xf numFmtId="0" fontId="22" fillId="37" borderId="22" xfId="0" applyNumberFormat="1" applyFont="1" applyFill="1" applyBorder="1"/>
    <xf numFmtId="165" fontId="22" fillId="37" borderId="22" xfId="0" applyNumberFormat="1" applyFont="1" applyFill="1" applyBorder="1"/>
    <xf numFmtId="166" fontId="22" fillId="37" borderId="22" xfId="0" applyNumberFormat="1" applyFont="1" applyFill="1" applyBorder="1"/>
    <xf numFmtId="0" fontId="22" fillId="37" borderId="22" xfId="0" applyFont="1" applyFill="1" applyBorder="1"/>
    <xf numFmtId="0" fontId="22" fillId="37" borderId="0" xfId="0" applyFont="1" applyFill="1"/>
    <xf numFmtId="164" fontId="22" fillId="37" borderId="23" xfId="0" applyNumberFormat="1" applyFont="1" applyFill="1" applyBorder="1"/>
    <xf numFmtId="37" fontId="22" fillId="37" borderId="23" xfId="0" applyNumberFormat="1" applyFont="1" applyFill="1" applyBorder="1"/>
    <xf numFmtId="0" fontId="22" fillId="37" borderId="23" xfId="0" applyFont="1" applyFill="1" applyBorder="1"/>
    <xf numFmtId="0" fontId="25" fillId="0" borderId="0" xfId="0" applyFont="1"/>
    <xf numFmtId="0" fontId="25" fillId="0" borderId="21" xfId="0" applyFont="1" applyBorder="1" applyAlignment="1">
      <alignment horizontal="center"/>
    </xf>
    <xf numFmtId="167" fontId="25" fillId="37" borderId="22" xfId="0" applyNumberFormat="1" applyFont="1" applyFill="1" applyBorder="1"/>
    <xf numFmtId="167" fontId="25" fillId="34" borderId="22" xfId="0" applyNumberFormat="1" applyFont="1" applyFill="1" applyBorder="1"/>
    <xf numFmtId="171" fontId="23" fillId="34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0" fontId="23" fillId="34" borderId="22" xfId="0" applyNumberFormat="1" applyFont="1" applyFill="1" applyBorder="1"/>
    <xf numFmtId="0" fontId="26" fillId="0" borderId="0" xfId="0" applyFont="1"/>
    <xf numFmtId="0" fontId="28" fillId="0" borderId="0" xfId="0" applyFont="1"/>
    <xf numFmtId="0" fontId="28" fillId="0" borderId="21" xfId="0" applyFont="1" applyBorder="1" applyAlignment="1">
      <alignment horizontal="center"/>
    </xf>
    <xf numFmtId="0" fontId="28" fillId="0" borderId="0" xfId="0" applyFont="1" applyAlignment="1">
      <alignment horizontal="center"/>
    </xf>
    <xf numFmtId="166" fontId="28" fillId="37" borderId="22" xfId="0" applyNumberFormat="1" applyFont="1" applyFill="1" applyBorder="1"/>
    <xf numFmtId="166" fontId="28" fillId="34" borderId="22" xfId="0" applyNumberFormat="1" applyFont="1" applyFill="1" applyBorder="1"/>
    <xf numFmtId="0" fontId="23" fillId="33" borderId="0" xfId="0" applyFont="1" applyFill="1"/>
    <xf numFmtId="0" fontId="23" fillId="38" borderId="0" xfId="0" applyFont="1" applyFill="1"/>
    <xf numFmtId="0" fontId="29" fillId="38" borderId="0" xfId="0" applyFont="1" applyFill="1"/>
    <xf numFmtId="0" fontId="22" fillId="36" borderId="22" xfId="0" applyFont="1" applyFill="1" applyBorder="1"/>
    <xf numFmtId="164" fontId="22" fillId="36" borderId="22" xfId="0" applyNumberFormat="1" applyFont="1" applyFill="1" applyBorder="1"/>
    <xf numFmtId="0" fontId="22" fillId="39" borderId="23" xfId="0" applyFont="1" applyFill="1" applyBorder="1"/>
    <xf numFmtId="164" fontId="22" fillId="39" borderId="23" xfId="0" applyNumberFormat="1" applyFont="1" applyFill="1" applyBorder="1"/>
    <xf numFmtId="164" fontId="22" fillId="34" borderId="23" xfId="0" applyNumberFormat="1" applyFont="1" applyFill="1" applyBorder="1"/>
    <xf numFmtId="0" fontId="27" fillId="37" borderId="22" xfId="0" applyFont="1" applyFill="1" applyBorder="1"/>
    <xf numFmtId="164" fontId="27" fillId="37" borderId="22" xfId="0" applyNumberFormat="1" applyFont="1" applyFill="1" applyBorder="1"/>
    <xf numFmtId="0" fontId="22" fillId="40" borderId="23" xfId="0" applyFont="1" applyFill="1" applyBorder="1"/>
    <xf numFmtId="164" fontId="22" fillId="40" borderId="23" xfId="0" applyNumberFormat="1" applyFont="1" applyFill="1" applyBorder="1"/>
    <xf numFmtId="37" fontId="22" fillId="40" borderId="23" xfId="0" applyNumberFormat="1" applyFont="1" applyFill="1" applyBorder="1"/>
    <xf numFmtId="0" fontId="25" fillId="37" borderId="23" xfId="0" applyFont="1" applyFill="1" applyBorder="1"/>
    <xf numFmtId="164" fontId="25" fillId="37" borderId="23" xfId="0" applyNumberFormat="1" applyFont="1" applyFill="1" applyBorder="1"/>
    <xf numFmtId="0" fontId="22" fillId="41" borderId="23" xfId="0" applyFont="1" applyFill="1" applyBorder="1"/>
    <xf numFmtId="164" fontId="22" fillId="41" borderId="23" xfId="0" applyNumberFormat="1" applyFont="1" applyFill="1" applyBorder="1"/>
    <xf numFmtId="0" fontId="25" fillId="41" borderId="22" xfId="0" applyFont="1" applyFill="1" applyBorder="1"/>
    <xf numFmtId="164" fontId="25" fillId="41" borderId="22" xfId="0" applyNumberFormat="1" applyFont="1" applyFill="1" applyBorder="1"/>
    <xf numFmtId="0" fontId="23" fillId="39" borderId="22" xfId="0" applyFont="1" applyFill="1" applyBorder="1"/>
    <xf numFmtId="164" fontId="23" fillId="39" borderId="22" xfId="0" applyNumberFormat="1" applyFont="1" applyFill="1" applyBorder="1"/>
    <xf numFmtId="0" fontId="27" fillId="42" borderId="23" xfId="0" applyFont="1" applyFill="1" applyBorder="1"/>
    <xf numFmtId="164" fontId="27" fillId="42" borderId="23" xfId="0" applyNumberFormat="1" applyFont="1" applyFill="1" applyBorder="1"/>
    <xf numFmtId="0" fontId="22" fillId="41" borderId="22" xfId="0" applyFont="1" applyFill="1" applyBorder="1"/>
    <xf numFmtId="164" fontId="22" fillId="41" borderId="22" xfId="0" applyNumberFormat="1" applyFont="1" applyFill="1" applyBorder="1"/>
    <xf numFmtId="0" fontId="22" fillId="38" borderId="23" xfId="0" applyFont="1" applyFill="1" applyBorder="1"/>
    <xf numFmtId="164" fontId="22" fillId="38" borderId="23" xfId="0" applyNumberFormat="1" applyFont="1" applyFill="1" applyBorder="1"/>
    <xf numFmtId="37" fontId="27" fillId="37" borderId="23" xfId="0" applyNumberFormat="1" applyFont="1" applyFill="1" applyBorder="1"/>
    <xf numFmtId="2" fontId="23" fillId="36" borderId="0" xfId="0" applyNumberFormat="1" applyFont="1" applyFill="1"/>
    <xf numFmtId="166" fontId="28" fillId="38" borderId="22" xfId="0" applyNumberFormat="1" applyFont="1" applyFill="1" applyBorder="1"/>
    <xf numFmtId="168" fontId="23" fillId="33" borderId="0" xfId="0" applyNumberFormat="1" applyFont="1" applyFill="1"/>
    <xf numFmtId="37" fontId="22" fillId="43" borderId="23" xfId="0" applyNumberFormat="1" applyFont="1" applyFill="1" applyBorder="1"/>
    <xf numFmtId="37" fontId="22" fillId="44" borderId="22" xfId="0" applyNumberFormat="1" applyFont="1" applyFill="1" applyBorder="1"/>
    <xf numFmtId="37" fontId="22" fillId="45" borderId="22" xfId="0" applyNumberFormat="1" applyFont="1" applyFill="1" applyBorder="1"/>
    <xf numFmtId="164" fontId="22" fillId="45" borderId="22" xfId="0" applyNumberFormat="1" applyFont="1" applyFill="1" applyBorder="1"/>
    <xf numFmtId="37" fontId="22" fillId="45" borderId="22" xfId="0" applyNumberFormat="1" applyFont="1" applyFill="1" applyBorder="1" applyAlignment="1">
      <alignment horizontal="center"/>
    </xf>
    <xf numFmtId="0" fontId="23" fillId="45" borderId="22" xfId="0" applyNumberFormat="1" applyFont="1" applyFill="1" applyBorder="1"/>
    <xf numFmtId="165" fontId="22" fillId="45" borderId="22" xfId="0" applyNumberFormat="1" applyFont="1" applyFill="1" applyBorder="1"/>
    <xf numFmtId="166" fontId="28" fillId="45" borderId="22" xfId="0" applyNumberFormat="1" applyFont="1" applyFill="1" applyBorder="1"/>
    <xf numFmtId="37" fontId="22" fillId="35" borderId="22" xfId="0" applyNumberFormat="1" applyFont="1" applyFill="1" applyBorder="1"/>
    <xf numFmtId="37" fontId="22" fillId="35" borderId="23" xfId="0" applyNumberFormat="1" applyFont="1" applyFill="1" applyBorder="1"/>
    <xf numFmtId="37" fontId="22" fillId="43" borderId="22" xfId="0" applyNumberFormat="1" applyFont="1" applyFill="1" applyBorder="1"/>
    <xf numFmtId="164" fontId="22" fillId="43" borderId="22" xfId="0" applyNumberFormat="1" applyFont="1" applyFill="1" applyBorder="1"/>
    <xf numFmtId="37" fontId="22" fillId="43" borderId="22" xfId="0" applyNumberFormat="1" applyFont="1" applyFill="1" applyBorder="1" applyAlignment="1">
      <alignment horizontal="center"/>
    </xf>
    <xf numFmtId="0" fontId="23" fillId="43" borderId="22" xfId="0" applyNumberFormat="1" applyFont="1" applyFill="1" applyBorder="1"/>
    <xf numFmtId="165" fontId="22" fillId="43" borderId="22" xfId="0" applyNumberFormat="1" applyFont="1" applyFill="1" applyBorder="1"/>
    <xf numFmtId="166" fontId="28" fillId="43" borderId="22" xfId="0" applyNumberFormat="1" applyFont="1" applyFill="1" applyBorder="1"/>
    <xf numFmtId="37" fontId="27" fillId="38" borderId="22" xfId="0" applyNumberFormat="1" applyFont="1" applyFill="1" applyBorder="1"/>
    <xf numFmtId="37" fontId="25" fillId="39" borderId="22" xfId="0" applyNumberFormat="1" applyFont="1" applyFill="1" applyBorder="1"/>
    <xf numFmtId="37" fontId="23" fillId="37" borderId="22" xfId="0" applyNumberFormat="1" applyFont="1" applyFill="1" applyBorder="1"/>
    <xf numFmtId="37" fontId="25" fillId="36" borderId="23" xfId="0" applyNumberFormat="1" applyFont="1" applyFill="1" applyBorder="1"/>
    <xf numFmtId="166" fontId="22" fillId="33" borderId="22" xfId="0" applyNumberFormat="1" applyFont="1" applyFill="1" applyBorder="1"/>
    <xf numFmtId="164" fontId="22" fillId="38" borderId="22" xfId="0" applyNumberFormat="1" applyFont="1" applyFill="1" applyBorder="1"/>
    <xf numFmtId="37" fontId="22" fillId="38" borderId="22" xfId="0" applyNumberFormat="1" applyFont="1" applyFill="1" applyBorder="1"/>
    <xf numFmtId="37" fontId="22" fillId="38" borderId="22" xfId="0" applyNumberFormat="1" applyFont="1" applyFill="1" applyBorder="1" applyAlignment="1">
      <alignment horizontal="center"/>
    </xf>
    <xf numFmtId="0" fontId="23" fillId="38" borderId="22" xfId="0" applyNumberFormat="1" applyFont="1" applyFill="1" applyBorder="1"/>
    <xf numFmtId="165" fontId="22" fillId="38" borderId="22" xfId="0" applyNumberFormat="1" applyFont="1" applyFill="1" applyBorder="1"/>
    <xf numFmtId="164" fontId="22" fillId="35" borderId="22" xfId="0" applyNumberFormat="1" applyFont="1" applyFill="1" applyBorder="1"/>
    <xf numFmtId="37" fontId="22" fillId="35" borderId="22" xfId="0" applyNumberFormat="1" applyFont="1" applyFill="1" applyBorder="1" applyAlignment="1">
      <alignment horizontal="center"/>
    </xf>
    <xf numFmtId="0" fontId="23" fillId="35" borderId="22" xfId="0" applyNumberFormat="1" applyFont="1" applyFill="1" applyBorder="1"/>
    <xf numFmtId="165" fontId="22" fillId="35" borderId="22" xfId="0" applyNumberFormat="1" applyFont="1" applyFill="1" applyBorder="1"/>
    <xf numFmtId="166" fontId="28" fillId="35" borderId="22" xfId="0" applyNumberFormat="1" applyFont="1" applyFill="1" applyBorder="1"/>
    <xf numFmtId="37" fontId="22" fillId="36" borderId="22" xfId="0" applyNumberFormat="1" applyFont="1" applyFill="1" applyBorder="1"/>
    <xf numFmtId="37" fontId="22" fillId="36" borderId="22" xfId="0" applyNumberFormat="1" applyFont="1" applyFill="1" applyBorder="1" applyAlignment="1">
      <alignment horizontal="center"/>
    </xf>
    <xf numFmtId="0" fontId="23" fillId="36" borderId="22" xfId="0" applyNumberFormat="1" applyFont="1" applyFill="1" applyBorder="1"/>
    <xf numFmtId="165" fontId="22" fillId="36" borderId="22" xfId="0" applyNumberFormat="1" applyFont="1" applyFill="1" applyBorder="1"/>
    <xf numFmtId="166" fontId="28" fillId="36" borderId="22" xfId="0" applyNumberFormat="1" applyFont="1" applyFill="1" applyBorder="1"/>
    <xf numFmtId="164" fontId="22" fillId="44" borderId="22" xfId="0" applyNumberFormat="1" applyFont="1" applyFill="1" applyBorder="1"/>
    <xf numFmtId="37" fontId="22" fillId="44" borderId="22" xfId="0" applyNumberFormat="1" applyFont="1" applyFill="1" applyBorder="1" applyAlignment="1">
      <alignment horizontal="center"/>
    </xf>
    <xf numFmtId="0" fontId="23" fillId="44" borderId="22" xfId="0" applyNumberFormat="1" applyFont="1" applyFill="1" applyBorder="1"/>
    <xf numFmtId="165" fontId="22" fillId="44" borderId="22" xfId="0" applyNumberFormat="1" applyFont="1" applyFill="1" applyBorder="1"/>
    <xf numFmtId="166" fontId="28" fillId="44" borderId="22" xfId="0" applyNumberFormat="1" applyFont="1" applyFill="1" applyBorder="1"/>
    <xf numFmtId="164" fontId="22" fillId="33" borderId="22" xfId="0" applyNumberFormat="1" applyFont="1" applyFill="1" applyBorder="1"/>
    <xf numFmtId="37" fontId="22" fillId="33" borderId="22" xfId="0" applyNumberFormat="1" applyFont="1" applyFill="1" applyBorder="1"/>
    <xf numFmtId="37" fontId="22" fillId="33" borderId="22" xfId="0" applyNumberFormat="1" applyFont="1" applyFill="1" applyBorder="1" applyAlignment="1">
      <alignment horizontal="center"/>
    </xf>
    <xf numFmtId="0" fontId="23" fillId="33" borderId="22" xfId="0" applyNumberFormat="1" applyFont="1" applyFill="1" applyBorder="1"/>
    <xf numFmtId="165" fontId="22" fillId="33" borderId="22" xfId="0" applyNumberFormat="1" applyFont="1" applyFill="1" applyBorder="1"/>
    <xf numFmtId="166" fontId="28" fillId="33" borderId="22" xfId="0" applyNumberFormat="1" applyFont="1" applyFill="1" applyBorder="1"/>
    <xf numFmtId="0" fontId="33" fillId="0" borderId="0" xfId="0" applyFont="1"/>
    <xf numFmtId="0" fontId="26" fillId="35" borderId="0" xfId="0" applyFont="1" applyFill="1"/>
    <xf numFmtId="0" fontId="0" fillId="0" borderId="0" xfId="0" quotePrefix="1"/>
    <xf numFmtId="0" fontId="33" fillId="0" borderId="0" xfId="0" quotePrefix="1" applyFont="1"/>
    <xf numFmtId="0" fontId="30" fillId="0" borderId="0" xfId="0" applyFont="1"/>
    <xf numFmtId="0" fontId="33" fillId="33" borderId="0" xfId="0" applyFont="1" applyFill="1"/>
    <xf numFmtId="0" fontId="23" fillId="0" borderId="0" xfId="0" applyFont="1" applyBorder="1" applyAlignment="1">
      <alignment horizontal="center"/>
    </xf>
    <xf numFmtId="0" fontId="23" fillId="29" borderId="0" xfId="0" applyFont="1" applyFill="1" applyBorder="1" applyAlignment="1">
      <alignment horizontal="center"/>
    </xf>
    <xf numFmtId="168" fontId="22" fillId="0" borderId="0" xfId="0" applyNumberFormat="1" applyFont="1"/>
    <xf numFmtId="0" fontId="36" fillId="0" borderId="0" xfId="0" applyFont="1" applyAlignment="1">
      <alignment horizontal="center"/>
    </xf>
    <xf numFmtId="0" fontId="35" fillId="0" borderId="0" xfId="0" applyFont="1"/>
    <xf numFmtId="0" fontId="22" fillId="0" borderId="0" xfId="0" applyFont="1" applyFill="1"/>
    <xf numFmtId="168" fontId="25" fillId="0" borderId="0" xfId="0" applyNumberFormat="1" applyFont="1"/>
    <xf numFmtId="0" fontId="23" fillId="0" borderId="0" xfId="0" applyFont="1" applyFill="1"/>
    <xf numFmtId="0" fontId="27" fillId="0" borderId="0" xfId="0" applyFont="1" applyFill="1"/>
    <xf numFmtId="0" fontId="25" fillId="0" borderId="0" xfId="0" applyFont="1" applyFill="1"/>
    <xf numFmtId="168" fontId="24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4" fillId="29" borderId="0" xfId="0" applyFont="1" applyFill="1" applyBorder="1" applyAlignment="1">
      <alignment horizontal="right"/>
    </xf>
    <xf numFmtId="167" fontId="26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8" fillId="29" borderId="0" xfId="0" applyFont="1" applyFill="1"/>
    <xf numFmtId="0" fontId="26" fillId="37" borderId="0" xfId="66" applyNumberFormat="1" applyFont="1" applyFill="1" applyBorder="1" applyAlignment="1">
      <alignment vertical="top" wrapText="1"/>
    </xf>
    <xf numFmtId="0" fontId="26" fillId="46" borderId="0" xfId="66" applyNumberFormat="1" applyFont="1" applyFill="1" applyBorder="1" applyAlignment="1">
      <alignment vertical="top" wrapText="1"/>
    </xf>
    <xf numFmtId="0" fontId="26" fillId="42" borderId="0" xfId="66" applyNumberFormat="1" applyFont="1" applyFill="1" applyBorder="1" applyAlignment="1">
      <alignment vertical="top" wrapText="1"/>
    </xf>
    <xf numFmtId="0" fontId="18" fillId="0" borderId="0" xfId="66" applyNumberFormat="1" applyFont="1" applyFill="1" applyBorder="1" applyAlignment="1"/>
    <xf numFmtId="0" fontId="18" fillId="46" borderId="0" xfId="66" applyNumberFormat="1" applyFont="1" applyFill="1" applyBorder="1" applyAlignment="1"/>
    <xf numFmtId="0" fontId="18" fillId="42" borderId="0" xfId="66" applyNumberFormat="1" applyFont="1" applyFill="1" applyBorder="1" applyAlignment="1"/>
    <xf numFmtId="0" fontId="34" fillId="42" borderId="0" xfId="66" applyNumberFormat="1" applyFont="1" applyFill="1" applyBorder="1" applyAlignment="1"/>
    <xf numFmtId="0" fontId="18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1" fillId="38" borderId="52" xfId="0" applyNumberFormat="1" applyFont="1" applyFill="1" applyBorder="1" applyAlignment="1">
      <alignment horizontal="center"/>
    </xf>
    <xf numFmtId="0" fontId="30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0" fillId="0" borderId="52" xfId="0" applyNumberFormat="1" applyFont="1" applyBorder="1" applyAlignment="1">
      <alignment horizontal="center"/>
    </xf>
    <xf numFmtId="168" fontId="37" fillId="0" borderId="0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7" fillId="0" borderId="0" xfId="0" applyNumberFormat="1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6" fillId="0" borderId="0" xfId="0" applyFont="1" applyFill="1" applyAlignment="1">
      <alignment horizontal="center"/>
    </xf>
    <xf numFmtId="169" fontId="31" fillId="38" borderId="52" xfId="0" applyNumberFormat="1" applyFont="1" applyFill="1" applyBorder="1" applyAlignment="1">
      <alignment horizontal="center"/>
    </xf>
    <xf numFmtId="175" fontId="67" fillId="51" borderId="53" xfId="0" applyNumberFormat="1" applyFont="1" applyFill="1" applyBorder="1" applyAlignment="1">
      <alignment horizontal="center"/>
    </xf>
    <xf numFmtId="0" fontId="68" fillId="51" borderId="27" xfId="0" applyFont="1" applyFill="1" applyBorder="1" applyAlignment="1">
      <alignment horizontal="center"/>
    </xf>
    <xf numFmtId="0" fontId="26" fillId="51" borderId="53" xfId="0" applyFont="1" applyFill="1" applyBorder="1" applyAlignment="1">
      <alignment horizontal="center"/>
    </xf>
    <xf numFmtId="0" fontId="33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6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2" fillId="0" borderId="41" xfId="0" applyNumberFormat="1" applyFont="1" applyBorder="1" applyAlignment="1">
      <alignment horizontal="center"/>
    </xf>
    <xf numFmtId="0" fontId="62" fillId="0" borderId="51" xfId="0" applyFont="1" applyBorder="1" applyAlignment="1">
      <alignment horizontal="center"/>
    </xf>
    <xf numFmtId="2" fontId="62" fillId="0" borderId="51" xfId="0" applyNumberFormat="1" applyFont="1" applyBorder="1" applyAlignment="1">
      <alignment horizontal="center"/>
    </xf>
    <xf numFmtId="0" fontId="62" fillId="0" borderId="47" xfId="0" applyFont="1" applyBorder="1" applyAlignment="1">
      <alignment horizontal="center"/>
    </xf>
    <xf numFmtId="2" fontId="24" fillId="34" borderId="22" xfId="0" applyNumberFormat="1" applyFont="1" applyFill="1" applyBorder="1" applyAlignment="1">
      <alignment horizontal="center"/>
    </xf>
    <xf numFmtId="0" fontId="29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1" fillId="52" borderId="0" xfId="0" applyNumberFormat="1" applyFont="1" applyFill="1" applyAlignment="1">
      <alignment horizontal="center"/>
    </xf>
    <xf numFmtId="0" fontId="19" fillId="0" borderId="17" xfId="88" applyFont="1" applyFill="1" applyBorder="1" applyAlignment="1">
      <alignment horizontal="left" vertical="center"/>
    </xf>
    <xf numFmtId="0" fontId="20" fillId="0" borderId="0" xfId="88" applyFont="1" applyFill="1" applyAlignment="1">
      <alignment horizontal="center" vertical="center"/>
    </xf>
    <xf numFmtId="0" fontId="20" fillId="0" borderId="0" xfId="0" applyFont="1"/>
    <xf numFmtId="0" fontId="76" fillId="0" borderId="0" xfId="88" applyFont="1" applyFill="1" applyAlignment="1">
      <alignment horizontal="center" vertical="center"/>
    </xf>
    <xf numFmtId="0" fontId="76" fillId="43" borderId="0" xfId="88" applyFont="1" applyFill="1" applyAlignment="1">
      <alignment horizontal="center" vertical="center"/>
    </xf>
    <xf numFmtId="0" fontId="19" fillId="0" borderId="0" xfId="88" applyFont="1" applyFill="1" applyBorder="1" applyAlignment="1">
      <alignment horizontal="center" vertical="center"/>
    </xf>
    <xf numFmtId="0" fontId="19" fillId="0" borderId="0" xfId="88" applyFont="1" applyFill="1" applyAlignment="1">
      <alignment horizontal="center" vertical="center"/>
    </xf>
    <xf numFmtId="0" fontId="75" fillId="0" borderId="17" xfId="88" applyFont="1" applyFill="1" applyBorder="1" applyAlignment="1">
      <alignment horizontal="left" vertical="center"/>
    </xf>
    <xf numFmtId="0" fontId="20" fillId="29" borderId="0" xfId="88" applyFont="1" applyFill="1" applyAlignment="1">
      <alignment horizontal="center" vertical="center"/>
    </xf>
    <xf numFmtId="0" fontId="77" fillId="0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77" fillId="48" borderId="0" xfId="88" applyFont="1" applyFill="1" applyAlignment="1">
      <alignment horizontal="center" vertical="center"/>
    </xf>
    <xf numFmtId="0" fontId="20" fillId="43" borderId="0" xfId="88" applyFont="1" applyFill="1" applyAlignment="1">
      <alignment horizontal="center" vertical="center"/>
    </xf>
    <xf numFmtId="0" fontId="20" fillId="0" borderId="0" xfId="88" applyFont="1"/>
    <xf numFmtId="1" fontId="20" fillId="0" borderId="0" xfId="88" applyNumberFormat="1" applyFont="1" applyFill="1" applyBorder="1" applyAlignment="1">
      <alignment horizontal="left" vertical="center"/>
    </xf>
    <xf numFmtId="0" fontId="19" fillId="0" borderId="0" xfId="88" applyFont="1" applyFill="1" applyBorder="1" applyAlignment="1">
      <alignment horizontal="left" vertical="center"/>
    </xf>
    <xf numFmtId="0" fontId="19" fillId="0" borderId="27" xfId="88" applyFont="1" applyFill="1" applyBorder="1" applyAlignment="1">
      <alignment horizontal="left" vertical="center"/>
    </xf>
    <xf numFmtId="0" fontId="19" fillId="0" borderId="0" xfId="88" applyFont="1" applyBorder="1" applyAlignment="1">
      <alignment horizontal="center" vertical="center"/>
    </xf>
    <xf numFmtId="172" fontId="20" fillId="0" borderId="0" xfId="88" applyNumberFormat="1" applyFont="1" applyFill="1" applyBorder="1" applyAlignment="1">
      <alignment horizontal="center" vertical="center"/>
    </xf>
    <xf numFmtId="168" fontId="24" fillId="34" borderId="22" xfId="88" applyNumberFormat="1" applyFont="1" applyFill="1" applyBorder="1" applyAlignment="1">
      <alignment horizontal="right"/>
    </xf>
    <xf numFmtId="0" fontId="24" fillId="0" borderId="0" xfId="0" applyFont="1" applyAlignment="1">
      <alignment horizontal="center"/>
    </xf>
    <xf numFmtId="170" fontId="22" fillId="37" borderId="23" xfId="0" applyNumberFormat="1" applyFont="1" applyFill="1" applyBorder="1" applyAlignment="1">
      <alignment horizontal="center"/>
    </xf>
    <xf numFmtId="0" fontId="40" fillId="0" borderId="0" xfId="340" applyFont="1" applyAlignment="1">
      <alignment horizontal="center"/>
    </xf>
    <xf numFmtId="0" fontId="20" fillId="0" borderId="0" xfId="88" applyFont="1" applyAlignment="1">
      <alignment horizontal="center"/>
    </xf>
    <xf numFmtId="0" fontId="20" fillId="0" borderId="0" xfId="0" applyFont="1" applyAlignment="1">
      <alignment horizontal="center"/>
    </xf>
    <xf numFmtId="10" fontId="23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8" fillId="0" borderId="0" xfId="0" applyNumberFormat="1" applyFont="1" applyAlignment="1">
      <alignment horizontal="center"/>
    </xf>
    <xf numFmtId="3" fontId="18" fillId="0" borderId="0" xfId="0" applyNumberFormat="1" applyFont="1" applyAlignment="1">
      <alignment horizontal="center"/>
    </xf>
    <xf numFmtId="167" fontId="23" fillId="0" borderId="0" xfId="0" applyNumberFormat="1" applyFont="1"/>
    <xf numFmtId="0" fontId="18" fillId="0" borderId="0" xfId="0" applyFont="1" applyAlignment="1">
      <alignment horizontal="left"/>
    </xf>
    <xf numFmtId="167" fontId="18" fillId="34" borderId="22" xfId="70" applyNumberFormat="1" applyFont="1" applyFill="1" applyBorder="1"/>
    <xf numFmtId="0" fontId="19" fillId="0" borderId="17" xfId="88" applyFont="1" applyBorder="1" applyAlignment="1">
      <alignment horizontal="center" vertical="top"/>
    </xf>
    <xf numFmtId="0" fontId="99" fillId="0" borderId="17" xfId="88" applyFont="1" applyFill="1" applyBorder="1" applyAlignment="1">
      <alignment vertical="center"/>
    </xf>
    <xf numFmtId="167" fontId="18" fillId="0" borderId="0" xfId="0" applyNumberFormat="1" applyFont="1"/>
    <xf numFmtId="0" fontId="15" fillId="0" borderId="0" xfId="343" applyFont="1" applyAlignment="1">
      <alignment horizontal="left"/>
    </xf>
    <xf numFmtId="0" fontId="26" fillId="0" borderId="0" xfId="88" quotePrefix="1" applyFont="1" applyFill="1" applyAlignment="1">
      <alignment horizontal="center" vertical="center"/>
    </xf>
    <xf numFmtId="175" fontId="100" fillId="0" borderId="0" xfId="0" applyNumberFormat="1" applyFont="1" applyBorder="1" applyAlignment="1">
      <alignment horizontal="center"/>
    </xf>
    <xf numFmtId="14" fontId="18" fillId="0" borderId="0" xfId="0" applyNumberFormat="1" applyFont="1" applyAlignment="1">
      <alignment horizontal="center"/>
    </xf>
    <xf numFmtId="14" fontId="101" fillId="0" borderId="0" xfId="0" applyNumberFormat="1" applyFont="1" applyAlignment="1">
      <alignment horizontal="center"/>
    </xf>
    <xf numFmtId="0" fontId="102" fillId="0" borderId="0" xfId="343" applyFont="1" applyAlignment="1">
      <alignment horizontal="left"/>
    </xf>
    <xf numFmtId="0" fontId="103" fillId="0" borderId="0" xfId="88" applyFont="1" applyFill="1" applyAlignment="1">
      <alignment horizontal="center" vertical="center"/>
    </xf>
    <xf numFmtId="0" fontId="103" fillId="0" borderId="0" xfId="0" applyFont="1"/>
    <xf numFmtId="0" fontId="37" fillId="0" borderId="0" xfId="0" applyFont="1" applyAlignment="1">
      <alignment horizontal="left"/>
    </xf>
    <xf numFmtId="0" fontId="31" fillId="29" borderId="0" xfId="0" applyFont="1" applyFill="1" applyAlignment="1">
      <alignment horizontal="left"/>
    </xf>
    <xf numFmtId="168" fontId="31" fillId="34" borderId="22" xfId="0" applyNumberFormat="1" applyFont="1" applyFill="1" applyBorder="1" applyAlignment="1">
      <alignment horizontal="left"/>
    </xf>
    <xf numFmtId="178" fontId="18" fillId="0" borderId="0" xfId="0" applyNumberFormat="1" applyFont="1" applyAlignment="1">
      <alignment horizontal="center"/>
    </xf>
    <xf numFmtId="0" fontId="20" fillId="0" borderId="40" xfId="0" applyFont="1" applyBorder="1"/>
    <xf numFmtId="0" fontId="31" fillId="0" borderId="0" xfId="0" applyFont="1" applyBorder="1" applyAlignment="1">
      <alignment horizontal="left"/>
    </xf>
    <xf numFmtId="0" fontId="105" fillId="0" borderId="17" xfId="0" applyFont="1" applyBorder="1" applyAlignment="1">
      <alignment horizontal="center"/>
    </xf>
    <xf numFmtId="2" fontId="26" fillId="52" borderId="17" xfId="0" applyNumberFormat="1" applyFont="1" applyFill="1" applyBorder="1" applyAlignment="1">
      <alignment horizontal="center"/>
    </xf>
    <xf numFmtId="2" fontId="26" fillId="0" borderId="17" xfId="0" applyNumberFormat="1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1" fillId="29" borderId="0" xfId="0" applyFont="1" applyFill="1" applyAlignment="1">
      <alignment horizontal="center"/>
    </xf>
    <xf numFmtId="168" fontId="31" fillId="63" borderId="22" xfId="0" applyNumberFormat="1" applyFont="1" applyFill="1" applyBorder="1" applyAlignment="1">
      <alignment horizontal="center"/>
    </xf>
    <xf numFmtId="168" fontId="31" fillId="34" borderId="22" xfId="0" applyNumberFormat="1" applyFont="1" applyFill="1" applyBorder="1" applyAlignment="1">
      <alignment horizontal="center"/>
    </xf>
    <xf numFmtId="2" fontId="31" fillId="34" borderId="22" xfId="0" applyNumberFormat="1" applyFont="1" applyFill="1" applyBorder="1" applyAlignment="1">
      <alignment horizontal="center"/>
    </xf>
    <xf numFmtId="169" fontId="31" fillId="29" borderId="0" xfId="0" applyNumberFormat="1" applyFont="1" applyFill="1" applyAlignment="1">
      <alignment horizontal="center"/>
    </xf>
    <xf numFmtId="0" fontId="18" fillId="0" borderId="15" xfId="0" applyFont="1" applyBorder="1" applyAlignment="1">
      <alignment horizontal="center"/>
    </xf>
    <xf numFmtId="175" fontId="26" fillId="0" borderId="0" xfId="0" applyNumberFormat="1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30" fillId="51" borderId="18" xfId="0" applyFont="1" applyFill="1" applyBorder="1" applyAlignment="1">
      <alignment horizontal="center"/>
    </xf>
    <xf numFmtId="0" fontId="107" fillId="0" borderId="0" xfId="0" applyFont="1" applyAlignment="1">
      <alignment horizontal="left"/>
    </xf>
    <xf numFmtId="4" fontId="18" fillId="0" borderId="0" xfId="0" applyNumberFormat="1" applyFont="1" applyAlignment="1">
      <alignment horizontal="center"/>
    </xf>
    <xf numFmtId="179" fontId="18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8" fillId="62" borderId="0" xfId="0" applyNumberFormat="1" applyFont="1" applyFill="1" applyAlignment="1">
      <alignment horizontal="center"/>
    </xf>
    <xf numFmtId="178" fontId="26" fillId="62" borderId="0" xfId="0" applyNumberFormat="1" applyFont="1" applyFill="1" applyAlignment="1">
      <alignment horizontal="center"/>
    </xf>
    <xf numFmtId="3" fontId="26" fillId="62" borderId="0" xfId="0" applyNumberFormat="1" applyFont="1" applyFill="1" applyAlignment="1">
      <alignment horizontal="center"/>
    </xf>
    <xf numFmtId="4" fontId="100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8" fillId="52" borderId="0" xfId="0" applyNumberFormat="1" applyFont="1" applyFill="1" applyAlignment="1">
      <alignment horizontal="center"/>
    </xf>
    <xf numFmtId="177" fontId="18" fillId="52" borderId="0" xfId="0" applyNumberFormat="1" applyFont="1" applyFill="1" applyAlignment="1">
      <alignment horizontal="center"/>
    </xf>
    <xf numFmtId="3" fontId="26" fillId="52" borderId="0" xfId="0" applyNumberFormat="1" applyFont="1" applyFill="1" applyAlignment="1">
      <alignment horizontal="center"/>
    </xf>
    <xf numFmtId="167" fontId="23" fillId="64" borderId="0" xfId="0" applyNumberFormat="1" applyFont="1" applyFill="1"/>
    <xf numFmtId="176" fontId="26" fillId="52" borderId="0" xfId="0" applyNumberFormat="1" applyFont="1" applyFill="1" applyAlignment="1">
      <alignment horizontal="center"/>
    </xf>
    <xf numFmtId="170" fontId="0" fillId="0" borderId="0" xfId="0" applyNumberFormat="1"/>
    <xf numFmtId="167" fontId="23" fillId="63" borderId="0" xfId="0" applyNumberFormat="1" applyFont="1" applyFill="1"/>
    <xf numFmtId="167" fontId="70" fillId="63" borderId="0" xfId="0" applyNumberFormat="1" applyFont="1" applyFill="1"/>
    <xf numFmtId="0" fontId="11" fillId="0" borderId="0" xfId="705"/>
    <xf numFmtId="0" fontId="11" fillId="0" borderId="0" xfId="708"/>
    <xf numFmtId="0" fontId="18" fillId="0" borderId="0" xfId="0" applyFont="1" applyAlignment="1">
      <alignment horizontal="center" vertical="center"/>
    </xf>
    <xf numFmtId="167" fontId="23" fillId="55" borderId="0" xfId="0" applyNumberFormat="1" applyFont="1" applyFill="1" applyAlignment="1">
      <alignment horizontal="center"/>
    </xf>
    <xf numFmtId="167" fontId="70" fillId="55" borderId="0" xfId="0" applyNumberFormat="1" applyFont="1" applyFill="1" applyAlignment="1">
      <alignment horizontal="center"/>
    </xf>
    <xf numFmtId="4" fontId="0" fillId="0" borderId="0" xfId="0" applyNumberFormat="1"/>
    <xf numFmtId="167" fontId="70" fillId="66" borderId="0" xfId="70" applyNumberFormat="1" applyFont="1" applyFill="1"/>
    <xf numFmtId="0" fontId="3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167" fontId="23" fillId="66" borderId="0" xfId="70" applyNumberFormat="1" applyFont="1" applyFill="1"/>
    <xf numFmtId="167" fontId="23" fillId="67" borderId="0" xfId="0" applyNumberFormat="1" applyFont="1" applyFill="1"/>
    <xf numFmtId="0" fontId="26" fillId="0" borderId="47" xfId="0" applyFont="1" applyBorder="1" applyAlignment="1">
      <alignment horizontal="center"/>
    </xf>
    <xf numFmtId="175" fontId="26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5" fillId="51" borderId="0" xfId="364" applyFill="1" applyAlignment="1">
      <alignment horizontal="center"/>
    </xf>
    <xf numFmtId="168" fontId="0" fillId="0" borderId="0" xfId="0" applyNumberFormat="1"/>
    <xf numFmtId="167" fontId="23" fillId="53" borderId="0" xfId="0" applyNumberFormat="1" applyFont="1" applyFill="1" applyAlignment="1">
      <alignment horizontal="center"/>
    </xf>
    <xf numFmtId="0" fontId="111" fillId="0" borderId="0" xfId="0" applyFont="1" applyAlignment="1">
      <alignment horizontal="center"/>
    </xf>
    <xf numFmtId="0" fontId="37" fillId="0" borderId="0" xfId="88" applyFont="1" applyFill="1" applyAlignment="1">
      <alignment horizontal="center" vertical="center"/>
    </xf>
    <xf numFmtId="0" fontId="31" fillId="0" borderId="0" xfId="340" applyFont="1" applyFill="1" applyAlignment="1">
      <alignment horizontal="left"/>
    </xf>
    <xf numFmtId="0" fontId="112" fillId="0" borderId="0" xfId="340" applyFont="1" applyFill="1" applyAlignment="1">
      <alignment horizontal="left"/>
    </xf>
    <xf numFmtId="0" fontId="113" fillId="0" borderId="0" xfId="88" applyFont="1" applyFill="1" applyAlignment="1">
      <alignment horizontal="center" vertical="center"/>
    </xf>
    <xf numFmtId="167" fontId="70" fillId="53" borderId="0" xfId="0" applyNumberFormat="1" applyFont="1" applyFill="1" applyAlignment="1">
      <alignment horizontal="center"/>
    </xf>
    <xf numFmtId="167" fontId="19" fillId="52" borderId="0" xfId="0" applyNumberFormat="1" applyFont="1" applyFill="1" applyAlignment="1">
      <alignment horizontal="center"/>
    </xf>
    <xf numFmtId="167" fontId="114" fillId="69" borderId="0" xfId="0" applyNumberFormat="1" applyFont="1" applyFill="1" applyAlignment="1">
      <alignment horizontal="center"/>
    </xf>
    <xf numFmtId="0" fontId="8" fillId="0" borderId="0" xfId="921"/>
    <xf numFmtId="2" fontId="67" fillId="51" borderId="53" xfId="0" applyNumberFormat="1" applyFont="1" applyFill="1" applyBorder="1" applyAlignment="1">
      <alignment horizontal="center"/>
    </xf>
    <xf numFmtId="0" fontId="67" fillId="0" borderId="0" xfId="0" applyFont="1"/>
    <xf numFmtId="0" fontId="67" fillId="0" borderId="0" xfId="0" applyFont="1" applyAlignment="1">
      <alignment horizontal="left"/>
    </xf>
    <xf numFmtId="3" fontId="18" fillId="0" borderId="26" xfId="0" applyNumberFormat="1" applyFont="1" applyBorder="1" applyAlignment="1">
      <alignment horizontal="center"/>
    </xf>
    <xf numFmtId="178" fontId="118" fillId="51" borderId="49" xfId="0" applyNumberFormat="1" applyFont="1" applyFill="1" applyBorder="1" applyAlignment="1">
      <alignment horizontal="center"/>
    </xf>
    <xf numFmtId="176" fontId="18" fillId="51" borderId="35" xfId="0" applyNumberFormat="1" applyFont="1" applyFill="1" applyBorder="1" applyAlignment="1">
      <alignment horizontal="center"/>
    </xf>
    <xf numFmtId="3" fontId="18" fillId="51" borderId="36" xfId="0" applyNumberFormat="1" applyFont="1" applyFill="1" applyBorder="1" applyAlignment="1">
      <alignment horizontal="center"/>
    </xf>
    <xf numFmtId="0" fontId="118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8" fillId="51" borderId="49" xfId="0" applyNumberFormat="1" applyFont="1" applyFill="1" applyBorder="1" applyAlignment="1">
      <alignment horizontal="center"/>
    </xf>
    <xf numFmtId="176" fontId="18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8" fillId="51" borderId="50" xfId="0" applyNumberFormat="1" applyFont="1" applyFill="1" applyBorder="1" applyAlignment="1">
      <alignment horizontal="center"/>
    </xf>
    <xf numFmtId="176" fontId="18" fillId="51" borderId="38" xfId="0" applyNumberFormat="1" applyFont="1" applyFill="1" applyBorder="1" applyAlignment="1">
      <alignment horizontal="center"/>
    </xf>
    <xf numFmtId="3" fontId="18" fillId="51" borderId="21" xfId="0" applyNumberFormat="1" applyFont="1" applyFill="1" applyBorder="1" applyAlignment="1">
      <alignment horizontal="center"/>
    </xf>
    <xf numFmtId="3" fontId="62" fillId="0" borderId="26" xfId="0" applyNumberFormat="1" applyFont="1" applyBorder="1" applyAlignment="1">
      <alignment horizontal="center"/>
    </xf>
    <xf numFmtId="177" fontId="18" fillId="51" borderId="0" xfId="0" applyNumberFormat="1" applyFont="1" applyFill="1" applyBorder="1" applyAlignment="1">
      <alignment horizontal="center"/>
    </xf>
    <xf numFmtId="167" fontId="28" fillId="71" borderId="0" xfId="0" applyNumberFormat="1" applyFont="1" applyFill="1"/>
    <xf numFmtId="167" fontId="70" fillId="71" borderId="0" xfId="0" applyNumberFormat="1" applyFont="1" applyFill="1"/>
    <xf numFmtId="167" fontId="23" fillId="54" borderId="0" xfId="0" applyNumberFormat="1" applyFont="1" applyFill="1" applyAlignment="1">
      <alignment horizontal="center"/>
    </xf>
    <xf numFmtId="167" fontId="70" fillId="54" borderId="0" xfId="0" applyNumberFormat="1" applyFont="1" applyFill="1" applyAlignment="1">
      <alignment horizontal="center"/>
    </xf>
    <xf numFmtId="0" fontId="26" fillId="72" borderId="15" xfId="0" applyFont="1" applyFill="1" applyBorder="1" applyAlignment="1">
      <alignment horizontal="center"/>
    </xf>
    <xf numFmtId="177" fontId="67" fillId="0" borderId="0" xfId="0" applyNumberFormat="1" applyFont="1" applyAlignment="1">
      <alignment horizontal="center"/>
    </xf>
    <xf numFmtId="177" fontId="26" fillId="52" borderId="0" xfId="0" applyNumberFormat="1" applyFont="1" applyFill="1" applyAlignment="1">
      <alignment horizontal="center"/>
    </xf>
    <xf numFmtId="178" fontId="67" fillId="51" borderId="0" xfId="0" applyNumberFormat="1" applyFont="1" applyFill="1" applyBorder="1" applyAlignment="1">
      <alignment horizontal="center"/>
    </xf>
    <xf numFmtId="3" fontId="62" fillId="0" borderId="47" xfId="0" applyNumberFormat="1" applyFont="1" applyBorder="1" applyAlignment="1">
      <alignment horizontal="center"/>
    </xf>
    <xf numFmtId="3" fontId="19" fillId="0" borderId="51" xfId="0" applyNumberFormat="1" applyFont="1" applyBorder="1" applyAlignment="1">
      <alignment horizontal="center"/>
    </xf>
    <xf numFmtId="3" fontId="62" fillId="0" borderId="41" xfId="0" applyNumberFormat="1" applyFont="1" applyBorder="1" applyAlignment="1">
      <alignment horizontal="center"/>
    </xf>
    <xf numFmtId="178" fontId="67" fillId="51" borderId="36" xfId="0" applyNumberFormat="1" applyFont="1" applyFill="1" applyBorder="1" applyAlignment="1">
      <alignment horizontal="center"/>
    </xf>
    <xf numFmtId="178" fontId="67" fillId="51" borderId="21" xfId="0" applyNumberFormat="1" applyFont="1" applyFill="1" applyBorder="1" applyAlignment="1">
      <alignment horizontal="center"/>
    </xf>
    <xf numFmtId="177" fontId="26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6" fillId="51" borderId="49" xfId="0" applyNumberFormat="1" applyFont="1" applyFill="1" applyBorder="1" applyAlignment="1">
      <alignment horizontal="center"/>
    </xf>
    <xf numFmtId="177" fontId="26" fillId="51" borderId="50" xfId="0" applyNumberFormat="1" applyFont="1" applyFill="1" applyBorder="1" applyAlignment="1">
      <alignment horizontal="center"/>
    </xf>
    <xf numFmtId="176" fontId="26" fillId="0" borderId="0" xfId="0" applyNumberFormat="1" applyFont="1" applyAlignment="1">
      <alignment horizontal="center"/>
    </xf>
    <xf numFmtId="0" fontId="125" fillId="0" borderId="0" xfId="0" applyFont="1"/>
    <xf numFmtId="0" fontId="125" fillId="0" borderId="0" xfId="88" applyFont="1" applyFill="1" applyAlignment="1">
      <alignment horizontal="center" vertical="center"/>
    </xf>
    <xf numFmtId="0" fontId="8" fillId="0" borderId="0" xfId="921" applyAlignment="1">
      <alignment horizontal="center"/>
    </xf>
    <xf numFmtId="0" fontId="120" fillId="0" borderId="0" xfId="136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67" fontId="23" fillId="73" borderId="0" xfId="0" applyNumberFormat="1" applyFont="1" applyFill="1" applyAlignment="1">
      <alignment horizontal="center"/>
    </xf>
    <xf numFmtId="176" fontId="26" fillId="51" borderId="0" xfId="0" applyNumberFormat="1" applyFont="1" applyFill="1" applyAlignment="1">
      <alignment horizontal="center"/>
    </xf>
    <xf numFmtId="175" fontId="26" fillId="51" borderId="0" xfId="0" applyNumberFormat="1" applyFont="1" applyFill="1" applyBorder="1" applyAlignment="1">
      <alignment horizontal="center"/>
    </xf>
    <xf numFmtId="177" fontId="26" fillId="51" borderId="0" xfId="0" applyNumberFormat="1" applyFont="1" applyFill="1" applyAlignment="1">
      <alignment horizontal="center"/>
    </xf>
    <xf numFmtId="10" fontId="31" fillId="0" borderId="0" xfId="70" applyNumberFormat="1" applyFont="1" applyBorder="1" applyAlignment="1">
      <alignment horizontal="center"/>
    </xf>
    <xf numFmtId="0" fontId="26" fillId="52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30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182" fontId="33" fillId="51" borderId="0" xfId="70" applyNumberFormat="1" applyFont="1" applyFill="1" applyBorder="1" applyAlignment="1">
      <alignment horizontal="center" vertical="center"/>
    </xf>
    <xf numFmtId="167" fontId="28" fillId="53" borderId="0" xfId="0" applyNumberFormat="1" applyFont="1" applyFill="1"/>
    <xf numFmtId="167" fontId="23" fillId="52" borderId="0" xfId="0" applyNumberFormat="1" applyFont="1" applyFill="1" applyAlignment="1">
      <alignment horizontal="center"/>
    </xf>
    <xf numFmtId="0" fontId="23" fillId="29" borderId="21" xfId="0" applyFont="1" applyFill="1" applyBorder="1" applyAlignment="1">
      <alignment horizontal="center"/>
    </xf>
    <xf numFmtId="167" fontId="22" fillId="0" borderId="0" xfId="0" applyNumberFormat="1" applyFont="1" applyBorder="1"/>
    <xf numFmtId="2" fontId="24" fillId="34" borderId="22" xfId="70" applyNumberFormat="1" applyFont="1" applyFill="1" applyBorder="1" applyAlignment="1">
      <alignment horizontal="right"/>
    </xf>
    <xf numFmtId="1" fontId="22" fillId="0" borderId="0" xfId="0" applyNumberFormat="1" applyFont="1"/>
    <xf numFmtId="167" fontId="23" fillId="107" borderId="0" xfId="0" applyNumberFormat="1" applyFont="1" applyFill="1"/>
    <xf numFmtId="167" fontId="23" fillId="52" borderId="0" xfId="0" applyNumberFormat="1" applyFont="1" applyFill="1"/>
    <xf numFmtId="169" fontId="0" fillId="0" borderId="0" xfId="0" applyNumberFormat="1"/>
    <xf numFmtId="2" fontId="24" fillId="51" borderId="22" xfId="70" applyNumberFormat="1" applyFont="1" applyFill="1" applyBorder="1" applyAlignment="1">
      <alignment horizontal="right"/>
    </xf>
    <xf numFmtId="168" fontId="30" fillId="54" borderId="0" xfId="88" applyNumberFormat="1" applyFont="1" applyFill="1" applyBorder="1" applyAlignment="1">
      <alignment horizontal="center"/>
    </xf>
    <xf numFmtId="0" fontId="33" fillId="54" borderId="0" xfId="0" applyFont="1" applyFill="1" applyBorder="1"/>
    <xf numFmtId="168" fontId="30" fillId="54" borderId="0" xfId="70" applyNumberFormat="1" applyFont="1" applyFill="1" applyBorder="1" applyAlignment="1">
      <alignment horizontal="center"/>
    </xf>
    <xf numFmtId="2" fontId="30" fillId="54" borderId="0" xfId="70" applyNumberFormat="1" applyFont="1" applyFill="1" applyBorder="1" applyAlignment="1">
      <alignment horizontal="right"/>
    </xf>
    <xf numFmtId="170" fontId="18" fillId="37" borderId="23" xfId="0" applyNumberFormat="1" applyFont="1" applyFill="1" applyBorder="1" applyAlignment="1">
      <alignment horizontal="center"/>
    </xf>
    <xf numFmtId="167" fontId="70" fillId="71" borderId="48" xfId="0" applyNumberFormat="1" applyFont="1" applyFill="1" applyBorder="1" applyAlignment="1">
      <alignment horizontal="center"/>
    </xf>
    <xf numFmtId="167" fontId="70" fillId="71" borderId="26" xfId="0" applyNumberFormat="1" applyFont="1" applyFill="1" applyBorder="1" applyAlignment="1">
      <alignment horizontal="center"/>
    </xf>
    <xf numFmtId="170" fontId="22" fillId="0" borderId="0" xfId="0" applyNumberFormat="1" applyFont="1"/>
    <xf numFmtId="0" fontId="99" fillId="0" borderId="16" xfId="88" applyFont="1" applyFill="1" applyBorder="1" applyAlignment="1">
      <alignment vertical="center"/>
    </xf>
    <xf numFmtId="167" fontId="19" fillId="29" borderId="35" xfId="0" applyNumberFormat="1" applyFont="1" applyFill="1" applyBorder="1" applyAlignment="1">
      <alignment horizontal="center"/>
    </xf>
    <xf numFmtId="0" fontId="19" fillId="29" borderId="36" xfId="0" applyFont="1" applyFill="1" applyBorder="1" applyAlignment="1">
      <alignment horizontal="left"/>
    </xf>
    <xf numFmtId="167" fontId="19" fillId="29" borderId="15" xfId="0" applyNumberFormat="1" applyFont="1" applyFill="1" applyBorder="1" applyAlignment="1">
      <alignment horizontal="center"/>
    </xf>
    <xf numFmtId="0" fontId="19" fillId="29" borderId="0" xfId="0" applyFont="1" applyFill="1" applyBorder="1" applyAlignment="1">
      <alignment horizontal="left"/>
    </xf>
    <xf numFmtId="167" fontId="19" fillId="0" borderId="38" xfId="0" applyNumberFormat="1" applyFont="1" applyBorder="1" applyAlignment="1">
      <alignment horizontal="center"/>
    </xf>
    <xf numFmtId="0" fontId="19" fillId="0" borderId="21" xfId="0" applyFont="1" applyBorder="1" applyAlignment="1">
      <alignment horizontal="left"/>
    </xf>
    <xf numFmtId="0" fontId="22" fillId="0" borderId="48" xfId="0" applyFont="1" applyFill="1" applyBorder="1" applyAlignment="1">
      <alignment horizontal="center"/>
    </xf>
    <xf numFmtId="0" fontId="22" fillId="0" borderId="50" xfId="0" applyFont="1" applyFill="1" applyBorder="1"/>
    <xf numFmtId="170" fontId="70" fillId="0" borderId="49" xfId="0" applyNumberFormat="1" applyFont="1" applyFill="1" applyBorder="1" applyAlignment="1">
      <alignment horizontal="center"/>
    </xf>
    <xf numFmtId="169" fontId="18" fillId="0" borderId="0" xfId="0" applyNumberFormat="1" applyFont="1"/>
    <xf numFmtId="0" fontId="121" fillId="0" borderId="0" xfId="1769" applyFont="1" applyFill="1" applyAlignment="1">
      <alignment horizontal="left"/>
    </xf>
    <xf numFmtId="0" fontId="121" fillId="0" borderId="0" xfId="1770" applyFont="1" applyFill="1" applyAlignment="1">
      <alignment horizontal="left"/>
    </xf>
    <xf numFmtId="0" fontId="121" fillId="0" borderId="0" xfId="1770" applyFont="1" applyAlignment="1">
      <alignment horizontal="left"/>
    </xf>
    <xf numFmtId="22" fontId="121" fillId="0" borderId="0" xfId="1770" applyNumberFormat="1" applyFont="1" applyAlignment="1">
      <alignment horizontal="left"/>
    </xf>
    <xf numFmtId="167" fontId="23" fillId="66" borderId="0" xfId="0" applyNumberFormat="1" applyFont="1" applyFill="1" applyAlignment="1">
      <alignment horizontal="center"/>
    </xf>
    <xf numFmtId="182" fontId="33" fillId="51" borderId="36" xfId="70" applyNumberFormat="1" applyFont="1" applyFill="1" applyBorder="1" applyAlignment="1">
      <alignment horizontal="center" vertical="center"/>
    </xf>
    <xf numFmtId="182" fontId="33" fillId="51" borderId="37" xfId="70" applyNumberFormat="1" applyFont="1" applyFill="1" applyBorder="1" applyAlignment="1">
      <alignment horizontal="center" vertical="center"/>
    </xf>
    <xf numFmtId="182" fontId="33" fillId="51" borderId="52" xfId="70" applyNumberFormat="1" applyFont="1" applyFill="1" applyBorder="1" applyAlignment="1">
      <alignment horizontal="center" vertical="center"/>
    </xf>
    <xf numFmtId="182" fontId="33" fillId="51" borderId="21" xfId="70" applyNumberFormat="1" applyFont="1" applyFill="1" applyBorder="1" applyAlignment="1">
      <alignment horizontal="center" vertical="center"/>
    </xf>
    <xf numFmtId="182" fontId="33" fillId="51" borderId="39" xfId="70" applyNumberFormat="1" applyFont="1" applyFill="1" applyBorder="1" applyAlignment="1">
      <alignment horizontal="center" vertical="center"/>
    </xf>
    <xf numFmtId="0" fontId="26" fillId="67" borderId="47" xfId="0" applyFont="1" applyFill="1" applyBorder="1" applyAlignment="1">
      <alignment horizontal="center"/>
    </xf>
    <xf numFmtId="0" fontId="26" fillId="62" borderId="51" xfId="0" applyFont="1" applyFill="1" applyBorder="1" applyAlignment="1">
      <alignment horizontal="center"/>
    </xf>
    <xf numFmtId="0" fontId="26" fillId="52" borderId="51" xfId="0" applyFont="1" applyFill="1" applyBorder="1" applyAlignment="1">
      <alignment horizontal="center"/>
    </xf>
    <xf numFmtId="0" fontId="26" fillId="66" borderId="41" xfId="0" applyFont="1" applyFill="1" applyBorder="1" applyAlignment="1">
      <alignment horizontal="center"/>
    </xf>
    <xf numFmtId="0" fontId="35" fillId="51" borderId="48" xfId="0" applyFont="1" applyFill="1" applyBorder="1" applyAlignment="1">
      <alignment horizontal="center"/>
    </xf>
    <xf numFmtId="0" fontId="35" fillId="51" borderId="49" xfId="0" applyFont="1" applyFill="1" applyBorder="1" applyAlignment="1">
      <alignment horizontal="center"/>
    </xf>
    <xf numFmtId="0" fontId="35" fillId="51" borderId="50" xfId="0" applyFont="1" applyFill="1" applyBorder="1" applyAlignment="1">
      <alignment horizontal="center"/>
    </xf>
    <xf numFmtId="0" fontId="125" fillId="108" borderId="17" xfId="1790" applyFont="1" applyFill="1" applyBorder="1">
      <protection locked="0"/>
    </xf>
    <xf numFmtId="0" fontId="125" fillId="0" borderId="70" xfId="1791" applyFont="1" applyBorder="1" applyProtection="1"/>
    <xf numFmtId="193" fontId="125" fillId="0" borderId="70" xfId="1791" applyNumberFormat="1" applyFont="1" applyBorder="1" applyProtection="1"/>
    <xf numFmtId="0" fontId="125" fillId="0" borderId="70" xfId="1791" applyFont="1" applyBorder="1"/>
    <xf numFmtId="0" fontId="125" fillId="0" borderId="0" xfId="1791" applyFont="1"/>
    <xf numFmtId="0" fontId="125" fillId="0" borderId="20" xfId="1791" applyFont="1" applyBorder="1" applyProtection="1"/>
    <xf numFmtId="0" fontId="125" fillId="0" borderId="19" xfId="1791" applyFont="1" applyBorder="1" applyProtection="1"/>
    <xf numFmtId="0" fontId="125" fillId="0" borderId="0" xfId="1791" applyFont="1" applyBorder="1" applyProtection="1"/>
    <xf numFmtId="193" fontId="125" fillId="0" borderId="0" xfId="1791" applyNumberFormat="1" applyFont="1" applyBorder="1" applyProtection="1"/>
    <xf numFmtId="0" fontId="125" fillId="0" borderId="0" xfId="1791" applyFont="1" applyBorder="1" applyAlignment="1" applyProtection="1">
      <alignment horizontal="center"/>
    </xf>
    <xf numFmtId="0" fontId="125" fillId="0" borderId="0" xfId="1791" applyFont="1" applyBorder="1"/>
    <xf numFmtId="0" fontId="146" fillId="0" borderId="0" xfId="1792" applyFont="1"/>
    <xf numFmtId="0" fontId="125" fillId="0" borderId="59" xfId="1791" applyFont="1" applyBorder="1" applyProtection="1"/>
    <xf numFmtId="167" fontId="147" fillId="109" borderId="17" xfId="1791" applyNumberFormat="1" applyFont="1" applyFill="1" applyBorder="1" applyAlignment="1" applyProtection="1">
      <alignment horizontal="center"/>
    </xf>
    <xf numFmtId="0" fontId="125" fillId="0" borderId="17" xfId="1791" applyFont="1" applyBorder="1" applyAlignment="1" applyProtection="1">
      <alignment horizontal="center"/>
    </xf>
    <xf numFmtId="0" fontId="62" fillId="55" borderId="17" xfId="1791" applyFont="1" applyFill="1" applyBorder="1" applyAlignment="1" applyProtection="1">
      <alignment horizontal="center"/>
    </xf>
    <xf numFmtId="0" fontId="62" fillId="110" borderId="55" xfId="1791" applyFont="1" applyFill="1" applyBorder="1" applyAlignment="1" applyProtection="1">
      <alignment horizontal="center"/>
    </xf>
    <xf numFmtId="0" fontId="62" fillId="110" borderId="71" xfId="1791" applyFont="1" applyFill="1" applyBorder="1" applyAlignment="1" applyProtection="1">
      <alignment horizontal="center"/>
    </xf>
    <xf numFmtId="0" fontId="125" fillId="0" borderId="24" xfId="1791" applyFont="1" applyBorder="1"/>
    <xf numFmtId="0" fontId="125" fillId="0" borderId="16" xfId="1791" applyFont="1" applyBorder="1"/>
    <xf numFmtId="0" fontId="125" fillId="0" borderId="17" xfId="1791" applyFont="1" applyBorder="1"/>
    <xf numFmtId="173" fontId="125" fillId="0" borderId="0" xfId="1791" applyNumberFormat="1" applyFont="1"/>
    <xf numFmtId="0" fontId="62" fillId="110" borderId="24" xfId="1791" applyFont="1" applyFill="1" applyBorder="1" applyAlignment="1" applyProtection="1">
      <alignment horizontal="center"/>
    </xf>
    <xf numFmtId="0" fontId="62" fillId="110" borderId="16" xfId="1791" applyFont="1" applyFill="1" applyBorder="1" applyAlignment="1" applyProtection="1">
      <alignment horizontal="center"/>
    </xf>
    <xf numFmtId="0" fontId="125" fillId="110" borderId="72" xfId="1791" applyFont="1" applyFill="1" applyBorder="1" applyProtection="1"/>
    <xf numFmtId="0" fontId="125" fillId="110" borderId="71" xfId="1791" applyFont="1" applyFill="1" applyBorder="1" applyProtection="1"/>
    <xf numFmtId="0" fontId="62" fillId="52" borderId="16" xfId="1791" applyFont="1" applyFill="1" applyBorder="1" applyAlignment="1">
      <alignment horizontal="center"/>
    </xf>
    <xf numFmtId="0" fontId="125" fillId="111" borderId="73" xfId="1791" applyFont="1" applyFill="1" applyBorder="1" applyProtection="1"/>
    <xf numFmtId="1" fontId="125" fillId="112" borderId="18" xfId="1791" applyNumberFormat="1" applyFont="1" applyFill="1" applyBorder="1" applyAlignment="1" applyProtection="1">
      <alignment horizontal="center"/>
    </xf>
    <xf numFmtId="0" fontId="125" fillId="0" borderId="70" xfId="1791" applyFont="1" applyBorder="1" applyAlignment="1" applyProtection="1">
      <alignment horizontal="center"/>
    </xf>
    <xf numFmtId="170" fontId="125" fillId="71" borderId="18" xfId="1791" applyNumberFormat="1" applyFont="1" applyFill="1" applyBorder="1" applyAlignment="1" applyProtection="1">
      <alignment horizontal="center"/>
    </xf>
    <xf numFmtId="170" fontId="125" fillId="0" borderId="70" xfId="1791" applyNumberFormat="1" applyFont="1" applyFill="1" applyBorder="1" applyAlignment="1" applyProtection="1">
      <alignment horizontal="center"/>
    </xf>
    <xf numFmtId="170" fontId="125" fillId="110" borderId="18" xfId="1791" applyNumberFormat="1" applyFont="1" applyFill="1" applyBorder="1" applyAlignment="1" applyProtection="1">
      <alignment horizontal="center"/>
    </xf>
    <xf numFmtId="170" fontId="125" fillId="0" borderId="71" xfId="1791" applyNumberFormat="1" applyFont="1" applyFill="1" applyBorder="1" applyAlignment="1" applyProtection="1">
      <alignment horizontal="center"/>
    </xf>
    <xf numFmtId="0" fontId="125" fillId="0" borderId="72" xfId="1791" applyFont="1" applyBorder="1" applyAlignment="1" applyProtection="1">
      <alignment horizontal="center"/>
    </xf>
    <xf numFmtId="0" fontId="125" fillId="0" borderId="71" xfId="1791" applyFont="1" applyBorder="1" applyAlignment="1" applyProtection="1">
      <alignment horizontal="center"/>
    </xf>
    <xf numFmtId="0" fontId="147" fillId="109" borderId="27" xfId="1791" applyNumberFormat="1" applyFont="1" applyFill="1" applyBorder="1" applyAlignment="1" applyProtection="1">
      <alignment horizontal="center"/>
    </xf>
    <xf numFmtId="0" fontId="125" fillId="110" borderId="72" xfId="1791" applyFont="1" applyFill="1" applyBorder="1" applyAlignment="1" applyProtection="1">
      <alignment horizontal="center"/>
    </xf>
    <xf numFmtId="170" fontId="125" fillId="0" borderId="72" xfId="1791" applyNumberFormat="1" applyFont="1" applyBorder="1" applyAlignment="1" applyProtection="1">
      <alignment horizontal="center"/>
    </xf>
    <xf numFmtId="170" fontId="125" fillId="0" borderId="71" xfId="1791" applyNumberFormat="1" applyFont="1" applyBorder="1" applyAlignment="1" applyProtection="1">
      <alignment horizontal="center"/>
    </xf>
    <xf numFmtId="0" fontId="125" fillId="0" borderId="18" xfId="1791" applyFont="1" applyBorder="1"/>
    <xf numFmtId="0" fontId="125" fillId="111" borderId="72" xfId="1791" applyFont="1" applyFill="1" applyBorder="1" applyProtection="1"/>
    <xf numFmtId="0" fontId="125" fillId="110" borderId="59" xfId="1791" applyFont="1" applyFill="1" applyBorder="1" applyProtection="1"/>
    <xf numFmtId="0" fontId="125" fillId="110" borderId="74" xfId="1791" applyFont="1" applyFill="1" applyBorder="1" applyProtection="1"/>
    <xf numFmtId="1" fontId="125" fillId="112" borderId="73" xfId="1791" applyNumberFormat="1" applyFont="1" applyFill="1" applyBorder="1" applyAlignment="1" applyProtection="1">
      <alignment horizontal="center"/>
    </xf>
    <xf numFmtId="170" fontId="125" fillId="71" borderId="73" xfId="1791" applyNumberFormat="1" applyFont="1" applyFill="1" applyBorder="1" applyAlignment="1" applyProtection="1">
      <alignment horizontal="center"/>
    </xf>
    <xf numFmtId="170" fontId="125" fillId="0" borderId="0" xfId="1791" applyNumberFormat="1" applyFont="1" applyFill="1" applyBorder="1" applyAlignment="1" applyProtection="1">
      <alignment horizontal="center"/>
    </xf>
    <xf numFmtId="170" fontId="125" fillId="110" borderId="73" xfId="1791" applyNumberFormat="1" applyFont="1" applyFill="1" applyBorder="1" applyAlignment="1" applyProtection="1">
      <alignment horizontal="center"/>
    </xf>
    <xf numFmtId="170" fontId="125" fillId="0" borderId="74" xfId="1791" applyNumberFormat="1" applyFont="1" applyFill="1" applyBorder="1" applyAlignment="1" applyProtection="1">
      <alignment horizontal="center"/>
    </xf>
    <xf numFmtId="0" fontId="125" fillId="0" borderId="59" xfId="1791" applyFont="1" applyBorder="1" applyAlignment="1" applyProtection="1">
      <alignment horizontal="center"/>
    </xf>
    <xf numFmtId="0" fontId="125" fillId="0" borderId="74" xfId="1791" applyFont="1" applyBorder="1" applyAlignment="1" applyProtection="1">
      <alignment horizontal="center"/>
    </xf>
    <xf numFmtId="193" fontId="125" fillId="113" borderId="72" xfId="1791" applyNumberFormat="1" applyFont="1" applyFill="1" applyBorder="1" applyAlignment="1" applyProtection="1">
      <alignment horizontal="center"/>
    </xf>
    <xf numFmtId="195" fontId="125" fillId="113" borderId="18" xfId="1791" applyNumberFormat="1" applyFont="1" applyFill="1" applyBorder="1" applyAlignment="1" applyProtection="1">
      <alignment horizontal="center"/>
    </xf>
    <xf numFmtId="193" fontId="125" fillId="113" borderId="59" xfId="1791" applyNumberFormat="1" applyFont="1" applyFill="1" applyBorder="1" applyAlignment="1" applyProtection="1">
      <alignment horizontal="center"/>
    </xf>
    <xf numFmtId="195" fontId="125" fillId="113" borderId="73" xfId="1791" applyNumberFormat="1" applyFont="1" applyFill="1" applyBorder="1" applyAlignment="1" applyProtection="1">
      <alignment horizontal="center"/>
    </xf>
    <xf numFmtId="195" fontId="125" fillId="113" borderId="27" xfId="1791" applyNumberFormat="1" applyFont="1" applyFill="1" applyBorder="1" applyAlignment="1" applyProtection="1">
      <alignment horizontal="center"/>
    </xf>
    <xf numFmtId="0" fontId="125" fillId="110" borderId="59" xfId="1791" applyFont="1" applyFill="1" applyBorder="1" applyAlignment="1" applyProtection="1">
      <alignment horizontal="center"/>
    </xf>
    <xf numFmtId="170" fontId="125" fillId="0" borderId="59" xfId="1791" applyNumberFormat="1" applyFont="1" applyBorder="1" applyAlignment="1" applyProtection="1">
      <alignment horizontal="center"/>
    </xf>
    <xf numFmtId="170" fontId="125" fillId="0" borderId="74" xfId="1791" applyNumberFormat="1" applyFont="1" applyBorder="1" applyAlignment="1" applyProtection="1">
      <alignment horizontal="center"/>
    </xf>
    <xf numFmtId="0" fontId="125" fillId="0" borderId="73" xfId="1791" applyFont="1" applyBorder="1"/>
    <xf numFmtId="14" fontId="125" fillId="113" borderId="18" xfId="1791" applyNumberFormat="1" applyFont="1" applyFill="1" applyBorder="1" applyProtection="1"/>
    <xf numFmtId="0" fontId="125" fillId="35" borderId="18" xfId="1793" applyFont="1" applyFill="1" applyBorder="1" applyAlignment="1">
      <alignment horizontal="center"/>
    </xf>
    <xf numFmtId="0" fontId="125" fillId="111" borderId="59" xfId="1791" applyFont="1" applyFill="1" applyBorder="1" applyProtection="1"/>
    <xf numFmtId="193" fontId="125" fillId="113" borderId="18" xfId="1791" applyNumberFormat="1" applyFont="1" applyFill="1" applyBorder="1" applyAlignment="1" applyProtection="1">
      <alignment horizontal="center"/>
    </xf>
    <xf numFmtId="193" fontId="125" fillId="113" borderId="73" xfId="1791" applyNumberFormat="1" applyFont="1" applyFill="1" applyBorder="1" applyAlignment="1" applyProtection="1">
      <alignment horizontal="center"/>
    </xf>
    <xf numFmtId="193" fontId="125" fillId="113" borderId="27" xfId="1791" applyNumberFormat="1" applyFont="1" applyFill="1" applyBorder="1" applyAlignment="1" applyProtection="1">
      <alignment horizontal="center"/>
    </xf>
    <xf numFmtId="0" fontId="125" fillId="110" borderId="69" xfId="1791" applyFont="1" applyFill="1" applyBorder="1" applyProtection="1"/>
    <xf numFmtId="0" fontId="125" fillId="110" borderId="53" xfId="1791" applyFont="1" applyFill="1" applyBorder="1" applyProtection="1"/>
    <xf numFmtId="14" fontId="125" fillId="113" borderId="73" xfId="1791" applyNumberFormat="1" applyFont="1" applyFill="1" applyBorder="1" applyProtection="1"/>
    <xf numFmtId="0" fontId="125" fillId="35" borderId="73" xfId="1793" applyFont="1" applyFill="1" applyBorder="1" applyAlignment="1">
      <alignment horizontal="center"/>
    </xf>
    <xf numFmtId="1" fontId="125" fillId="112" borderId="59" xfId="1791" applyNumberFormat="1" applyFont="1" applyFill="1" applyBorder="1" applyAlignment="1" applyProtection="1">
      <alignment horizontal="center"/>
    </xf>
    <xf numFmtId="0" fontId="125" fillId="110" borderId="69" xfId="1791" applyFont="1" applyFill="1" applyBorder="1" applyAlignment="1" applyProtection="1">
      <alignment horizontal="center"/>
    </xf>
    <xf numFmtId="170" fontId="125" fillId="0" borderId="69" xfId="1791" applyNumberFormat="1" applyFont="1" applyBorder="1" applyAlignment="1" applyProtection="1">
      <alignment horizontal="center"/>
    </xf>
    <xf numFmtId="170" fontId="125" fillId="0" borderId="53" xfId="1791" applyNumberFormat="1" applyFont="1" applyBorder="1" applyAlignment="1" applyProtection="1">
      <alignment horizontal="center"/>
    </xf>
    <xf numFmtId="0" fontId="125" fillId="111" borderId="18" xfId="1791" applyFont="1" applyFill="1" applyBorder="1" applyProtection="1"/>
    <xf numFmtId="196" fontId="125" fillId="112" borderId="18" xfId="1791" applyNumberFormat="1" applyFont="1" applyFill="1" applyBorder="1" applyAlignment="1" applyProtection="1">
      <alignment horizontal="center"/>
    </xf>
    <xf numFmtId="196" fontId="125" fillId="112" borderId="73" xfId="1791" applyNumberFormat="1" applyFont="1" applyFill="1" applyBorder="1" applyAlignment="1" applyProtection="1">
      <alignment horizontal="center"/>
    </xf>
    <xf numFmtId="0" fontId="125" fillId="0" borderId="27" xfId="1791" applyFont="1" applyBorder="1"/>
    <xf numFmtId="0" fontId="125" fillId="113" borderId="27" xfId="1791" applyFont="1" applyFill="1" applyBorder="1" applyProtection="1"/>
    <xf numFmtId="0" fontId="125" fillId="114" borderId="27" xfId="1791" applyFont="1" applyFill="1" applyBorder="1" applyAlignment="1" applyProtection="1">
      <alignment horizontal="center"/>
    </xf>
    <xf numFmtId="196" fontId="125" fillId="110" borderId="59" xfId="1791" applyNumberFormat="1" applyFont="1" applyFill="1" applyBorder="1" applyAlignment="1" applyProtection="1">
      <alignment horizontal="center"/>
    </xf>
    <xf numFmtId="0" fontId="62" fillId="55" borderId="24" xfId="1791" applyFont="1" applyFill="1" applyBorder="1" applyAlignment="1" applyProtection="1">
      <alignment horizontal="center"/>
    </xf>
    <xf numFmtId="0" fontId="125" fillId="111" borderId="27" xfId="1791" applyFont="1" applyFill="1" applyBorder="1" applyProtection="1"/>
    <xf numFmtId="196" fontId="125" fillId="112" borderId="27" xfId="1791" applyNumberFormat="1" applyFont="1" applyFill="1" applyBorder="1" applyAlignment="1" applyProtection="1">
      <alignment horizontal="center"/>
    </xf>
    <xf numFmtId="0" fontId="125" fillId="0" borderId="75" xfId="1791" applyFont="1" applyBorder="1" applyAlignment="1" applyProtection="1">
      <alignment horizontal="center"/>
    </xf>
    <xf numFmtId="170" fontId="125" fillId="71" borderId="27" xfId="1791" applyNumberFormat="1" applyFont="1" applyFill="1" applyBorder="1" applyAlignment="1" applyProtection="1">
      <alignment horizontal="center"/>
    </xf>
    <xf numFmtId="170" fontId="125" fillId="0" borderId="75" xfId="1791" applyNumberFormat="1" applyFont="1" applyFill="1" applyBorder="1" applyAlignment="1" applyProtection="1">
      <alignment horizontal="center"/>
    </xf>
    <xf numFmtId="170" fontId="125" fillId="110" borderId="27" xfId="1791" applyNumberFormat="1" applyFont="1" applyFill="1" applyBorder="1" applyAlignment="1" applyProtection="1">
      <alignment horizontal="center"/>
    </xf>
    <xf numFmtId="170" fontId="125" fillId="0" borderId="76" xfId="1791" applyNumberFormat="1" applyFont="1" applyFill="1" applyBorder="1" applyAlignment="1" applyProtection="1">
      <alignment horizontal="center"/>
    </xf>
    <xf numFmtId="0" fontId="125" fillId="110" borderId="72" xfId="1791" applyNumberFormat="1" applyFont="1" applyFill="1" applyBorder="1" applyAlignment="1" applyProtection="1">
      <alignment horizontal="center"/>
    </xf>
    <xf numFmtId="197" fontId="125" fillId="112" borderId="73" xfId="1791" applyNumberFormat="1" applyFont="1" applyFill="1" applyBorder="1" applyAlignment="1" applyProtection="1">
      <alignment horizontal="center"/>
    </xf>
    <xf numFmtId="0" fontId="148" fillId="0" borderId="72" xfId="1791" applyFont="1" applyFill="1" applyBorder="1" applyAlignment="1">
      <alignment horizontal="center"/>
    </xf>
    <xf numFmtId="0" fontId="148" fillId="0" borderId="18" xfId="1791" applyFont="1" applyFill="1" applyBorder="1" applyAlignment="1">
      <alignment horizontal="center"/>
    </xf>
    <xf numFmtId="197" fontId="125" fillId="110" borderId="59" xfId="1791" applyNumberFormat="1" applyFont="1" applyFill="1" applyBorder="1" applyAlignment="1" applyProtection="1">
      <alignment horizontal="center"/>
    </xf>
    <xf numFmtId="0" fontId="125" fillId="110" borderId="59" xfId="1791" applyNumberFormat="1" applyFont="1" applyFill="1" applyBorder="1" applyAlignment="1" applyProtection="1">
      <alignment horizontal="center"/>
    </xf>
    <xf numFmtId="0" fontId="125" fillId="110" borderId="77" xfId="1791" applyFont="1" applyFill="1" applyBorder="1" applyProtection="1"/>
    <xf numFmtId="0" fontId="125" fillId="110" borderId="76" xfId="1791" applyFont="1" applyFill="1" applyBorder="1" applyProtection="1"/>
    <xf numFmtId="0" fontId="125" fillId="29" borderId="72" xfId="1792" applyFont="1" applyFill="1" applyBorder="1" applyAlignment="1">
      <alignment horizontal="center"/>
    </xf>
    <xf numFmtId="0" fontId="125" fillId="29" borderId="18" xfId="1792" applyFont="1" applyFill="1" applyBorder="1" applyAlignment="1">
      <alignment horizontal="center"/>
    </xf>
    <xf numFmtId="0" fontId="125" fillId="29" borderId="77" xfId="1792" applyFont="1" applyFill="1" applyBorder="1" applyAlignment="1">
      <alignment horizontal="center"/>
    </xf>
    <xf numFmtId="0" fontId="125" fillId="29" borderId="27" xfId="1792" applyFont="1" applyFill="1" applyBorder="1" applyAlignment="1">
      <alignment horizontal="center"/>
    </xf>
    <xf numFmtId="0" fontId="125" fillId="110" borderId="24" xfId="1791" applyFont="1" applyFill="1" applyBorder="1" applyAlignment="1" applyProtection="1">
      <alignment horizontal="center"/>
    </xf>
    <xf numFmtId="193" fontId="125" fillId="0" borderId="72" xfId="1791" applyNumberFormat="1" applyFont="1" applyFill="1" applyBorder="1" applyAlignment="1" applyProtection="1">
      <alignment horizontal="center"/>
    </xf>
    <xf numFmtId="0" fontId="148" fillId="0" borderId="17" xfId="1791" applyFont="1" applyFill="1" applyBorder="1" applyAlignment="1">
      <alignment horizontal="center"/>
    </xf>
    <xf numFmtId="193" fontId="125" fillId="0" borderId="59" xfId="1791" applyNumberFormat="1" applyFont="1" applyFill="1" applyBorder="1" applyAlignment="1" applyProtection="1">
      <alignment horizontal="center"/>
    </xf>
    <xf numFmtId="0" fontId="125" fillId="110" borderId="77" xfId="1791" applyFont="1" applyFill="1" applyBorder="1" applyAlignment="1" applyProtection="1">
      <alignment horizontal="center"/>
    </xf>
    <xf numFmtId="0" fontId="125" fillId="0" borderId="75" xfId="1791" applyFont="1" applyBorder="1" applyProtection="1"/>
    <xf numFmtId="193" fontId="125" fillId="0" borderId="77" xfId="1791" applyNumberFormat="1" applyFont="1" applyFill="1" applyBorder="1" applyAlignment="1" applyProtection="1">
      <alignment horizontal="center"/>
    </xf>
    <xf numFmtId="173" fontId="125" fillId="0" borderId="0" xfId="1791" applyNumberFormat="1" applyFont="1" applyBorder="1"/>
    <xf numFmtId="0" fontId="125" fillId="111" borderId="77" xfId="1791" applyFont="1" applyFill="1" applyBorder="1" applyProtection="1"/>
    <xf numFmtId="197" fontId="125" fillId="112" borderId="27" xfId="1791" applyNumberFormat="1" applyFont="1" applyFill="1" applyBorder="1" applyAlignment="1" applyProtection="1">
      <alignment horizontal="center"/>
    </xf>
    <xf numFmtId="0" fontId="125" fillId="0" borderId="77" xfId="1791" applyFont="1" applyBorder="1" applyAlignment="1" applyProtection="1">
      <alignment horizontal="center"/>
    </xf>
    <xf numFmtId="0" fontId="125" fillId="0" borderId="76" xfId="1791" applyFont="1" applyBorder="1" applyAlignment="1" applyProtection="1">
      <alignment horizontal="center"/>
    </xf>
    <xf numFmtId="170" fontId="125" fillId="0" borderId="77" xfId="1791" applyNumberFormat="1" applyFont="1" applyBorder="1" applyAlignment="1" applyProtection="1">
      <alignment horizontal="center"/>
    </xf>
    <xf numFmtId="170" fontId="125" fillId="0" borderId="76" xfId="1791" applyNumberFormat="1" applyFont="1" applyBorder="1" applyAlignment="1" applyProtection="1">
      <alignment horizontal="center"/>
    </xf>
    <xf numFmtId="199" fontId="125" fillId="110" borderId="59" xfId="1791" applyNumberFormat="1" applyFont="1" applyFill="1" applyBorder="1" applyAlignment="1" applyProtection="1">
      <alignment horizontal="center"/>
    </xf>
    <xf numFmtId="0" fontId="62" fillId="55" borderId="18" xfId="1791" applyFont="1" applyFill="1" applyBorder="1" applyAlignment="1" applyProtection="1">
      <alignment horizontal="center"/>
    </xf>
    <xf numFmtId="170" fontId="62" fillId="110" borderId="72" xfId="1791" applyNumberFormat="1" applyFont="1" applyFill="1" applyBorder="1" applyAlignment="1" applyProtection="1">
      <alignment horizontal="center"/>
    </xf>
    <xf numFmtId="170" fontId="62" fillId="110" borderId="71" xfId="1791" applyNumberFormat="1" applyFont="1" applyFill="1" applyBorder="1" applyAlignment="1" applyProtection="1">
      <alignment horizontal="center"/>
    </xf>
    <xf numFmtId="195" fontId="125" fillId="0" borderId="0" xfId="1791" applyNumberFormat="1" applyFont="1" applyBorder="1"/>
    <xf numFmtId="200" fontId="125" fillId="112" borderId="18" xfId="1791" applyNumberFormat="1" applyFont="1" applyFill="1" applyBorder="1" applyAlignment="1" applyProtection="1">
      <alignment horizontal="center"/>
    </xf>
    <xf numFmtId="170" fontId="125" fillId="0" borderId="18" xfId="1791" applyNumberFormat="1" applyFont="1" applyFill="1" applyBorder="1" applyAlignment="1" applyProtection="1">
      <alignment horizontal="center"/>
    </xf>
    <xf numFmtId="0" fontId="125" fillId="110" borderId="18" xfId="1791" applyFont="1" applyFill="1" applyBorder="1" applyAlignment="1" applyProtection="1">
      <alignment horizontal="center"/>
    </xf>
    <xf numFmtId="170" fontId="125" fillId="0" borderId="70" xfId="1791" applyNumberFormat="1" applyFont="1" applyBorder="1" applyAlignment="1" applyProtection="1">
      <alignment horizontal="center"/>
    </xf>
    <xf numFmtId="198" fontId="125" fillId="0" borderId="0" xfId="1791" applyNumberFormat="1" applyFont="1" applyBorder="1"/>
    <xf numFmtId="0" fontId="149" fillId="111" borderId="27" xfId="1791" applyFont="1" applyFill="1" applyBorder="1" applyProtection="1"/>
    <xf numFmtId="200" fontId="125" fillId="112" borderId="27" xfId="1791" applyNumberFormat="1" applyFont="1" applyFill="1" applyBorder="1" applyAlignment="1" applyProtection="1">
      <alignment horizontal="center"/>
    </xf>
    <xf numFmtId="170" fontId="125" fillId="0" borderId="27" xfId="1791" applyNumberFormat="1" applyFont="1" applyFill="1" applyBorder="1" applyAlignment="1" applyProtection="1">
      <alignment horizontal="center"/>
    </xf>
    <xf numFmtId="0" fontId="125" fillId="110" borderId="27" xfId="1791" applyFont="1" applyFill="1" applyBorder="1" applyAlignment="1" applyProtection="1">
      <alignment horizontal="center"/>
    </xf>
    <xf numFmtId="167" fontId="147" fillId="109" borderId="18" xfId="1791" applyNumberFormat="1" applyFont="1" applyFill="1" applyBorder="1" applyAlignment="1" applyProtection="1">
      <alignment horizontal="center"/>
    </xf>
    <xf numFmtId="0" fontId="125" fillId="0" borderId="27" xfId="1791" applyFont="1" applyBorder="1" applyAlignment="1" applyProtection="1">
      <alignment horizontal="center"/>
    </xf>
    <xf numFmtId="0" fontId="125" fillId="0" borderId="18" xfId="1791" applyFont="1" applyBorder="1" applyAlignment="1" applyProtection="1">
      <alignment horizontal="center"/>
    </xf>
    <xf numFmtId="194" fontId="125" fillId="114" borderId="18" xfId="1791" applyNumberFormat="1" applyFont="1" applyFill="1" applyBorder="1" applyAlignment="1" applyProtection="1">
      <alignment horizontal="center"/>
    </xf>
    <xf numFmtId="0" fontId="125" fillId="0" borderId="0" xfId="1791" applyFont="1" applyBorder="1" applyAlignment="1" applyProtection="1">
      <alignment horizontal="right"/>
    </xf>
    <xf numFmtId="0" fontId="125" fillId="112" borderId="18" xfId="1791" applyNumberFormat="1" applyFont="1" applyFill="1" applyBorder="1" applyAlignment="1" applyProtection="1">
      <alignment horizontal="center"/>
    </xf>
    <xf numFmtId="194" fontId="125" fillId="0" borderId="72" xfId="1791" applyNumberFormat="1" applyFont="1" applyBorder="1" applyAlignment="1">
      <alignment horizontal="center"/>
    </xf>
    <xf numFmtId="194" fontId="125" fillId="0" borderId="17" xfId="1791" applyNumberFormat="1" applyFont="1" applyBorder="1"/>
    <xf numFmtId="173" fontId="125" fillId="110" borderId="18" xfId="1791" applyNumberFormat="1" applyFont="1" applyFill="1" applyBorder="1" applyAlignment="1" applyProtection="1">
      <alignment horizontal="center"/>
    </xf>
    <xf numFmtId="194" fontId="125" fillId="0" borderId="76" xfId="1791" applyNumberFormat="1" applyFont="1" applyBorder="1" applyAlignment="1" applyProtection="1">
      <alignment horizontal="center"/>
    </xf>
    <xf numFmtId="169" fontId="125" fillId="0" borderId="0" xfId="1791" applyNumberFormat="1" applyFont="1" applyBorder="1"/>
    <xf numFmtId="194" fontId="125" fillId="114" borderId="73" xfId="1791" applyNumberFormat="1" applyFont="1" applyFill="1" applyBorder="1" applyAlignment="1" applyProtection="1">
      <alignment horizontal="center"/>
    </xf>
    <xf numFmtId="0" fontId="125" fillId="112" borderId="73" xfId="1791" applyNumberFormat="1" applyFont="1" applyFill="1" applyBorder="1" applyAlignment="1" applyProtection="1">
      <alignment horizontal="center"/>
    </xf>
    <xf numFmtId="194" fontId="125" fillId="0" borderId="59" xfId="1791" applyNumberFormat="1" applyFont="1" applyBorder="1" applyAlignment="1">
      <alignment horizontal="center"/>
    </xf>
    <xf numFmtId="194" fontId="125" fillId="0" borderId="74" xfId="1791" applyNumberFormat="1" applyFont="1" applyBorder="1"/>
    <xf numFmtId="170" fontId="125" fillId="0" borderId="73" xfId="1791" applyNumberFormat="1" applyFont="1" applyFill="1" applyBorder="1" applyAlignment="1" applyProtection="1">
      <alignment horizontal="center"/>
    </xf>
    <xf numFmtId="173" fontId="125" fillId="110" borderId="73" xfId="1791" applyNumberFormat="1" applyFont="1" applyFill="1" applyBorder="1" applyAlignment="1" applyProtection="1">
      <alignment horizontal="center"/>
    </xf>
    <xf numFmtId="15" fontId="125" fillId="114" borderId="73" xfId="1791" applyNumberFormat="1" applyFont="1" applyFill="1" applyBorder="1" applyAlignment="1" applyProtection="1">
      <alignment horizontal="center"/>
      <protection locked="0"/>
    </xf>
    <xf numFmtId="0" fontId="125" fillId="115" borderId="17" xfId="1791" applyFont="1" applyFill="1" applyBorder="1" applyProtection="1"/>
    <xf numFmtId="0" fontId="125" fillId="114" borderId="17" xfId="1791" applyFont="1" applyFill="1" applyBorder="1" applyAlignment="1" applyProtection="1">
      <alignment horizontal="center"/>
    </xf>
    <xf numFmtId="0" fontId="62" fillId="110" borderId="72" xfId="1791" applyFont="1" applyFill="1" applyBorder="1" applyAlignment="1" applyProtection="1">
      <alignment horizontal="center"/>
    </xf>
    <xf numFmtId="0" fontId="62" fillId="110" borderId="70" xfId="1791" applyFont="1" applyFill="1" applyBorder="1" applyAlignment="1" applyProtection="1">
      <alignment horizontal="center"/>
    </xf>
    <xf numFmtId="0" fontId="125" fillId="116" borderId="18" xfId="1791" applyFont="1" applyFill="1" applyBorder="1" applyProtection="1"/>
    <xf numFmtId="173" fontId="125" fillId="0" borderId="70" xfId="1791" applyNumberFormat="1" applyFont="1" applyBorder="1" applyAlignment="1" applyProtection="1">
      <alignment horizontal="center"/>
    </xf>
    <xf numFmtId="174" fontId="125" fillId="0" borderId="71" xfId="1791" applyNumberFormat="1" applyFont="1" applyBorder="1" applyAlignment="1" applyProtection="1">
      <alignment horizontal="center"/>
    </xf>
    <xf numFmtId="0" fontId="125" fillId="116" borderId="73" xfId="1791" applyFont="1" applyFill="1" applyBorder="1" applyProtection="1"/>
    <xf numFmtId="0" fontId="125" fillId="110" borderId="73" xfId="1791" applyFont="1" applyFill="1" applyBorder="1" applyAlignment="1" applyProtection="1">
      <alignment horizontal="center"/>
    </xf>
    <xf numFmtId="170" fontId="125" fillId="0" borderId="0" xfId="1791" applyNumberFormat="1" applyFont="1" applyBorder="1" applyAlignment="1" applyProtection="1">
      <alignment horizontal="center"/>
    </xf>
    <xf numFmtId="173" fontId="125" fillId="0" borderId="0" xfId="1791" applyNumberFormat="1" applyFont="1" applyBorder="1" applyAlignment="1" applyProtection="1">
      <alignment horizontal="center"/>
    </xf>
    <xf numFmtId="174" fontId="125" fillId="0" borderId="74" xfId="1791" applyNumberFormat="1" applyFont="1" applyBorder="1" applyAlignment="1" applyProtection="1">
      <alignment horizontal="center"/>
    </xf>
    <xf numFmtId="0" fontId="125" fillId="0" borderId="17" xfId="1791" applyFont="1" applyBorder="1" applyAlignment="1">
      <alignment horizontal="left"/>
    </xf>
    <xf numFmtId="0" fontId="125" fillId="116" borderId="27" xfId="1791" applyFont="1" applyFill="1" applyBorder="1" applyProtection="1"/>
    <xf numFmtId="0" fontId="125" fillId="0" borderId="73" xfId="1791" applyFont="1" applyBorder="1" applyAlignment="1">
      <alignment horizontal="left"/>
    </xf>
    <xf numFmtId="0" fontId="125" fillId="117" borderId="17" xfId="1791" applyFont="1" applyFill="1" applyBorder="1"/>
    <xf numFmtId="0" fontId="125" fillId="114" borderId="17" xfId="1791" applyFont="1" applyFill="1" applyBorder="1" applyAlignment="1">
      <alignment horizontal="center"/>
    </xf>
    <xf numFmtId="0" fontId="125" fillId="0" borderId="27" xfId="1791" applyFont="1" applyBorder="1" applyAlignment="1">
      <alignment horizontal="left"/>
    </xf>
    <xf numFmtId="0" fontId="125" fillId="110" borderId="73" xfId="1791" applyNumberFormat="1" applyFont="1" applyFill="1" applyBorder="1" applyAlignment="1" applyProtection="1">
      <alignment horizontal="center"/>
    </xf>
    <xf numFmtId="199" fontId="125" fillId="110" borderId="73" xfId="1791" applyNumberFormat="1" applyFont="1" applyFill="1" applyBorder="1" applyAlignment="1" applyProtection="1">
      <alignment horizontal="center"/>
    </xf>
    <xf numFmtId="0" fontId="125" fillId="112" borderId="27" xfId="1791" applyNumberFormat="1" applyFont="1" applyFill="1" applyBorder="1" applyAlignment="1" applyProtection="1">
      <alignment horizontal="center"/>
    </xf>
    <xf numFmtId="194" fontId="125" fillId="0" borderId="77" xfId="1791" applyNumberFormat="1" applyFont="1" applyBorder="1" applyAlignment="1">
      <alignment horizontal="center"/>
    </xf>
    <xf numFmtId="194" fontId="125" fillId="0" borderId="76" xfId="1791" applyNumberFormat="1" applyFont="1" applyBorder="1"/>
    <xf numFmtId="173" fontId="125" fillId="110" borderId="27" xfId="1791" applyNumberFormat="1" applyFont="1" applyFill="1" applyBorder="1" applyAlignment="1" applyProtection="1">
      <alignment horizontal="center"/>
    </xf>
    <xf numFmtId="0" fontId="125" fillId="114" borderId="18" xfId="1791" quotePrefix="1" applyFont="1" applyFill="1" applyBorder="1" applyAlignment="1" applyProtection="1">
      <alignment horizontal="center"/>
    </xf>
    <xf numFmtId="199" fontId="125" fillId="112" borderId="71" xfId="1791" applyNumberFormat="1" applyFont="1" applyFill="1" applyBorder="1" applyAlignment="1" applyProtection="1">
      <alignment horizontal="center"/>
    </xf>
    <xf numFmtId="0" fontId="125" fillId="0" borderId="72" xfId="1791" applyFont="1" applyFill="1" applyBorder="1" applyAlignment="1" applyProtection="1">
      <alignment horizontal="center"/>
    </xf>
    <xf numFmtId="193" fontId="125" fillId="114" borderId="73" xfId="1791" applyNumberFormat="1" applyFont="1" applyFill="1" applyBorder="1" applyAlignment="1" applyProtection="1">
      <alignment horizontal="center"/>
    </xf>
    <xf numFmtId="199" fontId="125" fillId="112" borderId="74" xfId="1791" applyNumberFormat="1" applyFont="1" applyFill="1" applyBorder="1" applyAlignment="1" applyProtection="1">
      <alignment horizontal="center"/>
    </xf>
    <xf numFmtId="0" fontId="125" fillId="0" borderId="59" xfId="1791" applyFont="1" applyFill="1" applyBorder="1" applyAlignment="1" applyProtection="1">
      <alignment horizontal="center"/>
    </xf>
    <xf numFmtId="170" fontId="125" fillId="0" borderId="75" xfId="1791" applyNumberFormat="1" applyFont="1" applyBorder="1" applyAlignment="1" applyProtection="1">
      <alignment horizontal="center"/>
    </xf>
    <xf numFmtId="173" fontId="125" fillId="0" borderId="75" xfId="1791" applyNumberFormat="1" applyFont="1" applyBorder="1" applyAlignment="1" applyProtection="1">
      <alignment horizontal="center"/>
    </xf>
    <xf numFmtId="174" fontId="125" fillId="0" borderId="76" xfId="1791" applyNumberFormat="1" applyFont="1" applyBorder="1" applyAlignment="1" applyProtection="1">
      <alignment horizontal="center"/>
    </xf>
    <xf numFmtId="0" fontId="125" fillId="117" borderId="18" xfId="1791" applyFont="1" applyFill="1" applyBorder="1" applyProtection="1"/>
    <xf numFmtId="0" fontId="125" fillId="114" borderId="18" xfId="1791" applyFont="1" applyFill="1" applyBorder="1" applyAlignment="1" applyProtection="1">
      <alignment horizontal="center"/>
    </xf>
    <xf numFmtId="0" fontId="125" fillId="117" borderId="73" xfId="1791" applyFont="1" applyFill="1" applyBorder="1" applyProtection="1"/>
    <xf numFmtId="0" fontId="125" fillId="114" borderId="73" xfId="1791" applyFont="1" applyFill="1" applyBorder="1" applyAlignment="1" applyProtection="1">
      <alignment horizontal="center"/>
    </xf>
    <xf numFmtId="199" fontId="125" fillId="110" borderId="18" xfId="1791" applyNumberFormat="1" applyFont="1" applyFill="1" applyBorder="1" applyAlignment="1" applyProtection="1">
      <alignment horizontal="center"/>
    </xf>
    <xf numFmtId="0" fontId="125" fillId="117" borderId="27" xfId="1791" applyFont="1" applyFill="1" applyBorder="1" applyProtection="1"/>
    <xf numFmtId="197" fontId="125" fillId="0" borderId="0" xfId="1791" applyNumberFormat="1" applyFont="1" applyBorder="1"/>
    <xf numFmtId="0" fontId="125" fillId="115" borderId="18" xfId="1791" applyFont="1" applyFill="1" applyBorder="1"/>
    <xf numFmtId="0" fontId="125" fillId="114" borderId="18" xfId="1791" applyFont="1" applyFill="1" applyBorder="1" applyAlignment="1">
      <alignment horizontal="center"/>
    </xf>
    <xf numFmtId="0" fontId="125" fillId="115" borderId="27" xfId="1791" applyFont="1" applyFill="1" applyBorder="1" applyProtection="1"/>
    <xf numFmtId="0" fontId="125" fillId="34" borderId="18" xfId="1791" applyFont="1" applyFill="1" applyBorder="1" applyProtection="1"/>
    <xf numFmtId="0" fontId="125" fillId="34" borderId="73" xfId="1791" applyFont="1" applyFill="1" applyBorder="1" applyProtection="1"/>
    <xf numFmtId="0" fontId="125" fillId="114" borderId="73" xfId="1791" applyFont="1" applyFill="1" applyBorder="1" applyAlignment="1">
      <alignment horizontal="center"/>
    </xf>
    <xf numFmtId="0" fontId="125" fillId="34" borderId="27" xfId="1791" applyFont="1" applyFill="1" applyBorder="1" applyProtection="1"/>
    <xf numFmtId="0" fontId="125" fillId="0" borderId="59" xfId="1791" applyFont="1" applyFill="1" applyBorder="1"/>
    <xf numFmtId="0" fontId="149" fillId="71" borderId="27" xfId="1791" applyFont="1" applyFill="1" applyBorder="1" applyProtection="1"/>
    <xf numFmtId="170" fontId="149" fillId="35" borderId="17" xfId="1793" applyNumberFormat="1" applyFont="1" applyFill="1" applyBorder="1" applyAlignment="1">
      <alignment horizontal="center"/>
    </xf>
    <xf numFmtId="0" fontId="125" fillId="0" borderId="59" xfId="1791" applyFont="1" applyBorder="1"/>
    <xf numFmtId="0" fontId="125" fillId="0" borderId="18" xfId="1791" applyFont="1" applyFill="1" applyBorder="1"/>
    <xf numFmtId="0" fontId="125" fillId="0" borderId="18" xfId="1791" applyFont="1" applyFill="1" applyBorder="1" applyAlignment="1">
      <alignment horizontal="center"/>
    </xf>
    <xf numFmtId="0" fontId="125" fillId="0" borderId="73" xfId="1791" applyFont="1" applyFill="1" applyBorder="1"/>
    <xf numFmtId="0" fontId="125" fillId="0" borderId="73" xfId="1791" applyFont="1" applyFill="1" applyBorder="1" applyAlignment="1">
      <alignment horizontal="center"/>
    </xf>
    <xf numFmtId="170" fontId="125" fillId="0" borderId="73" xfId="1791" applyNumberFormat="1" applyFont="1" applyFill="1" applyBorder="1" applyAlignment="1">
      <alignment horizontal="center"/>
    </xf>
    <xf numFmtId="199" fontId="125" fillId="110" borderId="27" xfId="1791" applyNumberFormat="1" applyFont="1" applyFill="1" applyBorder="1" applyAlignment="1" applyProtection="1">
      <alignment horizontal="center"/>
    </xf>
    <xf numFmtId="0" fontId="125" fillId="0" borderId="73" xfId="1791" applyFont="1" applyBorder="1" applyAlignment="1">
      <alignment horizontal="center"/>
    </xf>
    <xf numFmtId="0" fontId="125" fillId="110" borderId="27" xfId="1791" applyNumberFormat="1" applyFont="1" applyFill="1" applyBorder="1" applyAlignment="1" applyProtection="1">
      <alignment horizontal="center"/>
    </xf>
    <xf numFmtId="0" fontId="149" fillId="0" borderId="73" xfId="1791" applyFont="1" applyFill="1" applyBorder="1" applyAlignment="1">
      <alignment horizontal="center"/>
    </xf>
    <xf numFmtId="170" fontId="149" fillId="0" borderId="73" xfId="1791" applyNumberFormat="1" applyFont="1" applyFill="1" applyBorder="1" applyAlignment="1">
      <alignment horizontal="center"/>
    </xf>
    <xf numFmtId="0" fontId="125" fillId="0" borderId="27" xfId="1791" applyFont="1" applyFill="1" applyBorder="1"/>
    <xf numFmtId="0" fontId="125" fillId="29" borderId="73" xfId="1792" applyFont="1" applyFill="1" applyBorder="1" applyAlignment="1">
      <alignment horizontal="center"/>
    </xf>
    <xf numFmtId="0" fontId="125" fillId="0" borderId="72" xfId="1791" applyFont="1" applyBorder="1"/>
    <xf numFmtId="0" fontId="125" fillId="0" borderId="18" xfId="1791" applyFont="1" applyBorder="1" applyAlignment="1">
      <alignment horizontal="center"/>
    </xf>
    <xf numFmtId="0" fontId="125" fillId="0" borderId="77" xfId="1791" applyFont="1" applyBorder="1"/>
    <xf numFmtId="0" fontId="125" fillId="0" borderId="27" xfId="1791" applyFont="1" applyBorder="1" applyAlignment="1">
      <alignment horizontal="center"/>
    </xf>
    <xf numFmtId="199" fontId="125" fillId="112" borderId="76" xfId="1791" applyNumberFormat="1" applyFont="1" applyFill="1" applyBorder="1" applyAlignment="1" applyProtection="1">
      <alignment horizontal="center"/>
    </xf>
    <xf numFmtId="0" fontId="125" fillId="0" borderId="77" xfId="1791" applyFont="1" applyFill="1" applyBorder="1" applyAlignment="1" applyProtection="1">
      <alignment horizontal="center"/>
    </xf>
    <xf numFmtId="193" fontId="125" fillId="113" borderId="77" xfId="1791" applyNumberFormat="1" applyFont="1" applyFill="1" applyBorder="1" applyAlignment="1" applyProtection="1">
      <alignment horizontal="center"/>
    </xf>
    <xf numFmtId="0" fontId="125" fillId="0" borderId="0" xfId="1791" applyFont="1" applyProtection="1"/>
    <xf numFmtId="0" fontId="125" fillId="0" borderId="78" xfId="1791" applyFont="1" applyBorder="1"/>
    <xf numFmtId="0" fontId="125" fillId="0" borderId="79" xfId="1791" applyFont="1" applyBorder="1"/>
    <xf numFmtId="0" fontId="125" fillId="0" borderId="79" xfId="1791" applyFont="1" applyBorder="1" applyProtection="1"/>
    <xf numFmtId="0" fontId="125" fillId="0" borderId="80" xfId="1791" applyFont="1" applyBorder="1" applyProtection="1"/>
    <xf numFmtId="0" fontId="125" fillId="0" borderId="79" xfId="1791" applyFont="1" applyBorder="1" applyAlignment="1" applyProtection="1">
      <alignment horizontal="center"/>
    </xf>
    <xf numFmtId="167" fontId="18" fillId="34" borderId="22" xfId="70" applyNumberFormat="1" applyFont="1" applyFill="1" applyBorder="1" applyAlignment="1">
      <alignment horizontal="center"/>
    </xf>
    <xf numFmtId="188" fontId="30" fillId="34" borderId="22" xfId="70" applyNumberFormat="1" applyFont="1" applyFill="1" applyBorder="1" applyAlignment="1">
      <alignment horizontal="center"/>
    </xf>
    <xf numFmtId="0" fontId="105" fillId="0" borderId="27" xfId="0" applyFont="1" applyBorder="1" applyAlignment="1">
      <alignment horizontal="center"/>
    </xf>
    <xf numFmtId="167" fontId="19" fillId="29" borderId="37" xfId="0" applyNumberFormat="1" applyFont="1" applyFill="1" applyBorder="1" applyAlignment="1">
      <alignment horizontal="left"/>
    </xf>
    <xf numFmtId="2" fontId="19" fillId="29" borderId="52" xfId="0" applyNumberFormat="1" applyFont="1" applyFill="1" applyBorder="1" applyAlignment="1">
      <alignment horizontal="left"/>
    </xf>
    <xf numFmtId="167" fontId="19" fillId="0" borderId="39" xfId="0" applyNumberFormat="1" applyFont="1" applyBorder="1" applyAlignment="1">
      <alignment horizontal="left"/>
    </xf>
    <xf numFmtId="0" fontId="147" fillId="109" borderId="17" xfId="1791" applyNumberFormat="1" applyFont="1" applyFill="1" applyBorder="1" applyAlignment="1" applyProtection="1">
      <alignment horizontal="center"/>
    </xf>
    <xf numFmtId="0" fontId="125" fillId="70" borderId="19" xfId="1791" applyFont="1" applyFill="1" applyBorder="1" applyProtection="1"/>
    <xf numFmtId="0" fontId="146" fillId="70" borderId="0" xfId="1792" applyFont="1" applyFill="1"/>
    <xf numFmtId="0" fontId="22" fillId="0" borderId="37" xfId="0" applyFont="1" applyBorder="1"/>
    <xf numFmtId="0" fontId="150" fillId="0" borderId="0" xfId="0" applyFont="1" applyAlignment="1">
      <alignment horizontal="center"/>
    </xf>
    <xf numFmtId="0" fontId="150" fillId="0" borderId="54" xfId="0" applyFont="1" applyBorder="1" applyAlignment="1">
      <alignment horizontal="center"/>
    </xf>
    <xf numFmtId="0" fontId="150" fillId="0" borderId="0" xfId="0" applyFont="1"/>
    <xf numFmtId="0" fontId="151" fillId="0" borderId="55" xfId="0" applyFont="1" applyBorder="1" applyAlignment="1">
      <alignment horizontal="center"/>
    </xf>
    <xf numFmtId="0" fontId="150" fillId="0" borderId="0" xfId="0" applyFont="1" applyAlignment="1">
      <alignment horizontal="right"/>
    </xf>
    <xf numFmtId="0" fontId="151" fillId="0" borderId="77" xfId="0" applyFont="1" applyBorder="1" applyAlignment="1">
      <alignment horizontal="center"/>
    </xf>
    <xf numFmtId="0" fontId="150" fillId="0" borderId="17" xfId="0" applyFont="1" applyBorder="1" applyAlignment="1">
      <alignment horizontal="center"/>
    </xf>
    <xf numFmtId="0" fontId="151" fillId="118" borderId="0" xfId="0" applyFont="1" applyFill="1" applyAlignment="1">
      <alignment horizontal="center"/>
    </xf>
    <xf numFmtId="2" fontId="150" fillId="0" borderId="0" xfId="0" applyNumberFormat="1" applyFont="1" applyBorder="1" applyAlignment="1">
      <alignment horizontal="center"/>
    </xf>
    <xf numFmtId="0" fontId="150" fillId="0" borderId="0" xfId="0" applyFont="1" applyBorder="1" applyAlignment="1">
      <alignment horizontal="center"/>
    </xf>
    <xf numFmtId="15" fontId="150" fillId="0" borderId="0" xfId="0" applyNumberFormat="1" applyFont="1" applyBorder="1" applyAlignment="1">
      <alignment horizontal="left"/>
    </xf>
    <xf numFmtId="168" fontId="150" fillId="0" borderId="0" xfId="0" applyNumberFormat="1" applyFont="1" applyBorder="1" applyAlignment="1">
      <alignment horizontal="center"/>
    </xf>
    <xf numFmtId="0" fontId="150" fillId="0" borderId="0" xfId="0" applyFont="1" applyBorder="1" applyAlignment="1">
      <alignment horizontal="left"/>
    </xf>
    <xf numFmtId="0" fontId="150" fillId="0" borderId="35" xfId="0" applyFont="1" applyBorder="1" applyAlignment="1">
      <alignment horizontal="center"/>
    </xf>
    <xf numFmtId="15" fontId="150" fillId="0" borderId="36" xfId="0" applyNumberFormat="1" applyFont="1" applyBorder="1" applyAlignment="1">
      <alignment horizontal="left"/>
    </xf>
    <xf numFmtId="2" fontId="150" fillId="0" borderId="36" xfId="0" applyNumberFormat="1" applyFont="1" applyBorder="1" applyAlignment="1">
      <alignment horizontal="center"/>
    </xf>
    <xf numFmtId="168" fontId="150" fillId="0" borderId="36" xfId="0" applyNumberFormat="1" applyFont="1" applyBorder="1" applyAlignment="1">
      <alignment horizontal="center"/>
    </xf>
    <xf numFmtId="0" fontId="150" fillId="0" borderId="36" xfId="0" applyFont="1" applyBorder="1" applyAlignment="1">
      <alignment horizontal="left"/>
    </xf>
    <xf numFmtId="0" fontId="150" fillId="0" borderId="36" xfId="0" applyFont="1" applyBorder="1" applyAlignment="1">
      <alignment horizontal="center"/>
    </xf>
    <xf numFmtId="201" fontId="150" fillId="0" borderId="37" xfId="0" applyNumberFormat="1" applyFont="1" applyBorder="1" applyAlignment="1">
      <alignment horizontal="center"/>
    </xf>
    <xf numFmtId="0" fontId="150" fillId="0" borderId="15" xfId="0" applyFont="1" applyBorder="1" applyAlignment="1">
      <alignment horizontal="center"/>
    </xf>
    <xf numFmtId="201" fontId="150" fillId="0" borderId="52" xfId="0" applyNumberFormat="1" applyFont="1" applyBorder="1" applyAlignment="1">
      <alignment horizontal="center"/>
    </xf>
    <xf numFmtId="0" fontId="150" fillId="0" borderId="38" xfId="0" applyFont="1" applyBorder="1" applyAlignment="1">
      <alignment horizontal="center"/>
    </xf>
    <xf numFmtId="15" fontId="150" fillId="0" borderId="21" xfId="0" applyNumberFormat="1" applyFont="1" applyBorder="1" applyAlignment="1">
      <alignment horizontal="left"/>
    </xf>
    <xf numFmtId="2" fontId="150" fillId="0" borderId="21" xfId="0" applyNumberFormat="1" applyFont="1" applyBorder="1" applyAlignment="1">
      <alignment horizontal="center"/>
    </xf>
    <xf numFmtId="168" fontId="150" fillId="0" borderId="21" xfId="0" applyNumberFormat="1" applyFont="1" applyBorder="1" applyAlignment="1">
      <alignment horizontal="center"/>
    </xf>
    <xf numFmtId="0" fontId="150" fillId="0" borderId="21" xfId="0" applyFont="1" applyBorder="1" applyAlignment="1">
      <alignment horizontal="left"/>
    </xf>
    <xf numFmtId="0" fontId="150" fillId="0" borderId="21" xfId="0" applyFont="1" applyBorder="1" applyAlignment="1">
      <alignment horizontal="center"/>
    </xf>
    <xf numFmtId="201" fontId="150" fillId="0" borderId="39" xfId="0" applyNumberFormat="1" applyFont="1" applyBorder="1" applyAlignment="1">
      <alignment horizontal="center"/>
    </xf>
    <xf numFmtId="14" fontId="125" fillId="0" borderId="0" xfId="1791" applyNumberFormat="1" applyFont="1" applyBorder="1"/>
    <xf numFmtId="202" fontId="23" fillId="37" borderId="22" xfId="0" applyNumberFormat="1" applyFont="1" applyFill="1" applyBorder="1" applyAlignment="1">
      <alignment horizontal="center"/>
    </xf>
    <xf numFmtId="202" fontId="23" fillId="35" borderId="22" xfId="0" applyNumberFormat="1" applyFont="1" applyFill="1" applyBorder="1" applyAlignment="1">
      <alignment horizontal="center"/>
    </xf>
    <xf numFmtId="202" fontId="23" fillId="33" borderId="22" xfId="0" applyNumberFormat="1" applyFont="1" applyFill="1" applyBorder="1" applyAlignment="1">
      <alignment horizontal="center"/>
    </xf>
    <xf numFmtId="202" fontId="23" fillId="45" borderId="22" xfId="0" applyNumberFormat="1" applyFont="1" applyFill="1" applyBorder="1" applyAlignment="1">
      <alignment horizontal="center"/>
    </xf>
    <xf numFmtId="202" fontId="23" fillId="36" borderId="22" xfId="0" applyNumberFormat="1" applyFont="1" applyFill="1" applyBorder="1" applyAlignment="1">
      <alignment horizontal="center"/>
    </xf>
    <xf numFmtId="202" fontId="23" fillId="38" borderId="22" xfId="0" applyNumberFormat="1" applyFont="1" applyFill="1" applyBorder="1" applyAlignment="1">
      <alignment horizontal="center"/>
    </xf>
    <xf numFmtId="202" fontId="23" fillId="43" borderId="22" xfId="0" applyNumberFormat="1" applyFont="1" applyFill="1" applyBorder="1" applyAlignment="1">
      <alignment horizontal="center"/>
    </xf>
    <xf numFmtId="202" fontId="23" fillId="44" borderId="22" xfId="0" applyNumberFormat="1" applyFont="1" applyFill="1" applyBorder="1" applyAlignment="1">
      <alignment horizontal="center"/>
    </xf>
    <xf numFmtId="202" fontId="23" fillId="34" borderId="22" xfId="0" applyNumberFormat="1" applyFont="1" applyFill="1" applyBorder="1" applyAlignment="1">
      <alignment horizontal="center"/>
    </xf>
    <xf numFmtId="167" fontId="19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2" fillId="51" borderId="0" xfId="0" applyFont="1" applyFill="1" applyBorder="1"/>
    <xf numFmtId="0" fontId="20" fillId="0" borderId="0" xfId="0" applyFont="1" applyBorder="1" applyAlignment="1">
      <alignment horizontal="center"/>
    </xf>
    <xf numFmtId="0" fontId="20" fillId="37" borderId="0" xfId="0" applyFont="1" applyFill="1" applyBorder="1" applyAlignment="1">
      <alignment horizontal="center"/>
    </xf>
    <xf numFmtId="0" fontId="22" fillId="118" borderId="0" xfId="0" applyFont="1" applyFill="1" applyBorder="1"/>
    <xf numFmtId="43" fontId="22" fillId="118" borderId="0" xfId="709" applyFont="1" applyFill="1" applyBorder="1"/>
    <xf numFmtId="167" fontId="19" fillId="118" borderId="0" xfId="70" applyNumberFormat="1" applyFont="1" applyFill="1" applyBorder="1" applyAlignment="1">
      <alignment horizontal="center"/>
    </xf>
    <xf numFmtId="164" fontId="22" fillId="118" borderId="0" xfId="0" applyNumberFormat="1" applyFont="1" applyFill="1" applyBorder="1"/>
    <xf numFmtId="0" fontId="27" fillId="118" borderId="0" xfId="0" applyFont="1" applyFill="1" applyBorder="1"/>
    <xf numFmtId="0" fontId="25" fillId="118" borderId="0" xfId="0" applyFont="1" applyFill="1" applyBorder="1"/>
    <xf numFmtId="0" fontId="23" fillId="118" borderId="0" xfId="0" applyFont="1" applyFill="1" applyBorder="1"/>
    <xf numFmtId="0" fontId="152" fillId="0" borderId="0" xfId="0" applyFont="1" applyFill="1"/>
    <xf numFmtId="0" fontId="152" fillId="118" borderId="0" xfId="0" applyFont="1" applyFill="1" applyBorder="1"/>
    <xf numFmtId="0" fontId="152" fillId="51" borderId="0" xfId="0" applyFont="1" applyFill="1" applyBorder="1"/>
    <xf numFmtId="0" fontId="152" fillId="0" borderId="22" xfId="0" applyFont="1" applyFill="1" applyBorder="1"/>
    <xf numFmtId="0" fontId="21" fillId="119" borderId="18" xfId="0" applyFont="1" applyFill="1" applyBorder="1" applyAlignment="1">
      <alignment horizontal="center" vertical="top"/>
    </xf>
    <xf numFmtId="0" fontId="21" fillId="118" borderId="73" xfId="0" applyFont="1" applyFill="1" applyBorder="1" applyAlignment="1">
      <alignment horizontal="center" vertical="top"/>
    </xf>
    <xf numFmtId="0" fontId="21" fillId="119" borderId="73" xfId="0" applyFont="1" applyFill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167" fontId="26" fillId="118" borderId="0" xfId="70" applyNumberFormat="1" applyFont="1" applyFill="1" applyBorder="1" applyAlignment="1">
      <alignment horizontal="center"/>
    </xf>
    <xf numFmtId="167" fontId="30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8" fillId="0" borderId="0" xfId="0" applyNumberFormat="1" applyFont="1" applyFill="1"/>
    <xf numFmtId="188" fontId="18" fillId="0" borderId="0" xfId="70" applyNumberFormat="1" applyFont="1" applyFill="1"/>
    <xf numFmtId="188" fontId="153" fillId="0" borderId="0" xfId="70" applyNumberFormat="1" applyFont="1" applyFill="1"/>
    <xf numFmtId="188" fontId="26" fillId="0" borderId="0" xfId="70" applyNumberFormat="1" applyFont="1" applyFill="1"/>
    <xf numFmtId="37" fontId="37" fillId="37" borderId="22" xfId="0" applyNumberFormat="1" applyFont="1" applyFill="1" applyBorder="1"/>
    <xf numFmtId="37" fontId="37" fillId="35" borderId="22" xfId="0" applyNumberFormat="1" applyFont="1" applyFill="1" applyBorder="1"/>
    <xf numFmtId="37" fontId="37" fillId="33" borderId="22" xfId="0" applyNumberFormat="1" applyFont="1" applyFill="1" applyBorder="1"/>
    <xf numFmtId="37" fontId="37" fillId="45" borderId="22" xfId="0" applyNumberFormat="1" applyFont="1" applyFill="1" applyBorder="1"/>
    <xf numFmtId="37" fontId="37" fillId="36" borderId="22" xfId="0" applyNumberFormat="1" applyFont="1" applyFill="1" applyBorder="1"/>
    <xf numFmtId="37" fontId="37" fillId="38" borderId="22" xfId="0" applyNumberFormat="1" applyFont="1" applyFill="1" applyBorder="1"/>
    <xf numFmtId="37" fontId="37" fillId="43" borderId="22" xfId="0" applyNumberFormat="1" applyFont="1" applyFill="1" applyBorder="1"/>
    <xf numFmtId="37" fontId="37" fillId="44" borderId="22" xfId="0" applyNumberFormat="1" applyFont="1" applyFill="1" applyBorder="1"/>
    <xf numFmtId="37" fontId="37" fillId="34" borderId="22" xfId="0" applyNumberFormat="1" applyFont="1" applyFill="1" applyBorder="1"/>
    <xf numFmtId="0" fontId="37" fillId="0" borderId="0" xfId="0" applyFont="1"/>
    <xf numFmtId="164" fontId="37" fillId="37" borderId="22" xfId="0" applyNumberFormat="1" applyFont="1" applyFill="1" applyBorder="1" applyAlignment="1">
      <alignment horizontal="center"/>
    </xf>
    <xf numFmtId="0" fontId="18" fillId="0" borderId="0" xfId="1795"/>
    <xf numFmtId="0" fontId="156" fillId="0" borderId="0" xfId="1795" applyFont="1" applyBorder="1" applyAlignment="1">
      <alignment vertical="center"/>
    </xf>
    <xf numFmtId="0" fontId="155" fillId="0" borderId="0" xfId="1795" applyFont="1" applyBorder="1" applyAlignment="1">
      <alignment horizontal="left" vertical="center"/>
    </xf>
    <xf numFmtId="0" fontId="154" fillId="0" borderId="0" xfId="1795" applyFont="1" applyBorder="1"/>
    <xf numFmtId="0" fontId="155" fillId="0" borderId="81" xfId="1795" applyFont="1" applyBorder="1" applyAlignment="1">
      <alignment horizontal="center" vertical="center"/>
    </xf>
    <xf numFmtId="0" fontId="155" fillId="0" borderId="81" xfId="1795" applyFont="1" applyFill="1" applyBorder="1" applyAlignment="1">
      <alignment horizontal="center" vertical="center"/>
    </xf>
    <xf numFmtId="0" fontId="155" fillId="0" borderId="82" xfId="1795" applyFont="1" applyBorder="1" applyAlignment="1">
      <alignment horizontal="left" vertical="center"/>
    </xf>
    <xf numFmtId="0" fontId="155" fillId="0" borderId="82" xfId="1795" applyFont="1" applyBorder="1" applyAlignment="1">
      <alignment vertical="center"/>
    </xf>
    <xf numFmtId="0" fontId="155" fillId="0" borderId="82" xfId="1795" applyFont="1" applyFill="1" applyBorder="1" applyAlignment="1">
      <alignment vertical="center"/>
    </xf>
    <xf numFmtId="0" fontId="158" fillId="0" borderId="0" xfId="1795" applyFont="1" applyFill="1" applyBorder="1"/>
    <xf numFmtId="0" fontId="154" fillId="0" borderId="0" xfId="1795" applyFont="1" applyFill="1" applyBorder="1"/>
    <xf numFmtId="0" fontId="155" fillId="31" borderId="83" xfId="1795" applyFont="1" applyFill="1" applyBorder="1" applyAlignment="1">
      <alignment horizontal="center" vertical="center"/>
    </xf>
    <xf numFmtId="0" fontId="157" fillId="31" borderId="84" xfId="1795" applyFont="1" applyFill="1" applyBorder="1" applyAlignment="1">
      <alignment horizontal="left" vertical="center"/>
    </xf>
    <xf numFmtId="17" fontId="157" fillId="31" borderId="84" xfId="1795" applyNumberFormat="1" applyFont="1" applyFill="1" applyBorder="1" applyAlignment="1">
      <alignment horizontal="left" vertical="center"/>
    </xf>
    <xf numFmtId="2" fontId="155" fillId="0" borderId="82" xfId="1795" applyNumberFormat="1" applyFont="1" applyBorder="1" applyAlignment="1">
      <alignment vertical="center" wrapText="1"/>
    </xf>
    <xf numFmtId="0" fontId="155" fillId="0" borderId="31" xfId="1795" applyFont="1" applyBorder="1" applyAlignment="1">
      <alignment vertical="center"/>
    </xf>
    <xf numFmtId="0" fontId="155" fillId="0" borderId="32" xfId="1795" applyFont="1" applyBorder="1" applyAlignment="1">
      <alignment horizontal="center" vertical="center"/>
    </xf>
    <xf numFmtId="0" fontId="157" fillId="0" borderId="33" xfId="1795" applyFont="1" applyBorder="1" applyAlignment="1">
      <alignment horizontal="center" vertical="center"/>
    </xf>
    <xf numFmtId="0" fontId="157" fillId="0" borderId="34" xfId="1795" applyFont="1" applyBorder="1" applyAlignment="1">
      <alignment horizontal="center" vertical="center"/>
    </xf>
    <xf numFmtId="167" fontId="30" fillId="51" borderId="77" xfId="70" applyNumberFormat="1" applyFont="1" applyFill="1" applyBorder="1" applyAlignment="1">
      <alignment horizontal="center"/>
    </xf>
    <xf numFmtId="0" fontId="21" fillId="119" borderId="59" xfId="0" applyFont="1" applyFill="1" applyBorder="1" applyAlignment="1">
      <alignment horizontal="center" vertical="top"/>
    </xf>
    <xf numFmtId="0" fontId="21" fillId="119" borderId="77" xfId="0" applyFont="1" applyFill="1" applyBorder="1" applyAlignment="1">
      <alignment horizontal="center" vertical="top"/>
    </xf>
    <xf numFmtId="167" fontId="30" fillId="51" borderId="59" xfId="7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20" fillId="0" borderId="0" xfId="1811" applyFont="1" applyAlignment="1">
      <alignment horizontal="left"/>
    </xf>
    <xf numFmtId="0" fontId="121" fillId="0" borderId="0" xfId="1811" applyFont="1" applyAlignment="1">
      <alignment horizontal="left"/>
    </xf>
    <xf numFmtId="0" fontId="120" fillId="0" borderId="0" xfId="1811" applyFont="1" applyFill="1" applyAlignment="1">
      <alignment horizontal="left"/>
    </xf>
    <xf numFmtId="0" fontId="123" fillId="43" borderId="0" xfId="1811" applyFont="1" applyFill="1" applyAlignment="1">
      <alignment horizontal="left"/>
    </xf>
    <xf numFmtId="0" fontId="123" fillId="0" borderId="0" xfId="1811" applyFont="1" applyFill="1" applyAlignment="1">
      <alignment horizontal="left"/>
    </xf>
    <xf numFmtId="14" fontId="121" fillId="0" borderId="0" xfId="1811" applyNumberFormat="1" applyFont="1" applyAlignment="1">
      <alignment horizontal="left"/>
    </xf>
    <xf numFmtId="0" fontId="123" fillId="0" borderId="0" xfId="1811" applyFont="1" applyFill="1" applyBorder="1" applyAlignment="1">
      <alignment horizontal="left"/>
    </xf>
    <xf numFmtId="0" fontId="121" fillId="0" borderId="0" xfId="1811" applyFont="1" applyBorder="1" applyAlignment="1">
      <alignment horizontal="left"/>
    </xf>
    <xf numFmtId="14" fontId="120" fillId="0" borderId="0" xfId="1811" applyNumberFormat="1" applyFont="1" applyAlignment="1">
      <alignment horizontal="left"/>
    </xf>
    <xf numFmtId="0" fontId="120" fillId="68" borderId="0" xfId="1811" applyFont="1" applyFill="1" applyBorder="1" applyAlignment="1">
      <alignment horizontal="left"/>
    </xf>
    <xf numFmtId="0" fontId="119" fillId="0" borderId="0" xfId="1811" applyFont="1" applyAlignment="1">
      <alignment horizontal="left"/>
    </xf>
    <xf numFmtId="0" fontId="119" fillId="0" borderId="0" xfId="1811" applyFont="1"/>
    <xf numFmtId="0" fontId="116" fillId="0" borderId="0" xfId="1811" applyFont="1" applyAlignment="1">
      <alignment horizontal="left"/>
    </xf>
    <xf numFmtId="0" fontId="122" fillId="43" borderId="0" xfId="1811" applyFont="1" applyFill="1" applyAlignment="1">
      <alignment horizontal="left"/>
    </xf>
    <xf numFmtId="0" fontId="120" fillId="65" borderId="0" xfId="1811" applyFont="1" applyFill="1" applyBorder="1" applyAlignment="1">
      <alignment horizontal="left"/>
    </xf>
    <xf numFmtId="14" fontId="120" fillId="0" borderId="0" xfId="1811" applyNumberFormat="1" applyFont="1" applyFill="1" applyAlignment="1">
      <alignment horizontal="left"/>
    </xf>
    <xf numFmtId="0" fontId="117" fillId="0" borderId="0" xfId="1811" applyFont="1"/>
    <xf numFmtId="0" fontId="119" fillId="0" borderId="0" xfId="1811" applyFont="1" applyFill="1" applyAlignment="1">
      <alignment horizontal="left"/>
    </xf>
    <xf numFmtId="0" fontId="116" fillId="0" borderId="0" xfId="1811" applyFont="1" applyFill="1" applyAlignment="1">
      <alignment horizontal="left"/>
    </xf>
    <xf numFmtId="0" fontId="124" fillId="0" borderId="0" xfId="1811" applyFont="1" applyAlignment="1">
      <alignment horizontal="left"/>
    </xf>
    <xf numFmtId="0" fontId="120" fillId="0" borderId="0" xfId="1811" applyFont="1" applyAlignment="1">
      <alignment vertical="center"/>
    </xf>
    <xf numFmtId="0" fontId="120" fillId="29" borderId="0" xfId="1811" applyFont="1" applyFill="1" applyAlignment="1">
      <alignment horizontal="left"/>
    </xf>
    <xf numFmtId="0" fontId="120" fillId="51" borderId="0" xfId="1811" applyFont="1" applyFill="1" applyAlignment="1">
      <alignment horizontal="left"/>
    </xf>
    <xf numFmtId="14" fontId="120" fillId="51" borderId="0" xfId="1811" applyNumberFormat="1" applyFont="1" applyFill="1" applyAlignment="1">
      <alignment horizontal="left"/>
    </xf>
    <xf numFmtId="173" fontId="124" fillId="37" borderId="28" xfId="608" applyNumberFormat="1" applyFont="1" applyFill="1" applyBorder="1" applyAlignment="1" applyProtection="1">
      <alignment horizontal="left"/>
      <protection locked="0"/>
    </xf>
    <xf numFmtId="0" fontId="124" fillId="70" borderId="0" xfId="939" applyFont="1" applyFill="1" applyBorder="1" applyProtection="1">
      <protection locked="0"/>
    </xf>
    <xf numFmtId="0" fontId="124" fillId="0" borderId="0" xfId="922" applyNumberFormat="1" applyFont="1" applyFill="1" applyBorder="1" applyAlignment="1" applyProtection="1">
      <alignment horizontal="left"/>
      <protection locked="0"/>
    </xf>
    <xf numFmtId="14" fontId="120" fillId="29" borderId="0" xfId="1811" applyNumberFormat="1" applyFont="1" applyFill="1" applyAlignment="1">
      <alignment horizontal="left"/>
    </xf>
    <xf numFmtId="0" fontId="116" fillId="51" borderId="0" xfId="1811" applyFont="1" applyFill="1" applyAlignment="1">
      <alignment horizontal="left"/>
    </xf>
    <xf numFmtId="0" fontId="124" fillId="51" borderId="0" xfId="922" applyFont="1" applyFill="1" applyBorder="1" applyAlignment="1" applyProtection="1">
      <alignment horizontal="left"/>
      <protection locked="0"/>
    </xf>
    <xf numFmtId="0" fontId="124" fillId="0" borderId="0" xfId="370" applyFont="1" applyAlignment="1" applyProtection="1">
      <alignment horizontal="left"/>
    </xf>
    <xf numFmtId="0" fontId="124" fillId="51" borderId="0" xfId="922" applyNumberFormat="1" applyFont="1" applyFill="1" applyBorder="1" applyAlignment="1" applyProtection="1">
      <alignment horizontal="left"/>
      <protection locked="0"/>
    </xf>
    <xf numFmtId="0" fontId="124" fillId="0" borderId="0" xfId="677" applyNumberFormat="1" applyFont="1" applyFill="1" applyBorder="1" applyAlignment="1" applyProtection="1">
      <alignment horizontal="left"/>
      <protection locked="0"/>
    </xf>
    <xf numFmtId="0" fontId="143" fillId="0" borderId="0" xfId="1811" applyFont="1"/>
    <xf numFmtId="0" fontId="117" fillId="0" borderId="0" xfId="1811" applyFont="1" applyFill="1"/>
    <xf numFmtId="0" fontId="22" fillId="51" borderId="0" xfId="410" applyNumberFormat="1" applyFont="1" applyFill="1" applyBorder="1" applyAlignment="1" applyProtection="1">
      <protection locked="0"/>
    </xf>
    <xf numFmtId="0" fontId="145" fillId="0" borderId="0" xfId="1811" applyFont="1"/>
    <xf numFmtId="49" fontId="144" fillId="0" borderId="0" xfId="1811" applyNumberFormat="1" applyFont="1" applyFill="1" applyBorder="1" applyAlignment="1" applyProtection="1"/>
    <xf numFmtId="173" fontId="18" fillId="37" borderId="28" xfId="565" applyNumberFormat="1" applyFont="1" applyFill="1" applyBorder="1" applyAlignment="1" applyProtection="1">
      <alignment horizontal="left" vertical="center"/>
      <protection locked="0"/>
    </xf>
    <xf numFmtId="173" fontId="18" fillId="37" borderId="28" xfId="558" applyNumberFormat="1" applyFont="1" applyFill="1" applyBorder="1" applyAlignment="1" applyProtection="1">
      <alignment horizontal="left" vertical="center"/>
      <protection locked="0"/>
    </xf>
    <xf numFmtId="173" fontId="18" fillId="37" borderId="28" xfId="558" applyNumberFormat="1" applyFont="1" applyFill="1" applyBorder="1" applyAlignment="1" applyProtection="1">
      <alignment horizontal="left"/>
      <protection locked="0"/>
    </xf>
    <xf numFmtId="173" fontId="18" fillId="37" borderId="28" xfId="568" applyNumberFormat="1" applyFont="1" applyFill="1" applyBorder="1" applyAlignment="1" applyProtection="1">
      <alignment horizontal="left"/>
      <protection locked="0"/>
    </xf>
    <xf numFmtId="173" fontId="18" fillId="37" borderId="93" xfId="568" applyNumberFormat="1" applyFont="1" applyFill="1" applyBorder="1" applyAlignment="1" applyProtection="1">
      <alignment horizontal="left"/>
      <protection locked="0"/>
    </xf>
    <xf numFmtId="173" fontId="18" fillId="37" borderId="17" xfId="568" applyNumberFormat="1" applyFont="1" applyFill="1" applyBorder="1" applyAlignment="1" applyProtection="1">
      <alignment horizontal="left"/>
      <protection locked="0"/>
    </xf>
    <xf numFmtId="173" fontId="18" fillId="37" borderId="28" xfId="596" applyNumberFormat="1" applyFont="1" applyFill="1" applyBorder="1" applyAlignment="1" applyProtection="1">
      <alignment horizontal="left" vertical="center"/>
      <protection locked="0"/>
    </xf>
    <xf numFmtId="173" fontId="18" fillId="37" borderId="28" xfId="630" applyNumberFormat="1" applyFont="1" applyFill="1" applyBorder="1" applyAlignment="1" applyProtection="1">
      <alignment horizontal="left" vertical="center"/>
      <protection locked="0"/>
    </xf>
    <xf numFmtId="173" fontId="18" fillId="37" borderId="28" xfId="630" applyNumberFormat="1" applyFont="1" applyFill="1" applyBorder="1" applyAlignment="1" applyProtection="1">
      <alignment horizontal="left"/>
      <protection locked="0"/>
    </xf>
    <xf numFmtId="173" fontId="18" fillId="37" borderId="28" xfId="599" applyNumberFormat="1" applyFont="1" applyFill="1" applyBorder="1" applyAlignment="1" applyProtection="1">
      <alignment horizontal="left"/>
      <protection locked="0"/>
    </xf>
    <xf numFmtId="173" fontId="18" fillId="37" borderId="28" xfId="622" applyNumberFormat="1" applyFont="1" applyFill="1" applyBorder="1" applyAlignment="1" applyProtection="1">
      <alignment horizontal="left"/>
      <protection locked="0"/>
    </xf>
    <xf numFmtId="173" fontId="18" fillId="37" borderId="28" xfId="606" applyNumberFormat="1" applyFont="1" applyFill="1" applyBorder="1" applyAlignment="1" applyProtection="1">
      <alignment horizontal="left" vertical="center"/>
      <protection locked="0"/>
    </xf>
    <xf numFmtId="173" fontId="18" fillId="37" borderId="28" xfId="606" applyNumberFormat="1" applyFont="1" applyFill="1" applyBorder="1" applyAlignment="1" applyProtection="1">
      <alignment horizontal="left"/>
      <protection locked="0"/>
    </xf>
    <xf numFmtId="173" fontId="18" fillId="37" borderId="28" xfId="633" applyNumberFormat="1" applyFont="1" applyFill="1" applyBorder="1" applyAlignment="1" applyProtection="1">
      <alignment horizontal="left"/>
      <protection locked="0"/>
    </xf>
    <xf numFmtId="173" fontId="18" fillId="37" borderId="28" xfId="640" applyNumberFormat="1" applyFont="1" applyFill="1" applyBorder="1" applyAlignment="1" applyProtection="1">
      <alignment horizontal="left"/>
      <protection locked="0"/>
    </xf>
    <xf numFmtId="173" fontId="124" fillId="37" borderId="28" xfId="822" applyNumberFormat="1" applyFont="1" applyFill="1" applyBorder="1" applyAlignment="1" applyProtection="1">
      <alignment horizontal="left"/>
      <protection locked="0"/>
    </xf>
    <xf numFmtId="173" fontId="22" fillId="37" borderId="28" xfId="421" applyNumberFormat="1" applyFont="1" applyFill="1" applyBorder="1" applyAlignment="1" applyProtection="1">
      <alignment horizontal="left"/>
      <protection locked="0"/>
    </xf>
    <xf numFmtId="173" fontId="22" fillId="37" borderId="28" xfId="472" applyNumberFormat="1" applyFont="1" applyFill="1" applyBorder="1" applyAlignment="1" applyProtection="1">
      <alignment horizontal="left"/>
      <protection locked="0"/>
    </xf>
    <xf numFmtId="173" fontId="22" fillId="37" borderId="28" xfId="439" applyNumberFormat="1" applyFont="1" applyFill="1" applyBorder="1" applyAlignment="1" applyProtection="1">
      <alignment horizontal="left"/>
      <protection locked="0"/>
    </xf>
    <xf numFmtId="173" fontId="22" fillId="37" borderId="28" xfId="450" applyNumberFormat="1" applyFont="1" applyFill="1" applyBorder="1" applyAlignment="1" applyProtection="1">
      <alignment horizontal="left"/>
      <protection locked="0"/>
    </xf>
    <xf numFmtId="173" fontId="18" fillId="37" borderId="28" xfId="627" applyNumberFormat="1" applyFont="1" applyFill="1" applyBorder="1" applyAlignment="1" applyProtection="1">
      <alignment horizontal="left"/>
      <protection locked="0"/>
    </xf>
    <xf numFmtId="173" fontId="18" fillId="37" borderId="28" xfId="602" applyNumberFormat="1" applyFont="1" applyFill="1" applyBorder="1" applyAlignment="1" applyProtection="1">
      <alignment horizontal="left" vertical="center"/>
      <protection locked="0"/>
    </xf>
    <xf numFmtId="173" fontId="18" fillId="37" borderId="28" xfId="609" applyNumberFormat="1" applyFont="1" applyFill="1" applyBorder="1" applyAlignment="1" applyProtection="1">
      <alignment horizontal="left" vertical="center"/>
      <protection locked="0"/>
    </xf>
    <xf numFmtId="173" fontId="18" fillId="37" borderId="28" xfId="609" applyNumberFormat="1" applyFont="1" applyFill="1" applyBorder="1" applyAlignment="1" applyProtection="1">
      <alignment horizontal="left"/>
      <protection locked="0"/>
    </xf>
    <xf numFmtId="173" fontId="18" fillId="37" borderId="28" xfId="619" applyNumberFormat="1" applyFont="1" applyFill="1" applyBorder="1" applyAlignment="1" applyProtection="1">
      <alignment horizontal="left"/>
      <protection locked="0"/>
    </xf>
    <xf numFmtId="173" fontId="18" fillId="37" borderId="28" xfId="605" applyNumberFormat="1" applyFont="1" applyFill="1" applyBorder="1" applyAlignment="1" applyProtection="1">
      <alignment horizontal="left" vertical="center"/>
      <protection locked="0"/>
    </xf>
    <xf numFmtId="173" fontId="18" fillId="37" borderId="28" xfId="634" applyNumberFormat="1" applyFont="1" applyFill="1" applyBorder="1" applyAlignment="1" applyProtection="1">
      <alignment horizontal="left"/>
      <protection locked="0"/>
    </xf>
    <xf numFmtId="173" fontId="18" fillId="37" borderId="28" xfId="641" applyNumberFormat="1" applyFont="1" applyFill="1" applyBorder="1" applyAlignment="1" applyProtection="1">
      <alignment horizontal="left"/>
      <protection locked="0"/>
    </xf>
    <xf numFmtId="173" fontId="18" fillId="37" borderId="28" xfId="628" applyNumberFormat="1" applyFont="1" applyFill="1" applyBorder="1" applyAlignment="1" applyProtection="1">
      <alignment horizontal="left"/>
      <protection locked="0"/>
    </xf>
    <xf numFmtId="173" fontId="18" fillId="37" borderId="28" xfId="624" applyNumberFormat="1" applyFont="1" applyFill="1" applyBorder="1" applyAlignment="1" applyProtection="1">
      <alignment horizontal="left"/>
      <protection locked="0"/>
    </xf>
    <xf numFmtId="173" fontId="18" fillId="37" borderId="28" xfId="597" applyNumberFormat="1" applyFont="1" applyFill="1" applyBorder="1" applyAlignment="1" applyProtection="1">
      <alignment horizontal="left"/>
      <protection locked="0"/>
    </xf>
    <xf numFmtId="173" fontId="18" fillId="37" borderId="28" xfId="466" applyNumberFormat="1" applyFont="1" applyFill="1" applyBorder="1" applyAlignment="1" applyProtection="1">
      <alignment horizontal="left"/>
      <protection locked="0"/>
    </xf>
    <xf numFmtId="173" fontId="18" fillId="37" borderId="28" xfId="635" applyNumberFormat="1" applyFont="1" applyFill="1" applyBorder="1" applyAlignment="1" applyProtection="1">
      <alignment horizontal="left"/>
      <protection locked="0"/>
    </xf>
    <xf numFmtId="173" fontId="18" fillId="37" borderId="28" xfId="607" applyNumberFormat="1" applyFont="1" applyFill="1" applyBorder="1" applyAlignment="1" applyProtection="1">
      <alignment horizontal="left" vertical="center"/>
      <protection locked="0"/>
    </xf>
    <xf numFmtId="173" fontId="18" fillId="37" borderId="28" xfId="607" applyNumberFormat="1" applyFont="1" applyFill="1" applyBorder="1" applyAlignment="1" applyProtection="1">
      <alignment horizontal="left"/>
      <protection locked="0"/>
    </xf>
    <xf numFmtId="173" fontId="18" fillId="37" borderId="28" xfId="600" applyNumberFormat="1" applyFont="1" applyFill="1" applyBorder="1" applyAlignment="1" applyProtection="1">
      <alignment horizontal="left"/>
      <protection locked="0"/>
    </xf>
    <xf numFmtId="173" fontId="18" fillId="37" borderId="28" xfId="485" applyNumberFormat="1" applyFont="1" applyFill="1" applyBorder="1" applyAlignment="1" applyProtection="1">
      <alignment horizontal="left"/>
      <protection locked="0"/>
    </xf>
    <xf numFmtId="173" fontId="18" fillId="37" borderId="28" xfId="449" applyNumberFormat="1" applyFont="1" applyFill="1" applyBorder="1" applyAlignment="1" applyProtection="1">
      <alignment horizontal="left"/>
      <protection locked="0"/>
    </xf>
    <xf numFmtId="173" fontId="18" fillId="37" borderId="28" xfId="478" applyNumberFormat="1" applyFont="1" applyFill="1" applyBorder="1" applyAlignment="1" applyProtection="1">
      <alignment horizontal="left"/>
      <protection locked="0"/>
    </xf>
    <xf numFmtId="173" fontId="18" fillId="37" borderId="28" xfId="621" applyNumberFormat="1" applyFont="1" applyFill="1" applyBorder="1" applyAlignment="1" applyProtection="1">
      <alignment horizontal="left"/>
      <protection locked="0"/>
    </xf>
    <xf numFmtId="173" fontId="18" fillId="37" borderId="28" xfId="636" applyNumberFormat="1" applyFont="1" applyFill="1" applyBorder="1" applyAlignment="1" applyProtection="1">
      <alignment horizontal="left"/>
      <protection locked="0"/>
    </xf>
    <xf numFmtId="173" fontId="18" fillId="37" borderId="28" xfId="610" applyNumberFormat="1" applyFont="1" applyFill="1" applyBorder="1" applyAlignment="1" applyProtection="1">
      <alignment horizontal="left"/>
      <protection locked="0"/>
    </xf>
    <xf numFmtId="173" fontId="18" fillId="37" borderId="28" xfId="618" applyNumberFormat="1" applyFont="1" applyFill="1" applyBorder="1" applyAlignment="1" applyProtection="1">
      <alignment horizontal="left" vertical="center"/>
      <protection locked="0"/>
    </xf>
    <xf numFmtId="173" fontId="18" fillId="37" borderId="28" xfId="623" applyNumberFormat="1" applyFont="1" applyFill="1" applyBorder="1" applyAlignment="1" applyProtection="1">
      <alignment horizontal="left" vertical="center"/>
      <protection locked="0"/>
    </xf>
    <xf numFmtId="173" fontId="18" fillId="37" borderId="28" xfId="623" applyNumberFormat="1" applyFont="1" applyFill="1" applyBorder="1" applyAlignment="1" applyProtection="1">
      <alignment horizontal="left"/>
      <protection locked="0"/>
    </xf>
    <xf numFmtId="173" fontId="18" fillId="37" borderId="28" xfId="598" applyNumberFormat="1" applyFont="1" applyFill="1" applyBorder="1" applyAlignment="1" applyProtection="1">
      <alignment horizontal="left"/>
      <protection locked="0"/>
    </xf>
    <xf numFmtId="169" fontId="18" fillId="37" borderId="28" xfId="627" applyNumberFormat="1" applyFont="1" applyFill="1" applyBorder="1" applyAlignment="1" applyProtection="1">
      <alignment horizontal="left"/>
      <protection locked="0"/>
    </xf>
    <xf numFmtId="169" fontId="18" fillId="37" borderId="28" xfId="597" applyNumberFormat="1" applyFont="1" applyFill="1" applyBorder="1" applyAlignment="1" applyProtection="1">
      <alignment horizontal="left"/>
      <protection locked="0"/>
    </xf>
    <xf numFmtId="169" fontId="18" fillId="37" borderId="28" xfId="600" applyNumberFormat="1" applyFont="1" applyFill="1" applyBorder="1" applyAlignment="1" applyProtection="1">
      <alignment horizontal="left"/>
      <protection locked="0"/>
    </xf>
    <xf numFmtId="169" fontId="18" fillId="37" borderId="28" xfId="621" applyNumberFormat="1" applyFont="1" applyFill="1" applyBorder="1" applyAlignment="1" applyProtection="1">
      <alignment horizontal="left"/>
      <protection locked="0"/>
    </xf>
    <xf numFmtId="203" fontId="0" fillId="0" borderId="0" xfId="0" applyNumberFormat="1"/>
    <xf numFmtId="169" fontId="18" fillId="0" borderId="0" xfId="0" applyNumberFormat="1" applyFont="1" applyAlignment="1">
      <alignment horizontal="left"/>
    </xf>
    <xf numFmtId="2" fontId="0" fillId="0" borderId="0" xfId="0" applyNumberFormat="1"/>
    <xf numFmtId="167" fontId="70" fillId="53" borderId="0" xfId="0" applyNumberFormat="1" applyFont="1" applyFill="1"/>
    <xf numFmtId="167" fontId="31" fillId="52" borderId="0" xfId="70" applyNumberFormat="1" applyFont="1" applyFill="1" applyBorder="1" applyAlignment="1">
      <alignment horizontal="center"/>
    </xf>
    <xf numFmtId="11" fontId="20" fillId="0" borderId="40" xfId="0" applyNumberFormat="1" applyFont="1" applyBorder="1" applyAlignment="1">
      <alignment horizontal="center"/>
    </xf>
    <xf numFmtId="168" fontId="18" fillId="0" borderId="0" xfId="0" applyNumberFormat="1" applyFont="1"/>
    <xf numFmtId="0" fontId="0" fillId="0" borderId="0" xfId="0" applyAlignment="1">
      <alignment horizontal="center" vertical="center"/>
    </xf>
    <xf numFmtId="0" fontId="33" fillId="62" borderId="0" xfId="0" applyFont="1" applyFill="1" applyAlignment="1">
      <alignment horizontal="center"/>
    </xf>
    <xf numFmtId="0" fontId="30" fillId="62" borderId="0" xfId="0" applyFont="1" applyFill="1" applyAlignment="1">
      <alignment horizontal="center"/>
    </xf>
    <xf numFmtId="0" fontId="105" fillId="0" borderId="0" xfId="0" applyFont="1"/>
    <xf numFmtId="0" fontId="26" fillId="62" borderId="0" xfId="0" applyFont="1" applyFill="1"/>
    <xf numFmtId="169" fontId="0" fillId="0" borderId="52" xfId="0" applyNumberFormat="1" applyBorder="1" applyAlignment="1">
      <alignment horizontal="center"/>
    </xf>
    <xf numFmtId="204" fontId="23" fillId="33" borderId="22" xfId="0" applyNumberFormat="1" applyFont="1" applyFill="1" applyBorder="1"/>
    <xf numFmtId="0" fontId="0" fillId="0" borderId="0" xfId="0" applyFill="1" applyBorder="1"/>
    <xf numFmtId="174" fontId="26" fillId="0" borderId="0" xfId="0" applyNumberFormat="1" applyFont="1" applyFill="1" applyBorder="1"/>
    <xf numFmtId="167" fontId="0" fillId="0" borderId="0" xfId="0" applyNumberFormat="1" applyFill="1" applyBorder="1"/>
    <xf numFmtId="167" fontId="26" fillId="0" borderId="0" xfId="0" applyNumberFormat="1" applyFont="1" applyFill="1" applyBorder="1"/>
    <xf numFmtId="167" fontId="61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8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8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8" fillId="0" borderId="0" xfId="0" applyNumberFormat="1" applyFont="1" applyFill="1" applyBorder="1" applyAlignment="1"/>
    <xf numFmtId="167" fontId="18" fillId="0" borderId="24" xfId="0" applyNumberFormat="1" applyFont="1" applyFill="1" applyBorder="1" applyAlignment="1">
      <alignment horizontal="center"/>
    </xf>
    <xf numFmtId="167" fontId="18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8" fillId="0" borderId="0" xfId="0" applyFont="1" applyFill="1" applyBorder="1" applyAlignment="1">
      <alignment horizontal="center"/>
    </xf>
    <xf numFmtId="174" fontId="26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6" fillId="0" borderId="0" xfId="0" applyNumberFormat="1" applyFont="1" applyFill="1" applyBorder="1"/>
    <xf numFmtId="2" fontId="61" fillId="0" borderId="0" xfId="0" applyNumberFormat="1" applyFont="1" applyFill="1" applyBorder="1"/>
    <xf numFmtId="205" fontId="125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8" fillId="0" borderId="86" xfId="0" applyNumberFormat="1" applyFont="1" applyFill="1" applyBorder="1" applyAlignment="1">
      <alignment horizontal="center"/>
    </xf>
    <xf numFmtId="2" fontId="18" fillId="0" borderId="40" xfId="0" applyNumberFormat="1" applyFont="1" applyFill="1" applyBorder="1" applyAlignment="1">
      <alignment horizontal="center"/>
    </xf>
    <xf numFmtId="2" fontId="18" fillId="0" borderId="54" xfId="0" applyNumberFormat="1" applyFont="1" applyFill="1" applyBorder="1" applyAlignment="1">
      <alignment horizontal="center"/>
    </xf>
    <xf numFmtId="2" fontId="18" fillId="0" borderId="59" xfId="0" applyNumberFormat="1" applyFont="1" applyFill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2" fontId="18" fillId="0" borderId="74" xfId="0" applyNumberFormat="1" applyFont="1" applyFill="1" applyBorder="1" applyAlignment="1">
      <alignment horizontal="center"/>
    </xf>
    <xf numFmtId="2" fontId="18" fillId="0" borderId="77" xfId="0" applyNumberFormat="1" applyFont="1" applyFill="1" applyBorder="1" applyAlignment="1">
      <alignment horizontal="center"/>
    </xf>
    <xf numFmtId="2" fontId="18" fillId="0" borderId="75" xfId="0" applyNumberFormat="1" applyFont="1" applyFill="1" applyBorder="1" applyAlignment="1">
      <alignment horizontal="center"/>
    </xf>
    <xf numFmtId="2" fontId="18" fillId="0" borderId="76" xfId="0" applyNumberFormat="1" applyFont="1" applyFill="1" applyBorder="1" applyAlignment="1">
      <alignment horizontal="center"/>
    </xf>
    <xf numFmtId="174" fontId="18" fillId="0" borderId="25" xfId="0" applyNumberFormat="1" applyFont="1" applyFill="1" applyBorder="1" applyAlignment="1"/>
    <xf numFmtId="0" fontId="18" fillId="0" borderId="24" xfId="0" applyFont="1" applyFill="1" applyBorder="1" applyAlignment="1">
      <alignment horizontal="center"/>
    </xf>
    <xf numFmtId="0" fontId="0" fillId="0" borderId="25" xfId="0" applyFill="1" applyBorder="1"/>
    <xf numFmtId="2" fontId="18" fillId="0" borderId="24" xfId="0" applyNumberFormat="1" applyFont="1" applyFill="1" applyBorder="1" applyAlignment="1">
      <alignment horizontal="center"/>
    </xf>
    <xf numFmtId="2" fontId="18" fillId="0" borderId="25" xfId="0" applyNumberFormat="1" applyFont="1" applyFill="1" applyBorder="1" applyAlignment="1">
      <alignment horizontal="center"/>
    </xf>
    <xf numFmtId="2" fontId="18" fillId="0" borderId="16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6" fillId="0" borderId="0" xfId="0" applyNumberFormat="1" applyFont="1" applyFill="1" applyBorder="1" applyAlignment="1">
      <alignment horizontal="center"/>
    </xf>
    <xf numFmtId="174" fontId="18" fillId="0" borderId="0" xfId="0" applyNumberFormat="1" applyFont="1" applyFill="1" applyBorder="1" applyAlignment="1">
      <alignment horizontal="center"/>
    </xf>
    <xf numFmtId="0" fontId="32" fillId="73" borderId="84" xfId="0" applyFont="1" applyFill="1" applyBorder="1" applyAlignment="1">
      <alignment horizontal="center"/>
    </xf>
    <xf numFmtId="174" fontId="26" fillId="73" borderId="32" xfId="0" applyNumberFormat="1" applyFont="1" applyFill="1" applyBorder="1"/>
    <xf numFmtId="174" fontId="26" fillId="73" borderId="34" xfId="0" applyNumberFormat="1" applyFont="1" applyFill="1" applyBorder="1"/>
    <xf numFmtId="2" fontId="0" fillId="0" borderId="48" xfId="0" applyNumberFormat="1" applyFill="1" applyBorder="1" applyAlignment="1">
      <alignment horizontal="center"/>
    </xf>
    <xf numFmtId="0" fontId="159" fillId="0" borderId="0" xfId="0" applyFont="1" applyFill="1" applyBorder="1"/>
    <xf numFmtId="2" fontId="0" fillId="0" borderId="49" xfId="0" applyNumberFormat="1" applyFill="1" applyBorder="1" applyAlignment="1">
      <alignment horizontal="center"/>
    </xf>
    <xf numFmtId="2" fontId="0" fillId="0" borderId="50" xfId="0" applyNumberFormat="1" applyFill="1" applyBorder="1" applyAlignment="1">
      <alignment horizontal="center"/>
    </xf>
    <xf numFmtId="0" fontId="159" fillId="0" borderId="0" xfId="0" applyFont="1" applyFill="1" applyBorder="1" applyAlignment="1">
      <alignment horizontal="center"/>
    </xf>
    <xf numFmtId="167" fontId="18" fillId="0" borderId="18" xfId="0" applyNumberFormat="1" applyFont="1" applyFill="1" applyBorder="1" applyAlignment="1">
      <alignment horizontal="center"/>
    </xf>
    <xf numFmtId="2" fontId="26" fillId="73" borderId="26" xfId="0" applyNumberFormat="1" applyFont="1" applyFill="1" applyBorder="1" applyAlignment="1">
      <alignment horizontal="center"/>
    </xf>
    <xf numFmtId="174" fontId="26" fillId="73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1" fillId="0" borderId="76" xfId="0" applyNumberFormat="1" applyFont="1" applyFill="1" applyBorder="1"/>
    <xf numFmtId="167" fontId="26" fillId="0" borderId="86" xfId="0" applyNumberFormat="1" applyFont="1" applyFill="1" applyBorder="1"/>
    <xf numFmtId="167" fontId="26" fillId="0" borderId="54" xfId="0" applyNumberFormat="1" applyFont="1" applyFill="1" applyBorder="1"/>
    <xf numFmtId="167" fontId="26" fillId="0" borderId="59" xfId="0" applyNumberFormat="1" applyFont="1" applyFill="1" applyBorder="1"/>
    <xf numFmtId="167" fontId="26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1" fillId="0" borderId="0" xfId="2144" applyFont="1" applyBorder="1" applyProtection="1">
      <protection locked="0"/>
    </xf>
    <xf numFmtId="0" fontId="162" fillId="0" borderId="0" xfId="2144" applyFont="1" applyBorder="1" applyProtection="1">
      <protection locked="0"/>
    </xf>
    <xf numFmtId="0" fontId="162" fillId="0" borderId="0" xfId="2144" applyFont="1" applyBorder="1" applyAlignment="1" applyProtection="1">
      <alignment horizontal="center"/>
    </xf>
    <xf numFmtId="0" fontId="162" fillId="0" borderId="0" xfId="2144" applyFont="1" applyBorder="1" applyProtection="1"/>
    <xf numFmtId="0" fontId="162" fillId="0" borderId="21" xfId="2144" applyFont="1" applyBorder="1" applyProtection="1"/>
    <xf numFmtId="0" fontId="163" fillId="0" borderId="0" xfId="2144" applyFont="1" applyFill="1" applyAlignment="1" applyProtection="1"/>
    <xf numFmtId="174" fontId="164" fillId="0" borderId="0" xfId="2144" applyNumberFormat="1" applyFont="1" applyFill="1" applyBorder="1" applyAlignment="1" applyProtection="1">
      <alignment horizontal="center"/>
    </xf>
    <xf numFmtId="0" fontId="1" fillId="0" borderId="0" xfId="2144"/>
    <xf numFmtId="0" fontId="165" fillId="0" borderId="0" xfId="2144" applyFont="1" applyBorder="1" applyAlignment="1" applyProtection="1">
      <alignment wrapText="1"/>
      <protection locked="0"/>
    </xf>
    <xf numFmtId="0" fontId="166" fillId="0" borderId="0" xfId="2144" applyFont="1" applyBorder="1" applyAlignment="1" applyProtection="1">
      <alignment wrapText="1"/>
      <protection locked="0"/>
    </xf>
    <xf numFmtId="0" fontId="166" fillId="0" borderId="35" xfId="2144" applyFont="1" applyBorder="1" applyAlignment="1" applyProtection="1">
      <alignment horizontal="center" vertical="center" wrapText="1"/>
    </xf>
    <xf numFmtId="0" fontId="166" fillId="0" borderId="36" xfId="2144" applyFont="1" applyBorder="1" applyAlignment="1" applyProtection="1">
      <alignment horizontal="center" vertical="center" wrapText="1"/>
    </xf>
    <xf numFmtId="0" fontId="166" fillId="0" borderId="48" xfId="2144" applyFont="1" applyBorder="1" applyAlignment="1" applyProtection="1">
      <alignment horizontal="center" vertical="center" wrapText="1"/>
    </xf>
    <xf numFmtId="168" fontId="167" fillId="0" borderId="36" xfId="2144" applyNumberFormat="1" applyFont="1" applyFill="1" applyBorder="1" applyAlignment="1" applyProtection="1">
      <alignment vertical="center"/>
    </xf>
    <xf numFmtId="0" fontId="167" fillId="0" borderId="35" xfId="2144" applyFont="1" applyFill="1" applyBorder="1" applyAlignment="1" applyProtection="1">
      <alignment horizontal="center"/>
      <protection locked="0"/>
    </xf>
    <xf numFmtId="0" fontId="166" fillId="0" borderId="0" xfId="2144" applyFont="1" applyBorder="1" applyAlignment="1" applyProtection="1">
      <alignment wrapText="1"/>
    </xf>
    <xf numFmtId="0" fontId="146" fillId="0" borderId="0" xfId="2144" applyFont="1" applyFill="1" applyAlignment="1" applyProtection="1">
      <alignment horizontal="center"/>
    </xf>
    <xf numFmtId="0" fontId="146" fillId="0" borderId="0" xfId="2144" applyFont="1" applyFill="1" applyProtection="1"/>
    <xf numFmtId="0" fontId="166" fillId="0" borderId="15" xfId="2144" applyFont="1" applyBorder="1" applyAlignment="1" applyProtection="1">
      <alignment horizontal="center" vertical="center" wrapText="1"/>
    </xf>
    <xf numFmtId="0" fontId="166" fillId="0" borderId="0" xfId="2144" applyFont="1" applyBorder="1" applyAlignment="1" applyProtection="1">
      <alignment horizontal="center" vertical="center" wrapText="1"/>
    </xf>
    <xf numFmtId="0" fontId="166" fillId="0" borderId="49" xfId="2144" applyFont="1" applyBorder="1" applyAlignment="1" applyProtection="1">
      <alignment horizontal="center" vertical="center" wrapText="1"/>
    </xf>
    <xf numFmtId="0" fontId="166" fillId="0" borderId="21" xfId="2144" applyFont="1" applyBorder="1" applyAlignment="1" applyProtection="1">
      <alignment horizontal="center" vertical="center" wrapText="1"/>
    </xf>
    <xf numFmtId="0" fontId="168" fillId="0" borderId="0" xfId="2144" applyFont="1" applyFill="1" applyBorder="1" applyAlignment="1" applyProtection="1">
      <alignment horizontal="center"/>
      <protection locked="0"/>
    </xf>
    <xf numFmtId="0" fontId="169" fillId="0" borderId="0" xfId="2144" applyFont="1" applyFill="1" applyBorder="1" applyAlignment="1" applyProtection="1">
      <alignment horizontal="center"/>
      <protection locked="0"/>
    </xf>
    <xf numFmtId="206" fontId="170" fillId="0" borderId="86" xfId="2144" applyNumberFormat="1" applyFont="1" applyFill="1" applyBorder="1" applyAlignment="1" applyProtection="1">
      <alignment horizontal="center"/>
    </xf>
    <xf numFmtId="0" fontId="1" fillId="0" borderId="40" xfId="2144" applyFill="1" applyBorder="1" applyAlignment="1" applyProtection="1">
      <alignment horizontal="center"/>
    </xf>
    <xf numFmtId="0" fontId="171" fillId="0" borderId="40" xfId="2144" applyFont="1" applyFill="1" applyBorder="1" applyAlignment="1" applyProtection="1">
      <alignment horizontal="center"/>
    </xf>
    <xf numFmtId="0" fontId="162" fillId="0" borderId="40" xfId="2144" applyFont="1" applyBorder="1" applyAlignment="1" applyProtection="1">
      <alignment horizontal="center"/>
    </xf>
    <xf numFmtId="0" fontId="171" fillId="0" borderId="54" xfId="2144" applyFont="1" applyFill="1" applyBorder="1" applyAlignment="1" applyProtection="1">
      <alignment horizontal="center"/>
    </xf>
    <xf numFmtId="175" fontId="170" fillId="70" borderId="18" xfId="2144" applyNumberFormat="1" applyFont="1" applyFill="1" applyBorder="1" applyAlignment="1" applyProtection="1">
      <alignment horizontal="center"/>
    </xf>
    <xf numFmtId="175" fontId="162" fillId="0" borderId="18" xfId="2144" applyNumberFormat="1" applyFont="1" applyFill="1" applyBorder="1" applyAlignment="1" applyProtection="1">
      <alignment horizontal="center"/>
    </xf>
    <xf numFmtId="175" fontId="1" fillId="0" borderId="0" xfId="2144" applyNumberFormat="1" applyFont="1" applyFill="1" applyBorder="1" applyAlignment="1" applyProtection="1">
      <alignment horizontal="center"/>
    </xf>
    <xf numFmtId="2" fontId="162" fillId="0" borderId="0" xfId="2144" applyNumberFormat="1" applyFont="1" applyBorder="1" applyAlignment="1" applyProtection="1">
      <alignment horizontal="center"/>
    </xf>
    <xf numFmtId="175" fontId="1" fillId="0" borderId="18" xfId="2144" applyNumberFormat="1" applyFont="1" applyFill="1" applyBorder="1" applyAlignment="1" applyProtection="1">
      <alignment horizontal="center"/>
    </xf>
    <xf numFmtId="175" fontId="141" fillId="70" borderId="18" xfId="2144" applyNumberFormat="1" applyFont="1" applyFill="1" applyBorder="1" applyAlignment="1" applyProtection="1">
      <alignment horizontal="center"/>
    </xf>
    <xf numFmtId="0" fontId="172" fillId="0" borderId="0" xfId="2144" applyFont="1" applyFill="1" applyAlignment="1" applyProtection="1">
      <alignment horizontal="center"/>
    </xf>
    <xf numFmtId="207" fontId="173" fillId="0" borderId="0" xfId="2144" applyNumberFormat="1" applyFont="1" applyFill="1" applyAlignment="1" applyProtection="1">
      <alignment horizontal="center"/>
    </xf>
    <xf numFmtId="175" fontId="173" fillId="0" borderId="0" xfId="2144" applyNumberFormat="1" applyFont="1" applyFill="1" applyAlignment="1" applyProtection="1">
      <alignment horizontal="center"/>
    </xf>
    <xf numFmtId="2" fontId="162" fillId="0" borderId="0" xfId="2144" applyNumberFormat="1" applyFont="1" applyBorder="1" applyAlignment="1" applyProtection="1">
      <alignment horizontal="center" vertical="center"/>
    </xf>
    <xf numFmtId="207" fontId="167" fillId="0" borderId="0" xfId="2144" applyNumberFormat="1" applyFont="1" applyFill="1" applyAlignment="1" applyProtection="1">
      <alignment horizontal="center"/>
    </xf>
    <xf numFmtId="2" fontId="1" fillId="0" borderId="0" xfId="2144" applyNumberFormat="1" applyProtection="1"/>
    <xf numFmtId="170" fontId="1" fillId="0" borderId="0" xfId="2144" applyNumberFormat="1" applyBorder="1" applyProtection="1"/>
    <xf numFmtId="208" fontId="170" fillId="0" borderId="59" xfId="2144" applyNumberFormat="1" applyFont="1" applyFill="1" applyBorder="1" applyAlignment="1" applyProtection="1">
      <alignment horizontal="center"/>
    </xf>
    <xf numFmtId="0" fontId="1" fillId="0" borderId="0" xfId="2144" applyFill="1" applyBorder="1" applyAlignment="1" applyProtection="1">
      <alignment horizontal="center"/>
    </xf>
    <xf numFmtId="0" fontId="171" fillId="0" borderId="0" xfId="2144" applyFont="1" applyFill="1" applyBorder="1" applyAlignment="1" applyProtection="1">
      <alignment horizontal="center"/>
    </xf>
    <xf numFmtId="168" fontId="162" fillId="0" borderId="0" xfId="2144" applyNumberFormat="1" applyFont="1" applyBorder="1" applyAlignment="1" applyProtection="1">
      <alignment horizontal="center"/>
    </xf>
    <xf numFmtId="0" fontId="171" fillId="0" borderId="74" xfId="2144" applyFont="1" applyFill="1" applyBorder="1" applyAlignment="1" applyProtection="1">
      <alignment horizontal="center"/>
    </xf>
    <xf numFmtId="175" fontId="170" fillId="70" borderId="73" xfId="2144" applyNumberFormat="1" applyFont="1" applyFill="1" applyBorder="1" applyAlignment="1" applyProtection="1">
      <alignment horizontal="center"/>
    </xf>
    <xf numFmtId="175" fontId="162" fillId="0" borderId="73" xfId="2144" applyNumberFormat="1" applyFont="1" applyFill="1" applyBorder="1" applyAlignment="1" applyProtection="1">
      <alignment horizontal="center"/>
    </xf>
    <xf numFmtId="1" fontId="162" fillId="0" borderId="0" xfId="2144" applyNumberFormat="1" applyFont="1" applyBorder="1" applyAlignment="1" applyProtection="1">
      <alignment horizontal="center"/>
    </xf>
    <xf numFmtId="175" fontId="1" fillId="0" borderId="73" xfId="2144" applyNumberFormat="1" applyFont="1" applyFill="1" applyBorder="1" applyAlignment="1" applyProtection="1">
      <alignment horizontal="center"/>
    </xf>
    <xf numFmtId="175" fontId="141" fillId="70" borderId="73" xfId="2144" applyNumberFormat="1" applyFont="1" applyFill="1" applyBorder="1" applyAlignment="1" applyProtection="1">
      <alignment horizontal="center"/>
    </xf>
    <xf numFmtId="206" fontId="173" fillId="0" borderId="0" xfId="2144" applyNumberFormat="1" applyFont="1" applyFill="1" applyAlignment="1" applyProtection="1">
      <alignment horizontal="center"/>
    </xf>
    <xf numFmtId="208" fontId="170" fillId="0" borderId="77" xfId="2144" applyNumberFormat="1" applyFont="1" applyFill="1" applyBorder="1" applyAlignment="1" applyProtection="1">
      <alignment horizontal="center"/>
    </xf>
    <xf numFmtId="0" fontId="1" fillId="0" borderId="75" xfId="2144" applyFill="1" applyBorder="1" applyAlignment="1" applyProtection="1">
      <alignment horizontal="center"/>
    </xf>
    <xf numFmtId="0" fontId="171" fillId="0" borderId="75" xfId="2144" applyFont="1" applyFill="1" applyBorder="1" applyAlignment="1" applyProtection="1">
      <alignment horizontal="center"/>
    </xf>
    <xf numFmtId="168" fontId="162" fillId="0" borderId="75" xfId="2144" applyNumberFormat="1" applyFont="1" applyBorder="1" applyAlignment="1" applyProtection="1">
      <alignment horizontal="center"/>
    </xf>
    <xf numFmtId="0" fontId="171" fillId="0" borderId="76" xfId="2144" applyFont="1" applyFill="1" applyBorder="1" applyAlignment="1" applyProtection="1">
      <alignment horizontal="center"/>
    </xf>
    <xf numFmtId="175" fontId="170" fillId="70" borderId="27" xfId="2144" applyNumberFormat="1" applyFont="1" applyFill="1" applyBorder="1" applyAlignment="1" applyProtection="1">
      <alignment horizontal="center"/>
    </xf>
    <xf numFmtId="175" fontId="162" fillId="0" borderId="27" xfId="2144" applyNumberFormat="1" applyFont="1" applyFill="1" applyBorder="1" applyAlignment="1" applyProtection="1">
      <alignment horizontal="center"/>
    </xf>
    <xf numFmtId="175" fontId="1" fillId="0" borderId="21" xfId="2144" applyNumberFormat="1" applyFont="1" applyFill="1" applyBorder="1" applyAlignment="1" applyProtection="1">
      <alignment horizontal="center"/>
    </xf>
    <xf numFmtId="2" fontId="162" fillId="0" borderId="21" xfId="2144" applyNumberFormat="1" applyFont="1" applyBorder="1" applyAlignment="1" applyProtection="1">
      <alignment horizontal="center"/>
    </xf>
    <xf numFmtId="1" fontId="162" fillId="0" borderId="21" xfId="2144" applyNumberFormat="1" applyFont="1" applyBorder="1" applyAlignment="1" applyProtection="1">
      <alignment horizontal="center"/>
    </xf>
    <xf numFmtId="175" fontId="1" fillId="0" borderId="27" xfId="2144" applyNumberFormat="1" applyFont="1" applyFill="1" applyBorder="1" applyAlignment="1" applyProtection="1">
      <alignment horizontal="center"/>
    </xf>
    <xf numFmtId="175" fontId="141" fillId="70" borderId="27" xfId="2144" applyNumberFormat="1" applyFont="1" applyFill="1" applyBorder="1" applyAlignment="1" applyProtection="1">
      <alignment horizontal="center"/>
    </xf>
    <xf numFmtId="206" fontId="170" fillId="0" borderId="0" xfId="2144" applyNumberFormat="1" applyFont="1" applyFill="1" applyBorder="1" applyAlignment="1" applyProtection="1">
      <alignment horizontal="center"/>
    </xf>
    <xf numFmtId="175" fontId="162" fillId="0" borderId="0" xfId="2144" applyNumberFormat="1" applyFont="1" applyBorder="1" applyAlignment="1" applyProtection="1">
      <alignment horizontal="center"/>
    </xf>
    <xf numFmtId="208" fontId="170" fillId="0" borderId="0" xfId="2144" applyNumberFormat="1" applyFont="1" applyFill="1" applyBorder="1" applyAlignment="1" applyProtection="1">
      <alignment horizontal="center"/>
    </xf>
    <xf numFmtId="167" fontId="70" fillId="73" borderId="0" xfId="0" applyNumberFormat="1" applyFont="1" applyFill="1" applyAlignment="1">
      <alignment horizontal="center"/>
    </xf>
    <xf numFmtId="0" fontId="150" fillId="0" borderId="0" xfId="0" applyFont="1" applyFill="1" applyAlignment="1">
      <alignment horizontal="right"/>
    </xf>
    <xf numFmtId="0" fontId="150" fillId="0" borderId="0" xfId="0" applyFont="1" applyFill="1" applyAlignment="1">
      <alignment horizontal="left"/>
    </xf>
    <xf numFmtId="0" fontId="151" fillId="0" borderId="0" xfId="0" applyFont="1" applyFill="1" applyAlignment="1">
      <alignment horizontal="left"/>
    </xf>
    <xf numFmtId="204" fontId="25" fillId="34" borderId="22" xfId="70" applyNumberFormat="1" applyFont="1" applyFill="1" applyBorder="1"/>
    <xf numFmtId="0" fontId="150" fillId="52" borderId="48" xfId="0" applyFont="1" applyFill="1" applyBorder="1" applyAlignment="1">
      <alignment horizontal="left"/>
    </xf>
    <xf numFmtId="0" fontId="150" fillId="52" borderId="49" xfId="0" applyFont="1" applyFill="1" applyBorder="1" applyAlignment="1">
      <alignment horizontal="left"/>
    </xf>
    <xf numFmtId="0" fontId="150" fillId="52" borderId="49" xfId="0" applyFont="1" applyFill="1" applyBorder="1" applyAlignment="1">
      <alignment horizontal="right"/>
    </xf>
    <xf numFmtId="0" fontId="150" fillId="52" borderId="50" xfId="0" applyFont="1" applyFill="1" applyBorder="1" applyAlignment="1">
      <alignment horizontal="right"/>
    </xf>
    <xf numFmtId="167" fontId="147" fillId="109" borderId="24" xfId="1791" applyNumberFormat="1" applyFont="1" applyFill="1" applyBorder="1" applyAlignment="1" applyProtection="1">
      <alignment horizontal="center"/>
    </xf>
    <xf numFmtId="167" fontId="147" fillId="109" borderId="16" xfId="1791" applyNumberFormat="1" applyFont="1" applyFill="1" applyBorder="1" applyAlignment="1" applyProtection="1">
      <alignment horizontal="center"/>
    </xf>
    <xf numFmtId="0" fontId="147" fillId="109" borderId="24" xfId="1791" applyNumberFormat="1" applyFont="1" applyFill="1" applyBorder="1" applyAlignment="1" applyProtection="1">
      <alignment horizontal="center"/>
    </xf>
    <xf numFmtId="0" fontId="147" fillId="109" borderId="16" xfId="1791" applyNumberFormat="1" applyFont="1" applyFill="1" applyBorder="1" applyAlignment="1" applyProtection="1">
      <alignment horizontal="center"/>
    </xf>
    <xf numFmtId="193" fontId="125" fillId="0" borderId="77" xfId="1791" applyNumberFormat="1" applyFont="1" applyBorder="1" applyAlignment="1" applyProtection="1">
      <alignment horizontal="center"/>
    </xf>
    <xf numFmtId="193" fontId="125" fillId="0" borderId="76" xfId="1791" applyNumberFormat="1" applyFont="1" applyBorder="1" applyAlignment="1" applyProtection="1">
      <alignment horizontal="center"/>
    </xf>
    <xf numFmtId="0" fontId="106" fillId="52" borderId="0" xfId="0" applyFont="1" applyFill="1" applyAlignment="1">
      <alignment horizontal="center"/>
    </xf>
    <xf numFmtId="0" fontId="23" fillId="37" borderId="36" xfId="0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74" fontId="26" fillId="73" borderId="24" xfId="0" applyNumberFormat="1" applyFont="1" applyFill="1" applyBorder="1" applyAlignment="1">
      <alignment horizontal="center"/>
    </xf>
    <xf numFmtId="174" fontId="26" fillId="73" borderId="16" xfId="0" applyNumberFormat="1" applyFont="1" applyFill="1" applyBorder="1" applyAlignment="1">
      <alignment horizontal="center"/>
    </xf>
  </cellXfs>
  <cellStyles count="55974">
    <cellStyle name=" 1" xfId="169"/>
    <cellStyle name="_BreakdownSpec" xfId="168"/>
    <cellStyle name="_BreakdownSpec 2" xfId="1022"/>
    <cellStyle name="_BreakdownSpec 3" xfId="1898"/>
    <cellStyle name="_BreakdownSpec_ConsolidateMktData" xfId="167"/>
    <cellStyle name="_BreakdownSpec_ConsolidateMktData 2" xfId="1023"/>
    <cellStyle name="_BreakdownSpec_ConsolidateMktData 3" xfId="1907"/>
    <cellStyle name="_BreakdownSpec_Days" xfId="166"/>
    <cellStyle name="_BreakdownSpec_Days 2" xfId="1024"/>
    <cellStyle name="_BreakdownSpec_Days 3" xfId="2120"/>
    <cellStyle name="_BreakdownSpec_FxoCorrTable" xfId="165"/>
    <cellStyle name="_BreakdownSpec_FxoCorrTable 2" xfId="1025"/>
    <cellStyle name="_BreakdownSpec_FxoCorrTable 3" xfId="2093"/>
    <cellStyle name="_BreakdownSpec_GetMktData" xfId="164"/>
    <cellStyle name="_BreakdownSpec_GetMktData 2" xfId="1026"/>
    <cellStyle name="_BreakdownSpec_GetMktData 3" xfId="2103"/>
    <cellStyle name="_BreakdownSpec_ND CNY UI" xfId="163"/>
    <cellStyle name="_BreakdownSpec_ND CNY UI 2" xfId="1027"/>
    <cellStyle name="_BreakdownSpec_ND CNY UI 3" xfId="1994"/>
    <cellStyle name="_BreakdownSpec_NZDIRS-LocalCalc" xfId="162"/>
    <cellStyle name="_BreakdownSpec_NZDIRS-LocalCalc 2" xfId="1028"/>
    <cellStyle name="_BreakdownSpec_NZDIRS-LocalCalc 3" xfId="1935"/>
    <cellStyle name="_BreakdownSpec_NZDIRS-LocalCalc_Multiuser" xfId="161"/>
    <cellStyle name="_BreakdownSpec_NZDIRS-LocalCalc_Multiuser 2" xfId="1029"/>
    <cellStyle name="_BreakdownSpec_NZDIRS-LocalCalc_Multiuser 3" xfId="2094"/>
    <cellStyle name="_BreakdownSpec_NZDIRS-LocalCalc_new subscribe logic" xfId="160"/>
    <cellStyle name="_BreakdownSpec_NZDIRS-LocalCalc_new subscribe logic 2" xfId="1030"/>
    <cellStyle name="_BreakdownSpec_NZDIRS-LocalCalc_new subscribe logic 3" xfId="2122"/>
    <cellStyle name="_BreakdownSpec_NZDIRS-MKTS" xfId="173"/>
    <cellStyle name="_BreakdownSpec_NZDIRS-MKTS 2" xfId="1031"/>
    <cellStyle name="_BreakdownSpec_NZDIRS-MKTS 3" xfId="2080"/>
    <cellStyle name="_BreakdownSpec_NzdTreasuryZeros" xfId="159"/>
    <cellStyle name="_BreakdownSpec_NzdTreasuryZeros 2" xfId="1032"/>
    <cellStyle name="_BreakdownSpec_NzdTreasuryZeros 3" xfId="1944"/>
    <cellStyle name="_BreakdownSpec_SampleCalc" xfId="158"/>
    <cellStyle name="_BreakdownSpec_SampleCalc 2" xfId="1033"/>
    <cellStyle name="_BreakdownSpec_SampleCalc 3" xfId="2136"/>
    <cellStyle name="_BreakdownSpec_SG-LocalCalc" xfId="91"/>
    <cellStyle name="_BreakdownSpec_SG-LocalCalc 2" xfId="1034"/>
    <cellStyle name="_BreakdownSpec_SG-LocalCalc 3" xfId="2085"/>
    <cellStyle name="_BreakdownSpec_SG-LocalCalc_DEV" xfId="157"/>
    <cellStyle name="_BreakdownSpec_SG-LocalCalc_DEV 2" xfId="1035"/>
    <cellStyle name="_BreakdownSpec_SG-LocalCalc_DEV 3" xfId="1939"/>
    <cellStyle name="_BreakdownSpec_TreasuryZeros" xfId="156"/>
    <cellStyle name="_BreakdownSpec_TreasuryZeros 2" xfId="1036"/>
    <cellStyle name="_BreakdownSpec_TreasuryZeros 3" xfId="2104"/>
    <cellStyle name="_ConsolidateMktData" xfId="172"/>
    <cellStyle name="_ConsolidateMktData 2" xfId="1037"/>
    <cellStyle name="_ConsolidateMktData 3" xfId="1937"/>
    <cellStyle name="_Days" xfId="171"/>
    <cellStyle name="_Days 2" xfId="1038"/>
    <cellStyle name="_Days 3" xfId="1958"/>
    <cellStyle name="_FXO_1mth_comparison" xfId="155"/>
    <cellStyle name="_FXO_1mth_comparison 2" xfId="1039"/>
    <cellStyle name="_FXO_1mth_comparison 3" xfId="1976"/>
    <cellStyle name="_FXO_1mth_comparison v 2" xfId="154"/>
    <cellStyle name="_FXO_1mth_comparison v 2 2" xfId="1040"/>
    <cellStyle name="_FXO_1mth_comparison v 2 3" xfId="2047"/>
    <cellStyle name="_FXO_1mth_comparison v 2_ConsolidateMktData" xfId="153"/>
    <cellStyle name="_FXO_1mth_comparison v 2_ConsolidateMktData 2" xfId="1041"/>
    <cellStyle name="_FXO_1mth_comparison v 2_ConsolidateMktData 3" xfId="1957"/>
    <cellStyle name="_FXO_1mth_comparison v 2_Days" xfId="152"/>
    <cellStyle name="_FXO_1mth_comparison v 2_Days 2" xfId="1042"/>
    <cellStyle name="_FXO_1mth_comparison v 2_Days 3" xfId="2113"/>
    <cellStyle name="_FXO_1mth_comparison v 2_FxoCorrTable" xfId="151"/>
    <cellStyle name="_FXO_1mth_comparison v 2_FxoCorrTable 2" xfId="1043"/>
    <cellStyle name="_FXO_1mth_comparison v 2_FxoCorrTable 3" xfId="1962"/>
    <cellStyle name="_FXO_1mth_comparison v 2_GetMktData" xfId="150"/>
    <cellStyle name="_FXO_1mth_comparison v 2_GetMktData 2" xfId="1044"/>
    <cellStyle name="_FXO_1mth_comparison v 2_GetMktData 3" xfId="2095"/>
    <cellStyle name="_FXO_1mth_comparison v 2_ND CNY UI" xfId="149"/>
    <cellStyle name="_FXO_1mth_comparison v 2_ND CNY UI 2" xfId="1045"/>
    <cellStyle name="_FXO_1mth_comparison v 2_ND CNY UI 3" xfId="2057"/>
    <cellStyle name="_FXO_1mth_comparison v 2_NZDIRS-LocalCalc" xfId="148"/>
    <cellStyle name="_FXO_1mth_comparison v 2_NZDIRS-LocalCalc 2" xfId="1046"/>
    <cellStyle name="_FXO_1mth_comparison v 2_NZDIRS-LocalCalc 3" xfId="2041"/>
    <cellStyle name="_FXO_1mth_comparison v 2_NZDIRS-LocalCalc_Multiuser" xfId="147"/>
    <cellStyle name="_FXO_1mth_comparison v 2_NZDIRS-LocalCalc_Multiuser 2" xfId="1047"/>
    <cellStyle name="_FXO_1mth_comparison v 2_NZDIRS-LocalCalc_Multiuser 3" xfId="1945"/>
    <cellStyle name="_FXO_1mth_comparison v 2_NZDIRS-LocalCalc_new subscribe logic" xfId="146"/>
    <cellStyle name="_FXO_1mth_comparison v 2_NZDIRS-LocalCalc_new subscribe logic 2" xfId="1048"/>
    <cellStyle name="_FXO_1mth_comparison v 2_NZDIRS-LocalCalc_new subscribe logic 3" xfId="1947"/>
    <cellStyle name="_FXO_1mth_comparison v 2_NZDIRS-MKTS" xfId="145"/>
    <cellStyle name="_FXO_1mth_comparison v 2_NZDIRS-MKTS 2" xfId="1049"/>
    <cellStyle name="_FXO_1mth_comparison v 2_NZDIRS-MKTS 3" xfId="2075"/>
    <cellStyle name="_FXO_1mth_comparison v 2_NzdTreasuryZeros" xfId="144"/>
    <cellStyle name="_FXO_1mth_comparison v 2_NzdTreasuryZeros 2" xfId="1050"/>
    <cellStyle name="_FXO_1mth_comparison v 2_NzdTreasuryZeros 3" xfId="2101"/>
    <cellStyle name="_FXO_1mth_comparison v 2_SampleCalc" xfId="143"/>
    <cellStyle name="_FXO_1mth_comparison v 2_SampleCalc 2" xfId="1051"/>
    <cellStyle name="_FXO_1mth_comparison v 2_SampleCalc 3" xfId="2123"/>
    <cellStyle name="_FXO_1mth_comparison v 2_SG-LocalCalc" xfId="142"/>
    <cellStyle name="_FXO_1mth_comparison v 2_SG-LocalCalc 2" xfId="1052"/>
    <cellStyle name="_FXO_1mth_comparison v 2_SG-LocalCalc 3" xfId="2077"/>
    <cellStyle name="_FXO_1mth_comparison v 2_SG-LocalCalc_DEV" xfId="141"/>
    <cellStyle name="_FXO_1mth_comparison v 2_SG-LocalCalc_DEV 2" xfId="1053"/>
    <cellStyle name="_FXO_1mth_comparison v 2_SG-LocalCalc_DEV 3" xfId="1926"/>
    <cellStyle name="_FXO_1mth_comparison v 2_TreasuryZeros" xfId="140"/>
    <cellStyle name="_FXO_1mth_comparison v 2_TreasuryZeros 2" xfId="1054"/>
    <cellStyle name="_FXO_1mth_comparison v 2_TreasuryZeros 3" xfId="2140"/>
    <cellStyle name="_FXO_1mth_comparison_ConsolidateMktData" xfId="139"/>
    <cellStyle name="_FXO_1mth_comparison_ConsolidateMktData 2" xfId="1055"/>
    <cellStyle name="_FXO_1mth_comparison_ConsolidateMktData 3" xfId="2071"/>
    <cellStyle name="_FXO_1mth_comparison_Days" xfId="138"/>
    <cellStyle name="_FXO_1mth_comparison_Days 2" xfId="1056"/>
    <cellStyle name="_FXO_1mth_comparison_Days 3" xfId="1929"/>
    <cellStyle name="_FXO_1mth_comparison_FxoCorrTable" xfId="137"/>
    <cellStyle name="_FXO_1mth_comparison_FxoCorrTable 2" xfId="1057"/>
    <cellStyle name="_FXO_1mth_comparison_FxoCorrTable 3" xfId="2033"/>
    <cellStyle name="_FXO_1mth_comparison_GetMktData" xfId="136"/>
    <cellStyle name="_FXO_1mth_comparison_GetMktData 2" xfId="1058"/>
    <cellStyle name="_FXO_1mth_comparison_GetMktData 3" xfId="1991"/>
    <cellStyle name="_FXO_1mth_comparison_ND CNY UI" xfId="135"/>
    <cellStyle name="_FXO_1mth_comparison_ND CNY UI 2" xfId="1059"/>
    <cellStyle name="_FXO_1mth_comparison_ND CNY UI 3" xfId="1975"/>
    <cellStyle name="_FXO_1mth_comparison_NZDIRS-LocalCalc" xfId="134"/>
    <cellStyle name="_FXO_1mth_comparison_NZDIRS-LocalCalc 2" xfId="1060"/>
    <cellStyle name="_FXO_1mth_comparison_NZDIRS-LocalCalc 3" xfId="2048"/>
    <cellStyle name="_FXO_1mth_comparison_NZDIRS-LocalCalc_Multiuser" xfId="133"/>
    <cellStyle name="_FXO_1mth_comparison_NZDIRS-LocalCalc_Multiuser 2" xfId="1061"/>
    <cellStyle name="_FXO_1mth_comparison_NZDIRS-LocalCalc_Multiuser 3" xfId="1985"/>
    <cellStyle name="_FXO_1mth_comparison_NZDIRS-LocalCalc_new subscribe logic" xfId="132"/>
    <cellStyle name="_FXO_1mth_comparison_NZDIRS-LocalCalc_new subscribe logic 2" xfId="1062"/>
    <cellStyle name="_FXO_1mth_comparison_NZDIRS-LocalCalc_new subscribe logic 3" xfId="1890"/>
    <cellStyle name="_FXO_1mth_comparison_NZDIRS-MKTS" xfId="131"/>
    <cellStyle name="_FXO_1mth_comparison_NZDIRS-MKTS 2" xfId="1063"/>
    <cellStyle name="_FXO_1mth_comparison_NZDIRS-MKTS 3" xfId="1892"/>
    <cellStyle name="_FXO_1mth_comparison_NzdTreasuryZeros" xfId="130"/>
    <cellStyle name="_FXO_1mth_comparison_NzdTreasuryZeros 2" xfId="1064"/>
    <cellStyle name="_FXO_1mth_comparison_NzdTreasuryZeros 3" xfId="2135"/>
    <cellStyle name="_FXO_1mth_comparison_SampleCalc" xfId="129"/>
    <cellStyle name="_FXO_1mth_comparison_SampleCalc 2" xfId="1065"/>
    <cellStyle name="_FXO_1mth_comparison_SampleCalc 3" xfId="1934"/>
    <cellStyle name="_FXO_1mth_comparison_SG-LocalCalc" xfId="128"/>
    <cellStyle name="_FXO_1mth_comparison_SG-LocalCalc 2" xfId="1066"/>
    <cellStyle name="_FXO_1mth_comparison_SG-LocalCalc 3" xfId="1894"/>
    <cellStyle name="_FXO_1mth_comparison_SG-LocalCalc_DEV" xfId="127"/>
    <cellStyle name="_FXO_1mth_comparison_SG-LocalCalc_DEV 2" xfId="1067"/>
    <cellStyle name="_FXO_1mth_comparison_SG-LocalCalc_DEV 3" xfId="2079"/>
    <cellStyle name="_FXO_1mth_comparison_TreasuryZeros" xfId="126"/>
    <cellStyle name="_FXO_1mth_comparison_TreasuryZeros 2" xfId="1068"/>
    <cellStyle name="_FXO_1mth_comparison_TreasuryZeros 3" xfId="1893"/>
    <cellStyle name="_FXO_Cleaned_Hypothetical_PnL_MXG" xfId="125"/>
    <cellStyle name="_FXO_Cleaned_Hypothetical_PnL_MXG 2" xfId="1069"/>
    <cellStyle name="_FXO_Cleaned_Hypothetical_PnL_MXG 3" xfId="2125"/>
    <cellStyle name="_FXO_Cleaned_Hypothetical_PnL_MXG_ConsolidateMktData" xfId="124"/>
    <cellStyle name="_FXO_Cleaned_Hypothetical_PnL_MXG_ConsolidateMktData 2" xfId="1070"/>
    <cellStyle name="_FXO_Cleaned_Hypothetical_PnL_MXG_ConsolidateMktData 3" xfId="1920"/>
    <cellStyle name="_FXO_Cleaned_Hypothetical_PnL_MXG_Days" xfId="123"/>
    <cellStyle name="_FXO_Cleaned_Hypothetical_PnL_MXG_Days 2" xfId="1071"/>
    <cellStyle name="_FXO_Cleaned_Hypothetical_PnL_MXG_Days 3" xfId="1996"/>
    <cellStyle name="_FXO_Cleaned_Hypothetical_PnL_MXG_FxoCorrTable" xfId="122"/>
    <cellStyle name="_FXO_Cleaned_Hypothetical_PnL_MXG_FxoCorrTable 2" xfId="1072"/>
    <cellStyle name="_FXO_Cleaned_Hypothetical_PnL_MXG_FxoCorrTable 3" xfId="2130"/>
    <cellStyle name="_FXO_Cleaned_Hypothetical_PnL_MXG_GetMktData" xfId="121"/>
    <cellStyle name="_FXO_Cleaned_Hypothetical_PnL_MXG_GetMktData 2" xfId="1073"/>
    <cellStyle name="_FXO_Cleaned_Hypothetical_PnL_MXG_GetMktData 3" xfId="2056"/>
    <cellStyle name="_FXO_Cleaned_Hypothetical_PnL_MXG_ND CNY UI" xfId="120"/>
    <cellStyle name="_FXO_Cleaned_Hypothetical_PnL_MXG_ND CNY UI 2" xfId="1074"/>
    <cellStyle name="_FXO_Cleaned_Hypothetical_PnL_MXG_ND CNY UI 3" xfId="1963"/>
    <cellStyle name="_FXO_Cleaned_Hypothetical_PnL_MXG_NZDIRS-LocalCalc" xfId="119"/>
    <cellStyle name="_FXO_Cleaned_Hypothetical_PnL_MXG_NZDIRS-LocalCalc 2" xfId="1075"/>
    <cellStyle name="_FXO_Cleaned_Hypothetical_PnL_MXG_NZDIRS-LocalCalc 3" xfId="2069"/>
    <cellStyle name="_FXO_Cleaned_Hypothetical_PnL_MXG_NZDIRS-LocalCalc_Multiuser" xfId="118"/>
    <cellStyle name="_FXO_Cleaned_Hypothetical_PnL_MXG_NZDIRS-LocalCalc_Multiuser 2" xfId="1076"/>
    <cellStyle name="_FXO_Cleaned_Hypothetical_PnL_MXG_NZDIRS-LocalCalc_Multiuser 3" xfId="1965"/>
    <cellStyle name="_FXO_Cleaned_Hypothetical_PnL_MXG_NZDIRS-LocalCalc_new subscribe logic" xfId="117"/>
    <cellStyle name="_FXO_Cleaned_Hypothetical_PnL_MXG_NZDIRS-LocalCalc_new subscribe logic 2" xfId="1077"/>
    <cellStyle name="_FXO_Cleaned_Hypothetical_PnL_MXG_NZDIRS-LocalCalc_new subscribe logic 3" xfId="2116"/>
    <cellStyle name="_FXO_Cleaned_Hypothetical_PnL_MXG_NZDIRS-MKTS" xfId="116"/>
    <cellStyle name="_FXO_Cleaned_Hypothetical_PnL_MXG_NZDIRS-MKTS 2" xfId="1078"/>
    <cellStyle name="_FXO_Cleaned_Hypothetical_PnL_MXG_NZDIRS-MKTS 3" xfId="2063"/>
    <cellStyle name="_FXO_Cleaned_Hypothetical_PnL_MXG_NzdTreasuryZeros" xfId="115"/>
    <cellStyle name="_FXO_Cleaned_Hypothetical_PnL_MXG_NzdTreasuryZeros 2" xfId="1079"/>
    <cellStyle name="_FXO_Cleaned_Hypothetical_PnL_MXG_NzdTreasuryZeros 3" xfId="2042"/>
    <cellStyle name="_FXO_Cleaned_Hypothetical_PnL_MXG_SampleCalc" xfId="114"/>
    <cellStyle name="_FXO_Cleaned_Hypothetical_PnL_MXG_SampleCalc 2" xfId="1080"/>
    <cellStyle name="_FXO_Cleaned_Hypothetical_PnL_MXG_SampleCalc 3" xfId="2137"/>
    <cellStyle name="_FXO_Cleaned_Hypothetical_PnL_MXG_SG-LocalCalc" xfId="113"/>
    <cellStyle name="_FXO_Cleaned_Hypothetical_PnL_MXG_SG-LocalCalc 2" xfId="1081"/>
    <cellStyle name="_FXO_Cleaned_Hypothetical_PnL_MXG_SG-LocalCalc 3" xfId="2082"/>
    <cellStyle name="_FXO_Cleaned_Hypothetical_PnL_MXG_SG-LocalCalc_DEV" xfId="112"/>
    <cellStyle name="_FXO_Cleaned_Hypothetical_PnL_MXG_SG-LocalCalc_DEV 2" xfId="1082"/>
    <cellStyle name="_FXO_Cleaned_Hypothetical_PnL_MXG_SG-LocalCalc_DEV 3" xfId="2090"/>
    <cellStyle name="_FXO_Cleaned_Hypothetical_PnL_MXG_TreasuryZeros" xfId="111"/>
    <cellStyle name="_FXO_Cleaned_Hypothetical_PnL_MXG_TreasuryZeros 2" xfId="1083"/>
    <cellStyle name="_FXO_Cleaned_Hypothetical_PnL_MXG_TreasuryZeros 3" xfId="2043"/>
    <cellStyle name="_FXO_PnL_by_parameter" xfId="110"/>
    <cellStyle name="_FXO_PnL_by_parameter 2" xfId="1084"/>
    <cellStyle name="_FXO_PnL_by_parameter 3" xfId="2035"/>
    <cellStyle name="_FXO_PnL_by_parameter_ConsolidateMktData" xfId="109"/>
    <cellStyle name="_FXO_PnL_by_parameter_ConsolidateMktData 2" xfId="1085"/>
    <cellStyle name="_FXO_PnL_by_parameter_ConsolidateMktData 3" xfId="2020"/>
    <cellStyle name="_FXO_PnL_by_parameter_Days" xfId="108"/>
    <cellStyle name="_FXO_PnL_by_parameter_Days 2" xfId="1086"/>
    <cellStyle name="_FXO_PnL_by_parameter_Days 3" xfId="1915"/>
    <cellStyle name="_FXO_PnL_by_parameter_FxoCorrTable" xfId="107"/>
    <cellStyle name="_FXO_PnL_by_parameter_FxoCorrTable 2" xfId="1087"/>
    <cellStyle name="_FXO_PnL_by_parameter_FxoCorrTable 3" xfId="2132"/>
    <cellStyle name="_FXO_PnL_by_parameter_GetMktData" xfId="106"/>
    <cellStyle name="_FXO_PnL_by_parameter_GetMktData 2" xfId="1088"/>
    <cellStyle name="_FXO_PnL_by_parameter_GetMktData 3" xfId="1940"/>
    <cellStyle name="_FXO_PnL_by_parameter_MXG" xfId="105"/>
    <cellStyle name="_FXO_PnL_by_parameter_MXG 2" xfId="1089"/>
    <cellStyle name="_FXO_PnL_by_parameter_MXG 3" xfId="2070"/>
    <cellStyle name="_FXO_PnL_by_parameter_MXG_ConsolidateMktData" xfId="104"/>
    <cellStyle name="_FXO_PnL_by_parameter_MXG_ConsolidateMktData 2" xfId="1090"/>
    <cellStyle name="_FXO_PnL_by_parameter_MXG_ConsolidateMktData 3" xfId="1936"/>
    <cellStyle name="_FXO_PnL_by_parameter_MXG_Days" xfId="103"/>
    <cellStyle name="_FXO_PnL_by_parameter_MXG_Days 2" xfId="1091"/>
    <cellStyle name="_FXO_PnL_by_parameter_MXG_Days 3" xfId="1971"/>
    <cellStyle name="_FXO_PnL_by_parameter_MXG_FxoCorrTable" xfId="102"/>
    <cellStyle name="_FXO_PnL_by_parameter_MXG_FxoCorrTable 2" xfId="1092"/>
    <cellStyle name="_FXO_PnL_by_parameter_MXG_FxoCorrTable 3" xfId="1993"/>
    <cellStyle name="_FXO_PnL_by_parameter_MXG_GetMktData" xfId="101"/>
    <cellStyle name="_FXO_PnL_by_parameter_MXG_GetMktData 2" xfId="1093"/>
    <cellStyle name="_FXO_PnL_by_parameter_MXG_GetMktData 3" xfId="2052"/>
    <cellStyle name="_FXO_PnL_by_parameter_MXG_ND CNY UI" xfId="100"/>
    <cellStyle name="_FXO_PnL_by_parameter_MXG_ND CNY UI 2" xfId="1094"/>
    <cellStyle name="_FXO_PnL_by_parameter_MXG_ND CNY UI 3" xfId="1896"/>
    <cellStyle name="_FXO_PnL_by_parameter_MXG_NZDIRS-LocalCalc" xfId="99"/>
    <cellStyle name="_FXO_PnL_by_parameter_MXG_NZDIRS-LocalCalc 2" xfId="1095"/>
    <cellStyle name="_FXO_PnL_by_parameter_MXG_NZDIRS-LocalCalc 3" xfId="1912"/>
    <cellStyle name="_FXO_PnL_by_parameter_MXG_NZDIRS-LocalCalc_Multiuser" xfId="98"/>
    <cellStyle name="_FXO_PnL_by_parameter_MXG_NZDIRS-LocalCalc_Multiuser 2" xfId="1096"/>
    <cellStyle name="_FXO_PnL_by_parameter_MXG_NZDIRS-LocalCalc_Multiuser 3" xfId="2050"/>
    <cellStyle name="_FXO_PnL_by_parameter_MXG_NZDIRS-LocalCalc_new subscribe logic" xfId="97"/>
    <cellStyle name="_FXO_PnL_by_parameter_MXG_NZDIRS-LocalCalc_new subscribe logic 2" xfId="1097"/>
    <cellStyle name="_FXO_PnL_by_parameter_MXG_NZDIRS-LocalCalc_new subscribe logic 3" xfId="2083"/>
    <cellStyle name="_FXO_PnL_by_parameter_MXG_NZDIRS-MKTS" xfId="96"/>
    <cellStyle name="_FXO_PnL_by_parameter_MXG_NZDIRS-MKTS 2" xfId="1098"/>
    <cellStyle name="_FXO_PnL_by_parameter_MXG_NZDIRS-MKTS 3" xfId="1933"/>
    <cellStyle name="_FXO_PnL_by_parameter_MXG_NzdTreasuryZeros" xfId="95"/>
    <cellStyle name="_FXO_PnL_by_parameter_MXG_NzdTreasuryZeros 2" xfId="1099"/>
    <cellStyle name="_FXO_PnL_by_parameter_MXG_NzdTreasuryZeros 3" xfId="1910"/>
    <cellStyle name="_FXO_PnL_by_parameter_MXG_SampleCalc" xfId="94"/>
    <cellStyle name="_FXO_PnL_by_parameter_MXG_SampleCalc 2" xfId="1100"/>
    <cellStyle name="_FXO_PnL_by_parameter_MXG_SampleCalc 3" xfId="2068"/>
    <cellStyle name="_FXO_PnL_by_parameter_MXG_SG-LocalCalc" xfId="93"/>
    <cellStyle name="_FXO_PnL_by_parameter_MXG_SG-LocalCalc 2" xfId="1101"/>
    <cellStyle name="_FXO_PnL_by_parameter_MXG_SG-LocalCalc 3" xfId="1919"/>
    <cellStyle name="_FXO_PnL_by_parameter_MXG_SG-LocalCalc_DEV" xfId="92"/>
    <cellStyle name="_FXO_PnL_by_parameter_MXG_SG-LocalCalc_DEV 2" xfId="1102"/>
    <cellStyle name="_FXO_PnL_by_parameter_MXG_SG-LocalCalc_DEV 3" xfId="2040"/>
    <cellStyle name="_FXO_PnL_by_parameter_MXG_TreasuryZeros" xfId="174"/>
    <cellStyle name="_FXO_PnL_by_parameter_MXG_TreasuryZeros 2" xfId="1103"/>
    <cellStyle name="_FXO_PnL_by_parameter_MXG_TreasuryZeros 3" xfId="2029"/>
    <cellStyle name="_FXO_PnL_by_parameter_ND CNY UI" xfId="175"/>
    <cellStyle name="_FXO_PnL_by_parameter_ND CNY UI 2" xfId="1104"/>
    <cellStyle name="_FXO_PnL_by_parameter_ND CNY UI 3" xfId="2096"/>
    <cellStyle name="_FXO_PnL_by_parameter_NZDIRS-LocalCalc" xfId="176"/>
    <cellStyle name="_FXO_PnL_by_parameter_NZDIRS-LocalCalc 2" xfId="1105"/>
    <cellStyle name="_FXO_PnL_by_parameter_NZDIRS-LocalCalc 3" xfId="2074"/>
    <cellStyle name="_FXO_PnL_by_parameter_NZDIRS-LocalCalc_Multiuser" xfId="177"/>
    <cellStyle name="_FXO_PnL_by_parameter_NZDIRS-LocalCalc_Multiuser 2" xfId="1106"/>
    <cellStyle name="_FXO_PnL_by_parameter_NZDIRS-LocalCalc_Multiuser 3" xfId="1997"/>
    <cellStyle name="_FXO_PnL_by_parameter_NZDIRS-LocalCalc_new subscribe logic" xfId="178"/>
    <cellStyle name="_FXO_PnL_by_parameter_NZDIRS-LocalCalc_new subscribe logic 2" xfId="1107"/>
    <cellStyle name="_FXO_PnL_by_parameter_NZDIRS-LocalCalc_new subscribe logic 3" xfId="2119"/>
    <cellStyle name="_FXO_PnL_by_parameter_NZDIRS-MKTS" xfId="179"/>
    <cellStyle name="_FXO_PnL_by_parameter_NZDIRS-MKTS 2" xfId="1108"/>
    <cellStyle name="_FXO_PnL_by_parameter_NZDIRS-MKTS 3" xfId="1889"/>
    <cellStyle name="_FXO_PnL_by_parameter_NzdTreasuryZeros" xfId="180"/>
    <cellStyle name="_FXO_PnL_by_parameter_NzdTreasuryZeros 2" xfId="1109"/>
    <cellStyle name="_FXO_PnL_by_parameter_NzdTreasuryZeros 3" xfId="2058"/>
    <cellStyle name="_FXO_PnL_by_parameter_SampleCalc" xfId="181"/>
    <cellStyle name="_FXO_PnL_by_parameter_SampleCalc 2" xfId="1110"/>
    <cellStyle name="_FXO_PnL_by_parameter_SampleCalc 3" xfId="2081"/>
    <cellStyle name="_FXO_PnL_by_parameter_SG-LocalCalc" xfId="182"/>
    <cellStyle name="_FXO_PnL_by_parameter_SG-LocalCalc 2" xfId="1111"/>
    <cellStyle name="_FXO_PnL_by_parameter_SG-LocalCalc 3" xfId="2049"/>
    <cellStyle name="_FXO_PnL_by_parameter_SG-LocalCalc_DEV" xfId="183"/>
    <cellStyle name="_FXO_PnL_by_parameter_SG-LocalCalc_DEV 2" xfId="1112"/>
    <cellStyle name="_FXO_PnL_by_parameter_SG-LocalCalc_DEV 3" xfId="2072"/>
    <cellStyle name="_FXO_PnL_by_parameter_TreasuryZeros" xfId="184"/>
    <cellStyle name="_FXO_PnL_by_parameter_TreasuryZeros 2" xfId="1113"/>
    <cellStyle name="_FXO_PnL_by_parameter_TreasuryZeros 3" xfId="2004"/>
    <cellStyle name="_FxoCorrTable" xfId="185"/>
    <cellStyle name="_FxoCorrTable 2" xfId="1114"/>
    <cellStyle name="_FxoCorrTable 3" xfId="2087"/>
    <cellStyle name="_GetMktData" xfId="186"/>
    <cellStyle name="_GetMktData 2" xfId="1115"/>
    <cellStyle name="_GetMktData 3" xfId="1959"/>
    <cellStyle name="_GFXO CONSOLIDATED PnL" xfId="187"/>
    <cellStyle name="_GFXO CONSOLIDATED PnL 2" xfId="1116"/>
    <cellStyle name="_GFXO CONSOLIDATED PnL 3" xfId="1903"/>
    <cellStyle name="_GFXO CONSOLIDATED PnL_ConsolidateMktData" xfId="188"/>
    <cellStyle name="_GFXO CONSOLIDATED PnL_ConsolidateMktData 2" xfId="1117"/>
    <cellStyle name="_GFXO CONSOLIDATED PnL_ConsolidateMktData 3" xfId="2139"/>
    <cellStyle name="_GFXO CONSOLIDATED PnL_Days" xfId="189"/>
    <cellStyle name="_GFXO CONSOLIDATED PnL_Days 2" xfId="1118"/>
    <cellStyle name="_GFXO CONSOLIDATED PnL_Days 3" xfId="2133"/>
    <cellStyle name="_GFXO CONSOLIDATED PnL_FxoCorrTable" xfId="190"/>
    <cellStyle name="_GFXO CONSOLIDATED PnL_FxoCorrTable 2" xfId="1119"/>
    <cellStyle name="_GFXO CONSOLIDATED PnL_FxoCorrTable 3" xfId="2027"/>
    <cellStyle name="_GFXO CONSOLIDATED PnL_GetMktData" xfId="191"/>
    <cellStyle name="_GFXO CONSOLIDATED PnL_GetMktData 2" xfId="1120"/>
    <cellStyle name="_GFXO CONSOLIDATED PnL_GetMktData 3" xfId="2138"/>
    <cellStyle name="_GFXO CONSOLIDATED PnL_ND CNY UI" xfId="192"/>
    <cellStyle name="_GFXO CONSOLIDATED PnL_ND CNY UI 2" xfId="1121"/>
    <cellStyle name="_GFXO CONSOLIDATED PnL_ND CNY UI 3" xfId="1966"/>
    <cellStyle name="_GFXO CONSOLIDATED PnL_NZDIRS-LocalCalc" xfId="193"/>
    <cellStyle name="_GFXO CONSOLIDATED PnL_NZDIRS-LocalCalc 2" xfId="1122"/>
    <cellStyle name="_GFXO CONSOLIDATED PnL_NZDIRS-LocalCalc 3" xfId="1983"/>
    <cellStyle name="_GFXO CONSOLIDATED PnL_NZDIRS-LocalCalc_Multiuser" xfId="194"/>
    <cellStyle name="_GFXO CONSOLIDATED PnL_NZDIRS-LocalCalc_Multiuser 2" xfId="1123"/>
    <cellStyle name="_GFXO CONSOLIDATED PnL_NZDIRS-LocalCalc_Multiuser 3" xfId="2051"/>
    <cellStyle name="_GFXO CONSOLIDATED PnL_NZDIRS-LocalCalc_new subscribe logic" xfId="195"/>
    <cellStyle name="_GFXO CONSOLIDATED PnL_NZDIRS-LocalCalc_new subscribe logic 2" xfId="1124"/>
    <cellStyle name="_GFXO CONSOLIDATED PnL_NZDIRS-LocalCalc_new subscribe logic 3" xfId="1906"/>
    <cellStyle name="_GFXO CONSOLIDATED PnL_NZDIRS-MKTS" xfId="196"/>
    <cellStyle name="_GFXO CONSOLIDATED PnL_NZDIRS-MKTS 2" xfId="1125"/>
    <cellStyle name="_GFXO CONSOLIDATED PnL_NZDIRS-MKTS 3" xfId="2036"/>
    <cellStyle name="_GFXO CONSOLIDATED PnL_NzdTreasuryZeros" xfId="197"/>
    <cellStyle name="_GFXO CONSOLIDATED PnL_NzdTreasuryZeros 2" xfId="1126"/>
    <cellStyle name="_GFXO CONSOLIDATED PnL_NzdTreasuryZeros 3" xfId="2038"/>
    <cellStyle name="_GFXO CONSOLIDATED PnL_SampleCalc" xfId="198"/>
    <cellStyle name="_GFXO CONSOLIDATED PnL_SampleCalc 2" xfId="1127"/>
    <cellStyle name="_GFXO CONSOLIDATED PnL_SampleCalc 3" xfId="2084"/>
    <cellStyle name="_GFXO CONSOLIDATED PnL_SG-LocalCalc" xfId="199"/>
    <cellStyle name="_GFXO CONSOLIDATED PnL_SG-LocalCalc 2" xfId="1128"/>
    <cellStyle name="_GFXO CONSOLIDATED PnL_SG-LocalCalc 3" xfId="1946"/>
    <cellStyle name="_GFXO CONSOLIDATED PnL_SG-LocalCalc_DEV" xfId="200"/>
    <cellStyle name="_GFXO CONSOLIDATED PnL_SG-LocalCalc_DEV 2" xfId="1129"/>
    <cellStyle name="_GFXO CONSOLIDATED PnL_SG-LocalCalc_DEV 3" xfId="1989"/>
    <cellStyle name="_GFXO CONSOLIDATED PnL_TreasuryZeros" xfId="201"/>
    <cellStyle name="_GFXO CONSOLIDATED PnL_TreasuryZeros 2" xfId="1130"/>
    <cellStyle name="_GFXO CONSOLIDATED PnL_TreasuryZeros 3" xfId="2124"/>
    <cellStyle name="_gfxoweek" xfId="202"/>
    <cellStyle name="_gfxoweek 2" xfId="1131"/>
    <cellStyle name="_gfxoweek 3" xfId="2102"/>
    <cellStyle name="_gfxoweek v2" xfId="203"/>
    <cellStyle name="_gfxoweek v2 2" xfId="1132"/>
    <cellStyle name="_gfxoweek v2 3" xfId="2044"/>
    <cellStyle name="_gfxoweek v2_ConsolidateMktData" xfId="204"/>
    <cellStyle name="_gfxoweek v2_ConsolidateMktData 2" xfId="1133"/>
    <cellStyle name="_gfxoweek v2_ConsolidateMktData 3" xfId="2128"/>
    <cellStyle name="_gfxoweek v2_Days" xfId="205"/>
    <cellStyle name="_gfxoweek v2_Days 2" xfId="1134"/>
    <cellStyle name="_gfxoweek v2_Days 3" xfId="2109"/>
    <cellStyle name="_gfxoweek v2_FxoCorrTable" xfId="206"/>
    <cellStyle name="_gfxoweek v2_FxoCorrTable 2" xfId="1135"/>
    <cellStyle name="_gfxoweek v2_FxoCorrTable 3" xfId="2078"/>
    <cellStyle name="_gfxoweek v2_GetMktData" xfId="207"/>
    <cellStyle name="_gfxoweek v2_GetMktData 2" xfId="1136"/>
    <cellStyle name="_gfxoweek v2_GetMktData 3" xfId="2097"/>
    <cellStyle name="_gfxoweek v2_ND CNY UI" xfId="208"/>
    <cellStyle name="_gfxoweek v2_ND CNY UI 2" xfId="1137"/>
    <cellStyle name="_gfxoweek v2_ND CNY UI 3" xfId="2045"/>
    <cellStyle name="_gfxoweek v2_NZDIRS-LocalCalc" xfId="209"/>
    <cellStyle name="_gfxoweek v2_NZDIRS-LocalCalc 2" xfId="1138"/>
    <cellStyle name="_gfxoweek v2_NZDIRS-LocalCalc 3" xfId="1955"/>
    <cellStyle name="_gfxoweek v2_NZDIRS-LocalCalc_Multiuser" xfId="210"/>
    <cellStyle name="_gfxoweek v2_NZDIRS-LocalCalc_Multiuser 2" xfId="1139"/>
    <cellStyle name="_gfxoweek v2_NZDIRS-LocalCalc_Multiuser 3" xfId="1922"/>
    <cellStyle name="_gfxoweek v2_NZDIRS-LocalCalc_new subscribe logic" xfId="211"/>
    <cellStyle name="_gfxoweek v2_NZDIRS-LocalCalc_new subscribe logic 2" xfId="1140"/>
    <cellStyle name="_gfxoweek v2_NZDIRS-LocalCalc_new subscribe logic 3" xfId="1943"/>
    <cellStyle name="_gfxoweek v2_NZDIRS-MKTS" xfId="212"/>
    <cellStyle name="_gfxoweek v2_NZDIRS-MKTS 2" xfId="1141"/>
    <cellStyle name="_gfxoweek v2_NZDIRS-MKTS 3" xfId="1948"/>
    <cellStyle name="_gfxoweek v2_NzdTreasuryZeros" xfId="213"/>
    <cellStyle name="_gfxoweek v2_NzdTreasuryZeros 2" xfId="1142"/>
    <cellStyle name="_gfxoweek v2_NzdTreasuryZeros 3" xfId="2106"/>
    <cellStyle name="_gfxoweek v2_SampleCalc" xfId="214"/>
    <cellStyle name="_gfxoweek v2_SampleCalc 2" xfId="1143"/>
    <cellStyle name="_gfxoweek v2_SampleCalc 3" xfId="1924"/>
    <cellStyle name="_gfxoweek v2_SG-LocalCalc" xfId="215"/>
    <cellStyle name="_gfxoweek v2_SG-LocalCalc 2" xfId="1144"/>
    <cellStyle name="_gfxoweek v2_SG-LocalCalc 3" xfId="1980"/>
    <cellStyle name="_gfxoweek v2_SG-LocalCalc_DEV" xfId="216"/>
    <cellStyle name="_gfxoweek v2_SG-LocalCalc_DEV 2" xfId="1145"/>
    <cellStyle name="_gfxoweek v2_SG-LocalCalc_DEV 3" xfId="2115"/>
    <cellStyle name="_gfxoweek v2_TreasuryZeros" xfId="217"/>
    <cellStyle name="_gfxoweek v2_TreasuryZeros 2" xfId="1146"/>
    <cellStyle name="_gfxoweek v2_TreasuryZeros 3" xfId="2054"/>
    <cellStyle name="_gfxoweek_ConsolidateMktData" xfId="218"/>
    <cellStyle name="_gfxoweek_ConsolidateMktData 2" xfId="1147"/>
    <cellStyle name="_gfxoweek_ConsolidateMktData 3" xfId="1995"/>
    <cellStyle name="_gfxoweek_Days" xfId="219"/>
    <cellStyle name="_gfxoweek_Days 2" xfId="1148"/>
    <cellStyle name="_gfxoweek_Days 3" xfId="2099"/>
    <cellStyle name="_gfxoweek_FxoCorrTable" xfId="220"/>
    <cellStyle name="_gfxoweek_FxoCorrTable 2" xfId="1149"/>
    <cellStyle name="_gfxoweek_FxoCorrTable 3" xfId="2023"/>
    <cellStyle name="_gfxoweek_GetMktData" xfId="221"/>
    <cellStyle name="_gfxoweek_GetMktData 2" xfId="1150"/>
    <cellStyle name="_gfxoweek_GetMktData 3" xfId="2091"/>
    <cellStyle name="_gfxoweek_ND CNY UI" xfId="222"/>
    <cellStyle name="_gfxoweek_ND CNY UI 2" xfId="1151"/>
    <cellStyle name="_gfxoweek_ND CNY UI 3" xfId="2129"/>
    <cellStyle name="_gfxoweek_NZDIRS-LocalCalc" xfId="223"/>
    <cellStyle name="_gfxoweek_NZDIRS-LocalCalc 2" xfId="1152"/>
    <cellStyle name="_gfxoweek_NZDIRS-LocalCalc 3" xfId="1953"/>
    <cellStyle name="_gfxoweek_NZDIRS-LocalCalc_Multiuser" xfId="224"/>
    <cellStyle name="_gfxoweek_NZDIRS-LocalCalc_Multiuser 2" xfId="1153"/>
    <cellStyle name="_gfxoweek_NZDIRS-LocalCalc_Multiuser 3" xfId="1977"/>
    <cellStyle name="_gfxoweek_NZDIRS-LocalCalc_new subscribe logic" xfId="225"/>
    <cellStyle name="_gfxoweek_NZDIRS-LocalCalc_new subscribe logic 2" xfId="1154"/>
    <cellStyle name="_gfxoweek_NZDIRS-LocalCalc_new subscribe logic 3" xfId="1951"/>
    <cellStyle name="_gfxoweek_NZDIRS-MKTS" xfId="226"/>
    <cellStyle name="_gfxoweek_NZDIRS-MKTS 2" xfId="1155"/>
    <cellStyle name="_gfxoweek_NZDIRS-MKTS 3" xfId="1973"/>
    <cellStyle name="_gfxoweek_NzdTreasuryZeros" xfId="227"/>
    <cellStyle name="_gfxoweek_NzdTreasuryZeros 2" xfId="1156"/>
    <cellStyle name="_gfxoweek_NzdTreasuryZeros 3" xfId="1981"/>
    <cellStyle name="_gfxoweek_SampleCalc" xfId="228"/>
    <cellStyle name="_gfxoweek_SampleCalc 2" xfId="1157"/>
    <cellStyle name="_gfxoweek_SampleCalc 3" xfId="2060"/>
    <cellStyle name="_gfxoweek_SG-LocalCalc" xfId="229"/>
    <cellStyle name="_gfxoweek_SG-LocalCalc 2" xfId="1158"/>
    <cellStyle name="_gfxoweek_SG-LocalCalc 3" xfId="1950"/>
    <cellStyle name="_gfxoweek_SG-LocalCalc_DEV" xfId="230"/>
    <cellStyle name="_gfxoweek_SG-LocalCalc_DEV 2" xfId="1159"/>
    <cellStyle name="_gfxoweek_SG-LocalCalc_DEV 3" xfId="1974"/>
    <cellStyle name="_gfxoweek_TreasuryZeros" xfId="231"/>
    <cellStyle name="_gfxoweek_TreasuryZeros 2" xfId="1160"/>
    <cellStyle name="_gfxoweek_TreasuryZeros 3" xfId="1923"/>
    <cellStyle name="_ND CNY UI" xfId="232"/>
    <cellStyle name="_ND CNY UI 2" xfId="1161"/>
    <cellStyle name="_ND CNY UI 3" xfId="2053"/>
    <cellStyle name="_NZDIRS-LocalCalc" xfId="233"/>
    <cellStyle name="_NZDIRS-LocalCalc 2" xfId="1162"/>
    <cellStyle name="_NZDIRS-LocalCalc 3" xfId="2059"/>
    <cellStyle name="_NZDIRS-LocalCalc_Multiuser" xfId="234"/>
    <cellStyle name="_NZDIRS-LocalCalc_Multiuser 2" xfId="1163"/>
    <cellStyle name="_NZDIRS-LocalCalc_Multiuser 3" xfId="1961"/>
    <cellStyle name="_NZDIRS-LocalCalc_new subscribe logic" xfId="235"/>
    <cellStyle name="_NZDIRS-LocalCalc_new subscribe logic 2" xfId="1164"/>
    <cellStyle name="_NZDIRS-LocalCalc_new subscribe logic 3" xfId="2026"/>
    <cellStyle name="_NZDIRS-MKTS" xfId="236"/>
    <cellStyle name="_NZDIRS-MKTS 2" xfId="1165"/>
    <cellStyle name="_NZDIRS-MKTS 3" xfId="1992"/>
    <cellStyle name="_NzdTreasuryZeros" xfId="237"/>
    <cellStyle name="_NzdTreasuryZeros 2" xfId="1166"/>
    <cellStyle name="_NzdTreasuryZeros 3" xfId="2108"/>
    <cellStyle name="_OPTIONS Board" xfId="238"/>
    <cellStyle name="_OPTIONS Board 2" xfId="1167"/>
    <cellStyle name="_OPTIONS Board 3" xfId="2028"/>
    <cellStyle name="_SampleCalc" xfId="239"/>
    <cellStyle name="_SampleCalc 2" xfId="1168"/>
    <cellStyle name="_SampleCalc 3" xfId="2002"/>
    <cellStyle name="_SG-LocalCalc" xfId="240"/>
    <cellStyle name="_SG-LocalCalc 2" xfId="1169"/>
    <cellStyle name="_SG-LocalCalc 3" xfId="1917"/>
    <cellStyle name="_SG-LocalCalc_DEV" xfId="241"/>
    <cellStyle name="_SG-LocalCalc_DEV 2" xfId="1170"/>
    <cellStyle name="_SG-LocalCalc_DEV 3" xfId="1987"/>
    <cellStyle name="_Sheet1" xfId="242"/>
    <cellStyle name="_Sheet1 2" xfId="1171"/>
    <cellStyle name="_Sheet1 3" xfId="2030"/>
    <cellStyle name="_Sheet1_ConsolidateMktData" xfId="243"/>
    <cellStyle name="_Sheet1_ConsolidateMktData 2" xfId="1172"/>
    <cellStyle name="_Sheet1_ConsolidateMktData 3" xfId="2089"/>
    <cellStyle name="_Sheet1_Days" xfId="244"/>
    <cellStyle name="_Sheet1_Days 2" xfId="1173"/>
    <cellStyle name="_Sheet1_Days 3" xfId="2062"/>
    <cellStyle name="_Sheet1_FxoCorrTable" xfId="245"/>
    <cellStyle name="_Sheet1_FxoCorrTable 2" xfId="1174"/>
    <cellStyle name="_Sheet1_FxoCorrTable 3" xfId="2117"/>
    <cellStyle name="_Sheet1_GetMktData" xfId="246"/>
    <cellStyle name="_Sheet1_GetMktData 2" xfId="1175"/>
    <cellStyle name="_Sheet1_GetMktData 3" xfId="1916"/>
    <cellStyle name="_Sheet1_ND CNY UI" xfId="247"/>
    <cellStyle name="_Sheet1_ND CNY UI 2" xfId="1176"/>
    <cellStyle name="_Sheet1_ND CNY UI 3" xfId="1941"/>
    <cellStyle name="_Sheet1_NZDIRS-LocalCalc" xfId="248"/>
    <cellStyle name="_Sheet1_NZDIRS-LocalCalc 2" xfId="1177"/>
    <cellStyle name="_Sheet1_NZDIRS-LocalCalc 3" xfId="2001"/>
    <cellStyle name="_Sheet1_NZDIRS-LocalCalc_Multiuser" xfId="249"/>
    <cellStyle name="_Sheet1_NZDIRS-LocalCalc_Multiuser 2" xfId="1178"/>
    <cellStyle name="_Sheet1_NZDIRS-LocalCalc_Multiuser 3" xfId="1956"/>
    <cellStyle name="_Sheet1_NZDIRS-LocalCalc_new subscribe logic" xfId="250"/>
    <cellStyle name="_Sheet1_NZDIRS-LocalCalc_new subscribe logic 2" xfId="1179"/>
    <cellStyle name="_Sheet1_NZDIRS-LocalCalc_new subscribe logic 3" xfId="1913"/>
    <cellStyle name="_Sheet1_NZDIRS-MKTS" xfId="251"/>
    <cellStyle name="_Sheet1_NZDIRS-MKTS 2" xfId="1180"/>
    <cellStyle name="_Sheet1_NZDIRS-MKTS 3" xfId="1897"/>
    <cellStyle name="_Sheet1_NzdTreasuryZeros" xfId="252"/>
    <cellStyle name="_Sheet1_NzdTreasuryZeros 2" xfId="1181"/>
    <cellStyle name="_Sheet1_NzdTreasuryZeros 3" xfId="2105"/>
    <cellStyle name="_Sheet1_SampleCalc" xfId="253"/>
    <cellStyle name="_Sheet1_SampleCalc 2" xfId="1182"/>
    <cellStyle name="_Sheet1_SampleCalc 3" xfId="1930"/>
    <cellStyle name="_Sheet1_SG-LocalCalc" xfId="254"/>
    <cellStyle name="_Sheet1_SG-LocalCalc 2" xfId="1183"/>
    <cellStyle name="_Sheet1_SG-LocalCalc 3" xfId="2031"/>
    <cellStyle name="_Sheet1_SG-LocalCalc_DEV" xfId="255"/>
    <cellStyle name="_Sheet1_SG-LocalCalc_DEV 2" xfId="1184"/>
    <cellStyle name="_Sheet1_SG-LocalCalc_DEV 3" xfId="2066"/>
    <cellStyle name="_Sheet1_TreasuryZeros" xfId="256"/>
    <cellStyle name="_Sheet1_TreasuryZeros 2" xfId="1185"/>
    <cellStyle name="_Sheet1_TreasuryZeros 3" xfId="2088"/>
    <cellStyle name="_TreasuryZeros" xfId="257"/>
    <cellStyle name="_TreasuryZeros 2" xfId="1186"/>
    <cellStyle name="_TreasuryZeros 3" xfId="2131"/>
    <cellStyle name="_ZAT2001e97" xfId="258"/>
    <cellStyle name="_ZAT2001e97 2" xfId="1187"/>
    <cellStyle name="_ZAT2001e97 3" xfId="1931"/>
    <cellStyle name="_ZAT2001e97_ConsolidateMktData" xfId="259"/>
    <cellStyle name="_ZAT2001e97_ConsolidateMktData 2" xfId="1188"/>
    <cellStyle name="_ZAT2001e97_ConsolidateMktData 3" xfId="1960"/>
    <cellStyle name="_ZAT2001e97_Days" xfId="260"/>
    <cellStyle name="_ZAT2001e97_Days 2" xfId="1189"/>
    <cellStyle name="_ZAT2001e97_Days 3" xfId="2112"/>
    <cellStyle name="_ZAT2001e97_FxoCorrTable" xfId="261"/>
    <cellStyle name="_ZAT2001e97_FxoCorrTable 2" xfId="1190"/>
    <cellStyle name="_ZAT2001e97_FxoCorrTable 3" xfId="1967"/>
    <cellStyle name="_ZAT2001e97_GetMktData" xfId="262"/>
    <cellStyle name="_ZAT2001e97_GetMktData 2" xfId="1191"/>
    <cellStyle name="_ZAT2001e97_GetMktData 3" xfId="1902"/>
    <cellStyle name="_ZAT2001e97_ND CNY UI" xfId="263"/>
    <cellStyle name="_ZAT2001e97_ND CNY UI 2" xfId="1192"/>
    <cellStyle name="_ZAT2001e97_ND CNY UI 3" xfId="1986"/>
    <cellStyle name="_ZAT2001e97_NZDIRS-LocalCalc" xfId="264"/>
    <cellStyle name="_ZAT2001e97_NZDIRS-LocalCalc 2" xfId="1193"/>
    <cellStyle name="_ZAT2001e97_NZDIRS-LocalCalc 3" xfId="2098"/>
    <cellStyle name="_ZAT2001e97_NZDIRS-LocalCalc_Multiuser" xfId="265"/>
    <cellStyle name="_ZAT2001e97_NZDIRS-LocalCalc_Multiuser 2" xfId="1194"/>
    <cellStyle name="_ZAT2001e97_NZDIRS-LocalCalc_Multiuser 3" xfId="2118"/>
    <cellStyle name="_ZAT2001e97_NZDIRS-LocalCalc_new subscribe logic" xfId="266"/>
    <cellStyle name="_ZAT2001e97_NZDIRS-LocalCalc_new subscribe logic 2" xfId="1195"/>
    <cellStyle name="_ZAT2001e97_NZDIRS-LocalCalc_new subscribe logic 3" xfId="2025"/>
    <cellStyle name="_ZAT2001e97_NZDIRS-MKTS" xfId="267"/>
    <cellStyle name="_ZAT2001e97_NZDIRS-MKTS 2" xfId="1196"/>
    <cellStyle name="_ZAT2001e97_NZDIRS-MKTS 3" xfId="2065"/>
    <cellStyle name="_ZAT2001e97_NzdTreasuryZeros" xfId="268"/>
    <cellStyle name="_ZAT2001e97_NzdTreasuryZeros 2" xfId="1197"/>
    <cellStyle name="_ZAT2001e97_NzdTreasuryZeros 3" xfId="2061"/>
    <cellStyle name="_ZAT2001e97_SampleCalc" xfId="269"/>
    <cellStyle name="_ZAT2001e97_SampleCalc 2" xfId="1198"/>
    <cellStyle name="_ZAT2001e97_SampleCalc 3" xfId="2107"/>
    <cellStyle name="_ZAT2001e97_SG-LocalCalc" xfId="270"/>
    <cellStyle name="_ZAT2001e97_SG-LocalCalc 2" xfId="1199"/>
    <cellStyle name="_ZAT2001e97_SG-LocalCalc 3" xfId="1979"/>
    <cellStyle name="_ZAT2001e97_SG-LocalCalc_DEV" xfId="271"/>
    <cellStyle name="_ZAT2001e97_SG-LocalCalc_DEV 2" xfId="1200"/>
    <cellStyle name="_ZAT2001e97_SG-LocalCalc_DEV 3" xfId="2086"/>
    <cellStyle name="_ZAT2001e97_TreasuryZeros" xfId="272"/>
    <cellStyle name="_ZAT2001e97_TreasuryZeros 2" xfId="1201"/>
    <cellStyle name="_ZAT2001e97_TreasuryZeros 3" xfId="1908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45"/>
    <cellStyle name="20% - Accent1 10 2" xfId="2146"/>
    <cellStyle name="20% - Accent1 10 2 2" xfId="2147"/>
    <cellStyle name="20% - Accent1 10 2 2 2" xfId="2148"/>
    <cellStyle name="20% - Accent1 10 2 3" xfId="2149"/>
    <cellStyle name="20% - Accent1 10 2 4" xfId="2150"/>
    <cellStyle name="20% - Accent1 10 2 5" xfId="2151"/>
    <cellStyle name="20% - Accent1 10 2 6" xfId="2152"/>
    <cellStyle name="20% - Accent1 10 2 7" xfId="2153"/>
    <cellStyle name="20% - Accent1 10 3" xfId="2154"/>
    <cellStyle name="20% - Accent1 10 3 2" xfId="2155"/>
    <cellStyle name="20% - Accent1 10 3 2 2" xfId="2156"/>
    <cellStyle name="20% - Accent1 10 3 3" xfId="2157"/>
    <cellStyle name="20% - Accent1 10 3 4" xfId="2158"/>
    <cellStyle name="20% - Accent1 10 3 5" xfId="2159"/>
    <cellStyle name="20% - Accent1 10 3 6" xfId="2160"/>
    <cellStyle name="20% - Accent1 10 4" xfId="2161"/>
    <cellStyle name="20% - Accent1 10 4 2" xfId="2162"/>
    <cellStyle name="20% - Accent1 10 5" xfId="2163"/>
    <cellStyle name="20% - Accent1 10 6" xfId="2164"/>
    <cellStyle name="20% - Accent1 10 7" xfId="2165"/>
    <cellStyle name="20% - Accent1 10 8" xfId="2166"/>
    <cellStyle name="20% - Accent1 10 9" xfId="2167"/>
    <cellStyle name="20% - Accent1 11" xfId="2168"/>
    <cellStyle name="20% - Accent1 11 2" xfId="2169"/>
    <cellStyle name="20% - Accent1 11 2 2" xfId="2170"/>
    <cellStyle name="20% - Accent1 11 2 2 2" xfId="2171"/>
    <cellStyle name="20% - Accent1 11 2 3" xfId="2172"/>
    <cellStyle name="20% - Accent1 11 2 4" xfId="2173"/>
    <cellStyle name="20% - Accent1 11 2 5" xfId="2174"/>
    <cellStyle name="20% - Accent1 11 2 6" xfId="2175"/>
    <cellStyle name="20% - Accent1 11 2 7" xfId="2176"/>
    <cellStyle name="20% - Accent1 11 3" xfId="2177"/>
    <cellStyle name="20% - Accent1 11 3 2" xfId="2178"/>
    <cellStyle name="20% - Accent1 11 3 2 2" xfId="2179"/>
    <cellStyle name="20% - Accent1 11 3 3" xfId="2180"/>
    <cellStyle name="20% - Accent1 11 3 4" xfId="2181"/>
    <cellStyle name="20% - Accent1 11 3 5" xfId="2182"/>
    <cellStyle name="20% - Accent1 11 3 6" xfId="2183"/>
    <cellStyle name="20% - Accent1 11 4" xfId="2184"/>
    <cellStyle name="20% - Accent1 11 4 2" xfId="2185"/>
    <cellStyle name="20% - Accent1 11 5" xfId="2186"/>
    <cellStyle name="20% - Accent1 11 6" xfId="2187"/>
    <cellStyle name="20% - Accent1 11 7" xfId="2188"/>
    <cellStyle name="20% - Accent1 11 8" xfId="2189"/>
    <cellStyle name="20% - Accent1 11 9" xfId="2190"/>
    <cellStyle name="20% - Accent1 12" xfId="2191"/>
    <cellStyle name="20% - Accent1 12 2" xfId="2192"/>
    <cellStyle name="20% - Accent1 12 2 2" xfId="2193"/>
    <cellStyle name="20% - Accent1 12 2 2 2" xfId="2194"/>
    <cellStyle name="20% - Accent1 12 2 3" xfId="2195"/>
    <cellStyle name="20% - Accent1 12 2 4" xfId="2196"/>
    <cellStyle name="20% - Accent1 12 2 5" xfId="2197"/>
    <cellStyle name="20% - Accent1 12 2 6" xfId="2198"/>
    <cellStyle name="20% - Accent1 12 2 7" xfId="2199"/>
    <cellStyle name="20% - Accent1 12 3" xfId="2200"/>
    <cellStyle name="20% - Accent1 12 3 2" xfId="2201"/>
    <cellStyle name="20% - Accent1 12 3 2 2" xfId="2202"/>
    <cellStyle name="20% - Accent1 12 3 3" xfId="2203"/>
    <cellStyle name="20% - Accent1 12 3 4" xfId="2204"/>
    <cellStyle name="20% - Accent1 12 3 5" xfId="2205"/>
    <cellStyle name="20% - Accent1 12 3 6" xfId="2206"/>
    <cellStyle name="20% - Accent1 12 4" xfId="2207"/>
    <cellStyle name="20% - Accent1 12 4 2" xfId="2208"/>
    <cellStyle name="20% - Accent1 12 5" xfId="2209"/>
    <cellStyle name="20% - Accent1 12 6" xfId="2210"/>
    <cellStyle name="20% - Accent1 12 7" xfId="2211"/>
    <cellStyle name="20% - Accent1 12 8" xfId="2212"/>
    <cellStyle name="20% - Accent1 12 9" xfId="2213"/>
    <cellStyle name="20% - Accent1 13" xfId="2214"/>
    <cellStyle name="20% - Accent1 13 2" xfId="2215"/>
    <cellStyle name="20% - Accent1 13 2 2" xfId="2216"/>
    <cellStyle name="20% - Accent1 13 2 2 2" xfId="2217"/>
    <cellStyle name="20% - Accent1 13 2 3" xfId="2218"/>
    <cellStyle name="20% - Accent1 13 2 4" xfId="2219"/>
    <cellStyle name="20% - Accent1 13 2 5" xfId="2220"/>
    <cellStyle name="20% - Accent1 13 2 6" xfId="2221"/>
    <cellStyle name="20% - Accent1 13 2 7" xfId="2222"/>
    <cellStyle name="20% - Accent1 13 3" xfId="2223"/>
    <cellStyle name="20% - Accent1 13 3 2" xfId="2224"/>
    <cellStyle name="20% - Accent1 13 3 2 2" xfId="2225"/>
    <cellStyle name="20% - Accent1 13 3 3" xfId="2226"/>
    <cellStyle name="20% - Accent1 13 3 4" xfId="2227"/>
    <cellStyle name="20% - Accent1 13 3 5" xfId="2228"/>
    <cellStyle name="20% - Accent1 13 3 6" xfId="2229"/>
    <cellStyle name="20% - Accent1 13 4" xfId="2230"/>
    <cellStyle name="20% - Accent1 13 4 2" xfId="2231"/>
    <cellStyle name="20% - Accent1 13 5" xfId="2232"/>
    <cellStyle name="20% - Accent1 13 6" xfId="2233"/>
    <cellStyle name="20% - Accent1 13 7" xfId="2234"/>
    <cellStyle name="20% - Accent1 13 8" xfId="2235"/>
    <cellStyle name="20% - Accent1 13 9" xfId="2236"/>
    <cellStyle name="20% - Accent1 14" xfId="2237"/>
    <cellStyle name="20% - Accent1 14 2" xfId="2238"/>
    <cellStyle name="20% - Accent1 14 2 2" xfId="2239"/>
    <cellStyle name="20% - Accent1 14 2 2 2" xfId="2240"/>
    <cellStyle name="20% - Accent1 14 2 3" xfId="2241"/>
    <cellStyle name="20% - Accent1 14 2 4" xfId="2242"/>
    <cellStyle name="20% - Accent1 14 2 5" xfId="2243"/>
    <cellStyle name="20% - Accent1 14 2 6" xfId="2244"/>
    <cellStyle name="20% - Accent1 14 2 7" xfId="2245"/>
    <cellStyle name="20% - Accent1 14 3" xfId="2246"/>
    <cellStyle name="20% - Accent1 14 3 2" xfId="2247"/>
    <cellStyle name="20% - Accent1 14 3 2 2" xfId="2248"/>
    <cellStyle name="20% - Accent1 14 3 3" xfId="2249"/>
    <cellStyle name="20% - Accent1 14 3 4" xfId="2250"/>
    <cellStyle name="20% - Accent1 14 3 5" xfId="2251"/>
    <cellStyle name="20% - Accent1 14 3 6" xfId="2252"/>
    <cellStyle name="20% - Accent1 14 4" xfId="2253"/>
    <cellStyle name="20% - Accent1 14 4 2" xfId="2254"/>
    <cellStyle name="20% - Accent1 14 5" xfId="2255"/>
    <cellStyle name="20% - Accent1 14 6" xfId="2256"/>
    <cellStyle name="20% - Accent1 14 7" xfId="2257"/>
    <cellStyle name="20% - Accent1 14 8" xfId="2258"/>
    <cellStyle name="20% - Accent1 14 9" xfId="2259"/>
    <cellStyle name="20% - Accent1 15" xfId="2260"/>
    <cellStyle name="20% - Accent1 15 2" xfId="2261"/>
    <cellStyle name="20% - Accent1 15 2 2" xfId="2262"/>
    <cellStyle name="20% - Accent1 15 2 2 2" xfId="2263"/>
    <cellStyle name="20% - Accent1 15 2 3" xfId="2264"/>
    <cellStyle name="20% - Accent1 15 2 4" xfId="2265"/>
    <cellStyle name="20% - Accent1 15 2 5" xfId="2266"/>
    <cellStyle name="20% - Accent1 15 2 6" xfId="2267"/>
    <cellStyle name="20% - Accent1 15 2 7" xfId="2268"/>
    <cellStyle name="20% - Accent1 15 3" xfId="2269"/>
    <cellStyle name="20% - Accent1 15 3 2" xfId="2270"/>
    <cellStyle name="20% - Accent1 15 3 2 2" xfId="2271"/>
    <cellStyle name="20% - Accent1 15 3 3" xfId="2272"/>
    <cellStyle name="20% - Accent1 15 3 4" xfId="2273"/>
    <cellStyle name="20% - Accent1 15 3 5" xfId="2274"/>
    <cellStyle name="20% - Accent1 15 3 6" xfId="2275"/>
    <cellStyle name="20% - Accent1 15 4" xfId="2276"/>
    <cellStyle name="20% - Accent1 15 4 2" xfId="2277"/>
    <cellStyle name="20% - Accent1 15 5" xfId="2278"/>
    <cellStyle name="20% - Accent1 15 6" xfId="2279"/>
    <cellStyle name="20% - Accent1 15 7" xfId="2280"/>
    <cellStyle name="20% - Accent1 15 8" xfId="2281"/>
    <cellStyle name="20% - Accent1 15 9" xfId="2282"/>
    <cellStyle name="20% - Accent1 16" xfId="2283"/>
    <cellStyle name="20% - Accent1 16 2" xfId="2284"/>
    <cellStyle name="20% - Accent1 16 2 2" xfId="2285"/>
    <cellStyle name="20% - Accent1 16 2 2 2" xfId="2286"/>
    <cellStyle name="20% - Accent1 16 2 3" xfId="2287"/>
    <cellStyle name="20% - Accent1 16 2 4" xfId="2288"/>
    <cellStyle name="20% - Accent1 16 2 5" xfId="2289"/>
    <cellStyle name="20% - Accent1 16 2 6" xfId="2290"/>
    <cellStyle name="20% - Accent1 16 2 7" xfId="2291"/>
    <cellStyle name="20% - Accent1 16 3" xfId="2292"/>
    <cellStyle name="20% - Accent1 16 3 2" xfId="2293"/>
    <cellStyle name="20% - Accent1 16 3 2 2" xfId="2294"/>
    <cellStyle name="20% - Accent1 16 3 3" xfId="2295"/>
    <cellStyle name="20% - Accent1 16 3 4" xfId="2296"/>
    <cellStyle name="20% - Accent1 16 3 5" xfId="2297"/>
    <cellStyle name="20% - Accent1 16 3 6" xfId="2298"/>
    <cellStyle name="20% - Accent1 16 4" xfId="2299"/>
    <cellStyle name="20% - Accent1 16 4 2" xfId="2300"/>
    <cellStyle name="20% - Accent1 16 5" xfId="2301"/>
    <cellStyle name="20% - Accent1 16 6" xfId="2302"/>
    <cellStyle name="20% - Accent1 16 7" xfId="2303"/>
    <cellStyle name="20% - Accent1 16 8" xfId="2304"/>
    <cellStyle name="20% - Accent1 16 9" xfId="2305"/>
    <cellStyle name="20% - Accent1 17" xfId="2306"/>
    <cellStyle name="20% - Accent1 17 2" xfId="2307"/>
    <cellStyle name="20% - Accent1 17 2 2" xfId="2308"/>
    <cellStyle name="20% - Accent1 17 2 2 2" xfId="2309"/>
    <cellStyle name="20% - Accent1 17 2 3" xfId="2310"/>
    <cellStyle name="20% - Accent1 17 2 4" xfId="2311"/>
    <cellStyle name="20% - Accent1 17 2 5" xfId="2312"/>
    <cellStyle name="20% - Accent1 17 2 6" xfId="2313"/>
    <cellStyle name="20% - Accent1 17 3" xfId="2314"/>
    <cellStyle name="20% - Accent1 17 3 2" xfId="2315"/>
    <cellStyle name="20% - Accent1 17 4" xfId="2316"/>
    <cellStyle name="20% - Accent1 17 4 2" xfId="2317"/>
    <cellStyle name="20% - Accent1 17 5" xfId="2318"/>
    <cellStyle name="20% - Accent1 17 6" xfId="2319"/>
    <cellStyle name="20% - Accent1 17 7" xfId="2320"/>
    <cellStyle name="20% - Accent1 17 8" xfId="2321"/>
    <cellStyle name="20% - Accent1 18" xfId="2322"/>
    <cellStyle name="20% - Accent1 18 2" xfId="2323"/>
    <cellStyle name="20% - Accent1 18 2 2" xfId="2324"/>
    <cellStyle name="20% - Accent1 18 3" xfId="2325"/>
    <cellStyle name="20% - Accent1 18 3 2" xfId="2326"/>
    <cellStyle name="20% - Accent1 18 4" xfId="2327"/>
    <cellStyle name="20% - Accent1 18 4 2" xfId="2328"/>
    <cellStyle name="20% - Accent1 18 5" xfId="2329"/>
    <cellStyle name="20% - Accent1 18 6" xfId="2330"/>
    <cellStyle name="20% - Accent1 18 7" xfId="2331"/>
    <cellStyle name="20% - Accent1 19" xfId="2332"/>
    <cellStyle name="20% - Accent1 19 2" xfId="2333"/>
    <cellStyle name="20% - Accent1 19 2 2" xfId="2334"/>
    <cellStyle name="20% - Accent1 19 3" xfId="2335"/>
    <cellStyle name="20% - Accent1 19 3 2" xfId="2336"/>
    <cellStyle name="20% - Accent1 19 4" xfId="2337"/>
    <cellStyle name="20% - Accent1 19 4 2" xfId="2338"/>
    <cellStyle name="20% - Accent1 19 5" xfId="2339"/>
    <cellStyle name="20% - Accent1 19 6" xfId="2340"/>
    <cellStyle name="20% - Accent1 2" xfId="374"/>
    <cellStyle name="20% - Accent1 2 10" xfId="2341"/>
    <cellStyle name="20% - Accent1 2 10 2" xfId="2342"/>
    <cellStyle name="20% - Accent1 2 10 2 2" xfId="2343"/>
    <cellStyle name="20% - Accent1 2 10 2 3" xfId="2344"/>
    <cellStyle name="20% - Accent1 2 10 2 4" xfId="2345"/>
    <cellStyle name="20% - Accent1 2 10 2 5" xfId="2346"/>
    <cellStyle name="20% - Accent1 2 10 2 6" xfId="2347"/>
    <cellStyle name="20% - Accent1 2 10 3" xfId="2348"/>
    <cellStyle name="20% - Accent1 2 10 3 2" xfId="2349"/>
    <cellStyle name="20% - Accent1 2 10 4" xfId="2350"/>
    <cellStyle name="20% - Accent1 2 10 5" xfId="2351"/>
    <cellStyle name="20% - Accent1 2 10 6" xfId="2352"/>
    <cellStyle name="20% - Accent1 2 10 7" xfId="2353"/>
    <cellStyle name="20% - Accent1 2 10 8" xfId="2354"/>
    <cellStyle name="20% - Accent1 2 11" xfId="2355"/>
    <cellStyle name="20% - Accent1 2 11 2" xfId="2356"/>
    <cellStyle name="20% - Accent1 2 11 2 2" xfId="2357"/>
    <cellStyle name="20% - Accent1 2 11 3" xfId="2358"/>
    <cellStyle name="20% - Accent1 2 11 4" xfId="2359"/>
    <cellStyle name="20% - Accent1 2 11 5" xfId="2360"/>
    <cellStyle name="20% - Accent1 2 11 6" xfId="2361"/>
    <cellStyle name="20% - Accent1 2 11 7" xfId="2362"/>
    <cellStyle name="20% - Accent1 2 12" xfId="2363"/>
    <cellStyle name="20% - Accent1 2 12 2" xfId="2364"/>
    <cellStyle name="20% - Accent1 2 12 2 2" xfId="2365"/>
    <cellStyle name="20% - Accent1 2 12 3" xfId="2366"/>
    <cellStyle name="20% - Accent1 2 12 4" xfId="2367"/>
    <cellStyle name="20% - Accent1 2 12 5" xfId="2368"/>
    <cellStyle name="20% - Accent1 2 12 6" xfId="2369"/>
    <cellStyle name="20% - Accent1 2 13" xfId="2370"/>
    <cellStyle name="20% - Accent1 2 13 2" xfId="2371"/>
    <cellStyle name="20% - Accent1 2 14" xfId="2372"/>
    <cellStyle name="20% - Accent1 2 14 2" xfId="2373"/>
    <cellStyle name="20% - Accent1 2 15" xfId="2374"/>
    <cellStyle name="20% - Accent1 2 15 2" xfId="2375"/>
    <cellStyle name="20% - Accent1 2 16" xfId="2376"/>
    <cellStyle name="20% - Accent1 2 16 2" xfId="2377"/>
    <cellStyle name="20% - Accent1 2 17" xfId="2378"/>
    <cellStyle name="20% - Accent1 2 17 2" xfId="2379"/>
    <cellStyle name="20% - Accent1 2 18" xfId="2380"/>
    <cellStyle name="20% - Accent1 2 19" xfId="2381"/>
    <cellStyle name="20% - Accent1 2 2" xfId="1425"/>
    <cellStyle name="20% - Accent1 2 2 2" xfId="1426"/>
    <cellStyle name="20% - Accent1 2 2 2 2" xfId="2382"/>
    <cellStyle name="20% - Accent1 2 2 2 3" xfId="2383"/>
    <cellStyle name="20% - Accent1 2 2 3" xfId="2384"/>
    <cellStyle name="20% - Accent1 2 2 4" xfId="2385"/>
    <cellStyle name="20% - Accent1 2 20" xfId="2386"/>
    <cellStyle name="20% - Accent1 2 21" xfId="2387"/>
    <cellStyle name="20% - Accent1 2 22" xfId="2388"/>
    <cellStyle name="20% - Accent1 2 23" xfId="2389"/>
    <cellStyle name="20% - Accent1 2 24" xfId="2390"/>
    <cellStyle name="20% - Accent1 2 25" xfId="2391"/>
    <cellStyle name="20% - Accent1 2 26" xfId="2392"/>
    <cellStyle name="20% - Accent1 2 27" xfId="2393"/>
    <cellStyle name="20% - Accent1 2 28" xfId="2394"/>
    <cellStyle name="20% - Accent1 2 29" xfId="2395"/>
    <cellStyle name="20% - Accent1 2 3" xfId="1427"/>
    <cellStyle name="20% - Accent1 2 3 10" xfId="2396"/>
    <cellStyle name="20% - Accent1 2 3 11" xfId="2397"/>
    <cellStyle name="20% - Accent1 2 3 2" xfId="1428"/>
    <cellStyle name="20% - Accent1 2 3 2 2" xfId="2398"/>
    <cellStyle name="20% - Accent1 2 3 2 3" xfId="2399"/>
    <cellStyle name="20% - Accent1 2 3 2 4" xfId="2400"/>
    <cellStyle name="20% - Accent1 2 3 2 5" xfId="2401"/>
    <cellStyle name="20% - Accent1 2 3 2 6" xfId="2402"/>
    <cellStyle name="20% - Accent1 2 3 2 7" xfId="2403"/>
    <cellStyle name="20% - Accent1 2 3 2 8" xfId="2404"/>
    <cellStyle name="20% - Accent1 2 3 2 9" xfId="2405"/>
    <cellStyle name="20% - Accent1 2 3 3" xfId="2406"/>
    <cellStyle name="20% - Accent1 2 3 3 2" xfId="2407"/>
    <cellStyle name="20% - Accent1 2 3 3 3" xfId="2408"/>
    <cellStyle name="20% - Accent1 2 3 3 4" xfId="2409"/>
    <cellStyle name="20% - Accent1 2 3 3 5" xfId="2410"/>
    <cellStyle name="20% - Accent1 2 3 3 6" xfId="2411"/>
    <cellStyle name="20% - Accent1 2 3 4" xfId="2412"/>
    <cellStyle name="20% - Accent1 2 3 4 2" xfId="2413"/>
    <cellStyle name="20% - Accent1 2 3 5" xfId="2414"/>
    <cellStyle name="20% - Accent1 2 3 6" xfId="2415"/>
    <cellStyle name="20% - Accent1 2 3 7" xfId="2416"/>
    <cellStyle name="20% - Accent1 2 3 8" xfId="2417"/>
    <cellStyle name="20% - Accent1 2 3 9" xfId="2418"/>
    <cellStyle name="20% - Accent1 2 30" xfId="2419"/>
    <cellStyle name="20% - Accent1 2 31" xfId="2420"/>
    <cellStyle name="20% - Accent1 2 32" xfId="2421"/>
    <cellStyle name="20% - Accent1 2 33" xfId="2422"/>
    <cellStyle name="20% - Accent1 2 34" xfId="2423"/>
    <cellStyle name="20% - Accent1 2 35" xfId="2424"/>
    <cellStyle name="20% - Accent1 2 4" xfId="1429"/>
    <cellStyle name="20% - Accent1 2 4 10" xfId="2425"/>
    <cellStyle name="20% - Accent1 2 4 11" xfId="2426"/>
    <cellStyle name="20% - Accent1 2 4 2" xfId="2427"/>
    <cellStyle name="20% - Accent1 2 4 2 2" xfId="2428"/>
    <cellStyle name="20% - Accent1 2 4 2 3" xfId="2429"/>
    <cellStyle name="20% - Accent1 2 4 2 4" xfId="2430"/>
    <cellStyle name="20% - Accent1 2 4 2 5" xfId="2431"/>
    <cellStyle name="20% - Accent1 2 4 2 6" xfId="2432"/>
    <cellStyle name="20% - Accent1 2 4 2 7" xfId="2433"/>
    <cellStyle name="20% - Accent1 2 4 3" xfId="2434"/>
    <cellStyle name="20% - Accent1 2 4 3 2" xfId="2435"/>
    <cellStyle name="20% - Accent1 2 4 3 3" xfId="2436"/>
    <cellStyle name="20% - Accent1 2 4 3 4" xfId="2437"/>
    <cellStyle name="20% - Accent1 2 4 3 5" xfId="2438"/>
    <cellStyle name="20% - Accent1 2 4 3 6" xfId="2439"/>
    <cellStyle name="20% - Accent1 2 4 4" xfId="2440"/>
    <cellStyle name="20% - Accent1 2 4 4 2" xfId="2441"/>
    <cellStyle name="20% - Accent1 2 4 5" xfId="2442"/>
    <cellStyle name="20% - Accent1 2 4 6" xfId="2443"/>
    <cellStyle name="20% - Accent1 2 4 7" xfId="2444"/>
    <cellStyle name="20% - Accent1 2 4 8" xfId="2445"/>
    <cellStyle name="20% - Accent1 2 4 9" xfId="2446"/>
    <cellStyle name="20% - Accent1 2 5" xfId="1430"/>
    <cellStyle name="20% - Accent1 2 5 10" xfId="2447"/>
    <cellStyle name="20% - Accent1 2 5 11" xfId="2448"/>
    <cellStyle name="20% - Accent1 2 5 2" xfId="2449"/>
    <cellStyle name="20% - Accent1 2 5 2 2" xfId="2450"/>
    <cellStyle name="20% - Accent1 2 5 2 3" xfId="2451"/>
    <cellStyle name="20% - Accent1 2 5 2 4" xfId="2452"/>
    <cellStyle name="20% - Accent1 2 5 2 5" xfId="2453"/>
    <cellStyle name="20% - Accent1 2 5 2 6" xfId="2454"/>
    <cellStyle name="20% - Accent1 2 5 2 7" xfId="2455"/>
    <cellStyle name="20% - Accent1 2 5 3" xfId="2456"/>
    <cellStyle name="20% - Accent1 2 5 3 2" xfId="2457"/>
    <cellStyle name="20% - Accent1 2 5 3 3" xfId="2458"/>
    <cellStyle name="20% - Accent1 2 5 3 4" xfId="2459"/>
    <cellStyle name="20% - Accent1 2 5 3 5" xfId="2460"/>
    <cellStyle name="20% - Accent1 2 5 3 6" xfId="2461"/>
    <cellStyle name="20% - Accent1 2 5 4" xfId="2462"/>
    <cellStyle name="20% - Accent1 2 5 4 2" xfId="2463"/>
    <cellStyle name="20% - Accent1 2 5 5" xfId="2464"/>
    <cellStyle name="20% - Accent1 2 5 6" xfId="2465"/>
    <cellStyle name="20% - Accent1 2 5 7" xfId="2466"/>
    <cellStyle name="20% - Accent1 2 5 8" xfId="2467"/>
    <cellStyle name="20% - Accent1 2 5 9" xfId="2468"/>
    <cellStyle name="20% - Accent1 2 6" xfId="1431"/>
    <cellStyle name="20% - Accent1 2 6 10" xfId="2469"/>
    <cellStyle name="20% - Accent1 2 6 11" xfId="2470"/>
    <cellStyle name="20% - Accent1 2 6 2" xfId="2471"/>
    <cellStyle name="20% - Accent1 2 6 2 2" xfId="2472"/>
    <cellStyle name="20% - Accent1 2 6 2 3" xfId="2473"/>
    <cellStyle name="20% - Accent1 2 6 2 4" xfId="2474"/>
    <cellStyle name="20% - Accent1 2 6 2 5" xfId="2475"/>
    <cellStyle name="20% - Accent1 2 6 2 6" xfId="2476"/>
    <cellStyle name="20% - Accent1 2 6 2 7" xfId="2477"/>
    <cellStyle name="20% - Accent1 2 6 3" xfId="2478"/>
    <cellStyle name="20% - Accent1 2 6 3 2" xfId="2479"/>
    <cellStyle name="20% - Accent1 2 6 3 3" xfId="2480"/>
    <cellStyle name="20% - Accent1 2 6 3 4" xfId="2481"/>
    <cellStyle name="20% - Accent1 2 6 3 5" xfId="2482"/>
    <cellStyle name="20% - Accent1 2 6 3 6" xfId="2483"/>
    <cellStyle name="20% - Accent1 2 6 4" xfId="2484"/>
    <cellStyle name="20% - Accent1 2 6 4 2" xfId="2485"/>
    <cellStyle name="20% - Accent1 2 6 5" xfId="2486"/>
    <cellStyle name="20% - Accent1 2 6 6" xfId="2487"/>
    <cellStyle name="20% - Accent1 2 6 7" xfId="2488"/>
    <cellStyle name="20% - Accent1 2 6 8" xfId="2489"/>
    <cellStyle name="20% - Accent1 2 6 9" xfId="2490"/>
    <cellStyle name="20% - Accent1 2 7" xfId="1424"/>
    <cellStyle name="20% - Accent1 2 7 10" xfId="2491"/>
    <cellStyle name="20% - Accent1 2 7 2" xfId="2492"/>
    <cellStyle name="20% - Accent1 2 7 2 2" xfId="2493"/>
    <cellStyle name="20% - Accent1 2 7 2 3" xfId="2494"/>
    <cellStyle name="20% - Accent1 2 7 2 4" xfId="2495"/>
    <cellStyle name="20% - Accent1 2 7 2 5" xfId="2496"/>
    <cellStyle name="20% - Accent1 2 7 2 6" xfId="2497"/>
    <cellStyle name="20% - Accent1 2 7 2 7" xfId="2498"/>
    <cellStyle name="20% - Accent1 2 7 3" xfId="2499"/>
    <cellStyle name="20% - Accent1 2 7 3 2" xfId="2500"/>
    <cellStyle name="20% - Accent1 2 7 3 3" xfId="2501"/>
    <cellStyle name="20% - Accent1 2 7 3 4" xfId="2502"/>
    <cellStyle name="20% - Accent1 2 7 3 5" xfId="2503"/>
    <cellStyle name="20% - Accent1 2 7 3 6" xfId="2504"/>
    <cellStyle name="20% - Accent1 2 7 4" xfId="2505"/>
    <cellStyle name="20% - Accent1 2 7 4 2" xfId="2506"/>
    <cellStyle name="20% - Accent1 2 7 5" xfId="2507"/>
    <cellStyle name="20% - Accent1 2 7 6" xfId="2508"/>
    <cellStyle name="20% - Accent1 2 7 7" xfId="2509"/>
    <cellStyle name="20% - Accent1 2 7 8" xfId="2510"/>
    <cellStyle name="20% - Accent1 2 7 9" xfId="2511"/>
    <cellStyle name="20% - Accent1 2 8" xfId="2512"/>
    <cellStyle name="20% - Accent1 2 8 2" xfId="2513"/>
    <cellStyle name="20% - Accent1 2 8 2 2" xfId="2514"/>
    <cellStyle name="20% - Accent1 2 8 2 3" xfId="2515"/>
    <cellStyle name="20% - Accent1 2 8 2 4" xfId="2516"/>
    <cellStyle name="20% - Accent1 2 8 2 5" xfId="2517"/>
    <cellStyle name="20% - Accent1 2 8 2 6" xfId="2518"/>
    <cellStyle name="20% - Accent1 2 8 2 7" xfId="2519"/>
    <cellStyle name="20% - Accent1 2 8 3" xfId="2520"/>
    <cellStyle name="20% - Accent1 2 8 3 2" xfId="2521"/>
    <cellStyle name="20% - Accent1 2 8 3 3" xfId="2522"/>
    <cellStyle name="20% - Accent1 2 8 3 4" xfId="2523"/>
    <cellStyle name="20% - Accent1 2 8 3 5" xfId="2524"/>
    <cellStyle name="20% - Accent1 2 8 3 6" xfId="2525"/>
    <cellStyle name="20% - Accent1 2 8 4" xfId="2526"/>
    <cellStyle name="20% - Accent1 2 8 4 2" xfId="2527"/>
    <cellStyle name="20% - Accent1 2 8 5" xfId="2528"/>
    <cellStyle name="20% - Accent1 2 8 6" xfId="2529"/>
    <cellStyle name="20% - Accent1 2 8 7" xfId="2530"/>
    <cellStyle name="20% - Accent1 2 8 8" xfId="2531"/>
    <cellStyle name="20% - Accent1 2 8 9" xfId="2532"/>
    <cellStyle name="20% - Accent1 2 9" xfId="2533"/>
    <cellStyle name="20% - Accent1 2 9 2" xfId="2534"/>
    <cellStyle name="20% - Accent1 2 9 2 2" xfId="2535"/>
    <cellStyle name="20% - Accent1 2 9 2 3" xfId="2536"/>
    <cellStyle name="20% - Accent1 2 9 2 4" xfId="2537"/>
    <cellStyle name="20% - Accent1 2 9 2 5" xfId="2538"/>
    <cellStyle name="20% - Accent1 2 9 2 6" xfId="2539"/>
    <cellStyle name="20% - Accent1 2 9 2 7" xfId="2540"/>
    <cellStyle name="20% - Accent1 2 9 3" xfId="2541"/>
    <cellStyle name="20% - Accent1 2 9 3 2" xfId="2542"/>
    <cellStyle name="20% - Accent1 2 9 3 3" xfId="2543"/>
    <cellStyle name="20% - Accent1 2 9 3 4" xfId="2544"/>
    <cellStyle name="20% - Accent1 2 9 3 5" xfId="2545"/>
    <cellStyle name="20% - Accent1 2 9 3 6" xfId="2546"/>
    <cellStyle name="20% - Accent1 2 9 4" xfId="2547"/>
    <cellStyle name="20% - Accent1 2 9 4 2" xfId="2548"/>
    <cellStyle name="20% - Accent1 2 9 5" xfId="2549"/>
    <cellStyle name="20% - Accent1 2 9 6" xfId="2550"/>
    <cellStyle name="20% - Accent1 2 9 7" xfId="2551"/>
    <cellStyle name="20% - Accent1 2 9 8" xfId="2552"/>
    <cellStyle name="20% - Accent1 2 9 9" xfId="2553"/>
    <cellStyle name="20% - Accent1 20" xfId="2554"/>
    <cellStyle name="20% - Accent1 20 2" xfId="2555"/>
    <cellStyle name="20% - Accent1 20 3" xfId="2556"/>
    <cellStyle name="20% - Accent1 20 4" xfId="2557"/>
    <cellStyle name="20% - Accent1 21" xfId="2558"/>
    <cellStyle name="20% - Accent1 21 2" xfId="2559"/>
    <cellStyle name="20% - Accent1 21 3" xfId="2560"/>
    <cellStyle name="20% - Accent1 21 4" xfId="2561"/>
    <cellStyle name="20% - Accent1 22" xfId="2562"/>
    <cellStyle name="20% - Accent1 22 2" xfId="2563"/>
    <cellStyle name="20% - Accent1 22 3" xfId="2564"/>
    <cellStyle name="20% - Accent1 22 4" xfId="2565"/>
    <cellStyle name="20% - Accent1 23" xfId="2566"/>
    <cellStyle name="20% - Accent1 23 2" xfId="2567"/>
    <cellStyle name="20% - Accent1 23 3" xfId="2568"/>
    <cellStyle name="20% - Accent1 23 4" xfId="2569"/>
    <cellStyle name="20% - Accent1 24" xfId="2570"/>
    <cellStyle name="20% - Accent1 24 2" xfId="2571"/>
    <cellStyle name="20% - Accent1 24 3" xfId="2572"/>
    <cellStyle name="20% - Accent1 24 4" xfId="2573"/>
    <cellStyle name="20% - Accent1 25" xfId="2574"/>
    <cellStyle name="20% - Accent1 25 2" xfId="2575"/>
    <cellStyle name="20% - Accent1 25 3" xfId="2576"/>
    <cellStyle name="20% - Accent1 26" xfId="2577"/>
    <cellStyle name="20% - Accent1 26 2" xfId="2578"/>
    <cellStyle name="20% - Accent1 26 3" xfId="2579"/>
    <cellStyle name="20% - Accent1 27" xfId="2580"/>
    <cellStyle name="20% - Accent1 27 2" xfId="2581"/>
    <cellStyle name="20% - Accent1 27 3" xfId="2582"/>
    <cellStyle name="20% - Accent1 28" xfId="2583"/>
    <cellStyle name="20% - Accent1 28 2" xfId="2584"/>
    <cellStyle name="20% - Accent1 28 3" xfId="2585"/>
    <cellStyle name="20% - Accent1 29" xfId="2586"/>
    <cellStyle name="20% - Accent1 29 2" xfId="2587"/>
    <cellStyle name="20% - Accent1 29 3" xfId="2588"/>
    <cellStyle name="20% - Accent1 3" xfId="1432"/>
    <cellStyle name="20% - Accent1 3 10" xfId="2589"/>
    <cellStyle name="20% - Accent1 3 10 2" xfId="2590"/>
    <cellStyle name="20% - Accent1 3 10 3" xfId="2591"/>
    <cellStyle name="20% - Accent1 3 10 4" xfId="2592"/>
    <cellStyle name="20% - Accent1 3 10 5" xfId="2593"/>
    <cellStyle name="20% - Accent1 3 10 6" xfId="2594"/>
    <cellStyle name="20% - Accent1 3 10 7" xfId="2595"/>
    <cellStyle name="20% - Accent1 3 11" xfId="2596"/>
    <cellStyle name="20% - Accent1 3 11 2" xfId="2597"/>
    <cellStyle name="20% - Accent1 3 11 3" xfId="2598"/>
    <cellStyle name="20% - Accent1 3 11 4" xfId="2599"/>
    <cellStyle name="20% - Accent1 3 11 5" xfId="2600"/>
    <cellStyle name="20% - Accent1 3 11 6" xfId="2601"/>
    <cellStyle name="20% - Accent1 3 12" xfId="2602"/>
    <cellStyle name="20% - Accent1 3 12 2" xfId="2603"/>
    <cellStyle name="20% - Accent1 3 13" xfId="2604"/>
    <cellStyle name="20% - Accent1 3 14" xfId="2605"/>
    <cellStyle name="20% - Accent1 3 15" xfId="2606"/>
    <cellStyle name="20% - Accent1 3 16" xfId="2607"/>
    <cellStyle name="20% - Accent1 3 17" xfId="2608"/>
    <cellStyle name="20% - Accent1 3 18" xfId="2609"/>
    <cellStyle name="20% - Accent1 3 2" xfId="2610"/>
    <cellStyle name="20% - Accent1 3 2 2" xfId="2611"/>
    <cellStyle name="20% - Accent1 3 2 2 2" xfId="2612"/>
    <cellStyle name="20% - Accent1 3 2 2 3" xfId="2613"/>
    <cellStyle name="20% - Accent1 3 2 2 4" xfId="2614"/>
    <cellStyle name="20% - Accent1 3 2 2 5" xfId="2615"/>
    <cellStyle name="20% - Accent1 3 2 2 6" xfId="2616"/>
    <cellStyle name="20% - Accent1 3 2 2 7" xfId="2617"/>
    <cellStyle name="20% - Accent1 3 2 3" xfId="2618"/>
    <cellStyle name="20% - Accent1 3 2 3 2" xfId="2619"/>
    <cellStyle name="20% - Accent1 3 2 3 3" xfId="2620"/>
    <cellStyle name="20% - Accent1 3 2 3 4" xfId="2621"/>
    <cellStyle name="20% - Accent1 3 2 3 5" xfId="2622"/>
    <cellStyle name="20% - Accent1 3 2 3 6" xfId="2623"/>
    <cellStyle name="20% - Accent1 3 2 4" xfId="2624"/>
    <cellStyle name="20% - Accent1 3 2 5" xfId="2625"/>
    <cellStyle name="20% - Accent1 3 2 6" xfId="2626"/>
    <cellStyle name="20% - Accent1 3 2 7" xfId="2627"/>
    <cellStyle name="20% - Accent1 3 2 8" xfId="2628"/>
    <cellStyle name="20% - Accent1 3 2 9" xfId="2629"/>
    <cellStyle name="20% - Accent1 3 3" xfId="2630"/>
    <cellStyle name="20% - Accent1 3 3 2" xfId="2631"/>
    <cellStyle name="20% - Accent1 3 3 2 2" xfId="2632"/>
    <cellStyle name="20% - Accent1 3 3 2 3" xfId="2633"/>
    <cellStyle name="20% - Accent1 3 3 2 4" xfId="2634"/>
    <cellStyle name="20% - Accent1 3 3 2 5" xfId="2635"/>
    <cellStyle name="20% - Accent1 3 3 2 6" xfId="2636"/>
    <cellStyle name="20% - Accent1 3 3 2 7" xfId="2637"/>
    <cellStyle name="20% - Accent1 3 3 3" xfId="2638"/>
    <cellStyle name="20% - Accent1 3 3 3 2" xfId="2639"/>
    <cellStyle name="20% - Accent1 3 3 3 3" xfId="2640"/>
    <cellStyle name="20% - Accent1 3 3 3 4" xfId="2641"/>
    <cellStyle name="20% - Accent1 3 3 3 5" xfId="2642"/>
    <cellStyle name="20% - Accent1 3 3 3 6" xfId="2643"/>
    <cellStyle name="20% - Accent1 3 3 4" xfId="2644"/>
    <cellStyle name="20% - Accent1 3 3 5" xfId="2645"/>
    <cellStyle name="20% - Accent1 3 3 6" xfId="2646"/>
    <cellStyle name="20% - Accent1 3 3 7" xfId="2647"/>
    <cellStyle name="20% - Accent1 3 3 8" xfId="2648"/>
    <cellStyle name="20% - Accent1 3 3 9" xfId="2649"/>
    <cellStyle name="20% - Accent1 3 4" xfId="2650"/>
    <cellStyle name="20% - Accent1 3 4 2" xfId="2651"/>
    <cellStyle name="20% - Accent1 3 4 2 2" xfId="2652"/>
    <cellStyle name="20% - Accent1 3 4 2 3" xfId="2653"/>
    <cellStyle name="20% - Accent1 3 4 2 4" xfId="2654"/>
    <cellStyle name="20% - Accent1 3 4 2 5" xfId="2655"/>
    <cellStyle name="20% - Accent1 3 4 2 6" xfId="2656"/>
    <cellStyle name="20% - Accent1 3 4 2 7" xfId="2657"/>
    <cellStyle name="20% - Accent1 3 4 3" xfId="2658"/>
    <cellStyle name="20% - Accent1 3 4 3 2" xfId="2659"/>
    <cellStyle name="20% - Accent1 3 4 3 3" xfId="2660"/>
    <cellStyle name="20% - Accent1 3 4 3 4" xfId="2661"/>
    <cellStyle name="20% - Accent1 3 4 3 5" xfId="2662"/>
    <cellStyle name="20% - Accent1 3 4 3 6" xfId="2663"/>
    <cellStyle name="20% - Accent1 3 4 4" xfId="2664"/>
    <cellStyle name="20% - Accent1 3 4 5" xfId="2665"/>
    <cellStyle name="20% - Accent1 3 4 6" xfId="2666"/>
    <cellStyle name="20% - Accent1 3 4 7" xfId="2667"/>
    <cellStyle name="20% - Accent1 3 4 8" xfId="2668"/>
    <cellStyle name="20% - Accent1 3 4 9" xfId="2669"/>
    <cellStyle name="20% - Accent1 3 5" xfId="2670"/>
    <cellStyle name="20% - Accent1 3 5 2" xfId="2671"/>
    <cellStyle name="20% - Accent1 3 5 2 2" xfId="2672"/>
    <cellStyle name="20% - Accent1 3 5 2 3" xfId="2673"/>
    <cellStyle name="20% - Accent1 3 5 2 4" xfId="2674"/>
    <cellStyle name="20% - Accent1 3 5 2 5" xfId="2675"/>
    <cellStyle name="20% - Accent1 3 5 2 6" xfId="2676"/>
    <cellStyle name="20% - Accent1 3 5 2 7" xfId="2677"/>
    <cellStyle name="20% - Accent1 3 5 3" xfId="2678"/>
    <cellStyle name="20% - Accent1 3 5 3 2" xfId="2679"/>
    <cellStyle name="20% - Accent1 3 5 3 3" xfId="2680"/>
    <cellStyle name="20% - Accent1 3 5 3 4" xfId="2681"/>
    <cellStyle name="20% - Accent1 3 5 3 5" xfId="2682"/>
    <cellStyle name="20% - Accent1 3 5 3 6" xfId="2683"/>
    <cellStyle name="20% - Accent1 3 5 4" xfId="2684"/>
    <cellStyle name="20% - Accent1 3 5 5" xfId="2685"/>
    <cellStyle name="20% - Accent1 3 5 6" xfId="2686"/>
    <cellStyle name="20% - Accent1 3 5 7" xfId="2687"/>
    <cellStyle name="20% - Accent1 3 5 8" xfId="2688"/>
    <cellStyle name="20% - Accent1 3 5 9" xfId="2689"/>
    <cellStyle name="20% - Accent1 3 6" xfId="2690"/>
    <cellStyle name="20% - Accent1 3 6 2" xfId="2691"/>
    <cellStyle name="20% - Accent1 3 6 2 2" xfId="2692"/>
    <cellStyle name="20% - Accent1 3 6 2 3" xfId="2693"/>
    <cellStyle name="20% - Accent1 3 6 2 4" xfId="2694"/>
    <cellStyle name="20% - Accent1 3 6 2 5" xfId="2695"/>
    <cellStyle name="20% - Accent1 3 6 2 6" xfId="2696"/>
    <cellStyle name="20% - Accent1 3 6 2 7" xfId="2697"/>
    <cellStyle name="20% - Accent1 3 6 3" xfId="2698"/>
    <cellStyle name="20% - Accent1 3 6 3 2" xfId="2699"/>
    <cellStyle name="20% - Accent1 3 6 3 3" xfId="2700"/>
    <cellStyle name="20% - Accent1 3 6 3 4" xfId="2701"/>
    <cellStyle name="20% - Accent1 3 6 3 5" xfId="2702"/>
    <cellStyle name="20% - Accent1 3 6 3 6" xfId="2703"/>
    <cellStyle name="20% - Accent1 3 6 4" xfId="2704"/>
    <cellStyle name="20% - Accent1 3 6 5" xfId="2705"/>
    <cellStyle name="20% - Accent1 3 6 6" xfId="2706"/>
    <cellStyle name="20% - Accent1 3 6 7" xfId="2707"/>
    <cellStyle name="20% - Accent1 3 6 8" xfId="2708"/>
    <cellStyle name="20% - Accent1 3 6 9" xfId="2709"/>
    <cellStyle name="20% - Accent1 3 7" xfId="2710"/>
    <cellStyle name="20% - Accent1 3 7 2" xfId="2711"/>
    <cellStyle name="20% - Accent1 3 7 2 2" xfId="2712"/>
    <cellStyle name="20% - Accent1 3 7 2 3" xfId="2713"/>
    <cellStyle name="20% - Accent1 3 7 2 4" xfId="2714"/>
    <cellStyle name="20% - Accent1 3 7 2 5" xfId="2715"/>
    <cellStyle name="20% - Accent1 3 7 2 6" xfId="2716"/>
    <cellStyle name="20% - Accent1 3 7 2 7" xfId="2717"/>
    <cellStyle name="20% - Accent1 3 7 3" xfId="2718"/>
    <cellStyle name="20% - Accent1 3 7 3 2" xfId="2719"/>
    <cellStyle name="20% - Accent1 3 7 3 3" xfId="2720"/>
    <cellStyle name="20% - Accent1 3 7 3 4" xfId="2721"/>
    <cellStyle name="20% - Accent1 3 7 3 5" xfId="2722"/>
    <cellStyle name="20% - Accent1 3 7 3 6" xfId="2723"/>
    <cellStyle name="20% - Accent1 3 7 4" xfId="2724"/>
    <cellStyle name="20% - Accent1 3 7 5" xfId="2725"/>
    <cellStyle name="20% - Accent1 3 7 6" xfId="2726"/>
    <cellStyle name="20% - Accent1 3 7 7" xfId="2727"/>
    <cellStyle name="20% - Accent1 3 7 8" xfId="2728"/>
    <cellStyle name="20% - Accent1 3 7 9" xfId="2729"/>
    <cellStyle name="20% - Accent1 3 8" xfId="2730"/>
    <cellStyle name="20% - Accent1 3 8 2" xfId="2731"/>
    <cellStyle name="20% - Accent1 3 8 2 2" xfId="2732"/>
    <cellStyle name="20% - Accent1 3 8 2 3" xfId="2733"/>
    <cellStyle name="20% - Accent1 3 8 2 4" xfId="2734"/>
    <cellStyle name="20% - Accent1 3 8 2 5" xfId="2735"/>
    <cellStyle name="20% - Accent1 3 8 2 6" xfId="2736"/>
    <cellStyle name="20% - Accent1 3 8 2 7" xfId="2737"/>
    <cellStyle name="20% - Accent1 3 8 3" xfId="2738"/>
    <cellStyle name="20% - Accent1 3 8 3 2" xfId="2739"/>
    <cellStyle name="20% - Accent1 3 8 3 3" xfId="2740"/>
    <cellStyle name="20% - Accent1 3 8 3 4" xfId="2741"/>
    <cellStyle name="20% - Accent1 3 8 3 5" xfId="2742"/>
    <cellStyle name="20% - Accent1 3 8 3 6" xfId="2743"/>
    <cellStyle name="20% - Accent1 3 8 4" xfId="2744"/>
    <cellStyle name="20% - Accent1 3 8 5" xfId="2745"/>
    <cellStyle name="20% - Accent1 3 8 6" xfId="2746"/>
    <cellStyle name="20% - Accent1 3 8 7" xfId="2747"/>
    <cellStyle name="20% - Accent1 3 8 8" xfId="2748"/>
    <cellStyle name="20% - Accent1 3 8 9" xfId="2749"/>
    <cellStyle name="20% - Accent1 3 9" xfId="2750"/>
    <cellStyle name="20% - Accent1 3 9 2" xfId="2751"/>
    <cellStyle name="20% - Accent1 3 9 2 2" xfId="2752"/>
    <cellStyle name="20% - Accent1 3 9 2 3" xfId="2753"/>
    <cellStyle name="20% - Accent1 3 9 2 4" xfId="2754"/>
    <cellStyle name="20% - Accent1 3 9 2 5" xfId="2755"/>
    <cellStyle name="20% - Accent1 3 9 2 6" xfId="2756"/>
    <cellStyle name="20% - Accent1 3 9 3" xfId="2757"/>
    <cellStyle name="20% - Accent1 3 9 4" xfId="2758"/>
    <cellStyle name="20% - Accent1 3 9 5" xfId="2759"/>
    <cellStyle name="20% - Accent1 3 9 6" xfId="2760"/>
    <cellStyle name="20% - Accent1 3 9 7" xfId="2761"/>
    <cellStyle name="20% - Accent1 3 9 8" xfId="2762"/>
    <cellStyle name="20% - Accent1 30" xfId="2763"/>
    <cellStyle name="20% - Accent1 30 2" xfId="2764"/>
    <cellStyle name="20% - Accent1 31" xfId="2765"/>
    <cellStyle name="20% - Accent1 32" xfId="2766"/>
    <cellStyle name="20% - Accent1 33" xfId="2767"/>
    <cellStyle name="20% - Accent1 34" xfId="2768"/>
    <cellStyle name="20% - Accent1 4" xfId="2769"/>
    <cellStyle name="20% - Accent1 4 10" xfId="2770"/>
    <cellStyle name="20% - Accent1 4 10 2" xfId="2771"/>
    <cellStyle name="20% - Accent1 4 10 3" xfId="2772"/>
    <cellStyle name="20% - Accent1 4 10 4" xfId="2773"/>
    <cellStyle name="20% - Accent1 4 10 5" xfId="2774"/>
    <cellStyle name="20% - Accent1 4 10 6" xfId="2775"/>
    <cellStyle name="20% - Accent1 4 10 7" xfId="2776"/>
    <cellStyle name="20% - Accent1 4 11" xfId="2777"/>
    <cellStyle name="20% - Accent1 4 11 2" xfId="2778"/>
    <cellStyle name="20% - Accent1 4 11 3" xfId="2779"/>
    <cellStyle name="20% - Accent1 4 11 4" xfId="2780"/>
    <cellStyle name="20% - Accent1 4 11 5" xfId="2781"/>
    <cellStyle name="20% - Accent1 4 11 6" xfId="2782"/>
    <cellStyle name="20% - Accent1 4 12" xfId="2783"/>
    <cellStyle name="20% - Accent1 4 12 2" xfId="2784"/>
    <cellStyle name="20% - Accent1 4 13" xfId="2785"/>
    <cellStyle name="20% - Accent1 4 14" xfId="2786"/>
    <cellStyle name="20% - Accent1 4 15" xfId="2787"/>
    <cellStyle name="20% - Accent1 4 16" xfId="2788"/>
    <cellStyle name="20% - Accent1 4 17" xfId="2789"/>
    <cellStyle name="20% - Accent1 4 2" xfId="2790"/>
    <cellStyle name="20% - Accent1 4 2 2" xfId="2791"/>
    <cellStyle name="20% - Accent1 4 2 2 2" xfId="2792"/>
    <cellStyle name="20% - Accent1 4 2 2 3" xfId="2793"/>
    <cellStyle name="20% - Accent1 4 2 2 4" xfId="2794"/>
    <cellStyle name="20% - Accent1 4 2 2 5" xfId="2795"/>
    <cellStyle name="20% - Accent1 4 2 2 6" xfId="2796"/>
    <cellStyle name="20% - Accent1 4 2 2 7" xfId="2797"/>
    <cellStyle name="20% - Accent1 4 2 3" xfId="2798"/>
    <cellStyle name="20% - Accent1 4 2 3 2" xfId="2799"/>
    <cellStyle name="20% - Accent1 4 2 3 3" xfId="2800"/>
    <cellStyle name="20% - Accent1 4 2 3 4" xfId="2801"/>
    <cellStyle name="20% - Accent1 4 2 3 5" xfId="2802"/>
    <cellStyle name="20% - Accent1 4 2 3 6" xfId="2803"/>
    <cellStyle name="20% - Accent1 4 2 4" xfId="2804"/>
    <cellStyle name="20% - Accent1 4 2 4 2" xfId="2805"/>
    <cellStyle name="20% - Accent1 4 2 5" xfId="2806"/>
    <cellStyle name="20% - Accent1 4 2 6" xfId="2807"/>
    <cellStyle name="20% - Accent1 4 2 7" xfId="2808"/>
    <cellStyle name="20% - Accent1 4 2 8" xfId="2809"/>
    <cellStyle name="20% - Accent1 4 2 9" xfId="2810"/>
    <cellStyle name="20% - Accent1 4 3" xfId="2811"/>
    <cellStyle name="20% - Accent1 4 3 2" xfId="2812"/>
    <cellStyle name="20% - Accent1 4 3 2 2" xfId="2813"/>
    <cellStyle name="20% - Accent1 4 3 2 3" xfId="2814"/>
    <cellStyle name="20% - Accent1 4 3 2 4" xfId="2815"/>
    <cellStyle name="20% - Accent1 4 3 2 5" xfId="2816"/>
    <cellStyle name="20% - Accent1 4 3 2 6" xfId="2817"/>
    <cellStyle name="20% - Accent1 4 3 2 7" xfId="2818"/>
    <cellStyle name="20% - Accent1 4 3 3" xfId="2819"/>
    <cellStyle name="20% - Accent1 4 3 3 2" xfId="2820"/>
    <cellStyle name="20% - Accent1 4 3 3 3" xfId="2821"/>
    <cellStyle name="20% - Accent1 4 3 3 4" xfId="2822"/>
    <cellStyle name="20% - Accent1 4 3 3 5" xfId="2823"/>
    <cellStyle name="20% - Accent1 4 3 3 6" xfId="2824"/>
    <cellStyle name="20% - Accent1 4 3 4" xfId="2825"/>
    <cellStyle name="20% - Accent1 4 3 4 2" xfId="2826"/>
    <cellStyle name="20% - Accent1 4 3 5" xfId="2827"/>
    <cellStyle name="20% - Accent1 4 3 6" xfId="2828"/>
    <cellStyle name="20% - Accent1 4 3 7" xfId="2829"/>
    <cellStyle name="20% - Accent1 4 3 8" xfId="2830"/>
    <cellStyle name="20% - Accent1 4 3 9" xfId="2831"/>
    <cellStyle name="20% - Accent1 4 4" xfId="2832"/>
    <cellStyle name="20% - Accent1 4 4 2" xfId="2833"/>
    <cellStyle name="20% - Accent1 4 4 2 2" xfId="2834"/>
    <cellStyle name="20% - Accent1 4 4 2 3" xfId="2835"/>
    <cellStyle name="20% - Accent1 4 4 2 4" xfId="2836"/>
    <cellStyle name="20% - Accent1 4 4 2 5" xfId="2837"/>
    <cellStyle name="20% - Accent1 4 4 2 6" xfId="2838"/>
    <cellStyle name="20% - Accent1 4 4 2 7" xfId="2839"/>
    <cellStyle name="20% - Accent1 4 4 3" xfId="2840"/>
    <cellStyle name="20% - Accent1 4 4 3 2" xfId="2841"/>
    <cellStyle name="20% - Accent1 4 4 3 3" xfId="2842"/>
    <cellStyle name="20% - Accent1 4 4 3 4" xfId="2843"/>
    <cellStyle name="20% - Accent1 4 4 3 5" xfId="2844"/>
    <cellStyle name="20% - Accent1 4 4 3 6" xfId="2845"/>
    <cellStyle name="20% - Accent1 4 4 4" xfId="2846"/>
    <cellStyle name="20% - Accent1 4 4 5" xfId="2847"/>
    <cellStyle name="20% - Accent1 4 4 6" xfId="2848"/>
    <cellStyle name="20% - Accent1 4 4 7" xfId="2849"/>
    <cellStyle name="20% - Accent1 4 4 8" xfId="2850"/>
    <cellStyle name="20% - Accent1 4 4 9" xfId="2851"/>
    <cellStyle name="20% - Accent1 4 5" xfId="2852"/>
    <cellStyle name="20% - Accent1 4 5 2" xfId="2853"/>
    <cellStyle name="20% - Accent1 4 5 2 2" xfId="2854"/>
    <cellStyle name="20% - Accent1 4 5 2 3" xfId="2855"/>
    <cellStyle name="20% - Accent1 4 5 2 4" xfId="2856"/>
    <cellStyle name="20% - Accent1 4 5 2 5" xfId="2857"/>
    <cellStyle name="20% - Accent1 4 5 2 6" xfId="2858"/>
    <cellStyle name="20% - Accent1 4 5 2 7" xfId="2859"/>
    <cellStyle name="20% - Accent1 4 5 3" xfId="2860"/>
    <cellStyle name="20% - Accent1 4 5 3 2" xfId="2861"/>
    <cellStyle name="20% - Accent1 4 5 3 3" xfId="2862"/>
    <cellStyle name="20% - Accent1 4 5 3 4" xfId="2863"/>
    <cellStyle name="20% - Accent1 4 5 3 5" xfId="2864"/>
    <cellStyle name="20% - Accent1 4 5 3 6" xfId="2865"/>
    <cellStyle name="20% - Accent1 4 5 4" xfId="2866"/>
    <cellStyle name="20% - Accent1 4 5 5" xfId="2867"/>
    <cellStyle name="20% - Accent1 4 5 6" xfId="2868"/>
    <cellStyle name="20% - Accent1 4 5 7" xfId="2869"/>
    <cellStyle name="20% - Accent1 4 5 8" xfId="2870"/>
    <cellStyle name="20% - Accent1 4 5 9" xfId="2871"/>
    <cellStyle name="20% - Accent1 4 6" xfId="2872"/>
    <cellStyle name="20% - Accent1 4 6 2" xfId="2873"/>
    <cellStyle name="20% - Accent1 4 6 2 2" xfId="2874"/>
    <cellStyle name="20% - Accent1 4 6 2 3" xfId="2875"/>
    <cellStyle name="20% - Accent1 4 6 2 4" xfId="2876"/>
    <cellStyle name="20% - Accent1 4 6 2 5" xfId="2877"/>
    <cellStyle name="20% - Accent1 4 6 2 6" xfId="2878"/>
    <cellStyle name="20% - Accent1 4 6 2 7" xfId="2879"/>
    <cellStyle name="20% - Accent1 4 6 3" xfId="2880"/>
    <cellStyle name="20% - Accent1 4 6 3 2" xfId="2881"/>
    <cellStyle name="20% - Accent1 4 6 3 3" xfId="2882"/>
    <cellStyle name="20% - Accent1 4 6 3 4" xfId="2883"/>
    <cellStyle name="20% - Accent1 4 6 3 5" xfId="2884"/>
    <cellStyle name="20% - Accent1 4 6 3 6" xfId="2885"/>
    <cellStyle name="20% - Accent1 4 6 4" xfId="2886"/>
    <cellStyle name="20% - Accent1 4 6 5" xfId="2887"/>
    <cellStyle name="20% - Accent1 4 6 6" xfId="2888"/>
    <cellStyle name="20% - Accent1 4 6 7" xfId="2889"/>
    <cellStyle name="20% - Accent1 4 6 8" xfId="2890"/>
    <cellStyle name="20% - Accent1 4 6 9" xfId="2891"/>
    <cellStyle name="20% - Accent1 4 7" xfId="2892"/>
    <cellStyle name="20% - Accent1 4 7 2" xfId="2893"/>
    <cellStyle name="20% - Accent1 4 7 2 2" xfId="2894"/>
    <cellStyle name="20% - Accent1 4 7 2 3" xfId="2895"/>
    <cellStyle name="20% - Accent1 4 7 2 4" xfId="2896"/>
    <cellStyle name="20% - Accent1 4 7 2 5" xfId="2897"/>
    <cellStyle name="20% - Accent1 4 7 2 6" xfId="2898"/>
    <cellStyle name="20% - Accent1 4 7 2 7" xfId="2899"/>
    <cellStyle name="20% - Accent1 4 7 3" xfId="2900"/>
    <cellStyle name="20% - Accent1 4 7 3 2" xfId="2901"/>
    <cellStyle name="20% - Accent1 4 7 3 3" xfId="2902"/>
    <cellStyle name="20% - Accent1 4 7 3 4" xfId="2903"/>
    <cellStyle name="20% - Accent1 4 7 3 5" xfId="2904"/>
    <cellStyle name="20% - Accent1 4 7 3 6" xfId="2905"/>
    <cellStyle name="20% - Accent1 4 7 4" xfId="2906"/>
    <cellStyle name="20% - Accent1 4 7 5" xfId="2907"/>
    <cellStyle name="20% - Accent1 4 7 6" xfId="2908"/>
    <cellStyle name="20% - Accent1 4 7 7" xfId="2909"/>
    <cellStyle name="20% - Accent1 4 7 8" xfId="2910"/>
    <cellStyle name="20% - Accent1 4 7 9" xfId="2911"/>
    <cellStyle name="20% - Accent1 4 8" xfId="2912"/>
    <cellStyle name="20% - Accent1 4 8 2" xfId="2913"/>
    <cellStyle name="20% - Accent1 4 8 2 2" xfId="2914"/>
    <cellStyle name="20% - Accent1 4 8 2 3" xfId="2915"/>
    <cellStyle name="20% - Accent1 4 8 2 4" xfId="2916"/>
    <cellStyle name="20% - Accent1 4 8 2 5" xfId="2917"/>
    <cellStyle name="20% - Accent1 4 8 2 6" xfId="2918"/>
    <cellStyle name="20% - Accent1 4 8 2 7" xfId="2919"/>
    <cellStyle name="20% - Accent1 4 8 3" xfId="2920"/>
    <cellStyle name="20% - Accent1 4 8 3 2" xfId="2921"/>
    <cellStyle name="20% - Accent1 4 8 3 3" xfId="2922"/>
    <cellStyle name="20% - Accent1 4 8 3 4" xfId="2923"/>
    <cellStyle name="20% - Accent1 4 8 3 5" xfId="2924"/>
    <cellStyle name="20% - Accent1 4 8 3 6" xfId="2925"/>
    <cellStyle name="20% - Accent1 4 8 4" xfId="2926"/>
    <cellStyle name="20% - Accent1 4 8 5" xfId="2927"/>
    <cellStyle name="20% - Accent1 4 8 6" xfId="2928"/>
    <cellStyle name="20% - Accent1 4 8 7" xfId="2929"/>
    <cellStyle name="20% - Accent1 4 8 8" xfId="2930"/>
    <cellStyle name="20% - Accent1 4 8 9" xfId="2931"/>
    <cellStyle name="20% - Accent1 4 9" xfId="2932"/>
    <cellStyle name="20% - Accent1 4 9 2" xfId="2933"/>
    <cellStyle name="20% - Accent1 4 9 2 2" xfId="2934"/>
    <cellStyle name="20% - Accent1 4 9 2 3" xfId="2935"/>
    <cellStyle name="20% - Accent1 4 9 2 4" xfId="2936"/>
    <cellStyle name="20% - Accent1 4 9 2 5" xfId="2937"/>
    <cellStyle name="20% - Accent1 4 9 2 6" xfId="2938"/>
    <cellStyle name="20% - Accent1 4 9 3" xfId="2939"/>
    <cellStyle name="20% - Accent1 4 9 4" xfId="2940"/>
    <cellStyle name="20% - Accent1 4 9 5" xfId="2941"/>
    <cellStyle name="20% - Accent1 4 9 6" xfId="2942"/>
    <cellStyle name="20% - Accent1 4 9 7" xfId="2943"/>
    <cellStyle name="20% - Accent1 4 9 8" xfId="2944"/>
    <cellStyle name="20% - Accent1 5" xfId="2945"/>
    <cellStyle name="20% - Accent1 5 10" xfId="2946"/>
    <cellStyle name="20% - Accent1 5 10 2" xfId="2947"/>
    <cellStyle name="20% - Accent1 5 10 3" xfId="2948"/>
    <cellStyle name="20% - Accent1 5 10 4" xfId="2949"/>
    <cellStyle name="20% - Accent1 5 10 5" xfId="2950"/>
    <cellStyle name="20% - Accent1 5 10 6" xfId="2951"/>
    <cellStyle name="20% - Accent1 5 10 7" xfId="2952"/>
    <cellStyle name="20% - Accent1 5 11" xfId="2953"/>
    <cellStyle name="20% - Accent1 5 11 2" xfId="2954"/>
    <cellStyle name="20% - Accent1 5 11 3" xfId="2955"/>
    <cellStyle name="20% - Accent1 5 11 4" xfId="2956"/>
    <cellStyle name="20% - Accent1 5 11 5" xfId="2957"/>
    <cellStyle name="20% - Accent1 5 11 6" xfId="2958"/>
    <cellStyle name="20% - Accent1 5 12" xfId="2959"/>
    <cellStyle name="20% - Accent1 5 12 2" xfId="2960"/>
    <cellStyle name="20% - Accent1 5 13" xfId="2961"/>
    <cellStyle name="20% - Accent1 5 14" xfId="2962"/>
    <cellStyle name="20% - Accent1 5 15" xfId="2963"/>
    <cellStyle name="20% - Accent1 5 16" xfId="2964"/>
    <cellStyle name="20% - Accent1 5 17" xfId="2965"/>
    <cellStyle name="20% - Accent1 5 2" xfId="2966"/>
    <cellStyle name="20% - Accent1 5 2 2" xfId="2967"/>
    <cellStyle name="20% - Accent1 5 2 2 2" xfId="2968"/>
    <cellStyle name="20% - Accent1 5 2 2 3" xfId="2969"/>
    <cellStyle name="20% - Accent1 5 2 2 4" xfId="2970"/>
    <cellStyle name="20% - Accent1 5 2 2 5" xfId="2971"/>
    <cellStyle name="20% - Accent1 5 2 2 6" xfId="2972"/>
    <cellStyle name="20% - Accent1 5 2 2 7" xfId="2973"/>
    <cellStyle name="20% - Accent1 5 2 3" xfId="2974"/>
    <cellStyle name="20% - Accent1 5 2 3 2" xfId="2975"/>
    <cellStyle name="20% - Accent1 5 2 3 3" xfId="2976"/>
    <cellStyle name="20% - Accent1 5 2 3 4" xfId="2977"/>
    <cellStyle name="20% - Accent1 5 2 3 5" xfId="2978"/>
    <cellStyle name="20% - Accent1 5 2 3 6" xfId="2979"/>
    <cellStyle name="20% - Accent1 5 2 4" xfId="2980"/>
    <cellStyle name="20% - Accent1 5 2 4 2" xfId="2981"/>
    <cellStyle name="20% - Accent1 5 2 5" xfId="2982"/>
    <cellStyle name="20% - Accent1 5 2 6" xfId="2983"/>
    <cellStyle name="20% - Accent1 5 2 7" xfId="2984"/>
    <cellStyle name="20% - Accent1 5 2 8" xfId="2985"/>
    <cellStyle name="20% - Accent1 5 2 9" xfId="2986"/>
    <cellStyle name="20% - Accent1 5 3" xfId="2987"/>
    <cellStyle name="20% - Accent1 5 3 2" xfId="2988"/>
    <cellStyle name="20% - Accent1 5 3 2 2" xfId="2989"/>
    <cellStyle name="20% - Accent1 5 3 2 3" xfId="2990"/>
    <cellStyle name="20% - Accent1 5 3 2 4" xfId="2991"/>
    <cellStyle name="20% - Accent1 5 3 2 5" xfId="2992"/>
    <cellStyle name="20% - Accent1 5 3 2 6" xfId="2993"/>
    <cellStyle name="20% - Accent1 5 3 2 7" xfId="2994"/>
    <cellStyle name="20% - Accent1 5 3 3" xfId="2995"/>
    <cellStyle name="20% - Accent1 5 3 3 2" xfId="2996"/>
    <cellStyle name="20% - Accent1 5 3 3 3" xfId="2997"/>
    <cellStyle name="20% - Accent1 5 3 3 4" xfId="2998"/>
    <cellStyle name="20% - Accent1 5 3 3 5" xfId="2999"/>
    <cellStyle name="20% - Accent1 5 3 3 6" xfId="3000"/>
    <cellStyle name="20% - Accent1 5 3 4" xfId="3001"/>
    <cellStyle name="20% - Accent1 5 3 4 2" xfId="3002"/>
    <cellStyle name="20% - Accent1 5 3 5" xfId="3003"/>
    <cellStyle name="20% - Accent1 5 3 6" xfId="3004"/>
    <cellStyle name="20% - Accent1 5 3 7" xfId="3005"/>
    <cellStyle name="20% - Accent1 5 3 8" xfId="3006"/>
    <cellStyle name="20% - Accent1 5 3 9" xfId="3007"/>
    <cellStyle name="20% - Accent1 5 4" xfId="3008"/>
    <cellStyle name="20% - Accent1 5 4 2" xfId="3009"/>
    <cellStyle name="20% - Accent1 5 4 2 2" xfId="3010"/>
    <cellStyle name="20% - Accent1 5 4 2 3" xfId="3011"/>
    <cellStyle name="20% - Accent1 5 4 2 4" xfId="3012"/>
    <cellStyle name="20% - Accent1 5 4 2 5" xfId="3013"/>
    <cellStyle name="20% - Accent1 5 4 2 6" xfId="3014"/>
    <cellStyle name="20% - Accent1 5 4 2 7" xfId="3015"/>
    <cellStyle name="20% - Accent1 5 4 3" xfId="3016"/>
    <cellStyle name="20% - Accent1 5 4 3 2" xfId="3017"/>
    <cellStyle name="20% - Accent1 5 4 3 3" xfId="3018"/>
    <cellStyle name="20% - Accent1 5 4 3 4" xfId="3019"/>
    <cellStyle name="20% - Accent1 5 4 3 5" xfId="3020"/>
    <cellStyle name="20% - Accent1 5 4 3 6" xfId="3021"/>
    <cellStyle name="20% - Accent1 5 4 4" xfId="3022"/>
    <cellStyle name="20% - Accent1 5 4 5" xfId="3023"/>
    <cellStyle name="20% - Accent1 5 4 6" xfId="3024"/>
    <cellStyle name="20% - Accent1 5 4 7" xfId="3025"/>
    <cellStyle name="20% - Accent1 5 4 8" xfId="3026"/>
    <cellStyle name="20% - Accent1 5 4 9" xfId="3027"/>
    <cellStyle name="20% - Accent1 5 5" xfId="3028"/>
    <cellStyle name="20% - Accent1 5 5 2" xfId="3029"/>
    <cellStyle name="20% - Accent1 5 5 2 2" xfId="3030"/>
    <cellStyle name="20% - Accent1 5 5 2 3" xfId="3031"/>
    <cellStyle name="20% - Accent1 5 5 2 4" xfId="3032"/>
    <cellStyle name="20% - Accent1 5 5 2 5" xfId="3033"/>
    <cellStyle name="20% - Accent1 5 5 2 6" xfId="3034"/>
    <cellStyle name="20% - Accent1 5 5 2 7" xfId="3035"/>
    <cellStyle name="20% - Accent1 5 5 3" xfId="3036"/>
    <cellStyle name="20% - Accent1 5 5 3 2" xfId="3037"/>
    <cellStyle name="20% - Accent1 5 5 3 3" xfId="3038"/>
    <cellStyle name="20% - Accent1 5 5 3 4" xfId="3039"/>
    <cellStyle name="20% - Accent1 5 5 3 5" xfId="3040"/>
    <cellStyle name="20% - Accent1 5 5 3 6" xfId="3041"/>
    <cellStyle name="20% - Accent1 5 5 4" xfId="3042"/>
    <cellStyle name="20% - Accent1 5 5 5" xfId="3043"/>
    <cellStyle name="20% - Accent1 5 5 6" xfId="3044"/>
    <cellStyle name="20% - Accent1 5 5 7" xfId="3045"/>
    <cellStyle name="20% - Accent1 5 5 8" xfId="3046"/>
    <cellStyle name="20% - Accent1 5 5 9" xfId="3047"/>
    <cellStyle name="20% - Accent1 5 6" xfId="3048"/>
    <cellStyle name="20% - Accent1 5 6 2" xfId="3049"/>
    <cellStyle name="20% - Accent1 5 6 2 2" xfId="3050"/>
    <cellStyle name="20% - Accent1 5 6 2 3" xfId="3051"/>
    <cellStyle name="20% - Accent1 5 6 2 4" xfId="3052"/>
    <cellStyle name="20% - Accent1 5 6 2 5" xfId="3053"/>
    <cellStyle name="20% - Accent1 5 6 2 6" xfId="3054"/>
    <cellStyle name="20% - Accent1 5 6 2 7" xfId="3055"/>
    <cellStyle name="20% - Accent1 5 6 3" xfId="3056"/>
    <cellStyle name="20% - Accent1 5 6 3 2" xfId="3057"/>
    <cellStyle name="20% - Accent1 5 6 3 3" xfId="3058"/>
    <cellStyle name="20% - Accent1 5 6 3 4" xfId="3059"/>
    <cellStyle name="20% - Accent1 5 6 3 5" xfId="3060"/>
    <cellStyle name="20% - Accent1 5 6 3 6" xfId="3061"/>
    <cellStyle name="20% - Accent1 5 6 4" xfId="3062"/>
    <cellStyle name="20% - Accent1 5 6 5" xfId="3063"/>
    <cellStyle name="20% - Accent1 5 6 6" xfId="3064"/>
    <cellStyle name="20% - Accent1 5 6 7" xfId="3065"/>
    <cellStyle name="20% - Accent1 5 6 8" xfId="3066"/>
    <cellStyle name="20% - Accent1 5 6 9" xfId="3067"/>
    <cellStyle name="20% - Accent1 5 7" xfId="3068"/>
    <cellStyle name="20% - Accent1 5 7 2" xfId="3069"/>
    <cellStyle name="20% - Accent1 5 7 2 2" xfId="3070"/>
    <cellStyle name="20% - Accent1 5 7 2 3" xfId="3071"/>
    <cellStyle name="20% - Accent1 5 7 2 4" xfId="3072"/>
    <cellStyle name="20% - Accent1 5 7 2 5" xfId="3073"/>
    <cellStyle name="20% - Accent1 5 7 2 6" xfId="3074"/>
    <cellStyle name="20% - Accent1 5 7 2 7" xfId="3075"/>
    <cellStyle name="20% - Accent1 5 7 3" xfId="3076"/>
    <cellStyle name="20% - Accent1 5 7 3 2" xfId="3077"/>
    <cellStyle name="20% - Accent1 5 7 3 3" xfId="3078"/>
    <cellStyle name="20% - Accent1 5 7 3 4" xfId="3079"/>
    <cellStyle name="20% - Accent1 5 7 3 5" xfId="3080"/>
    <cellStyle name="20% - Accent1 5 7 3 6" xfId="3081"/>
    <cellStyle name="20% - Accent1 5 7 4" xfId="3082"/>
    <cellStyle name="20% - Accent1 5 7 5" xfId="3083"/>
    <cellStyle name="20% - Accent1 5 7 6" xfId="3084"/>
    <cellStyle name="20% - Accent1 5 7 7" xfId="3085"/>
    <cellStyle name="20% - Accent1 5 7 8" xfId="3086"/>
    <cellStyle name="20% - Accent1 5 7 9" xfId="3087"/>
    <cellStyle name="20% - Accent1 5 8" xfId="3088"/>
    <cellStyle name="20% - Accent1 5 8 2" xfId="3089"/>
    <cellStyle name="20% - Accent1 5 8 2 2" xfId="3090"/>
    <cellStyle name="20% - Accent1 5 8 2 3" xfId="3091"/>
    <cellStyle name="20% - Accent1 5 8 2 4" xfId="3092"/>
    <cellStyle name="20% - Accent1 5 8 2 5" xfId="3093"/>
    <cellStyle name="20% - Accent1 5 8 2 6" xfId="3094"/>
    <cellStyle name="20% - Accent1 5 8 2 7" xfId="3095"/>
    <cellStyle name="20% - Accent1 5 8 3" xfId="3096"/>
    <cellStyle name="20% - Accent1 5 8 3 2" xfId="3097"/>
    <cellStyle name="20% - Accent1 5 8 3 3" xfId="3098"/>
    <cellStyle name="20% - Accent1 5 8 3 4" xfId="3099"/>
    <cellStyle name="20% - Accent1 5 8 3 5" xfId="3100"/>
    <cellStyle name="20% - Accent1 5 8 3 6" xfId="3101"/>
    <cellStyle name="20% - Accent1 5 8 4" xfId="3102"/>
    <cellStyle name="20% - Accent1 5 8 5" xfId="3103"/>
    <cellStyle name="20% - Accent1 5 8 6" xfId="3104"/>
    <cellStyle name="20% - Accent1 5 8 7" xfId="3105"/>
    <cellStyle name="20% - Accent1 5 8 8" xfId="3106"/>
    <cellStyle name="20% - Accent1 5 8 9" xfId="3107"/>
    <cellStyle name="20% - Accent1 5 9" xfId="3108"/>
    <cellStyle name="20% - Accent1 5 9 2" xfId="3109"/>
    <cellStyle name="20% - Accent1 5 9 2 2" xfId="3110"/>
    <cellStyle name="20% - Accent1 5 9 2 3" xfId="3111"/>
    <cellStyle name="20% - Accent1 5 9 2 4" xfId="3112"/>
    <cellStyle name="20% - Accent1 5 9 2 5" xfId="3113"/>
    <cellStyle name="20% - Accent1 5 9 2 6" xfId="3114"/>
    <cellStyle name="20% - Accent1 5 9 3" xfId="3115"/>
    <cellStyle name="20% - Accent1 5 9 4" xfId="3116"/>
    <cellStyle name="20% - Accent1 5 9 5" xfId="3117"/>
    <cellStyle name="20% - Accent1 5 9 6" xfId="3118"/>
    <cellStyle name="20% - Accent1 5 9 7" xfId="3119"/>
    <cellStyle name="20% - Accent1 5 9 8" xfId="3120"/>
    <cellStyle name="20% - Accent1 6" xfId="3121"/>
    <cellStyle name="20% - Accent1 6 10" xfId="3122"/>
    <cellStyle name="20% - Accent1 6 10 2" xfId="3123"/>
    <cellStyle name="20% - Accent1 6 10 3" xfId="3124"/>
    <cellStyle name="20% - Accent1 6 10 4" xfId="3125"/>
    <cellStyle name="20% - Accent1 6 10 5" xfId="3126"/>
    <cellStyle name="20% - Accent1 6 10 6" xfId="3127"/>
    <cellStyle name="20% - Accent1 6 10 7" xfId="3128"/>
    <cellStyle name="20% - Accent1 6 11" xfId="3129"/>
    <cellStyle name="20% - Accent1 6 11 2" xfId="3130"/>
    <cellStyle name="20% - Accent1 6 11 3" xfId="3131"/>
    <cellStyle name="20% - Accent1 6 11 4" xfId="3132"/>
    <cellStyle name="20% - Accent1 6 11 5" xfId="3133"/>
    <cellStyle name="20% - Accent1 6 11 6" xfId="3134"/>
    <cellStyle name="20% - Accent1 6 12" xfId="3135"/>
    <cellStyle name="20% - Accent1 6 12 2" xfId="3136"/>
    <cellStyle name="20% - Accent1 6 13" xfId="3137"/>
    <cellStyle name="20% - Accent1 6 14" xfId="3138"/>
    <cellStyle name="20% - Accent1 6 15" xfId="3139"/>
    <cellStyle name="20% - Accent1 6 16" xfId="3140"/>
    <cellStyle name="20% - Accent1 6 17" xfId="3141"/>
    <cellStyle name="20% - Accent1 6 2" xfId="3142"/>
    <cellStyle name="20% - Accent1 6 2 2" xfId="3143"/>
    <cellStyle name="20% - Accent1 6 2 2 2" xfId="3144"/>
    <cellStyle name="20% - Accent1 6 2 2 3" xfId="3145"/>
    <cellStyle name="20% - Accent1 6 2 2 4" xfId="3146"/>
    <cellStyle name="20% - Accent1 6 2 2 5" xfId="3147"/>
    <cellStyle name="20% - Accent1 6 2 2 6" xfId="3148"/>
    <cellStyle name="20% - Accent1 6 2 2 7" xfId="3149"/>
    <cellStyle name="20% - Accent1 6 2 3" xfId="3150"/>
    <cellStyle name="20% - Accent1 6 2 3 2" xfId="3151"/>
    <cellStyle name="20% - Accent1 6 2 3 3" xfId="3152"/>
    <cellStyle name="20% - Accent1 6 2 3 4" xfId="3153"/>
    <cellStyle name="20% - Accent1 6 2 3 5" xfId="3154"/>
    <cellStyle name="20% - Accent1 6 2 3 6" xfId="3155"/>
    <cellStyle name="20% - Accent1 6 2 4" xfId="3156"/>
    <cellStyle name="20% - Accent1 6 2 4 2" xfId="3157"/>
    <cellStyle name="20% - Accent1 6 2 5" xfId="3158"/>
    <cellStyle name="20% - Accent1 6 2 6" xfId="3159"/>
    <cellStyle name="20% - Accent1 6 2 7" xfId="3160"/>
    <cellStyle name="20% - Accent1 6 2 8" xfId="3161"/>
    <cellStyle name="20% - Accent1 6 2 9" xfId="3162"/>
    <cellStyle name="20% - Accent1 6 3" xfId="3163"/>
    <cellStyle name="20% - Accent1 6 3 2" xfId="3164"/>
    <cellStyle name="20% - Accent1 6 3 2 2" xfId="3165"/>
    <cellStyle name="20% - Accent1 6 3 2 3" xfId="3166"/>
    <cellStyle name="20% - Accent1 6 3 2 4" xfId="3167"/>
    <cellStyle name="20% - Accent1 6 3 2 5" xfId="3168"/>
    <cellStyle name="20% - Accent1 6 3 2 6" xfId="3169"/>
    <cellStyle name="20% - Accent1 6 3 2 7" xfId="3170"/>
    <cellStyle name="20% - Accent1 6 3 3" xfId="3171"/>
    <cellStyle name="20% - Accent1 6 3 3 2" xfId="3172"/>
    <cellStyle name="20% - Accent1 6 3 3 3" xfId="3173"/>
    <cellStyle name="20% - Accent1 6 3 3 4" xfId="3174"/>
    <cellStyle name="20% - Accent1 6 3 3 5" xfId="3175"/>
    <cellStyle name="20% - Accent1 6 3 3 6" xfId="3176"/>
    <cellStyle name="20% - Accent1 6 3 4" xfId="3177"/>
    <cellStyle name="20% - Accent1 6 3 4 2" xfId="3178"/>
    <cellStyle name="20% - Accent1 6 3 5" xfId="3179"/>
    <cellStyle name="20% - Accent1 6 3 6" xfId="3180"/>
    <cellStyle name="20% - Accent1 6 3 7" xfId="3181"/>
    <cellStyle name="20% - Accent1 6 3 8" xfId="3182"/>
    <cellStyle name="20% - Accent1 6 3 9" xfId="3183"/>
    <cellStyle name="20% - Accent1 6 4" xfId="3184"/>
    <cellStyle name="20% - Accent1 6 4 2" xfId="3185"/>
    <cellStyle name="20% - Accent1 6 4 2 2" xfId="3186"/>
    <cellStyle name="20% - Accent1 6 4 2 3" xfId="3187"/>
    <cellStyle name="20% - Accent1 6 4 2 4" xfId="3188"/>
    <cellStyle name="20% - Accent1 6 4 2 5" xfId="3189"/>
    <cellStyle name="20% - Accent1 6 4 2 6" xfId="3190"/>
    <cellStyle name="20% - Accent1 6 4 2 7" xfId="3191"/>
    <cellStyle name="20% - Accent1 6 4 3" xfId="3192"/>
    <cellStyle name="20% - Accent1 6 4 3 2" xfId="3193"/>
    <cellStyle name="20% - Accent1 6 4 3 3" xfId="3194"/>
    <cellStyle name="20% - Accent1 6 4 3 4" xfId="3195"/>
    <cellStyle name="20% - Accent1 6 4 3 5" xfId="3196"/>
    <cellStyle name="20% - Accent1 6 4 3 6" xfId="3197"/>
    <cellStyle name="20% - Accent1 6 4 4" xfId="3198"/>
    <cellStyle name="20% - Accent1 6 4 5" xfId="3199"/>
    <cellStyle name="20% - Accent1 6 4 6" xfId="3200"/>
    <cellStyle name="20% - Accent1 6 4 7" xfId="3201"/>
    <cellStyle name="20% - Accent1 6 4 8" xfId="3202"/>
    <cellStyle name="20% - Accent1 6 4 9" xfId="3203"/>
    <cellStyle name="20% - Accent1 6 5" xfId="3204"/>
    <cellStyle name="20% - Accent1 6 5 2" xfId="3205"/>
    <cellStyle name="20% - Accent1 6 5 2 2" xfId="3206"/>
    <cellStyle name="20% - Accent1 6 5 2 3" xfId="3207"/>
    <cellStyle name="20% - Accent1 6 5 2 4" xfId="3208"/>
    <cellStyle name="20% - Accent1 6 5 2 5" xfId="3209"/>
    <cellStyle name="20% - Accent1 6 5 2 6" xfId="3210"/>
    <cellStyle name="20% - Accent1 6 5 2 7" xfId="3211"/>
    <cellStyle name="20% - Accent1 6 5 3" xfId="3212"/>
    <cellStyle name="20% - Accent1 6 5 3 2" xfId="3213"/>
    <cellStyle name="20% - Accent1 6 5 3 3" xfId="3214"/>
    <cellStyle name="20% - Accent1 6 5 3 4" xfId="3215"/>
    <cellStyle name="20% - Accent1 6 5 3 5" xfId="3216"/>
    <cellStyle name="20% - Accent1 6 5 3 6" xfId="3217"/>
    <cellStyle name="20% - Accent1 6 5 4" xfId="3218"/>
    <cellStyle name="20% - Accent1 6 5 5" xfId="3219"/>
    <cellStyle name="20% - Accent1 6 5 6" xfId="3220"/>
    <cellStyle name="20% - Accent1 6 5 7" xfId="3221"/>
    <cellStyle name="20% - Accent1 6 5 8" xfId="3222"/>
    <cellStyle name="20% - Accent1 6 5 9" xfId="3223"/>
    <cellStyle name="20% - Accent1 6 6" xfId="3224"/>
    <cellStyle name="20% - Accent1 6 6 2" xfId="3225"/>
    <cellStyle name="20% - Accent1 6 6 2 2" xfId="3226"/>
    <cellStyle name="20% - Accent1 6 6 2 3" xfId="3227"/>
    <cellStyle name="20% - Accent1 6 6 2 4" xfId="3228"/>
    <cellStyle name="20% - Accent1 6 6 2 5" xfId="3229"/>
    <cellStyle name="20% - Accent1 6 6 2 6" xfId="3230"/>
    <cellStyle name="20% - Accent1 6 6 2 7" xfId="3231"/>
    <cellStyle name="20% - Accent1 6 6 3" xfId="3232"/>
    <cellStyle name="20% - Accent1 6 6 3 2" xfId="3233"/>
    <cellStyle name="20% - Accent1 6 6 3 3" xfId="3234"/>
    <cellStyle name="20% - Accent1 6 6 3 4" xfId="3235"/>
    <cellStyle name="20% - Accent1 6 6 3 5" xfId="3236"/>
    <cellStyle name="20% - Accent1 6 6 3 6" xfId="3237"/>
    <cellStyle name="20% - Accent1 6 6 4" xfId="3238"/>
    <cellStyle name="20% - Accent1 6 6 5" xfId="3239"/>
    <cellStyle name="20% - Accent1 6 6 6" xfId="3240"/>
    <cellStyle name="20% - Accent1 6 6 7" xfId="3241"/>
    <cellStyle name="20% - Accent1 6 6 8" xfId="3242"/>
    <cellStyle name="20% - Accent1 6 6 9" xfId="3243"/>
    <cellStyle name="20% - Accent1 6 7" xfId="3244"/>
    <cellStyle name="20% - Accent1 6 7 2" xfId="3245"/>
    <cellStyle name="20% - Accent1 6 7 2 2" xfId="3246"/>
    <cellStyle name="20% - Accent1 6 7 2 3" xfId="3247"/>
    <cellStyle name="20% - Accent1 6 7 2 4" xfId="3248"/>
    <cellStyle name="20% - Accent1 6 7 2 5" xfId="3249"/>
    <cellStyle name="20% - Accent1 6 7 2 6" xfId="3250"/>
    <cellStyle name="20% - Accent1 6 7 2 7" xfId="3251"/>
    <cellStyle name="20% - Accent1 6 7 3" xfId="3252"/>
    <cellStyle name="20% - Accent1 6 7 3 2" xfId="3253"/>
    <cellStyle name="20% - Accent1 6 7 3 3" xfId="3254"/>
    <cellStyle name="20% - Accent1 6 7 3 4" xfId="3255"/>
    <cellStyle name="20% - Accent1 6 7 3 5" xfId="3256"/>
    <cellStyle name="20% - Accent1 6 7 3 6" xfId="3257"/>
    <cellStyle name="20% - Accent1 6 7 4" xfId="3258"/>
    <cellStyle name="20% - Accent1 6 7 5" xfId="3259"/>
    <cellStyle name="20% - Accent1 6 7 6" xfId="3260"/>
    <cellStyle name="20% - Accent1 6 7 7" xfId="3261"/>
    <cellStyle name="20% - Accent1 6 7 8" xfId="3262"/>
    <cellStyle name="20% - Accent1 6 7 9" xfId="3263"/>
    <cellStyle name="20% - Accent1 6 8" xfId="3264"/>
    <cellStyle name="20% - Accent1 6 8 2" xfId="3265"/>
    <cellStyle name="20% - Accent1 6 8 2 2" xfId="3266"/>
    <cellStyle name="20% - Accent1 6 8 2 3" xfId="3267"/>
    <cellStyle name="20% - Accent1 6 8 2 4" xfId="3268"/>
    <cellStyle name="20% - Accent1 6 8 2 5" xfId="3269"/>
    <cellStyle name="20% - Accent1 6 8 2 6" xfId="3270"/>
    <cellStyle name="20% - Accent1 6 8 2 7" xfId="3271"/>
    <cellStyle name="20% - Accent1 6 8 3" xfId="3272"/>
    <cellStyle name="20% - Accent1 6 8 3 2" xfId="3273"/>
    <cellStyle name="20% - Accent1 6 8 3 3" xfId="3274"/>
    <cellStyle name="20% - Accent1 6 8 3 4" xfId="3275"/>
    <cellStyle name="20% - Accent1 6 8 3 5" xfId="3276"/>
    <cellStyle name="20% - Accent1 6 8 3 6" xfId="3277"/>
    <cellStyle name="20% - Accent1 6 8 4" xfId="3278"/>
    <cellStyle name="20% - Accent1 6 8 5" xfId="3279"/>
    <cellStyle name="20% - Accent1 6 8 6" xfId="3280"/>
    <cellStyle name="20% - Accent1 6 8 7" xfId="3281"/>
    <cellStyle name="20% - Accent1 6 8 8" xfId="3282"/>
    <cellStyle name="20% - Accent1 6 8 9" xfId="3283"/>
    <cellStyle name="20% - Accent1 6 9" xfId="3284"/>
    <cellStyle name="20% - Accent1 6 9 2" xfId="3285"/>
    <cellStyle name="20% - Accent1 6 9 2 2" xfId="3286"/>
    <cellStyle name="20% - Accent1 6 9 2 3" xfId="3287"/>
    <cellStyle name="20% - Accent1 6 9 2 4" xfId="3288"/>
    <cellStyle name="20% - Accent1 6 9 2 5" xfId="3289"/>
    <cellStyle name="20% - Accent1 6 9 2 6" xfId="3290"/>
    <cellStyle name="20% - Accent1 6 9 3" xfId="3291"/>
    <cellStyle name="20% - Accent1 6 9 4" xfId="3292"/>
    <cellStyle name="20% - Accent1 6 9 5" xfId="3293"/>
    <cellStyle name="20% - Accent1 6 9 6" xfId="3294"/>
    <cellStyle name="20% - Accent1 6 9 7" xfId="3295"/>
    <cellStyle name="20% - Accent1 6 9 8" xfId="3296"/>
    <cellStyle name="20% - Accent1 7" xfId="3297"/>
    <cellStyle name="20% - Accent1 7 10" xfId="3298"/>
    <cellStyle name="20% - Accent1 7 10 2" xfId="3299"/>
    <cellStyle name="20% - Accent1 7 10 3" xfId="3300"/>
    <cellStyle name="20% - Accent1 7 10 4" xfId="3301"/>
    <cellStyle name="20% - Accent1 7 10 5" xfId="3302"/>
    <cellStyle name="20% - Accent1 7 10 6" xfId="3303"/>
    <cellStyle name="20% - Accent1 7 10 7" xfId="3304"/>
    <cellStyle name="20% - Accent1 7 11" xfId="3305"/>
    <cellStyle name="20% - Accent1 7 11 2" xfId="3306"/>
    <cellStyle name="20% - Accent1 7 11 3" xfId="3307"/>
    <cellStyle name="20% - Accent1 7 11 4" xfId="3308"/>
    <cellStyle name="20% - Accent1 7 11 5" xfId="3309"/>
    <cellStyle name="20% - Accent1 7 11 6" xfId="3310"/>
    <cellStyle name="20% - Accent1 7 12" xfId="3311"/>
    <cellStyle name="20% - Accent1 7 12 2" xfId="3312"/>
    <cellStyle name="20% - Accent1 7 13" xfId="3313"/>
    <cellStyle name="20% - Accent1 7 14" xfId="3314"/>
    <cellStyle name="20% - Accent1 7 15" xfId="3315"/>
    <cellStyle name="20% - Accent1 7 16" xfId="3316"/>
    <cellStyle name="20% - Accent1 7 17" xfId="3317"/>
    <cellStyle name="20% - Accent1 7 2" xfId="3318"/>
    <cellStyle name="20% - Accent1 7 2 2" xfId="3319"/>
    <cellStyle name="20% - Accent1 7 2 2 2" xfId="3320"/>
    <cellStyle name="20% - Accent1 7 2 2 3" xfId="3321"/>
    <cellStyle name="20% - Accent1 7 2 2 4" xfId="3322"/>
    <cellStyle name="20% - Accent1 7 2 2 5" xfId="3323"/>
    <cellStyle name="20% - Accent1 7 2 2 6" xfId="3324"/>
    <cellStyle name="20% - Accent1 7 2 2 7" xfId="3325"/>
    <cellStyle name="20% - Accent1 7 2 3" xfId="3326"/>
    <cellStyle name="20% - Accent1 7 2 3 2" xfId="3327"/>
    <cellStyle name="20% - Accent1 7 2 3 3" xfId="3328"/>
    <cellStyle name="20% - Accent1 7 2 3 4" xfId="3329"/>
    <cellStyle name="20% - Accent1 7 2 3 5" xfId="3330"/>
    <cellStyle name="20% - Accent1 7 2 3 6" xfId="3331"/>
    <cellStyle name="20% - Accent1 7 2 4" xfId="3332"/>
    <cellStyle name="20% - Accent1 7 2 4 2" xfId="3333"/>
    <cellStyle name="20% - Accent1 7 2 5" xfId="3334"/>
    <cellStyle name="20% - Accent1 7 2 6" xfId="3335"/>
    <cellStyle name="20% - Accent1 7 2 7" xfId="3336"/>
    <cellStyle name="20% - Accent1 7 2 8" xfId="3337"/>
    <cellStyle name="20% - Accent1 7 2 9" xfId="3338"/>
    <cellStyle name="20% - Accent1 7 3" xfId="3339"/>
    <cellStyle name="20% - Accent1 7 3 2" xfId="3340"/>
    <cellStyle name="20% - Accent1 7 3 2 2" xfId="3341"/>
    <cellStyle name="20% - Accent1 7 3 2 3" xfId="3342"/>
    <cellStyle name="20% - Accent1 7 3 2 4" xfId="3343"/>
    <cellStyle name="20% - Accent1 7 3 2 5" xfId="3344"/>
    <cellStyle name="20% - Accent1 7 3 2 6" xfId="3345"/>
    <cellStyle name="20% - Accent1 7 3 2 7" xfId="3346"/>
    <cellStyle name="20% - Accent1 7 3 3" xfId="3347"/>
    <cellStyle name="20% - Accent1 7 3 3 2" xfId="3348"/>
    <cellStyle name="20% - Accent1 7 3 3 3" xfId="3349"/>
    <cellStyle name="20% - Accent1 7 3 3 4" xfId="3350"/>
    <cellStyle name="20% - Accent1 7 3 3 5" xfId="3351"/>
    <cellStyle name="20% - Accent1 7 3 3 6" xfId="3352"/>
    <cellStyle name="20% - Accent1 7 3 4" xfId="3353"/>
    <cellStyle name="20% - Accent1 7 3 4 2" xfId="3354"/>
    <cellStyle name="20% - Accent1 7 3 5" xfId="3355"/>
    <cellStyle name="20% - Accent1 7 3 6" xfId="3356"/>
    <cellStyle name="20% - Accent1 7 3 7" xfId="3357"/>
    <cellStyle name="20% - Accent1 7 3 8" xfId="3358"/>
    <cellStyle name="20% - Accent1 7 3 9" xfId="3359"/>
    <cellStyle name="20% - Accent1 7 4" xfId="3360"/>
    <cellStyle name="20% - Accent1 7 4 2" xfId="3361"/>
    <cellStyle name="20% - Accent1 7 4 2 2" xfId="3362"/>
    <cellStyle name="20% - Accent1 7 4 2 3" xfId="3363"/>
    <cellStyle name="20% - Accent1 7 4 2 4" xfId="3364"/>
    <cellStyle name="20% - Accent1 7 4 2 5" xfId="3365"/>
    <cellStyle name="20% - Accent1 7 4 2 6" xfId="3366"/>
    <cellStyle name="20% - Accent1 7 4 2 7" xfId="3367"/>
    <cellStyle name="20% - Accent1 7 4 3" xfId="3368"/>
    <cellStyle name="20% - Accent1 7 4 3 2" xfId="3369"/>
    <cellStyle name="20% - Accent1 7 4 3 3" xfId="3370"/>
    <cellStyle name="20% - Accent1 7 4 3 4" xfId="3371"/>
    <cellStyle name="20% - Accent1 7 4 3 5" xfId="3372"/>
    <cellStyle name="20% - Accent1 7 4 3 6" xfId="3373"/>
    <cellStyle name="20% - Accent1 7 4 4" xfId="3374"/>
    <cellStyle name="20% - Accent1 7 4 5" xfId="3375"/>
    <cellStyle name="20% - Accent1 7 4 6" xfId="3376"/>
    <cellStyle name="20% - Accent1 7 4 7" xfId="3377"/>
    <cellStyle name="20% - Accent1 7 4 8" xfId="3378"/>
    <cellStyle name="20% - Accent1 7 4 9" xfId="3379"/>
    <cellStyle name="20% - Accent1 7 5" xfId="3380"/>
    <cellStyle name="20% - Accent1 7 5 2" xfId="3381"/>
    <cellStyle name="20% - Accent1 7 5 2 2" xfId="3382"/>
    <cellStyle name="20% - Accent1 7 5 2 3" xfId="3383"/>
    <cellStyle name="20% - Accent1 7 5 2 4" xfId="3384"/>
    <cellStyle name="20% - Accent1 7 5 2 5" xfId="3385"/>
    <cellStyle name="20% - Accent1 7 5 2 6" xfId="3386"/>
    <cellStyle name="20% - Accent1 7 5 2 7" xfId="3387"/>
    <cellStyle name="20% - Accent1 7 5 3" xfId="3388"/>
    <cellStyle name="20% - Accent1 7 5 3 2" xfId="3389"/>
    <cellStyle name="20% - Accent1 7 5 3 3" xfId="3390"/>
    <cellStyle name="20% - Accent1 7 5 3 4" xfId="3391"/>
    <cellStyle name="20% - Accent1 7 5 3 5" xfId="3392"/>
    <cellStyle name="20% - Accent1 7 5 3 6" xfId="3393"/>
    <cellStyle name="20% - Accent1 7 5 4" xfId="3394"/>
    <cellStyle name="20% - Accent1 7 5 5" xfId="3395"/>
    <cellStyle name="20% - Accent1 7 5 6" xfId="3396"/>
    <cellStyle name="20% - Accent1 7 5 7" xfId="3397"/>
    <cellStyle name="20% - Accent1 7 5 8" xfId="3398"/>
    <cellStyle name="20% - Accent1 7 5 9" xfId="3399"/>
    <cellStyle name="20% - Accent1 7 6" xfId="3400"/>
    <cellStyle name="20% - Accent1 7 6 2" xfId="3401"/>
    <cellStyle name="20% - Accent1 7 6 2 2" xfId="3402"/>
    <cellStyle name="20% - Accent1 7 6 2 3" xfId="3403"/>
    <cellStyle name="20% - Accent1 7 6 2 4" xfId="3404"/>
    <cellStyle name="20% - Accent1 7 6 2 5" xfId="3405"/>
    <cellStyle name="20% - Accent1 7 6 2 6" xfId="3406"/>
    <cellStyle name="20% - Accent1 7 6 2 7" xfId="3407"/>
    <cellStyle name="20% - Accent1 7 6 3" xfId="3408"/>
    <cellStyle name="20% - Accent1 7 6 3 2" xfId="3409"/>
    <cellStyle name="20% - Accent1 7 6 3 3" xfId="3410"/>
    <cellStyle name="20% - Accent1 7 6 3 4" xfId="3411"/>
    <cellStyle name="20% - Accent1 7 6 3 5" xfId="3412"/>
    <cellStyle name="20% - Accent1 7 6 3 6" xfId="3413"/>
    <cellStyle name="20% - Accent1 7 6 4" xfId="3414"/>
    <cellStyle name="20% - Accent1 7 6 5" xfId="3415"/>
    <cellStyle name="20% - Accent1 7 6 6" xfId="3416"/>
    <cellStyle name="20% - Accent1 7 6 7" xfId="3417"/>
    <cellStyle name="20% - Accent1 7 6 8" xfId="3418"/>
    <cellStyle name="20% - Accent1 7 6 9" xfId="3419"/>
    <cellStyle name="20% - Accent1 7 7" xfId="3420"/>
    <cellStyle name="20% - Accent1 7 7 2" xfId="3421"/>
    <cellStyle name="20% - Accent1 7 7 2 2" xfId="3422"/>
    <cellStyle name="20% - Accent1 7 7 2 3" xfId="3423"/>
    <cellStyle name="20% - Accent1 7 7 2 4" xfId="3424"/>
    <cellStyle name="20% - Accent1 7 7 2 5" xfId="3425"/>
    <cellStyle name="20% - Accent1 7 7 2 6" xfId="3426"/>
    <cellStyle name="20% - Accent1 7 7 2 7" xfId="3427"/>
    <cellStyle name="20% - Accent1 7 7 3" xfId="3428"/>
    <cellStyle name="20% - Accent1 7 7 3 2" xfId="3429"/>
    <cellStyle name="20% - Accent1 7 7 3 3" xfId="3430"/>
    <cellStyle name="20% - Accent1 7 7 3 4" xfId="3431"/>
    <cellStyle name="20% - Accent1 7 7 3 5" xfId="3432"/>
    <cellStyle name="20% - Accent1 7 7 3 6" xfId="3433"/>
    <cellStyle name="20% - Accent1 7 7 4" xfId="3434"/>
    <cellStyle name="20% - Accent1 7 7 5" xfId="3435"/>
    <cellStyle name="20% - Accent1 7 7 6" xfId="3436"/>
    <cellStyle name="20% - Accent1 7 7 7" xfId="3437"/>
    <cellStyle name="20% - Accent1 7 7 8" xfId="3438"/>
    <cellStyle name="20% - Accent1 7 7 9" xfId="3439"/>
    <cellStyle name="20% - Accent1 7 8" xfId="3440"/>
    <cellStyle name="20% - Accent1 7 8 2" xfId="3441"/>
    <cellStyle name="20% - Accent1 7 8 2 2" xfId="3442"/>
    <cellStyle name="20% - Accent1 7 8 2 3" xfId="3443"/>
    <cellStyle name="20% - Accent1 7 8 2 4" xfId="3444"/>
    <cellStyle name="20% - Accent1 7 8 2 5" xfId="3445"/>
    <cellStyle name="20% - Accent1 7 8 2 6" xfId="3446"/>
    <cellStyle name="20% - Accent1 7 8 2 7" xfId="3447"/>
    <cellStyle name="20% - Accent1 7 8 3" xfId="3448"/>
    <cellStyle name="20% - Accent1 7 8 3 2" xfId="3449"/>
    <cellStyle name="20% - Accent1 7 8 3 3" xfId="3450"/>
    <cellStyle name="20% - Accent1 7 8 3 4" xfId="3451"/>
    <cellStyle name="20% - Accent1 7 8 3 5" xfId="3452"/>
    <cellStyle name="20% - Accent1 7 8 3 6" xfId="3453"/>
    <cellStyle name="20% - Accent1 7 8 4" xfId="3454"/>
    <cellStyle name="20% - Accent1 7 8 5" xfId="3455"/>
    <cellStyle name="20% - Accent1 7 8 6" xfId="3456"/>
    <cellStyle name="20% - Accent1 7 8 7" xfId="3457"/>
    <cellStyle name="20% - Accent1 7 8 8" xfId="3458"/>
    <cellStyle name="20% - Accent1 7 8 9" xfId="3459"/>
    <cellStyle name="20% - Accent1 7 9" xfId="3460"/>
    <cellStyle name="20% - Accent1 7 9 2" xfId="3461"/>
    <cellStyle name="20% - Accent1 7 9 2 2" xfId="3462"/>
    <cellStyle name="20% - Accent1 7 9 2 3" xfId="3463"/>
    <cellStyle name="20% - Accent1 7 9 2 4" xfId="3464"/>
    <cellStyle name="20% - Accent1 7 9 2 5" xfId="3465"/>
    <cellStyle name="20% - Accent1 7 9 2 6" xfId="3466"/>
    <cellStyle name="20% - Accent1 7 9 3" xfId="3467"/>
    <cellStyle name="20% - Accent1 7 9 4" xfId="3468"/>
    <cellStyle name="20% - Accent1 7 9 5" xfId="3469"/>
    <cellStyle name="20% - Accent1 7 9 6" xfId="3470"/>
    <cellStyle name="20% - Accent1 7 9 7" xfId="3471"/>
    <cellStyle name="20% - Accent1 7 9 8" xfId="3472"/>
    <cellStyle name="20% - Accent1 8" xfId="3473"/>
    <cellStyle name="20% - Accent1 8 10" xfId="3474"/>
    <cellStyle name="20% - Accent1 8 10 2" xfId="3475"/>
    <cellStyle name="20% - Accent1 8 10 3" xfId="3476"/>
    <cellStyle name="20% - Accent1 8 10 4" xfId="3477"/>
    <cellStyle name="20% - Accent1 8 10 5" xfId="3478"/>
    <cellStyle name="20% - Accent1 8 10 6" xfId="3479"/>
    <cellStyle name="20% - Accent1 8 10 7" xfId="3480"/>
    <cellStyle name="20% - Accent1 8 11" xfId="3481"/>
    <cellStyle name="20% - Accent1 8 11 2" xfId="3482"/>
    <cellStyle name="20% - Accent1 8 11 3" xfId="3483"/>
    <cellStyle name="20% - Accent1 8 11 4" xfId="3484"/>
    <cellStyle name="20% - Accent1 8 11 5" xfId="3485"/>
    <cellStyle name="20% - Accent1 8 11 6" xfId="3486"/>
    <cellStyle name="20% - Accent1 8 12" xfId="3487"/>
    <cellStyle name="20% - Accent1 8 12 2" xfId="3488"/>
    <cellStyle name="20% - Accent1 8 13" xfId="3489"/>
    <cellStyle name="20% - Accent1 8 14" xfId="3490"/>
    <cellStyle name="20% - Accent1 8 15" xfId="3491"/>
    <cellStyle name="20% - Accent1 8 16" xfId="3492"/>
    <cellStyle name="20% - Accent1 8 17" xfId="3493"/>
    <cellStyle name="20% - Accent1 8 2" xfId="3494"/>
    <cellStyle name="20% - Accent1 8 2 2" xfId="3495"/>
    <cellStyle name="20% - Accent1 8 2 2 2" xfId="3496"/>
    <cellStyle name="20% - Accent1 8 2 2 3" xfId="3497"/>
    <cellStyle name="20% - Accent1 8 2 2 4" xfId="3498"/>
    <cellStyle name="20% - Accent1 8 2 2 5" xfId="3499"/>
    <cellStyle name="20% - Accent1 8 2 2 6" xfId="3500"/>
    <cellStyle name="20% - Accent1 8 2 2 7" xfId="3501"/>
    <cellStyle name="20% - Accent1 8 2 3" xfId="3502"/>
    <cellStyle name="20% - Accent1 8 2 3 2" xfId="3503"/>
    <cellStyle name="20% - Accent1 8 2 3 3" xfId="3504"/>
    <cellStyle name="20% - Accent1 8 2 3 4" xfId="3505"/>
    <cellStyle name="20% - Accent1 8 2 3 5" xfId="3506"/>
    <cellStyle name="20% - Accent1 8 2 3 6" xfId="3507"/>
    <cellStyle name="20% - Accent1 8 2 4" xfId="3508"/>
    <cellStyle name="20% - Accent1 8 2 4 2" xfId="3509"/>
    <cellStyle name="20% - Accent1 8 2 5" xfId="3510"/>
    <cellStyle name="20% - Accent1 8 2 6" xfId="3511"/>
    <cellStyle name="20% - Accent1 8 2 7" xfId="3512"/>
    <cellStyle name="20% - Accent1 8 2 8" xfId="3513"/>
    <cellStyle name="20% - Accent1 8 2 9" xfId="3514"/>
    <cellStyle name="20% - Accent1 8 3" xfId="3515"/>
    <cellStyle name="20% - Accent1 8 3 2" xfId="3516"/>
    <cellStyle name="20% - Accent1 8 3 2 2" xfId="3517"/>
    <cellStyle name="20% - Accent1 8 3 2 3" xfId="3518"/>
    <cellStyle name="20% - Accent1 8 3 2 4" xfId="3519"/>
    <cellStyle name="20% - Accent1 8 3 2 5" xfId="3520"/>
    <cellStyle name="20% - Accent1 8 3 2 6" xfId="3521"/>
    <cellStyle name="20% - Accent1 8 3 2 7" xfId="3522"/>
    <cellStyle name="20% - Accent1 8 3 3" xfId="3523"/>
    <cellStyle name="20% - Accent1 8 3 3 2" xfId="3524"/>
    <cellStyle name="20% - Accent1 8 3 3 3" xfId="3525"/>
    <cellStyle name="20% - Accent1 8 3 3 4" xfId="3526"/>
    <cellStyle name="20% - Accent1 8 3 3 5" xfId="3527"/>
    <cellStyle name="20% - Accent1 8 3 3 6" xfId="3528"/>
    <cellStyle name="20% - Accent1 8 3 4" xfId="3529"/>
    <cellStyle name="20% - Accent1 8 3 4 2" xfId="3530"/>
    <cellStyle name="20% - Accent1 8 3 5" xfId="3531"/>
    <cellStyle name="20% - Accent1 8 3 6" xfId="3532"/>
    <cellStyle name="20% - Accent1 8 3 7" xfId="3533"/>
    <cellStyle name="20% - Accent1 8 3 8" xfId="3534"/>
    <cellStyle name="20% - Accent1 8 3 9" xfId="3535"/>
    <cellStyle name="20% - Accent1 8 4" xfId="3536"/>
    <cellStyle name="20% - Accent1 8 4 2" xfId="3537"/>
    <cellStyle name="20% - Accent1 8 4 2 2" xfId="3538"/>
    <cellStyle name="20% - Accent1 8 4 2 3" xfId="3539"/>
    <cellStyle name="20% - Accent1 8 4 2 4" xfId="3540"/>
    <cellStyle name="20% - Accent1 8 4 2 5" xfId="3541"/>
    <cellStyle name="20% - Accent1 8 4 2 6" xfId="3542"/>
    <cellStyle name="20% - Accent1 8 4 2 7" xfId="3543"/>
    <cellStyle name="20% - Accent1 8 4 3" xfId="3544"/>
    <cellStyle name="20% - Accent1 8 4 3 2" xfId="3545"/>
    <cellStyle name="20% - Accent1 8 4 3 3" xfId="3546"/>
    <cellStyle name="20% - Accent1 8 4 3 4" xfId="3547"/>
    <cellStyle name="20% - Accent1 8 4 3 5" xfId="3548"/>
    <cellStyle name="20% - Accent1 8 4 3 6" xfId="3549"/>
    <cellStyle name="20% - Accent1 8 4 4" xfId="3550"/>
    <cellStyle name="20% - Accent1 8 4 5" xfId="3551"/>
    <cellStyle name="20% - Accent1 8 4 6" xfId="3552"/>
    <cellStyle name="20% - Accent1 8 4 7" xfId="3553"/>
    <cellStyle name="20% - Accent1 8 4 8" xfId="3554"/>
    <cellStyle name="20% - Accent1 8 4 9" xfId="3555"/>
    <cellStyle name="20% - Accent1 8 5" xfId="3556"/>
    <cellStyle name="20% - Accent1 8 5 2" xfId="3557"/>
    <cellStyle name="20% - Accent1 8 5 2 2" xfId="3558"/>
    <cellStyle name="20% - Accent1 8 5 2 3" xfId="3559"/>
    <cellStyle name="20% - Accent1 8 5 2 4" xfId="3560"/>
    <cellStyle name="20% - Accent1 8 5 2 5" xfId="3561"/>
    <cellStyle name="20% - Accent1 8 5 2 6" xfId="3562"/>
    <cellStyle name="20% - Accent1 8 5 2 7" xfId="3563"/>
    <cellStyle name="20% - Accent1 8 5 3" xfId="3564"/>
    <cellStyle name="20% - Accent1 8 5 3 2" xfId="3565"/>
    <cellStyle name="20% - Accent1 8 5 3 3" xfId="3566"/>
    <cellStyle name="20% - Accent1 8 5 3 4" xfId="3567"/>
    <cellStyle name="20% - Accent1 8 5 3 5" xfId="3568"/>
    <cellStyle name="20% - Accent1 8 5 3 6" xfId="3569"/>
    <cellStyle name="20% - Accent1 8 5 4" xfId="3570"/>
    <cellStyle name="20% - Accent1 8 5 5" xfId="3571"/>
    <cellStyle name="20% - Accent1 8 5 6" xfId="3572"/>
    <cellStyle name="20% - Accent1 8 5 7" xfId="3573"/>
    <cellStyle name="20% - Accent1 8 5 8" xfId="3574"/>
    <cellStyle name="20% - Accent1 8 5 9" xfId="3575"/>
    <cellStyle name="20% - Accent1 8 6" xfId="3576"/>
    <cellStyle name="20% - Accent1 8 6 2" xfId="3577"/>
    <cellStyle name="20% - Accent1 8 6 2 2" xfId="3578"/>
    <cellStyle name="20% - Accent1 8 6 2 3" xfId="3579"/>
    <cellStyle name="20% - Accent1 8 6 2 4" xfId="3580"/>
    <cellStyle name="20% - Accent1 8 6 2 5" xfId="3581"/>
    <cellStyle name="20% - Accent1 8 6 2 6" xfId="3582"/>
    <cellStyle name="20% - Accent1 8 6 2 7" xfId="3583"/>
    <cellStyle name="20% - Accent1 8 6 3" xfId="3584"/>
    <cellStyle name="20% - Accent1 8 6 3 2" xfId="3585"/>
    <cellStyle name="20% - Accent1 8 6 3 3" xfId="3586"/>
    <cellStyle name="20% - Accent1 8 6 3 4" xfId="3587"/>
    <cellStyle name="20% - Accent1 8 6 3 5" xfId="3588"/>
    <cellStyle name="20% - Accent1 8 6 3 6" xfId="3589"/>
    <cellStyle name="20% - Accent1 8 6 4" xfId="3590"/>
    <cellStyle name="20% - Accent1 8 6 5" xfId="3591"/>
    <cellStyle name="20% - Accent1 8 6 6" xfId="3592"/>
    <cellStyle name="20% - Accent1 8 6 7" xfId="3593"/>
    <cellStyle name="20% - Accent1 8 6 8" xfId="3594"/>
    <cellStyle name="20% - Accent1 8 6 9" xfId="3595"/>
    <cellStyle name="20% - Accent1 8 7" xfId="3596"/>
    <cellStyle name="20% - Accent1 8 7 2" xfId="3597"/>
    <cellStyle name="20% - Accent1 8 7 2 2" xfId="3598"/>
    <cellStyle name="20% - Accent1 8 7 2 3" xfId="3599"/>
    <cellStyle name="20% - Accent1 8 7 2 4" xfId="3600"/>
    <cellStyle name="20% - Accent1 8 7 2 5" xfId="3601"/>
    <cellStyle name="20% - Accent1 8 7 2 6" xfId="3602"/>
    <cellStyle name="20% - Accent1 8 7 2 7" xfId="3603"/>
    <cellStyle name="20% - Accent1 8 7 3" xfId="3604"/>
    <cellStyle name="20% - Accent1 8 7 3 2" xfId="3605"/>
    <cellStyle name="20% - Accent1 8 7 3 3" xfId="3606"/>
    <cellStyle name="20% - Accent1 8 7 3 4" xfId="3607"/>
    <cellStyle name="20% - Accent1 8 7 3 5" xfId="3608"/>
    <cellStyle name="20% - Accent1 8 7 3 6" xfId="3609"/>
    <cellStyle name="20% - Accent1 8 7 4" xfId="3610"/>
    <cellStyle name="20% - Accent1 8 7 5" xfId="3611"/>
    <cellStyle name="20% - Accent1 8 7 6" xfId="3612"/>
    <cellStyle name="20% - Accent1 8 7 7" xfId="3613"/>
    <cellStyle name="20% - Accent1 8 7 8" xfId="3614"/>
    <cellStyle name="20% - Accent1 8 7 9" xfId="3615"/>
    <cellStyle name="20% - Accent1 8 8" xfId="3616"/>
    <cellStyle name="20% - Accent1 8 8 2" xfId="3617"/>
    <cellStyle name="20% - Accent1 8 8 2 2" xfId="3618"/>
    <cellStyle name="20% - Accent1 8 8 2 3" xfId="3619"/>
    <cellStyle name="20% - Accent1 8 8 2 4" xfId="3620"/>
    <cellStyle name="20% - Accent1 8 8 2 5" xfId="3621"/>
    <cellStyle name="20% - Accent1 8 8 2 6" xfId="3622"/>
    <cellStyle name="20% - Accent1 8 8 2 7" xfId="3623"/>
    <cellStyle name="20% - Accent1 8 8 3" xfId="3624"/>
    <cellStyle name="20% - Accent1 8 8 3 2" xfId="3625"/>
    <cellStyle name="20% - Accent1 8 8 3 3" xfId="3626"/>
    <cellStyle name="20% - Accent1 8 8 3 4" xfId="3627"/>
    <cellStyle name="20% - Accent1 8 8 3 5" xfId="3628"/>
    <cellStyle name="20% - Accent1 8 8 3 6" xfId="3629"/>
    <cellStyle name="20% - Accent1 8 8 4" xfId="3630"/>
    <cellStyle name="20% - Accent1 8 8 5" xfId="3631"/>
    <cellStyle name="20% - Accent1 8 8 6" xfId="3632"/>
    <cellStyle name="20% - Accent1 8 8 7" xfId="3633"/>
    <cellStyle name="20% - Accent1 8 8 8" xfId="3634"/>
    <cellStyle name="20% - Accent1 8 8 9" xfId="3635"/>
    <cellStyle name="20% - Accent1 8 9" xfId="3636"/>
    <cellStyle name="20% - Accent1 8 9 2" xfId="3637"/>
    <cellStyle name="20% - Accent1 8 9 2 2" xfId="3638"/>
    <cellStyle name="20% - Accent1 8 9 2 3" xfId="3639"/>
    <cellStyle name="20% - Accent1 8 9 2 4" xfId="3640"/>
    <cellStyle name="20% - Accent1 8 9 2 5" xfId="3641"/>
    <cellStyle name="20% - Accent1 8 9 2 6" xfId="3642"/>
    <cellStyle name="20% - Accent1 8 9 3" xfId="3643"/>
    <cellStyle name="20% - Accent1 8 9 4" xfId="3644"/>
    <cellStyle name="20% - Accent1 8 9 5" xfId="3645"/>
    <cellStyle name="20% - Accent1 8 9 6" xfId="3646"/>
    <cellStyle name="20% - Accent1 8 9 7" xfId="3647"/>
    <cellStyle name="20% - Accent1 8 9 8" xfId="3648"/>
    <cellStyle name="20% - Accent1 9" xfId="3649"/>
    <cellStyle name="20% - Accent1 9 2" xfId="3650"/>
    <cellStyle name="20% - Accent1 9 3" xfId="3651"/>
    <cellStyle name="20% - Accent1 9 4" xfId="3652"/>
    <cellStyle name="20% - Accent2" xfId="2" builtinId="34" customBuiltin="1"/>
    <cellStyle name="20% - Accent2 10" xfId="3653"/>
    <cellStyle name="20% - Accent2 10 2" xfId="3654"/>
    <cellStyle name="20% - Accent2 10 2 2" xfId="3655"/>
    <cellStyle name="20% - Accent2 10 2 2 2" xfId="3656"/>
    <cellStyle name="20% - Accent2 10 2 3" xfId="3657"/>
    <cellStyle name="20% - Accent2 10 2 4" xfId="3658"/>
    <cellStyle name="20% - Accent2 10 2 5" xfId="3659"/>
    <cellStyle name="20% - Accent2 10 2 6" xfId="3660"/>
    <cellStyle name="20% - Accent2 10 2 7" xfId="3661"/>
    <cellStyle name="20% - Accent2 10 3" xfId="3662"/>
    <cellStyle name="20% - Accent2 10 3 2" xfId="3663"/>
    <cellStyle name="20% - Accent2 10 3 2 2" xfId="3664"/>
    <cellStyle name="20% - Accent2 10 3 3" xfId="3665"/>
    <cellStyle name="20% - Accent2 10 3 4" xfId="3666"/>
    <cellStyle name="20% - Accent2 10 3 5" xfId="3667"/>
    <cellStyle name="20% - Accent2 10 3 6" xfId="3668"/>
    <cellStyle name="20% - Accent2 10 4" xfId="3669"/>
    <cellStyle name="20% - Accent2 10 4 2" xfId="3670"/>
    <cellStyle name="20% - Accent2 10 5" xfId="3671"/>
    <cellStyle name="20% - Accent2 10 6" xfId="3672"/>
    <cellStyle name="20% - Accent2 10 7" xfId="3673"/>
    <cellStyle name="20% - Accent2 10 8" xfId="3674"/>
    <cellStyle name="20% - Accent2 10 9" xfId="3675"/>
    <cellStyle name="20% - Accent2 11" xfId="3676"/>
    <cellStyle name="20% - Accent2 11 2" xfId="3677"/>
    <cellStyle name="20% - Accent2 11 2 2" xfId="3678"/>
    <cellStyle name="20% - Accent2 11 2 2 2" xfId="3679"/>
    <cellStyle name="20% - Accent2 11 2 3" xfId="3680"/>
    <cellStyle name="20% - Accent2 11 2 4" xfId="3681"/>
    <cellStyle name="20% - Accent2 11 2 5" xfId="3682"/>
    <cellStyle name="20% - Accent2 11 2 6" xfId="3683"/>
    <cellStyle name="20% - Accent2 11 2 7" xfId="3684"/>
    <cellStyle name="20% - Accent2 11 3" xfId="3685"/>
    <cellStyle name="20% - Accent2 11 3 2" xfId="3686"/>
    <cellStyle name="20% - Accent2 11 3 2 2" xfId="3687"/>
    <cellStyle name="20% - Accent2 11 3 3" xfId="3688"/>
    <cellStyle name="20% - Accent2 11 3 4" xfId="3689"/>
    <cellStyle name="20% - Accent2 11 3 5" xfId="3690"/>
    <cellStyle name="20% - Accent2 11 3 6" xfId="3691"/>
    <cellStyle name="20% - Accent2 11 4" xfId="3692"/>
    <cellStyle name="20% - Accent2 11 4 2" xfId="3693"/>
    <cellStyle name="20% - Accent2 11 5" xfId="3694"/>
    <cellStyle name="20% - Accent2 11 6" xfId="3695"/>
    <cellStyle name="20% - Accent2 11 7" xfId="3696"/>
    <cellStyle name="20% - Accent2 11 8" xfId="3697"/>
    <cellStyle name="20% - Accent2 11 9" xfId="3698"/>
    <cellStyle name="20% - Accent2 12" xfId="3699"/>
    <cellStyle name="20% - Accent2 12 2" xfId="3700"/>
    <cellStyle name="20% - Accent2 12 2 2" xfId="3701"/>
    <cellStyle name="20% - Accent2 12 2 2 2" xfId="3702"/>
    <cellStyle name="20% - Accent2 12 2 3" xfId="3703"/>
    <cellStyle name="20% - Accent2 12 2 4" xfId="3704"/>
    <cellStyle name="20% - Accent2 12 2 5" xfId="3705"/>
    <cellStyle name="20% - Accent2 12 2 6" xfId="3706"/>
    <cellStyle name="20% - Accent2 12 2 7" xfId="3707"/>
    <cellStyle name="20% - Accent2 12 3" xfId="3708"/>
    <cellStyle name="20% - Accent2 12 3 2" xfId="3709"/>
    <cellStyle name="20% - Accent2 12 3 2 2" xfId="3710"/>
    <cellStyle name="20% - Accent2 12 3 3" xfId="3711"/>
    <cellStyle name="20% - Accent2 12 3 4" xfId="3712"/>
    <cellStyle name="20% - Accent2 12 3 5" xfId="3713"/>
    <cellStyle name="20% - Accent2 12 3 6" xfId="3714"/>
    <cellStyle name="20% - Accent2 12 4" xfId="3715"/>
    <cellStyle name="20% - Accent2 12 4 2" xfId="3716"/>
    <cellStyle name="20% - Accent2 12 5" xfId="3717"/>
    <cellStyle name="20% - Accent2 12 6" xfId="3718"/>
    <cellStyle name="20% - Accent2 12 7" xfId="3719"/>
    <cellStyle name="20% - Accent2 12 8" xfId="3720"/>
    <cellStyle name="20% - Accent2 12 9" xfId="3721"/>
    <cellStyle name="20% - Accent2 13" xfId="3722"/>
    <cellStyle name="20% - Accent2 13 2" xfId="3723"/>
    <cellStyle name="20% - Accent2 13 2 2" xfId="3724"/>
    <cellStyle name="20% - Accent2 13 2 2 2" xfId="3725"/>
    <cellStyle name="20% - Accent2 13 2 3" xfId="3726"/>
    <cellStyle name="20% - Accent2 13 2 4" xfId="3727"/>
    <cellStyle name="20% - Accent2 13 2 5" xfId="3728"/>
    <cellStyle name="20% - Accent2 13 2 6" xfId="3729"/>
    <cellStyle name="20% - Accent2 13 2 7" xfId="3730"/>
    <cellStyle name="20% - Accent2 13 3" xfId="3731"/>
    <cellStyle name="20% - Accent2 13 3 2" xfId="3732"/>
    <cellStyle name="20% - Accent2 13 3 2 2" xfId="3733"/>
    <cellStyle name="20% - Accent2 13 3 3" xfId="3734"/>
    <cellStyle name="20% - Accent2 13 3 4" xfId="3735"/>
    <cellStyle name="20% - Accent2 13 3 5" xfId="3736"/>
    <cellStyle name="20% - Accent2 13 3 6" xfId="3737"/>
    <cellStyle name="20% - Accent2 13 4" xfId="3738"/>
    <cellStyle name="20% - Accent2 13 4 2" xfId="3739"/>
    <cellStyle name="20% - Accent2 13 5" xfId="3740"/>
    <cellStyle name="20% - Accent2 13 6" xfId="3741"/>
    <cellStyle name="20% - Accent2 13 7" xfId="3742"/>
    <cellStyle name="20% - Accent2 13 8" xfId="3743"/>
    <cellStyle name="20% - Accent2 13 9" xfId="3744"/>
    <cellStyle name="20% - Accent2 14" xfId="3745"/>
    <cellStyle name="20% - Accent2 14 2" xfId="3746"/>
    <cellStyle name="20% - Accent2 14 2 2" xfId="3747"/>
    <cellStyle name="20% - Accent2 14 2 2 2" xfId="3748"/>
    <cellStyle name="20% - Accent2 14 2 3" xfId="3749"/>
    <cellStyle name="20% - Accent2 14 2 4" xfId="3750"/>
    <cellStyle name="20% - Accent2 14 2 5" xfId="3751"/>
    <cellStyle name="20% - Accent2 14 2 6" xfId="3752"/>
    <cellStyle name="20% - Accent2 14 2 7" xfId="3753"/>
    <cellStyle name="20% - Accent2 14 3" xfId="3754"/>
    <cellStyle name="20% - Accent2 14 3 2" xfId="3755"/>
    <cellStyle name="20% - Accent2 14 3 2 2" xfId="3756"/>
    <cellStyle name="20% - Accent2 14 3 3" xfId="3757"/>
    <cellStyle name="20% - Accent2 14 3 4" xfId="3758"/>
    <cellStyle name="20% - Accent2 14 3 5" xfId="3759"/>
    <cellStyle name="20% - Accent2 14 3 6" xfId="3760"/>
    <cellStyle name="20% - Accent2 14 4" xfId="3761"/>
    <cellStyle name="20% - Accent2 14 4 2" xfId="3762"/>
    <cellStyle name="20% - Accent2 14 5" xfId="3763"/>
    <cellStyle name="20% - Accent2 14 6" xfId="3764"/>
    <cellStyle name="20% - Accent2 14 7" xfId="3765"/>
    <cellStyle name="20% - Accent2 14 8" xfId="3766"/>
    <cellStyle name="20% - Accent2 14 9" xfId="3767"/>
    <cellStyle name="20% - Accent2 15" xfId="3768"/>
    <cellStyle name="20% - Accent2 15 2" xfId="3769"/>
    <cellStyle name="20% - Accent2 15 2 2" xfId="3770"/>
    <cellStyle name="20% - Accent2 15 2 2 2" xfId="3771"/>
    <cellStyle name="20% - Accent2 15 2 3" xfId="3772"/>
    <cellStyle name="20% - Accent2 15 2 4" xfId="3773"/>
    <cellStyle name="20% - Accent2 15 2 5" xfId="3774"/>
    <cellStyle name="20% - Accent2 15 2 6" xfId="3775"/>
    <cellStyle name="20% - Accent2 15 2 7" xfId="3776"/>
    <cellStyle name="20% - Accent2 15 3" xfId="3777"/>
    <cellStyle name="20% - Accent2 15 3 2" xfId="3778"/>
    <cellStyle name="20% - Accent2 15 3 2 2" xfId="3779"/>
    <cellStyle name="20% - Accent2 15 3 3" xfId="3780"/>
    <cellStyle name="20% - Accent2 15 3 4" xfId="3781"/>
    <cellStyle name="20% - Accent2 15 3 5" xfId="3782"/>
    <cellStyle name="20% - Accent2 15 3 6" xfId="3783"/>
    <cellStyle name="20% - Accent2 15 4" xfId="3784"/>
    <cellStyle name="20% - Accent2 15 4 2" xfId="3785"/>
    <cellStyle name="20% - Accent2 15 5" xfId="3786"/>
    <cellStyle name="20% - Accent2 15 6" xfId="3787"/>
    <cellStyle name="20% - Accent2 15 7" xfId="3788"/>
    <cellStyle name="20% - Accent2 15 8" xfId="3789"/>
    <cellStyle name="20% - Accent2 15 9" xfId="3790"/>
    <cellStyle name="20% - Accent2 16" xfId="3791"/>
    <cellStyle name="20% - Accent2 16 2" xfId="3792"/>
    <cellStyle name="20% - Accent2 16 2 2" xfId="3793"/>
    <cellStyle name="20% - Accent2 16 2 2 2" xfId="3794"/>
    <cellStyle name="20% - Accent2 16 2 3" xfId="3795"/>
    <cellStyle name="20% - Accent2 16 2 4" xfId="3796"/>
    <cellStyle name="20% - Accent2 16 2 5" xfId="3797"/>
    <cellStyle name="20% - Accent2 16 2 6" xfId="3798"/>
    <cellStyle name="20% - Accent2 16 2 7" xfId="3799"/>
    <cellStyle name="20% - Accent2 16 3" xfId="3800"/>
    <cellStyle name="20% - Accent2 16 3 2" xfId="3801"/>
    <cellStyle name="20% - Accent2 16 3 2 2" xfId="3802"/>
    <cellStyle name="20% - Accent2 16 3 3" xfId="3803"/>
    <cellStyle name="20% - Accent2 16 3 4" xfId="3804"/>
    <cellStyle name="20% - Accent2 16 3 5" xfId="3805"/>
    <cellStyle name="20% - Accent2 16 3 6" xfId="3806"/>
    <cellStyle name="20% - Accent2 16 4" xfId="3807"/>
    <cellStyle name="20% - Accent2 16 4 2" xfId="3808"/>
    <cellStyle name="20% - Accent2 16 5" xfId="3809"/>
    <cellStyle name="20% - Accent2 16 6" xfId="3810"/>
    <cellStyle name="20% - Accent2 16 7" xfId="3811"/>
    <cellStyle name="20% - Accent2 16 8" xfId="3812"/>
    <cellStyle name="20% - Accent2 16 9" xfId="3813"/>
    <cellStyle name="20% - Accent2 17" xfId="3814"/>
    <cellStyle name="20% - Accent2 17 2" xfId="3815"/>
    <cellStyle name="20% - Accent2 17 2 2" xfId="3816"/>
    <cellStyle name="20% - Accent2 17 2 2 2" xfId="3817"/>
    <cellStyle name="20% - Accent2 17 2 3" xfId="3818"/>
    <cellStyle name="20% - Accent2 17 2 4" xfId="3819"/>
    <cellStyle name="20% - Accent2 17 2 5" xfId="3820"/>
    <cellStyle name="20% - Accent2 17 2 6" xfId="3821"/>
    <cellStyle name="20% - Accent2 17 3" xfId="3822"/>
    <cellStyle name="20% - Accent2 17 3 2" xfId="3823"/>
    <cellStyle name="20% - Accent2 17 4" xfId="3824"/>
    <cellStyle name="20% - Accent2 17 4 2" xfId="3825"/>
    <cellStyle name="20% - Accent2 17 5" xfId="3826"/>
    <cellStyle name="20% - Accent2 17 6" xfId="3827"/>
    <cellStyle name="20% - Accent2 17 7" xfId="3828"/>
    <cellStyle name="20% - Accent2 17 8" xfId="3829"/>
    <cellStyle name="20% - Accent2 18" xfId="3830"/>
    <cellStyle name="20% - Accent2 18 2" xfId="3831"/>
    <cellStyle name="20% - Accent2 18 2 2" xfId="3832"/>
    <cellStyle name="20% - Accent2 18 3" xfId="3833"/>
    <cellStyle name="20% - Accent2 18 3 2" xfId="3834"/>
    <cellStyle name="20% - Accent2 18 4" xfId="3835"/>
    <cellStyle name="20% - Accent2 18 4 2" xfId="3836"/>
    <cellStyle name="20% - Accent2 18 5" xfId="3837"/>
    <cellStyle name="20% - Accent2 18 6" xfId="3838"/>
    <cellStyle name="20% - Accent2 18 7" xfId="3839"/>
    <cellStyle name="20% - Accent2 19" xfId="3840"/>
    <cellStyle name="20% - Accent2 19 2" xfId="3841"/>
    <cellStyle name="20% - Accent2 19 2 2" xfId="3842"/>
    <cellStyle name="20% - Accent2 19 3" xfId="3843"/>
    <cellStyle name="20% - Accent2 19 3 2" xfId="3844"/>
    <cellStyle name="20% - Accent2 19 4" xfId="3845"/>
    <cellStyle name="20% - Accent2 19 4 2" xfId="3846"/>
    <cellStyle name="20% - Accent2 19 5" xfId="3847"/>
    <cellStyle name="20% - Accent2 19 6" xfId="3848"/>
    <cellStyle name="20% - Accent2 2" xfId="375"/>
    <cellStyle name="20% - Accent2 2 10" xfId="3849"/>
    <cellStyle name="20% - Accent2 2 10 2" xfId="3850"/>
    <cellStyle name="20% - Accent2 2 10 2 2" xfId="3851"/>
    <cellStyle name="20% - Accent2 2 10 2 3" xfId="3852"/>
    <cellStyle name="20% - Accent2 2 10 2 4" xfId="3853"/>
    <cellStyle name="20% - Accent2 2 10 2 5" xfId="3854"/>
    <cellStyle name="20% - Accent2 2 10 2 6" xfId="3855"/>
    <cellStyle name="20% - Accent2 2 10 3" xfId="3856"/>
    <cellStyle name="20% - Accent2 2 10 3 2" xfId="3857"/>
    <cellStyle name="20% - Accent2 2 10 4" xfId="3858"/>
    <cellStyle name="20% - Accent2 2 10 5" xfId="3859"/>
    <cellStyle name="20% - Accent2 2 10 6" xfId="3860"/>
    <cellStyle name="20% - Accent2 2 10 7" xfId="3861"/>
    <cellStyle name="20% - Accent2 2 10 8" xfId="3862"/>
    <cellStyle name="20% - Accent2 2 11" xfId="3863"/>
    <cellStyle name="20% - Accent2 2 11 2" xfId="3864"/>
    <cellStyle name="20% - Accent2 2 11 2 2" xfId="3865"/>
    <cellStyle name="20% - Accent2 2 11 3" xfId="3866"/>
    <cellStyle name="20% - Accent2 2 11 4" xfId="3867"/>
    <cellStyle name="20% - Accent2 2 11 5" xfId="3868"/>
    <cellStyle name="20% - Accent2 2 11 6" xfId="3869"/>
    <cellStyle name="20% - Accent2 2 11 7" xfId="3870"/>
    <cellStyle name="20% - Accent2 2 12" xfId="3871"/>
    <cellStyle name="20% - Accent2 2 12 2" xfId="3872"/>
    <cellStyle name="20% - Accent2 2 12 2 2" xfId="3873"/>
    <cellStyle name="20% - Accent2 2 12 3" xfId="3874"/>
    <cellStyle name="20% - Accent2 2 12 4" xfId="3875"/>
    <cellStyle name="20% - Accent2 2 12 5" xfId="3876"/>
    <cellStyle name="20% - Accent2 2 12 6" xfId="3877"/>
    <cellStyle name="20% - Accent2 2 13" xfId="3878"/>
    <cellStyle name="20% - Accent2 2 13 2" xfId="3879"/>
    <cellStyle name="20% - Accent2 2 14" xfId="3880"/>
    <cellStyle name="20% - Accent2 2 14 2" xfId="3881"/>
    <cellStyle name="20% - Accent2 2 15" xfId="3882"/>
    <cellStyle name="20% - Accent2 2 15 2" xfId="3883"/>
    <cellStyle name="20% - Accent2 2 16" xfId="3884"/>
    <cellStyle name="20% - Accent2 2 16 2" xfId="3885"/>
    <cellStyle name="20% - Accent2 2 17" xfId="3886"/>
    <cellStyle name="20% - Accent2 2 17 2" xfId="3887"/>
    <cellStyle name="20% - Accent2 2 18" xfId="3888"/>
    <cellStyle name="20% - Accent2 2 19" xfId="3889"/>
    <cellStyle name="20% - Accent2 2 2" xfId="1434"/>
    <cellStyle name="20% - Accent2 2 2 2" xfId="1435"/>
    <cellStyle name="20% - Accent2 2 2 2 2" xfId="3890"/>
    <cellStyle name="20% - Accent2 2 2 2 3" xfId="3891"/>
    <cellStyle name="20% - Accent2 2 2 3" xfId="3892"/>
    <cellStyle name="20% - Accent2 2 2 4" xfId="3893"/>
    <cellStyle name="20% - Accent2 2 20" xfId="3894"/>
    <cellStyle name="20% - Accent2 2 21" xfId="3895"/>
    <cellStyle name="20% - Accent2 2 22" xfId="3896"/>
    <cellStyle name="20% - Accent2 2 23" xfId="3897"/>
    <cellStyle name="20% - Accent2 2 24" xfId="3898"/>
    <cellStyle name="20% - Accent2 2 25" xfId="3899"/>
    <cellStyle name="20% - Accent2 2 26" xfId="3900"/>
    <cellStyle name="20% - Accent2 2 27" xfId="3901"/>
    <cellStyle name="20% - Accent2 2 28" xfId="3902"/>
    <cellStyle name="20% - Accent2 2 29" xfId="3903"/>
    <cellStyle name="20% - Accent2 2 3" xfId="1436"/>
    <cellStyle name="20% - Accent2 2 3 10" xfId="3904"/>
    <cellStyle name="20% - Accent2 2 3 11" xfId="3905"/>
    <cellStyle name="20% - Accent2 2 3 2" xfId="1437"/>
    <cellStyle name="20% - Accent2 2 3 2 2" xfId="3906"/>
    <cellStyle name="20% - Accent2 2 3 2 3" xfId="3907"/>
    <cellStyle name="20% - Accent2 2 3 2 4" xfId="3908"/>
    <cellStyle name="20% - Accent2 2 3 2 5" xfId="3909"/>
    <cellStyle name="20% - Accent2 2 3 2 6" xfId="3910"/>
    <cellStyle name="20% - Accent2 2 3 2 7" xfId="3911"/>
    <cellStyle name="20% - Accent2 2 3 2 8" xfId="3912"/>
    <cellStyle name="20% - Accent2 2 3 2 9" xfId="3913"/>
    <cellStyle name="20% - Accent2 2 3 3" xfId="3914"/>
    <cellStyle name="20% - Accent2 2 3 3 2" xfId="3915"/>
    <cellStyle name="20% - Accent2 2 3 3 3" xfId="3916"/>
    <cellStyle name="20% - Accent2 2 3 3 4" xfId="3917"/>
    <cellStyle name="20% - Accent2 2 3 3 5" xfId="3918"/>
    <cellStyle name="20% - Accent2 2 3 3 6" xfId="3919"/>
    <cellStyle name="20% - Accent2 2 3 4" xfId="3920"/>
    <cellStyle name="20% - Accent2 2 3 4 2" xfId="3921"/>
    <cellStyle name="20% - Accent2 2 3 5" xfId="3922"/>
    <cellStyle name="20% - Accent2 2 3 6" xfId="3923"/>
    <cellStyle name="20% - Accent2 2 3 7" xfId="3924"/>
    <cellStyle name="20% - Accent2 2 3 8" xfId="3925"/>
    <cellStyle name="20% - Accent2 2 3 9" xfId="3926"/>
    <cellStyle name="20% - Accent2 2 30" xfId="3927"/>
    <cellStyle name="20% - Accent2 2 31" xfId="3928"/>
    <cellStyle name="20% - Accent2 2 32" xfId="3929"/>
    <cellStyle name="20% - Accent2 2 33" xfId="3930"/>
    <cellStyle name="20% - Accent2 2 34" xfId="3931"/>
    <cellStyle name="20% - Accent2 2 35" xfId="3932"/>
    <cellStyle name="20% - Accent2 2 4" xfId="1438"/>
    <cellStyle name="20% - Accent2 2 4 10" xfId="3933"/>
    <cellStyle name="20% - Accent2 2 4 11" xfId="3934"/>
    <cellStyle name="20% - Accent2 2 4 2" xfId="3935"/>
    <cellStyle name="20% - Accent2 2 4 2 2" xfId="3936"/>
    <cellStyle name="20% - Accent2 2 4 2 3" xfId="3937"/>
    <cellStyle name="20% - Accent2 2 4 2 4" xfId="3938"/>
    <cellStyle name="20% - Accent2 2 4 2 5" xfId="3939"/>
    <cellStyle name="20% - Accent2 2 4 2 6" xfId="3940"/>
    <cellStyle name="20% - Accent2 2 4 2 7" xfId="3941"/>
    <cellStyle name="20% - Accent2 2 4 3" xfId="3942"/>
    <cellStyle name="20% - Accent2 2 4 3 2" xfId="3943"/>
    <cellStyle name="20% - Accent2 2 4 3 3" xfId="3944"/>
    <cellStyle name="20% - Accent2 2 4 3 4" xfId="3945"/>
    <cellStyle name="20% - Accent2 2 4 3 5" xfId="3946"/>
    <cellStyle name="20% - Accent2 2 4 3 6" xfId="3947"/>
    <cellStyle name="20% - Accent2 2 4 4" xfId="3948"/>
    <cellStyle name="20% - Accent2 2 4 4 2" xfId="3949"/>
    <cellStyle name="20% - Accent2 2 4 5" xfId="3950"/>
    <cellStyle name="20% - Accent2 2 4 6" xfId="3951"/>
    <cellStyle name="20% - Accent2 2 4 7" xfId="3952"/>
    <cellStyle name="20% - Accent2 2 4 8" xfId="3953"/>
    <cellStyle name="20% - Accent2 2 4 9" xfId="3954"/>
    <cellStyle name="20% - Accent2 2 5" xfId="1439"/>
    <cellStyle name="20% - Accent2 2 5 10" xfId="3955"/>
    <cellStyle name="20% - Accent2 2 5 11" xfId="3956"/>
    <cellStyle name="20% - Accent2 2 5 2" xfId="3957"/>
    <cellStyle name="20% - Accent2 2 5 2 2" xfId="3958"/>
    <cellStyle name="20% - Accent2 2 5 2 3" xfId="3959"/>
    <cellStyle name="20% - Accent2 2 5 2 4" xfId="3960"/>
    <cellStyle name="20% - Accent2 2 5 2 5" xfId="3961"/>
    <cellStyle name="20% - Accent2 2 5 2 6" xfId="3962"/>
    <cellStyle name="20% - Accent2 2 5 2 7" xfId="3963"/>
    <cellStyle name="20% - Accent2 2 5 3" xfId="3964"/>
    <cellStyle name="20% - Accent2 2 5 3 2" xfId="3965"/>
    <cellStyle name="20% - Accent2 2 5 3 3" xfId="3966"/>
    <cellStyle name="20% - Accent2 2 5 3 4" xfId="3967"/>
    <cellStyle name="20% - Accent2 2 5 3 5" xfId="3968"/>
    <cellStyle name="20% - Accent2 2 5 3 6" xfId="3969"/>
    <cellStyle name="20% - Accent2 2 5 4" xfId="3970"/>
    <cellStyle name="20% - Accent2 2 5 4 2" xfId="3971"/>
    <cellStyle name="20% - Accent2 2 5 5" xfId="3972"/>
    <cellStyle name="20% - Accent2 2 5 6" xfId="3973"/>
    <cellStyle name="20% - Accent2 2 5 7" xfId="3974"/>
    <cellStyle name="20% - Accent2 2 5 8" xfId="3975"/>
    <cellStyle name="20% - Accent2 2 5 9" xfId="3976"/>
    <cellStyle name="20% - Accent2 2 6" xfId="1440"/>
    <cellStyle name="20% - Accent2 2 6 10" xfId="3977"/>
    <cellStyle name="20% - Accent2 2 6 11" xfId="3978"/>
    <cellStyle name="20% - Accent2 2 6 2" xfId="3979"/>
    <cellStyle name="20% - Accent2 2 6 2 2" xfId="3980"/>
    <cellStyle name="20% - Accent2 2 6 2 3" xfId="3981"/>
    <cellStyle name="20% - Accent2 2 6 2 4" xfId="3982"/>
    <cellStyle name="20% - Accent2 2 6 2 5" xfId="3983"/>
    <cellStyle name="20% - Accent2 2 6 2 6" xfId="3984"/>
    <cellStyle name="20% - Accent2 2 6 2 7" xfId="3985"/>
    <cellStyle name="20% - Accent2 2 6 3" xfId="3986"/>
    <cellStyle name="20% - Accent2 2 6 3 2" xfId="3987"/>
    <cellStyle name="20% - Accent2 2 6 3 3" xfId="3988"/>
    <cellStyle name="20% - Accent2 2 6 3 4" xfId="3989"/>
    <cellStyle name="20% - Accent2 2 6 3 5" xfId="3990"/>
    <cellStyle name="20% - Accent2 2 6 3 6" xfId="3991"/>
    <cellStyle name="20% - Accent2 2 6 4" xfId="3992"/>
    <cellStyle name="20% - Accent2 2 6 4 2" xfId="3993"/>
    <cellStyle name="20% - Accent2 2 6 5" xfId="3994"/>
    <cellStyle name="20% - Accent2 2 6 6" xfId="3995"/>
    <cellStyle name="20% - Accent2 2 6 7" xfId="3996"/>
    <cellStyle name="20% - Accent2 2 6 8" xfId="3997"/>
    <cellStyle name="20% - Accent2 2 6 9" xfId="3998"/>
    <cellStyle name="20% - Accent2 2 7" xfId="1433"/>
    <cellStyle name="20% - Accent2 2 7 10" xfId="3999"/>
    <cellStyle name="20% - Accent2 2 7 2" xfId="4000"/>
    <cellStyle name="20% - Accent2 2 7 2 2" xfId="4001"/>
    <cellStyle name="20% - Accent2 2 7 2 3" xfId="4002"/>
    <cellStyle name="20% - Accent2 2 7 2 4" xfId="4003"/>
    <cellStyle name="20% - Accent2 2 7 2 5" xfId="4004"/>
    <cellStyle name="20% - Accent2 2 7 2 6" xfId="4005"/>
    <cellStyle name="20% - Accent2 2 7 2 7" xfId="4006"/>
    <cellStyle name="20% - Accent2 2 7 3" xfId="4007"/>
    <cellStyle name="20% - Accent2 2 7 3 2" xfId="4008"/>
    <cellStyle name="20% - Accent2 2 7 3 3" xfId="4009"/>
    <cellStyle name="20% - Accent2 2 7 3 4" xfId="4010"/>
    <cellStyle name="20% - Accent2 2 7 3 5" xfId="4011"/>
    <cellStyle name="20% - Accent2 2 7 3 6" xfId="4012"/>
    <cellStyle name="20% - Accent2 2 7 4" xfId="4013"/>
    <cellStyle name="20% - Accent2 2 7 4 2" xfId="4014"/>
    <cellStyle name="20% - Accent2 2 7 5" xfId="4015"/>
    <cellStyle name="20% - Accent2 2 7 6" xfId="4016"/>
    <cellStyle name="20% - Accent2 2 7 7" xfId="4017"/>
    <cellStyle name="20% - Accent2 2 7 8" xfId="4018"/>
    <cellStyle name="20% - Accent2 2 7 9" xfId="4019"/>
    <cellStyle name="20% - Accent2 2 8" xfId="4020"/>
    <cellStyle name="20% - Accent2 2 8 2" xfId="4021"/>
    <cellStyle name="20% - Accent2 2 8 2 2" xfId="4022"/>
    <cellStyle name="20% - Accent2 2 8 2 3" xfId="4023"/>
    <cellStyle name="20% - Accent2 2 8 2 4" xfId="4024"/>
    <cellStyle name="20% - Accent2 2 8 2 5" xfId="4025"/>
    <cellStyle name="20% - Accent2 2 8 2 6" xfId="4026"/>
    <cellStyle name="20% - Accent2 2 8 2 7" xfId="4027"/>
    <cellStyle name="20% - Accent2 2 8 3" xfId="4028"/>
    <cellStyle name="20% - Accent2 2 8 3 2" xfId="4029"/>
    <cellStyle name="20% - Accent2 2 8 3 3" xfId="4030"/>
    <cellStyle name="20% - Accent2 2 8 3 4" xfId="4031"/>
    <cellStyle name="20% - Accent2 2 8 3 5" xfId="4032"/>
    <cellStyle name="20% - Accent2 2 8 3 6" xfId="4033"/>
    <cellStyle name="20% - Accent2 2 8 4" xfId="4034"/>
    <cellStyle name="20% - Accent2 2 8 4 2" xfId="4035"/>
    <cellStyle name="20% - Accent2 2 8 5" xfId="4036"/>
    <cellStyle name="20% - Accent2 2 8 6" xfId="4037"/>
    <cellStyle name="20% - Accent2 2 8 7" xfId="4038"/>
    <cellStyle name="20% - Accent2 2 8 8" xfId="4039"/>
    <cellStyle name="20% - Accent2 2 8 9" xfId="4040"/>
    <cellStyle name="20% - Accent2 2 9" xfId="4041"/>
    <cellStyle name="20% - Accent2 2 9 2" xfId="4042"/>
    <cellStyle name="20% - Accent2 2 9 2 2" xfId="4043"/>
    <cellStyle name="20% - Accent2 2 9 2 3" xfId="4044"/>
    <cellStyle name="20% - Accent2 2 9 2 4" xfId="4045"/>
    <cellStyle name="20% - Accent2 2 9 2 5" xfId="4046"/>
    <cellStyle name="20% - Accent2 2 9 2 6" xfId="4047"/>
    <cellStyle name="20% - Accent2 2 9 2 7" xfId="4048"/>
    <cellStyle name="20% - Accent2 2 9 3" xfId="4049"/>
    <cellStyle name="20% - Accent2 2 9 3 2" xfId="4050"/>
    <cellStyle name="20% - Accent2 2 9 3 3" xfId="4051"/>
    <cellStyle name="20% - Accent2 2 9 3 4" xfId="4052"/>
    <cellStyle name="20% - Accent2 2 9 3 5" xfId="4053"/>
    <cellStyle name="20% - Accent2 2 9 3 6" xfId="4054"/>
    <cellStyle name="20% - Accent2 2 9 4" xfId="4055"/>
    <cellStyle name="20% - Accent2 2 9 4 2" xfId="4056"/>
    <cellStyle name="20% - Accent2 2 9 5" xfId="4057"/>
    <cellStyle name="20% - Accent2 2 9 6" xfId="4058"/>
    <cellStyle name="20% - Accent2 2 9 7" xfId="4059"/>
    <cellStyle name="20% - Accent2 2 9 8" xfId="4060"/>
    <cellStyle name="20% - Accent2 2 9 9" xfId="4061"/>
    <cellStyle name="20% - Accent2 20" xfId="4062"/>
    <cellStyle name="20% - Accent2 20 2" xfId="4063"/>
    <cellStyle name="20% - Accent2 20 3" xfId="4064"/>
    <cellStyle name="20% - Accent2 20 4" xfId="4065"/>
    <cellStyle name="20% - Accent2 21" xfId="4066"/>
    <cellStyle name="20% - Accent2 21 2" xfId="4067"/>
    <cellStyle name="20% - Accent2 21 3" xfId="4068"/>
    <cellStyle name="20% - Accent2 21 4" xfId="4069"/>
    <cellStyle name="20% - Accent2 22" xfId="4070"/>
    <cellStyle name="20% - Accent2 22 2" xfId="4071"/>
    <cellStyle name="20% - Accent2 22 3" xfId="4072"/>
    <cellStyle name="20% - Accent2 22 4" xfId="4073"/>
    <cellStyle name="20% - Accent2 23" xfId="4074"/>
    <cellStyle name="20% - Accent2 23 2" xfId="4075"/>
    <cellStyle name="20% - Accent2 23 3" xfId="4076"/>
    <cellStyle name="20% - Accent2 23 4" xfId="4077"/>
    <cellStyle name="20% - Accent2 24" xfId="4078"/>
    <cellStyle name="20% - Accent2 24 2" xfId="4079"/>
    <cellStyle name="20% - Accent2 24 3" xfId="4080"/>
    <cellStyle name="20% - Accent2 24 4" xfId="4081"/>
    <cellStyle name="20% - Accent2 25" xfId="4082"/>
    <cellStyle name="20% - Accent2 25 2" xfId="4083"/>
    <cellStyle name="20% - Accent2 25 3" xfId="4084"/>
    <cellStyle name="20% - Accent2 26" xfId="4085"/>
    <cellStyle name="20% - Accent2 26 2" xfId="4086"/>
    <cellStyle name="20% - Accent2 26 3" xfId="4087"/>
    <cellStyle name="20% - Accent2 27" xfId="4088"/>
    <cellStyle name="20% - Accent2 27 2" xfId="4089"/>
    <cellStyle name="20% - Accent2 27 3" xfId="4090"/>
    <cellStyle name="20% - Accent2 28" xfId="4091"/>
    <cellStyle name="20% - Accent2 28 2" xfId="4092"/>
    <cellStyle name="20% - Accent2 28 3" xfId="4093"/>
    <cellStyle name="20% - Accent2 29" xfId="4094"/>
    <cellStyle name="20% - Accent2 29 2" xfId="4095"/>
    <cellStyle name="20% - Accent2 29 3" xfId="4096"/>
    <cellStyle name="20% - Accent2 3" xfId="1441"/>
    <cellStyle name="20% - Accent2 3 10" xfId="4097"/>
    <cellStyle name="20% - Accent2 3 10 2" xfId="4098"/>
    <cellStyle name="20% - Accent2 3 10 3" xfId="4099"/>
    <cellStyle name="20% - Accent2 3 10 4" xfId="4100"/>
    <cellStyle name="20% - Accent2 3 10 5" xfId="4101"/>
    <cellStyle name="20% - Accent2 3 10 6" xfId="4102"/>
    <cellStyle name="20% - Accent2 3 10 7" xfId="4103"/>
    <cellStyle name="20% - Accent2 3 11" xfId="4104"/>
    <cellStyle name="20% - Accent2 3 11 2" xfId="4105"/>
    <cellStyle name="20% - Accent2 3 11 3" xfId="4106"/>
    <cellStyle name="20% - Accent2 3 11 4" xfId="4107"/>
    <cellStyle name="20% - Accent2 3 11 5" xfId="4108"/>
    <cellStyle name="20% - Accent2 3 11 6" xfId="4109"/>
    <cellStyle name="20% - Accent2 3 12" xfId="4110"/>
    <cellStyle name="20% - Accent2 3 12 2" xfId="4111"/>
    <cellStyle name="20% - Accent2 3 13" xfId="4112"/>
    <cellStyle name="20% - Accent2 3 14" xfId="4113"/>
    <cellStyle name="20% - Accent2 3 15" xfId="4114"/>
    <cellStyle name="20% - Accent2 3 16" xfId="4115"/>
    <cellStyle name="20% - Accent2 3 17" xfId="4116"/>
    <cellStyle name="20% - Accent2 3 18" xfId="4117"/>
    <cellStyle name="20% - Accent2 3 2" xfId="4118"/>
    <cellStyle name="20% - Accent2 3 2 2" xfId="4119"/>
    <cellStyle name="20% - Accent2 3 2 2 2" xfId="4120"/>
    <cellStyle name="20% - Accent2 3 2 2 3" xfId="4121"/>
    <cellStyle name="20% - Accent2 3 2 2 4" xfId="4122"/>
    <cellStyle name="20% - Accent2 3 2 2 5" xfId="4123"/>
    <cellStyle name="20% - Accent2 3 2 2 6" xfId="4124"/>
    <cellStyle name="20% - Accent2 3 2 2 7" xfId="4125"/>
    <cellStyle name="20% - Accent2 3 2 3" xfId="4126"/>
    <cellStyle name="20% - Accent2 3 2 3 2" xfId="4127"/>
    <cellStyle name="20% - Accent2 3 2 3 3" xfId="4128"/>
    <cellStyle name="20% - Accent2 3 2 3 4" xfId="4129"/>
    <cellStyle name="20% - Accent2 3 2 3 5" xfId="4130"/>
    <cellStyle name="20% - Accent2 3 2 3 6" xfId="4131"/>
    <cellStyle name="20% - Accent2 3 2 4" xfId="4132"/>
    <cellStyle name="20% - Accent2 3 2 5" xfId="4133"/>
    <cellStyle name="20% - Accent2 3 2 6" xfId="4134"/>
    <cellStyle name="20% - Accent2 3 2 7" xfId="4135"/>
    <cellStyle name="20% - Accent2 3 2 8" xfId="4136"/>
    <cellStyle name="20% - Accent2 3 2 9" xfId="4137"/>
    <cellStyle name="20% - Accent2 3 3" xfId="4138"/>
    <cellStyle name="20% - Accent2 3 3 2" xfId="4139"/>
    <cellStyle name="20% - Accent2 3 3 2 2" xfId="4140"/>
    <cellStyle name="20% - Accent2 3 3 2 3" xfId="4141"/>
    <cellStyle name="20% - Accent2 3 3 2 4" xfId="4142"/>
    <cellStyle name="20% - Accent2 3 3 2 5" xfId="4143"/>
    <cellStyle name="20% - Accent2 3 3 2 6" xfId="4144"/>
    <cellStyle name="20% - Accent2 3 3 2 7" xfId="4145"/>
    <cellStyle name="20% - Accent2 3 3 3" xfId="4146"/>
    <cellStyle name="20% - Accent2 3 3 3 2" xfId="4147"/>
    <cellStyle name="20% - Accent2 3 3 3 3" xfId="4148"/>
    <cellStyle name="20% - Accent2 3 3 3 4" xfId="4149"/>
    <cellStyle name="20% - Accent2 3 3 3 5" xfId="4150"/>
    <cellStyle name="20% - Accent2 3 3 3 6" xfId="4151"/>
    <cellStyle name="20% - Accent2 3 3 4" xfId="4152"/>
    <cellStyle name="20% - Accent2 3 3 5" xfId="4153"/>
    <cellStyle name="20% - Accent2 3 3 6" xfId="4154"/>
    <cellStyle name="20% - Accent2 3 3 7" xfId="4155"/>
    <cellStyle name="20% - Accent2 3 3 8" xfId="4156"/>
    <cellStyle name="20% - Accent2 3 3 9" xfId="4157"/>
    <cellStyle name="20% - Accent2 3 4" xfId="4158"/>
    <cellStyle name="20% - Accent2 3 4 2" xfId="4159"/>
    <cellStyle name="20% - Accent2 3 4 2 2" xfId="4160"/>
    <cellStyle name="20% - Accent2 3 4 2 3" xfId="4161"/>
    <cellStyle name="20% - Accent2 3 4 2 4" xfId="4162"/>
    <cellStyle name="20% - Accent2 3 4 2 5" xfId="4163"/>
    <cellStyle name="20% - Accent2 3 4 2 6" xfId="4164"/>
    <cellStyle name="20% - Accent2 3 4 2 7" xfId="4165"/>
    <cellStyle name="20% - Accent2 3 4 3" xfId="4166"/>
    <cellStyle name="20% - Accent2 3 4 3 2" xfId="4167"/>
    <cellStyle name="20% - Accent2 3 4 3 3" xfId="4168"/>
    <cellStyle name="20% - Accent2 3 4 3 4" xfId="4169"/>
    <cellStyle name="20% - Accent2 3 4 3 5" xfId="4170"/>
    <cellStyle name="20% - Accent2 3 4 3 6" xfId="4171"/>
    <cellStyle name="20% - Accent2 3 4 4" xfId="4172"/>
    <cellStyle name="20% - Accent2 3 4 5" xfId="4173"/>
    <cellStyle name="20% - Accent2 3 4 6" xfId="4174"/>
    <cellStyle name="20% - Accent2 3 4 7" xfId="4175"/>
    <cellStyle name="20% - Accent2 3 4 8" xfId="4176"/>
    <cellStyle name="20% - Accent2 3 4 9" xfId="4177"/>
    <cellStyle name="20% - Accent2 3 5" xfId="4178"/>
    <cellStyle name="20% - Accent2 3 5 2" xfId="4179"/>
    <cellStyle name="20% - Accent2 3 5 2 2" xfId="4180"/>
    <cellStyle name="20% - Accent2 3 5 2 3" xfId="4181"/>
    <cellStyle name="20% - Accent2 3 5 2 4" xfId="4182"/>
    <cellStyle name="20% - Accent2 3 5 2 5" xfId="4183"/>
    <cellStyle name="20% - Accent2 3 5 2 6" xfId="4184"/>
    <cellStyle name="20% - Accent2 3 5 2 7" xfId="4185"/>
    <cellStyle name="20% - Accent2 3 5 3" xfId="4186"/>
    <cellStyle name="20% - Accent2 3 5 3 2" xfId="4187"/>
    <cellStyle name="20% - Accent2 3 5 3 3" xfId="4188"/>
    <cellStyle name="20% - Accent2 3 5 3 4" xfId="4189"/>
    <cellStyle name="20% - Accent2 3 5 3 5" xfId="4190"/>
    <cellStyle name="20% - Accent2 3 5 3 6" xfId="4191"/>
    <cellStyle name="20% - Accent2 3 5 4" xfId="4192"/>
    <cellStyle name="20% - Accent2 3 5 5" xfId="4193"/>
    <cellStyle name="20% - Accent2 3 5 6" xfId="4194"/>
    <cellStyle name="20% - Accent2 3 5 7" xfId="4195"/>
    <cellStyle name="20% - Accent2 3 5 8" xfId="4196"/>
    <cellStyle name="20% - Accent2 3 5 9" xfId="4197"/>
    <cellStyle name="20% - Accent2 3 6" xfId="4198"/>
    <cellStyle name="20% - Accent2 3 6 2" xfId="4199"/>
    <cellStyle name="20% - Accent2 3 6 2 2" xfId="4200"/>
    <cellStyle name="20% - Accent2 3 6 2 3" xfId="4201"/>
    <cellStyle name="20% - Accent2 3 6 2 4" xfId="4202"/>
    <cellStyle name="20% - Accent2 3 6 2 5" xfId="4203"/>
    <cellStyle name="20% - Accent2 3 6 2 6" xfId="4204"/>
    <cellStyle name="20% - Accent2 3 6 2 7" xfId="4205"/>
    <cellStyle name="20% - Accent2 3 6 3" xfId="4206"/>
    <cellStyle name="20% - Accent2 3 6 3 2" xfId="4207"/>
    <cellStyle name="20% - Accent2 3 6 3 3" xfId="4208"/>
    <cellStyle name="20% - Accent2 3 6 3 4" xfId="4209"/>
    <cellStyle name="20% - Accent2 3 6 3 5" xfId="4210"/>
    <cellStyle name="20% - Accent2 3 6 3 6" xfId="4211"/>
    <cellStyle name="20% - Accent2 3 6 4" xfId="4212"/>
    <cellStyle name="20% - Accent2 3 6 5" xfId="4213"/>
    <cellStyle name="20% - Accent2 3 6 6" xfId="4214"/>
    <cellStyle name="20% - Accent2 3 6 7" xfId="4215"/>
    <cellStyle name="20% - Accent2 3 6 8" xfId="4216"/>
    <cellStyle name="20% - Accent2 3 6 9" xfId="4217"/>
    <cellStyle name="20% - Accent2 3 7" xfId="4218"/>
    <cellStyle name="20% - Accent2 3 7 2" xfId="4219"/>
    <cellStyle name="20% - Accent2 3 7 2 2" xfId="4220"/>
    <cellStyle name="20% - Accent2 3 7 2 3" xfId="4221"/>
    <cellStyle name="20% - Accent2 3 7 2 4" xfId="4222"/>
    <cellStyle name="20% - Accent2 3 7 2 5" xfId="4223"/>
    <cellStyle name="20% - Accent2 3 7 2 6" xfId="4224"/>
    <cellStyle name="20% - Accent2 3 7 2 7" xfId="4225"/>
    <cellStyle name="20% - Accent2 3 7 3" xfId="4226"/>
    <cellStyle name="20% - Accent2 3 7 3 2" xfId="4227"/>
    <cellStyle name="20% - Accent2 3 7 3 3" xfId="4228"/>
    <cellStyle name="20% - Accent2 3 7 3 4" xfId="4229"/>
    <cellStyle name="20% - Accent2 3 7 3 5" xfId="4230"/>
    <cellStyle name="20% - Accent2 3 7 3 6" xfId="4231"/>
    <cellStyle name="20% - Accent2 3 7 4" xfId="4232"/>
    <cellStyle name="20% - Accent2 3 7 5" xfId="4233"/>
    <cellStyle name="20% - Accent2 3 7 6" xfId="4234"/>
    <cellStyle name="20% - Accent2 3 7 7" xfId="4235"/>
    <cellStyle name="20% - Accent2 3 7 8" xfId="4236"/>
    <cellStyle name="20% - Accent2 3 7 9" xfId="4237"/>
    <cellStyle name="20% - Accent2 3 8" xfId="4238"/>
    <cellStyle name="20% - Accent2 3 8 2" xfId="4239"/>
    <cellStyle name="20% - Accent2 3 8 2 2" xfId="4240"/>
    <cellStyle name="20% - Accent2 3 8 2 3" xfId="4241"/>
    <cellStyle name="20% - Accent2 3 8 2 4" xfId="4242"/>
    <cellStyle name="20% - Accent2 3 8 2 5" xfId="4243"/>
    <cellStyle name="20% - Accent2 3 8 2 6" xfId="4244"/>
    <cellStyle name="20% - Accent2 3 8 2 7" xfId="4245"/>
    <cellStyle name="20% - Accent2 3 8 3" xfId="4246"/>
    <cellStyle name="20% - Accent2 3 8 3 2" xfId="4247"/>
    <cellStyle name="20% - Accent2 3 8 3 3" xfId="4248"/>
    <cellStyle name="20% - Accent2 3 8 3 4" xfId="4249"/>
    <cellStyle name="20% - Accent2 3 8 3 5" xfId="4250"/>
    <cellStyle name="20% - Accent2 3 8 3 6" xfId="4251"/>
    <cellStyle name="20% - Accent2 3 8 4" xfId="4252"/>
    <cellStyle name="20% - Accent2 3 8 5" xfId="4253"/>
    <cellStyle name="20% - Accent2 3 8 6" xfId="4254"/>
    <cellStyle name="20% - Accent2 3 8 7" xfId="4255"/>
    <cellStyle name="20% - Accent2 3 8 8" xfId="4256"/>
    <cellStyle name="20% - Accent2 3 8 9" xfId="4257"/>
    <cellStyle name="20% - Accent2 3 9" xfId="4258"/>
    <cellStyle name="20% - Accent2 3 9 2" xfId="4259"/>
    <cellStyle name="20% - Accent2 3 9 2 2" xfId="4260"/>
    <cellStyle name="20% - Accent2 3 9 2 3" xfId="4261"/>
    <cellStyle name="20% - Accent2 3 9 2 4" xfId="4262"/>
    <cellStyle name="20% - Accent2 3 9 2 5" xfId="4263"/>
    <cellStyle name="20% - Accent2 3 9 2 6" xfId="4264"/>
    <cellStyle name="20% - Accent2 3 9 3" xfId="4265"/>
    <cellStyle name="20% - Accent2 3 9 4" xfId="4266"/>
    <cellStyle name="20% - Accent2 3 9 5" xfId="4267"/>
    <cellStyle name="20% - Accent2 3 9 6" xfId="4268"/>
    <cellStyle name="20% - Accent2 3 9 7" xfId="4269"/>
    <cellStyle name="20% - Accent2 3 9 8" xfId="4270"/>
    <cellStyle name="20% - Accent2 30" xfId="4271"/>
    <cellStyle name="20% - Accent2 30 2" xfId="4272"/>
    <cellStyle name="20% - Accent2 31" xfId="4273"/>
    <cellStyle name="20% - Accent2 32" xfId="4274"/>
    <cellStyle name="20% - Accent2 33" xfId="4275"/>
    <cellStyle name="20% - Accent2 34" xfId="4276"/>
    <cellStyle name="20% - Accent2 4" xfId="4277"/>
    <cellStyle name="20% - Accent2 4 10" xfId="4278"/>
    <cellStyle name="20% - Accent2 4 10 2" xfId="4279"/>
    <cellStyle name="20% - Accent2 4 10 3" xfId="4280"/>
    <cellStyle name="20% - Accent2 4 10 4" xfId="4281"/>
    <cellStyle name="20% - Accent2 4 10 5" xfId="4282"/>
    <cellStyle name="20% - Accent2 4 10 6" xfId="4283"/>
    <cellStyle name="20% - Accent2 4 10 7" xfId="4284"/>
    <cellStyle name="20% - Accent2 4 11" xfId="4285"/>
    <cellStyle name="20% - Accent2 4 11 2" xfId="4286"/>
    <cellStyle name="20% - Accent2 4 11 3" xfId="4287"/>
    <cellStyle name="20% - Accent2 4 11 4" xfId="4288"/>
    <cellStyle name="20% - Accent2 4 11 5" xfId="4289"/>
    <cellStyle name="20% - Accent2 4 11 6" xfId="4290"/>
    <cellStyle name="20% - Accent2 4 12" xfId="4291"/>
    <cellStyle name="20% - Accent2 4 12 2" xfId="4292"/>
    <cellStyle name="20% - Accent2 4 13" xfId="4293"/>
    <cellStyle name="20% - Accent2 4 14" xfId="4294"/>
    <cellStyle name="20% - Accent2 4 15" xfId="4295"/>
    <cellStyle name="20% - Accent2 4 16" xfId="4296"/>
    <cellStyle name="20% - Accent2 4 17" xfId="4297"/>
    <cellStyle name="20% - Accent2 4 2" xfId="4298"/>
    <cellStyle name="20% - Accent2 4 2 2" xfId="4299"/>
    <cellStyle name="20% - Accent2 4 2 2 2" xfId="4300"/>
    <cellStyle name="20% - Accent2 4 2 2 3" xfId="4301"/>
    <cellStyle name="20% - Accent2 4 2 2 4" xfId="4302"/>
    <cellStyle name="20% - Accent2 4 2 2 5" xfId="4303"/>
    <cellStyle name="20% - Accent2 4 2 2 6" xfId="4304"/>
    <cellStyle name="20% - Accent2 4 2 2 7" xfId="4305"/>
    <cellStyle name="20% - Accent2 4 2 3" xfId="4306"/>
    <cellStyle name="20% - Accent2 4 2 3 2" xfId="4307"/>
    <cellStyle name="20% - Accent2 4 2 3 3" xfId="4308"/>
    <cellStyle name="20% - Accent2 4 2 3 4" xfId="4309"/>
    <cellStyle name="20% - Accent2 4 2 3 5" xfId="4310"/>
    <cellStyle name="20% - Accent2 4 2 3 6" xfId="4311"/>
    <cellStyle name="20% - Accent2 4 2 4" xfId="4312"/>
    <cellStyle name="20% - Accent2 4 2 4 2" xfId="4313"/>
    <cellStyle name="20% - Accent2 4 2 5" xfId="4314"/>
    <cellStyle name="20% - Accent2 4 2 6" xfId="4315"/>
    <cellStyle name="20% - Accent2 4 2 7" xfId="4316"/>
    <cellStyle name="20% - Accent2 4 2 8" xfId="4317"/>
    <cellStyle name="20% - Accent2 4 2 9" xfId="4318"/>
    <cellStyle name="20% - Accent2 4 3" xfId="4319"/>
    <cellStyle name="20% - Accent2 4 3 2" xfId="4320"/>
    <cellStyle name="20% - Accent2 4 3 2 2" xfId="4321"/>
    <cellStyle name="20% - Accent2 4 3 2 3" xfId="4322"/>
    <cellStyle name="20% - Accent2 4 3 2 4" xfId="4323"/>
    <cellStyle name="20% - Accent2 4 3 2 5" xfId="4324"/>
    <cellStyle name="20% - Accent2 4 3 2 6" xfId="4325"/>
    <cellStyle name="20% - Accent2 4 3 2 7" xfId="4326"/>
    <cellStyle name="20% - Accent2 4 3 3" xfId="4327"/>
    <cellStyle name="20% - Accent2 4 3 3 2" xfId="4328"/>
    <cellStyle name="20% - Accent2 4 3 3 3" xfId="4329"/>
    <cellStyle name="20% - Accent2 4 3 3 4" xfId="4330"/>
    <cellStyle name="20% - Accent2 4 3 3 5" xfId="4331"/>
    <cellStyle name="20% - Accent2 4 3 3 6" xfId="4332"/>
    <cellStyle name="20% - Accent2 4 3 4" xfId="4333"/>
    <cellStyle name="20% - Accent2 4 3 4 2" xfId="4334"/>
    <cellStyle name="20% - Accent2 4 3 5" xfId="4335"/>
    <cellStyle name="20% - Accent2 4 3 6" xfId="4336"/>
    <cellStyle name="20% - Accent2 4 3 7" xfId="4337"/>
    <cellStyle name="20% - Accent2 4 3 8" xfId="4338"/>
    <cellStyle name="20% - Accent2 4 3 9" xfId="4339"/>
    <cellStyle name="20% - Accent2 4 4" xfId="4340"/>
    <cellStyle name="20% - Accent2 4 4 2" xfId="4341"/>
    <cellStyle name="20% - Accent2 4 4 2 2" xfId="4342"/>
    <cellStyle name="20% - Accent2 4 4 2 3" xfId="4343"/>
    <cellStyle name="20% - Accent2 4 4 2 4" xfId="4344"/>
    <cellStyle name="20% - Accent2 4 4 2 5" xfId="4345"/>
    <cellStyle name="20% - Accent2 4 4 2 6" xfId="4346"/>
    <cellStyle name="20% - Accent2 4 4 2 7" xfId="4347"/>
    <cellStyle name="20% - Accent2 4 4 3" xfId="4348"/>
    <cellStyle name="20% - Accent2 4 4 3 2" xfId="4349"/>
    <cellStyle name="20% - Accent2 4 4 3 3" xfId="4350"/>
    <cellStyle name="20% - Accent2 4 4 3 4" xfId="4351"/>
    <cellStyle name="20% - Accent2 4 4 3 5" xfId="4352"/>
    <cellStyle name="20% - Accent2 4 4 3 6" xfId="4353"/>
    <cellStyle name="20% - Accent2 4 4 4" xfId="4354"/>
    <cellStyle name="20% - Accent2 4 4 5" xfId="4355"/>
    <cellStyle name="20% - Accent2 4 4 6" xfId="4356"/>
    <cellStyle name="20% - Accent2 4 4 7" xfId="4357"/>
    <cellStyle name="20% - Accent2 4 4 8" xfId="4358"/>
    <cellStyle name="20% - Accent2 4 4 9" xfId="4359"/>
    <cellStyle name="20% - Accent2 4 5" xfId="4360"/>
    <cellStyle name="20% - Accent2 4 5 2" xfId="4361"/>
    <cellStyle name="20% - Accent2 4 5 2 2" xfId="4362"/>
    <cellStyle name="20% - Accent2 4 5 2 3" xfId="4363"/>
    <cellStyle name="20% - Accent2 4 5 2 4" xfId="4364"/>
    <cellStyle name="20% - Accent2 4 5 2 5" xfId="4365"/>
    <cellStyle name="20% - Accent2 4 5 2 6" xfId="4366"/>
    <cellStyle name="20% - Accent2 4 5 2 7" xfId="4367"/>
    <cellStyle name="20% - Accent2 4 5 3" xfId="4368"/>
    <cellStyle name="20% - Accent2 4 5 3 2" xfId="4369"/>
    <cellStyle name="20% - Accent2 4 5 3 3" xfId="4370"/>
    <cellStyle name="20% - Accent2 4 5 3 4" xfId="4371"/>
    <cellStyle name="20% - Accent2 4 5 3 5" xfId="4372"/>
    <cellStyle name="20% - Accent2 4 5 3 6" xfId="4373"/>
    <cellStyle name="20% - Accent2 4 5 4" xfId="4374"/>
    <cellStyle name="20% - Accent2 4 5 5" xfId="4375"/>
    <cellStyle name="20% - Accent2 4 5 6" xfId="4376"/>
    <cellStyle name="20% - Accent2 4 5 7" xfId="4377"/>
    <cellStyle name="20% - Accent2 4 5 8" xfId="4378"/>
    <cellStyle name="20% - Accent2 4 5 9" xfId="4379"/>
    <cellStyle name="20% - Accent2 4 6" xfId="4380"/>
    <cellStyle name="20% - Accent2 4 6 2" xfId="4381"/>
    <cellStyle name="20% - Accent2 4 6 2 2" xfId="4382"/>
    <cellStyle name="20% - Accent2 4 6 2 3" xfId="4383"/>
    <cellStyle name="20% - Accent2 4 6 2 4" xfId="4384"/>
    <cellStyle name="20% - Accent2 4 6 2 5" xfId="4385"/>
    <cellStyle name="20% - Accent2 4 6 2 6" xfId="4386"/>
    <cellStyle name="20% - Accent2 4 6 2 7" xfId="4387"/>
    <cellStyle name="20% - Accent2 4 6 3" xfId="4388"/>
    <cellStyle name="20% - Accent2 4 6 3 2" xfId="4389"/>
    <cellStyle name="20% - Accent2 4 6 3 3" xfId="4390"/>
    <cellStyle name="20% - Accent2 4 6 3 4" xfId="4391"/>
    <cellStyle name="20% - Accent2 4 6 3 5" xfId="4392"/>
    <cellStyle name="20% - Accent2 4 6 3 6" xfId="4393"/>
    <cellStyle name="20% - Accent2 4 6 4" xfId="4394"/>
    <cellStyle name="20% - Accent2 4 6 5" xfId="4395"/>
    <cellStyle name="20% - Accent2 4 6 6" xfId="4396"/>
    <cellStyle name="20% - Accent2 4 6 7" xfId="4397"/>
    <cellStyle name="20% - Accent2 4 6 8" xfId="4398"/>
    <cellStyle name="20% - Accent2 4 6 9" xfId="4399"/>
    <cellStyle name="20% - Accent2 4 7" xfId="4400"/>
    <cellStyle name="20% - Accent2 4 7 2" xfId="4401"/>
    <cellStyle name="20% - Accent2 4 7 2 2" xfId="4402"/>
    <cellStyle name="20% - Accent2 4 7 2 3" xfId="4403"/>
    <cellStyle name="20% - Accent2 4 7 2 4" xfId="4404"/>
    <cellStyle name="20% - Accent2 4 7 2 5" xfId="4405"/>
    <cellStyle name="20% - Accent2 4 7 2 6" xfId="4406"/>
    <cellStyle name="20% - Accent2 4 7 2 7" xfId="4407"/>
    <cellStyle name="20% - Accent2 4 7 3" xfId="4408"/>
    <cellStyle name="20% - Accent2 4 7 3 2" xfId="4409"/>
    <cellStyle name="20% - Accent2 4 7 3 3" xfId="4410"/>
    <cellStyle name="20% - Accent2 4 7 3 4" xfId="4411"/>
    <cellStyle name="20% - Accent2 4 7 3 5" xfId="4412"/>
    <cellStyle name="20% - Accent2 4 7 3 6" xfId="4413"/>
    <cellStyle name="20% - Accent2 4 7 4" xfId="4414"/>
    <cellStyle name="20% - Accent2 4 7 5" xfId="4415"/>
    <cellStyle name="20% - Accent2 4 7 6" xfId="4416"/>
    <cellStyle name="20% - Accent2 4 7 7" xfId="4417"/>
    <cellStyle name="20% - Accent2 4 7 8" xfId="4418"/>
    <cellStyle name="20% - Accent2 4 7 9" xfId="4419"/>
    <cellStyle name="20% - Accent2 4 8" xfId="4420"/>
    <cellStyle name="20% - Accent2 4 8 2" xfId="4421"/>
    <cellStyle name="20% - Accent2 4 8 2 2" xfId="4422"/>
    <cellStyle name="20% - Accent2 4 8 2 3" xfId="4423"/>
    <cellStyle name="20% - Accent2 4 8 2 4" xfId="4424"/>
    <cellStyle name="20% - Accent2 4 8 2 5" xfId="4425"/>
    <cellStyle name="20% - Accent2 4 8 2 6" xfId="4426"/>
    <cellStyle name="20% - Accent2 4 8 2 7" xfId="4427"/>
    <cellStyle name="20% - Accent2 4 8 3" xfId="4428"/>
    <cellStyle name="20% - Accent2 4 8 3 2" xfId="4429"/>
    <cellStyle name="20% - Accent2 4 8 3 3" xfId="4430"/>
    <cellStyle name="20% - Accent2 4 8 3 4" xfId="4431"/>
    <cellStyle name="20% - Accent2 4 8 3 5" xfId="4432"/>
    <cellStyle name="20% - Accent2 4 8 3 6" xfId="4433"/>
    <cellStyle name="20% - Accent2 4 8 4" xfId="4434"/>
    <cellStyle name="20% - Accent2 4 8 5" xfId="4435"/>
    <cellStyle name="20% - Accent2 4 8 6" xfId="4436"/>
    <cellStyle name="20% - Accent2 4 8 7" xfId="4437"/>
    <cellStyle name="20% - Accent2 4 8 8" xfId="4438"/>
    <cellStyle name="20% - Accent2 4 8 9" xfId="4439"/>
    <cellStyle name="20% - Accent2 4 9" xfId="4440"/>
    <cellStyle name="20% - Accent2 4 9 2" xfId="4441"/>
    <cellStyle name="20% - Accent2 4 9 2 2" xfId="4442"/>
    <cellStyle name="20% - Accent2 4 9 2 3" xfId="4443"/>
    <cellStyle name="20% - Accent2 4 9 2 4" xfId="4444"/>
    <cellStyle name="20% - Accent2 4 9 2 5" xfId="4445"/>
    <cellStyle name="20% - Accent2 4 9 2 6" xfId="4446"/>
    <cellStyle name="20% - Accent2 4 9 3" xfId="4447"/>
    <cellStyle name="20% - Accent2 4 9 4" xfId="4448"/>
    <cellStyle name="20% - Accent2 4 9 5" xfId="4449"/>
    <cellStyle name="20% - Accent2 4 9 6" xfId="4450"/>
    <cellStyle name="20% - Accent2 4 9 7" xfId="4451"/>
    <cellStyle name="20% - Accent2 4 9 8" xfId="4452"/>
    <cellStyle name="20% - Accent2 5" xfId="4453"/>
    <cellStyle name="20% - Accent2 5 10" xfId="4454"/>
    <cellStyle name="20% - Accent2 5 10 2" xfId="4455"/>
    <cellStyle name="20% - Accent2 5 10 3" xfId="4456"/>
    <cellStyle name="20% - Accent2 5 10 4" xfId="4457"/>
    <cellStyle name="20% - Accent2 5 10 5" xfId="4458"/>
    <cellStyle name="20% - Accent2 5 10 6" xfId="4459"/>
    <cellStyle name="20% - Accent2 5 10 7" xfId="4460"/>
    <cellStyle name="20% - Accent2 5 11" xfId="4461"/>
    <cellStyle name="20% - Accent2 5 11 2" xfId="4462"/>
    <cellStyle name="20% - Accent2 5 11 3" xfId="4463"/>
    <cellStyle name="20% - Accent2 5 11 4" xfId="4464"/>
    <cellStyle name="20% - Accent2 5 11 5" xfId="4465"/>
    <cellStyle name="20% - Accent2 5 11 6" xfId="4466"/>
    <cellStyle name="20% - Accent2 5 12" xfId="4467"/>
    <cellStyle name="20% - Accent2 5 12 2" xfId="4468"/>
    <cellStyle name="20% - Accent2 5 13" xfId="4469"/>
    <cellStyle name="20% - Accent2 5 14" xfId="4470"/>
    <cellStyle name="20% - Accent2 5 15" xfId="4471"/>
    <cellStyle name="20% - Accent2 5 16" xfId="4472"/>
    <cellStyle name="20% - Accent2 5 17" xfId="4473"/>
    <cellStyle name="20% - Accent2 5 2" xfId="4474"/>
    <cellStyle name="20% - Accent2 5 2 2" xfId="4475"/>
    <cellStyle name="20% - Accent2 5 2 2 2" xfId="4476"/>
    <cellStyle name="20% - Accent2 5 2 2 3" xfId="4477"/>
    <cellStyle name="20% - Accent2 5 2 2 4" xfId="4478"/>
    <cellStyle name="20% - Accent2 5 2 2 5" xfId="4479"/>
    <cellStyle name="20% - Accent2 5 2 2 6" xfId="4480"/>
    <cellStyle name="20% - Accent2 5 2 2 7" xfId="4481"/>
    <cellStyle name="20% - Accent2 5 2 3" xfId="4482"/>
    <cellStyle name="20% - Accent2 5 2 3 2" xfId="4483"/>
    <cellStyle name="20% - Accent2 5 2 3 3" xfId="4484"/>
    <cellStyle name="20% - Accent2 5 2 3 4" xfId="4485"/>
    <cellStyle name="20% - Accent2 5 2 3 5" xfId="4486"/>
    <cellStyle name="20% - Accent2 5 2 3 6" xfId="4487"/>
    <cellStyle name="20% - Accent2 5 2 4" xfId="4488"/>
    <cellStyle name="20% - Accent2 5 2 4 2" xfId="4489"/>
    <cellStyle name="20% - Accent2 5 2 5" xfId="4490"/>
    <cellStyle name="20% - Accent2 5 2 6" xfId="4491"/>
    <cellStyle name="20% - Accent2 5 2 7" xfId="4492"/>
    <cellStyle name="20% - Accent2 5 2 8" xfId="4493"/>
    <cellStyle name="20% - Accent2 5 2 9" xfId="4494"/>
    <cellStyle name="20% - Accent2 5 3" xfId="4495"/>
    <cellStyle name="20% - Accent2 5 3 2" xfId="4496"/>
    <cellStyle name="20% - Accent2 5 3 2 2" xfId="4497"/>
    <cellStyle name="20% - Accent2 5 3 2 3" xfId="4498"/>
    <cellStyle name="20% - Accent2 5 3 2 4" xfId="4499"/>
    <cellStyle name="20% - Accent2 5 3 2 5" xfId="4500"/>
    <cellStyle name="20% - Accent2 5 3 2 6" xfId="4501"/>
    <cellStyle name="20% - Accent2 5 3 2 7" xfId="4502"/>
    <cellStyle name="20% - Accent2 5 3 3" xfId="4503"/>
    <cellStyle name="20% - Accent2 5 3 3 2" xfId="4504"/>
    <cellStyle name="20% - Accent2 5 3 3 3" xfId="4505"/>
    <cellStyle name="20% - Accent2 5 3 3 4" xfId="4506"/>
    <cellStyle name="20% - Accent2 5 3 3 5" xfId="4507"/>
    <cellStyle name="20% - Accent2 5 3 3 6" xfId="4508"/>
    <cellStyle name="20% - Accent2 5 3 4" xfId="4509"/>
    <cellStyle name="20% - Accent2 5 3 4 2" xfId="4510"/>
    <cellStyle name="20% - Accent2 5 3 5" xfId="4511"/>
    <cellStyle name="20% - Accent2 5 3 6" xfId="4512"/>
    <cellStyle name="20% - Accent2 5 3 7" xfId="4513"/>
    <cellStyle name="20% - Accent2 5 3 8" xfId="4514"/>
    <cellStyle name="20% - Accent2 5 3 9" xfId="4515"/>
    <cellStyle name="20% - Accent2 5 4" xfId="4516"/>
    <cellStyle name="20% - Accent2 5 4 2" xfId="4517"/>
    <cellStyle name="20% - Accent2 5 4 2 2" xfId="4518"/>
    <cellStyle name="20% - Accent2 5 4 2 3" xfId="4519"/>
    <cellStyle name="20% - Accent2 5 4 2 4" xfId="4520"/>
    <cellStyle name="20% - Accent2 5 4 2 5" xfId="4521"/>
    <cellStyle name="20% - Accent2 5 4 2 6" xfId="4522"/>
    <cellStyle name="20% - Accent2 5 4 2 7" xfId="4523"/>
    <cellStyle name="20% - Accent2 5 4 3" xfId="4524"/>
    <cellStyle name="20% - Accent2 5 4 3 2" xfId="4525"/>
    <cellStyle name="20% - Accent2 5 4 3 3" xfId="4526"/>
    <cellStyle name="20% - Accent2 5 4 3 4" xfId="4527"/>
    <cellStyle name="20% - Accent2 5 4 3 5" xfId="4528"/>
    <cellStyle name="20% - Accent2 5 4 3 6" xfId="4529"/>
    <cellStyle name="20% - Accent2 5 4 4" xfId="4530"/>
    <cellStyle name="20% - Accent2 5 4 5" xfId="4531"/>
    <cellStyle name="20% - Accent2 5 4 6" xfId="4532"/>
    <cellStyle name="20% - Accent2 5 4 7" xfId="4533"/>
    <cellStyle name="20% - Accent2 5 4 8" xfId="4534"/>
    <cellStyle name="20% - Accent2 5 4 9" xfId="4535"/>
    <cellStyle name="20% - Accent2 5 5" xfId="4536"/>
    <cellStyle name="20% - Accent2 5 5 2" xfId="4537"/>
    <cellStyle name="20% - Accent2 5 5 2 2" xfId="4538"/>
    <cellStyle name="20% - Accent2 5 5 2 3" xfId="4539"/>
    <cellStyle name="20% - Accent2 5 5 2 4" xfId="4540"/>
    <cellStyle name="20% - Accent2 5 5 2 5" xfId="4541"/>
    <cellStyle name="20% - Accent2 5 5 2 6" xfId="4542"/>
    <cellStyle name="20% - Accent2 5 5 2 7" xfId="4543"/>
    <cellStyle name="20% - Accent2 5 5 3" xfId="4544"/>
    <cellStyle name="20% - Accent2 5 5 3 2" xfId="4545"/>
    <cellStyle name="20% - Accent2 5 5 3 3" xfId="4546"/>
    <cellStyle name="20% - Accent2 5 5 3 4" xfId="4547"/>
    <cellStyle name="20% - Accent2 5 5 3 5" xfId="4548"/>
    <cellStyle name="20% - Accent2 5 5 3 6" xfId="4549"/>
    <cellStyle name="20% - Accent2 5 5 4" xfId="4550"/>
    <cellStyle name="20% - Accent2 5 5 5" xfId="4551"/>
    <cellStyle name="20% - Accent2 5 5 6" xfId="4552"/>
    <cellStyle name="20% - Accent2 5 5 7" xfId="4553"/>
    <cellStyle name="20% - Accent2 5 5 8" xfId="4554"/>
    <cellStyle name="20% - Accent2 5 5 9" xfId="4555"/>
    <cellStyle name="20% - Accent2 5 6" xfId="4556"/>
    <cellStyle name="20% - Accent2 5 6 2" xfId="4557"/>
    <cellStyle name="20% - Accent2 5 6 2 2" xfId="4558"/>
    <cellStyle name="20% - Accent2 5 6 2 3" xfId="4559"/>
    <cellStyle name="20% - Accent2 5 6 2 4" xfId="4560"/>
    <cellStyle name="20% - Accent2 5 6 2 5" xfId="4561"/>
    <cellStyle name="20% - Accent2 5 6 2 6" xfId="4562"/>
    <cellStyle name="20% - Accent2 5 6 2 7" xfId="4563"/>
    <cellStyle name="20% - Accent2 5 6 3" xfId="4564"/>
    <cellStyle name="20% - Accent2 5 6 3 2" xfId="4565"/>
    <cellStyle name="20% - Accent2 5 6 3 3" xfId="4566"/>
    <cellStyle name="20% - Accent2 5 6 3 4" xfId="4567"/>
    <cellStyle name="20% - Accent2 5 6 3 5" xfId="4568"/>
    <cellStyle name="20% - Accent2 5 6 3 6" xfId="4569"/>
    <cellStyle name="20% - Accent2 5 6 4" xfId="4570"/>
    <cellStyle name="20% - Accent2 5 6 5" xfId="4571"/>
    <cellStyle name="20% - Accent2 5 6 6" xfId="4572"/>
    <cellStyle name="20% - Accent2 5 6 7" xfId="4573"/>
    <cellStyle name="20% - Accent2 5 6 8" xfId="4574"/>
    <cellStyle name="20% - Accent2 5 6 9" xfId="4575"/>
    <cellStyle name="20% - Accent2 5 7" xfId="4576"/>
    <cellStyle name="20% - Accent2 5 7 2" xfId="4577"/>
    <cellStyle name="20% - Accent2 5 7 2 2" xfId="4578"/>
    <cellStyle name="20% - Accent2 5 7 2 3" xfId="4579"/>
    <cellStyle name="20% - Accent2 5 7 2 4" xfId="4580"/>
    <cellStyle name="20% - Accent2 5 7 2 5" xfId="4581"/>
    <cellStyle name="20% - Accent2 5 7 2 6" xfId="4582"/>
    <cellStyle name="20% - Accent2 5 7 2 7" xfId="4583"/>
    <cellStyle name="20% - Accent2 5 7 3" xfId="4584"/>
    <cellStyle name="20% - Accent2 5 7 3 2" xfId="4585"/>
    <cellStyle name="20% - Accent2 5 7 3 3" xfId="4586"/>
    <cellStyle name="20% - Accent2 5 7 3 4" xfId="4587"/>
    <cellStyle name="20% - Accent2 5 7 3 5" xfId="4588"/>
    <cellStyle name="20% - Accent2 5 7 3 6" xfId="4589"/>
    <cellStyle name="20% - Accent2 5 7 4" xfId="4590"/>
    <cellStyle name="20% - Accent2 5 7 5" xfId="4591"/>
    <cellStyle name="20% - Accent2 5 7 6" xfId="4592"/>
    <cellStyle name="20% - Accent2 5 7 7" xfId="4593"/>
    <cellStyle name="20% - Accent2 5 7 8" xfId="4594"/>
    <cellStyle name="20% - Accent2 5 7 9" xfId="4595"/>
    <cellStyle name="20% - Accent2 5 8" xfId="4596"/>
    <cellStyle name="20% - Accent2 5 8 2" xfId="4597"/>
    <cellStyle name="20% - Accent2 5 8 2 2" xfId="4598"/>
    <cellStyle name="20% - Accent2 5 8 2 3" xfId="4599"/>
    <cellStyle name="20% - Accent2 5 8 2 4" xfId="4600"/>
    <cellStyle name="20% - Accent2 5 8 2 5" xfId="4601"/>
    <cellStyle name="20% - Accent2 5 8 2 6" xfId="4602"/>
    <cellStyle name="20% - Accent2 5 8 2 7" xfId="4603"/>
    <cellStyle name="20% - Accent2 5 8 3" xfId="4604"/>
    <cellStyle name="20% - Accent2 5 8 3 2" xfId="4605"/>
    <cellStyle name="20% - Accent2 5 8 3 3" xfId="4606"/>
    <cellStyle name="20% - Accent2 5 8 3 4" xfId="4607"/>
    <cellStyle name="20% - Accent2 5 8 3 5" xfId="4608"/>
    <cellStyle name="20% - Accent2 5 8 3 6" xfId="4609"/>
    <cellStyle name="20% - Accent2 5 8 4" xfId="4610"/>
    <cellStyle name="20% - Accent2 5 8 5" xfId="4611"/>
    <cellStyle name="20% - Accent2 5 8 6" xfId="4612"/>
    <cellStyle name="20% - Accent2 5 8 7" xfId="4613"/>
    <cellStyle name="20% - Accent2 5 8 8" xfId="4614"/>
    <cellStyle name="20% - Accent2 5 8 9" xfId="4615"/>
    <cellStyle name="20% - Accent2 5 9" xfId="4616"/>
    <cellStyle name="20% - Accent2 5 9 2" xfId="4617"/>
    <cellStyle name="20% - Accent2 5 9 2 2" xfId="4618"/>
    <cellStyle name="20% - Accent2 5 9 2 3" xfId="4619"/>
    <cellStyle name="20% - Accent2 5 9 2 4" xfId="4620"/>
    <cellStyle name="20% - Accent2 5 9 2 5" xfId="4621"/>
    <cellStyle name="20% - Accent2 5 9 2 6" xfId="4622"/>
    <cellStyle name="20% - Accent2 5 9 3" xfId="4623"/>
    <cellStyle name="20% - Accent2 5 9 4" xfId="4624"/>
    <cellStyle name="20% - Accent2 5 9 5" xfId="4625"/>
    <cellStyle name="20% - Accent2 5 9 6" xfId="4626"/>
    <cellStyle name="20% - Accent2 5 9 7" xfId="4627"/>
    <cellStyle name="20% - Accent2 5 9 8" xfId="4628"/>
    <cellStyle name="20% - Accent2 6" xfId="4629"/>
    <cellStyle name="20% - Accent2 6 10" xfId="4630"/>
    <cellStyle name="20% - Accent2 6 10 2" xfId="4631"/>
    <cellStyle name="20% - Accent2 6 10 3" xfId="4632"/>
    <cellStyle name="20% - Accent2 6 10 4" xfId="4633"/>
    <cellStyle name="20% - Accent2 6 10 5" xfId="4634"/>
    <cellStyle name="20% - Accent2 6 10 6" xfId="4635"/>
    <cellStyle name="20% - Accent2 6 10 7" xfId="4636"/>
    <cellStyle name="20% - Accent2 6 11" xfId="4637"/>
    <cellStyle name="20% - Accent2 6 11 2" xfId="4638"/>
    <cellStyle name="20% - Accent2 6 11 3" xfId="4639"/>
    <cellStyle name="20% - Accent2 6 11 4" xfId="4640"/>
    <cellStyle name="20% - Accent2 6 11 5" xfId="4641"/>
    <cellStyle name="20% - Accent2 6 11 6" xfId="4642"/>
    <cellStyle name="20% - Accent2 6 12" xfId="4643"/>
    <cellStyle name="20% - Accent2 6 12 2" xfId="4644"/>
    <cellStyle name="20% - Accent2 6 13" xfId="4645"/>
    <cellStyle name="20% - Accent2 6 14" xfId="4646"/>
    <cellStyle name="20% - Accent2 6 15" xfId="4647"/>
    <cellStyle name="20% - Accent2 6 16" xfId="4648"/>
    <cellStyle name="20% - Accent2 6 17" xfId="4649"/>
    <cellStyle name="20% - Accent2 6 2" xfId="4650"/>
    <cellStyle name="20% - Accent2 6 2 2" xfId="4651"/>
    <cellStyle name="20% - Accent2 6 2 2 2" xfId="4652"/>
    <cellStyle name="20% - Accent2 6 2 2 3" xfId="4653"/>
    <cellStyle name="20% - Accent2 6 2 2 4" xfId="4654"/>
    <cellStyle name="20% - Accent2 6 2 2 5" xfId="4655"/>
    <cellStyle name="20% - Accent2 6 2 2 6" xfId="4656"/>
    <cellStyle name="20% - Accent2 6 2 2 7" xfId="4657"/>
    <cellStyle name="20% - Accent2 6 2 3" xfId="4658"/>
    <cellStyle name="20% - Accent2 6 2 3 2" xfId="4659"/>
    <cellStyle name="20% - Accent2 6 2 3 3" xfId="4660"/>
    <cellStyle name="20% - Accent2 6 2 3 4" xfId="4661"/>
    <cellStyle name="20% - Accent2 6 2 3 5" xfId="4662"/>
    <cellStyle name="20% - Accent2 6 2 3 6" xfId="4663"/>
    <cellStyle name="20% - Accent2 6 2 4" xfId="4664"/>
    <cellStyle name="20% - Accent2 6 2 4 2" xfId="4665"/>
    <cellStyle name="20% - Accent2 6 2 5" xfId="4666"/>
    <cellStyle name="20% - Accent2 6 2 6" xfId="4667"/>
    <cellStyle name="20% - Accent2 6 2 7" xfId="4668"/>
    <cellStyle name="20% - Accent2 6 2 8" xfId="4669"/>
    <cellStyle name="20% - Accent2 6 2 9" xfId="4670"/>
    <cellStyle name="20% - Accent2 6 3" xfId="4671"/>
    <cellStyle name="20% - Accent2 6 3 2" xfId="4672"/>
    <cellStyle name="20% - Accent2 6 3 2 2" xfId="4673"/>
    <cellStyle name="20% - Accent2 6 3 2 3" xfId="4674"/>
    <cellStyle name="20% - Accent2 6 3 2 4" xfId="4675"/>
    <cellStyle name="20% - Accent2 6 3 2 5" xfId="4676"/>
    <cellStyle name="20% - Accent2 6 3 2 6" xfId="4677"/>
    <cellStyle name="20% - Accent2 6 3 2 7" xfId="4678"/>
    <cellStyle name="20% - Accent2 6 3 3" xfId="4679"/>
    <cellStyle name="20% - Accent2 6 3 3 2" xfId="4680"/>
    <cellStyle name="20% - Accent2 6 3 3 3" xfId="4681"/>
    <cellStyle name="20% - Accent2 6 3 3 4" xfId="4682"/>
    <cellStyle name="20% - Accent2 6 3 3 5" xfId="4683"/>
    <cellStyle name="20% - Accent2 6 3 3 6" xfId="4684"/>
    <cellStyle name="20% - Accent2 6 3 4" xfId="4685"/>
    <cellStyle name="20% - Accent2 6 3 4 2" xfId="4686"/>
    <cellStyle name="20% - Accent2 6 3 5" xfId="4687"/>
    <cellStyle name="20% - Accent2 6 3 6" xfId="4688"/>
    <cellStyle name="20% - Accent2 6 3 7" xfId="4689"/>
    <cellStyle name="20% - Accent2 6 3 8" xfId="4690"/>
    <cellStyle name="20% - Accent2 6 3 9" xfId="4691"/>
    <cellStyle name="20% - Accent2 6 4" xfId="4692"/>
    <cellStyle name="20% - Accent2 6 4 2" xfId="4693"/>
    <cellStyle name="20% - Accent2 6 4 2 2" xfId="4694"/>
    <cellStyle name="20% - Accent2 6 4 2 3" xfId="4695"/>
    <cellStyle name="20% - Accent2 6 4 2 4" xfId="4696"/>
    <cellStyle name="20% - Accent2 6 4 2 5" xfId="4697"/>
    <cellStyle name="20% - Accent2 6 4 2 6" xfId="4698"/>
    <cellStyle name="20% - Accent2 6 4 2 7" xfId="4699"/>
    <cellStyle name="20% - Accent2 6 4 3" xfId="4700"/>
    <cellStyle name="20% - Accent2 6 4 3 2" xfId="4701"/>
    <cellStyle name="20% - Accent2 6 4 3 3" xfId="4702"/>
    <cellStyle name="20% - Accent2 6 4 3 4" xfId="4703"/>
    <cellStyle name="20% - Accent2 6 4 3 5" xfId="4704"/>
    <cellStyle name="20% - Accent2 6 4 3 6" xfId="4705"/>
    <cellStyle name="20% - Accent2 6 4 4" xfId="4706"/>
    <cellStyle name="20% - Accent2 6 4 5" xfId="4707"/>
    <cellStyle name="20% - Accent2 6 4 6" xfId="4708"/>
    <cellStyle name="20% - Accent2 6 4 7" xfId="4709"/>
    <cellStyle name="20% - Accent2 6 4 8" xfId="4710"/>
    <cellStyle name="20% - Accent2 6 4 9" xfId="4711"/>
    <cellStyle name="20% - Accent2 6 5" xfId="4712"/>
    <cellStyle name="20% - Accent2 6 5 2" xfId="4713"/>
    <cellStyle name="20% - Accent2 6 5 2 2" xfId="4714"/>
    <cellStyle name="20% - Accent2 6 5 2 3" xfId="4715"/>
    <cellStyle name="20% - Accent2 6 5 2 4" xfId="4716"/>
    <cellStyle name="20% - Accent2 6 5 2 5" xfId="4717"/>
    <cellStyle name="20% - Accent2 6 5 2 6" xfId="4718"/>
    <cellStyle name="20% - Accent2 6 5 2 7" xfId="4719"/>
    <cellStyle name="20% - Accent2 6 5 3" xfId="4720"/>
    <cellStyle name="20% - Accent2 6 5 3 2" xfId="4721"/>
    <cellStyle name="20% - Accent2 6 5 3 3" xfId="4722"/>
    <cellStyle name="20% - Accent2 6 5 3 4" xfId="4723"/>
    <cellStyle name="20% - Accent2 6 5 3 5" xfId="4724"/>
    <cellStyle name="20% - Accent2 6 5 3 6" xfId="4725"/>
    <cellStyle name="20% - Accent2 6 5 4" xfId="4726"/>
    <cellStyle name="20% - Accent2 6 5 5" xfId="4727"/>
    <cellStyle name="20% - Accent2 6 5 6" xfId="4728"/>
    <cellStyle name="20% - Accent2 6 5 7" xfId="4729"/>
    <cellStyle name="20% - Accent2 6 5 8" xfId="4730"/>
    <cellStyle name="20% - Accent2 6 5 9" xfId="4731"/>
    <cellStyle name="20% - Accent2 6 6" xfId="4732"/>
    <cellStyle name="20% - Accent2 6 6 2" xfId="4733"/>
    <cellStyle name="20% - Accent2 6 6 2 2" xfId="4734"/>
    <cellStyle name="20% - Accent2 6 6 2 3" xfId="4735"/>
    <cellStyle name="20% - Accent2 6 6 2 4" xfId="4736"/>
    <cellStyle name="20% - Accent2 6 6 2 5" xfId="4737"/>
    <cellStyle name="20% - Accent2 6 6 2 6" xfId="4738"/>
    <cellStyle name="20% - Accent2 6 6 2 7" xfId="4739"/>
    <cellStyle name="20% - Accent2 6 6 3" xfId="4740"/>
    <cellStyle name="20% - Accent2 6 6 3 2" xfId="4741"/>
    <cellStyle name="20% - Accent2 6 6 3 3" xfId="4742"/>
    <cellStyle name="20% - Accent2 6 6 3 4" xfId="4743"/>
    <cellStyle name="20% - Accent2 6 6 3 5" xfId="4744"/>
    <cellStyle name="20% - Accent2 6 6 3 6" xfId="4745"/>
    <cellStyle name="20% - Accent2 6 6 4" xfId="4746"/>
    <cellStyle name="20% - Accent2 6 6 5" xfId="4747"/>
    <cellStyle name="20% - Accent2 6 6 6" xfId="4748"/>
    <cellStyle name="20% - Accent2 6 6 7" xfId="4749"/>
    <cellStyle name="20% - Accent2 6 6 8" xfId="4750"/>
    <cellStyle name="20% - Accent2 6 6 9" xfId="4751"/>
    <cellStyle name="20% - Accent2 6 7" xfId="4752"/>
    <cellStyle name="20% - Accent2 6 7 2" xfId="4753"/>
    <cellStyle name="20% - Accent2 6 7 2 2" xfId="4754"/>
    <cellStyle name="20% - Accent2 6 7 2 3" xfId="4755"/>
    <cellStyle name="20% - Accent2 6 7 2 4" xfId="4756"/>
    <cellStyle name="20% - Accent2 6 7 2 5" xfId="4757"/>
    <cellStyle name="20% - Accent2 6 7 2 6" xfId="4758"/>
    <cellStyle name="20% - Accent2 6 7 2 7" xfId="4759"/>
    <cellStyle name="20% - Accent2 6 7 3" xfId="4760"/>
    <cellStyle name="20% - Accent2 6 7 3 2" xfId="4761"/>
    <cellStyle name="20% - Accent2 6 7 3 3" xfId="4762"/>
    <cellStyle name="20% - Accent2 6 7 3 4" xfId="4763"/>
    <cellStyle name="20% - Accent2 6 7 3 5" xfId="4764"/>
    <cellStyle name="20% - Accent2 6 7 3 6" xfId="4765"/>
    <cellStyle name="20% - Accent2 6 7 4" xfId="4766"/>
    <cellStyle name="20% - Accent2 6 7 5" xfId="4767"/>
    <cellStyle name="20% - Accent2 6 7 6" xfId="4768"/>
    <cellStyle name="20% - Accent2 6 7 7" xfId="4769"/>
    <cellStyle name="20% - Accent2 6 7 8" xfId="4770"/>
    <cellStyle name="20% - Accent2 6 7 9" xfId="4771"/>
    <cellStyle name="20% - Accent2 6 8" xfId="4772"/>
    <cellStyle name="20% - Accent2 6 8 2" xfId="4773"/>
    <cellStyle name="20% - Accent2 6 8 2 2" xfId="4774"/>
    <cellStyle name="20% - Accent2 6 8 2 3" xfId="4775"/>
    <cellStyle name="20% - Accent2 6 8 2 4" xfId="4776"/>
    <cellStyle name="20% - Accent2 6 8 2 5" xfId="4777"/>
    <cellStyle name="20% - Accent2 6 8 2 6" xfId="4778"/>
    <cellStyle name="20% - Accent2 6 8 2 7" xfId="4779"/>
    <cellStyle name="20% - Accent2 6 8 3" xfId="4780"/>
    <cellStyle name="20% - Accent2 6 8 3 2" xfId="4781"/>
    <cellStyle name="20% - Accent2 6 8 3 3" xfId="4782"/>
    <cellStyle name="20% - Accent2 6 8 3 4" xfId="4783"/>
    <cellStyle name="20% - Accent2 6 8 3 5" xfId="4784"/>
    <cellStyle name="20% - Accent2 6 8 3 6" xfId="4785"/>
    <cellStyle name="20% - Accent2 6 8 4" xfId="4786"/>
    <cellStyle name="20% - Accent2 6 8 5" xfId="4787"/>
    <cellStyle name="20% - Accent2 6 8 6" xfId="4788"/>
    <cellStyle name="20% - Accent2 6 8 7" xfId="4789"/>
    <cellStyle name="20% - Accent2 6 8 8" xfId="4790"/>
    <cellStyle name="20% - Accent2 6 8 9" xfId="4791"/>
    <cellStyle name="20% - Accent2 6 9" xfId="4792"/>
    <cellStyle name="20% - Accent2 6 9 2" xfId="4793"/>
    <cellStyle name="20% - Accent2 6 9 2 2" xfId="4794"/>
    <cellStyle name="20% - Accent2 6 9 2 3" xfId="4795"/>
    <cellStyle name="20% - Accent2 6 9 2 4" xfId="4796"/>
    <cellStyle name="20% - Accent2 6 9 2 5" xfId="4797"/>
    <cellStyle name="20% - Accent2 6 9 2 6" xfId="4798"/>
    <cellStyle name="20% - Accent2 6 9 3" xfId="4799"/>
    <cellStyle name="20% - Accent2 6 9 4" xfId="4800"/>
    <cellStyle name="20% - Accent2 6 9 5" xfId="4801"/>
    <cellStyle name="20% - Accent2 6 9 6" xfId="4802"/>
    <cellStyle name="20% - Accent2 6 9 7" xfId="4803"/>
    <cellStyle name="20% - Accent2 6 9 8" xfId="4804"/>
    <cellStyle name="20% - Accent2 7" xfId="4805"/>
    <cellStyle name="20% - Accent2 7 10" xfId="4806"/>
    <cellStyle name="20% - Accent2 7 10 2" xfId="4807"/>
    <cellStyle name="20% - Accent2 7 10 3" xfId="4808"/>
    <cellStyle name="20% - Accent2 7 10 4" xfId="4809"/>
    <cellStyle name="20% - Accent2 7 10 5" xfId="4810"/>
    <cellStyle name="20% - Accent2 7 10 6" xfId="4811"/>
    <cellStyle name="20% - Accent2 7 10 7" xfId="4812"/>
    <cellStyle name="20% - Accent2 7 11" xfId="4813"/>
    <cellStyle name="20% - Accent2 7 11 2" xfId="4814"/>
    <cellStyle name="20% - Accent2 7 11 3" xfId="4815"/>
    <cellStyle name="20% - Accent2 7 11 4" xfId="4816"/>
    <cellStyle name="20% - Accent2 7 11 5" xfId="4817"/>
    <cellStyle name="20% - Accent2 7 11 6" xfId="4818"/>
    <cellStyle name="20% - Accent2 7 12" xfId="4819"/>
    <cellStyle name="20% - Accent2 7 12 2" xfId="4820"/>
    <cellStyle name="20% - Accent2 7 13" xfId="4821"/>
    <cellStyle name="20% - Accent2 7 14" xfId="4822"/>
    <cellStyle name="20% - Accent2 7 15" xfId="4823"/>
    <cellStyle name="20% - Accent2 7 16" xfId="4824"/>
    <cellStyle name="20% - Accent2 7 17" xfId="4825"/>
    <cellStyle name="20% - Accent2 7 2" xfId="4826"/>
    <cellStyle name="20% - Accent2 7 2 2" xfId="4827"/>
    <cellStyle name="20% - Accent2 7 2 2 2" xfId="4828"/>
    <cellStyle name="20% - Accent2 7 2 2 3" xfId="4829"/>
    <cellStyle name="20% - Accent2 7 2 2 4" xfId="4830"/>
    <cellStyle name="20% - Accent2 7 2 2 5" xfId="4831"/>
    <cellStyle name="20% - Accent2 7 2 2 6" xfId="4832"/>
    <cellStyle name="20% - Accent2 7 2 2 7" xfId="4833"/>
    <cellStyle name="20% - Accent2 7 2 3" xfId="4834"/>
    <cellStyle name="20% - Accent2 7 2 3 2" xfId="4835"/>
    <cellStyle name="20% - Accent2 7 2 3 3" xfId="4836"/>
    <cellStyle name="20% - Accent2 7 2 3 4" xfId="4837"/>
    <cellStyle name="20% - Accent2 7 2 3 5" xfId="4838"/>
    <cellStyle name="20% - Accent2 7 2 3 6" xfId="4839"/>
    <cellStyle name="20% - Accent2 7 2 4" xfId="4840"/>
    <cellStyle name="20% - Accent2 7 2 4 2" xfId="4841"/>
    <cellStyle name="20% - Accent2 7 2 5" xfId="4842"/>
    <cellStyle name="20% - Accent2 7 2 6" xfId="4843"/>
    <cellStyle name="20% - Accent2 7 2 7" xfId="4844"/>
    <cellStyle name="20% - Accent2 7 2 8" xfId="4845"/>
    <cellStyle name="20% - Accent2 7 2 9" xfId="4846"/>
    <cellStyle name="20% - Accent2 7 3" xfId="4847"/>
    <cellStyle name="20% - Accent2 7 3 2" xfId="4848"/>
    <cellStyle name="20% - Accent2 7 3 2 2" xfId="4849"/>
    <cellStyle name="20% - Accent2 7 3 2 3" xfId="4850"/>
    <cellStyle name="20% - Accent2 7 3 2 4" xfId="4851"/>
    <cellStyle name="20% - Accent2 7 3 2 5" xfId="4852"/>
    <cellStyle name="20% - Accent2 7 3 2 6" xfId="4853"/>
    <cellStyle name="20% - Accent2 7 3 2 7" xfId="4854"/>
    <cellStyle name="20% - Accent2 7 3 3" xfId="4855"/>
    <cellStyle name="20% - Accent2 7 3 3 2" xfId="4856"/>
    <cellStyle name="20% - Accent2 7 3 3 3" xfId="4857"/>
    <cellStyle name="20% - Accent2 7 3 3 4" xfId="4858"/>
    <cellStyle name="20% - Accent2 7 3 3 5" xfId="4859"/>
    <cellStyle name="20% - Accent2 7 3 3 6" xfId="4860"/>
    <cellStyle name="20% - Accent2 7 3 4" xfId="4861"/>
    <cellStyle name="20% - Accent2 7 3 4 2" xfId="4862"/>
    <cellStyle name="20% - Accent2 7 3 5" xfId="4863"/>
    <cellStyle name="20% - Accent2 7 3 6" xfId="4864"/>
    <cellStyle name="20% - Accent2 7 3 7" xfId="4865"/>
    <cellStyle name="20% - Accent2 7 3 8" xfId="4866"/>
    <cellStyle name="20% - Accent2 7 3 9" xfId="4867"/>
    <cellStyle name="20% - Accent2 7 4" xfId="4868"/>
    <cellStyle name="20% - Accent2 7 4 2" xfId="4869"/>
    <cellStyle name="20% - Accent2 7 4 2 2" xfId="4870"/>
    <cellStyle name="20% - Accent2 7 4 2 3" xfId="4871"/>
    <cellStyle name="20% - Accent2 7 4 2 4" xfId="4872"/>
    <cellStyle name="20% - Accent2 7 4 2 5" xfId="4873"/>
    <cellStyle name="20% - Accent2 7 4 2 6" xfId="4874"/>
    <cellStyle name="20% - Accent2 7 4 2 7" xfId="4875"/>
    <cellStyle name="20% - Accent2 7 4 3" xfId="4876"/>
    <cellStyle name="20% - Accent2 7 4 3 2" xfId="4877"/>
    <cellStyle name="20% - Accent2 7 4 3 3" xfId="4878"/>
    <cellStyle name="20% - Accent2 7 4 3 4" xfId="4879"/>
    <cellStyle name="20% - Accent2 7 4 3 5" xfId="4880"/>
    <cellStyle name="20% - Accent2 7 4 3 6" xfId="4881"/>
    <cellStyle name="20% - Accent2 7 4 4" xfId="4882"/>
    <cellStyle name="20% - Accent2 7 4 5" xfId="4883"/>
    <cellStyle name="20% - Accent2 7 4 6" xfId="4884"/>
    <cellStyle name="20% - Accent2 7 4 7" xfId="4885"/>
    <cellStyle name="20% - Accent2 7 4 8" xfId="4886"/>
    <cellStyle name="20% - Accent2 7 4 9" xfId="4887"/>
    <cellStyle name="20% - Accent2 7 5" xfId="4888"/>
    <cellStyle name="20% - Accent2 7 5 2" xfId="4889"/>
    <cellStyle name="20% - Accent2 7 5 2 2" xfId="4890"/>
    <cellStyle name="20% - Accent2 7 5 2 3" xfId="4891"/>
    <cellStyle name="20% - Accent2 7 5 2 4" xfId="4892"/>
    <cellStyle name="20% - Accent2 7 5 2 5" xfId="4893"/>
    <cellStyle name="20% - Accent2 7 5 2 6" xfId="4894"/>
    <cellStyle name="20% - Accent2 7 5 2 7" xfId="4895"/>
    <cellStyle name="20% - Accent2 7 5 3" xfId="4896"/>
    <cellStyle name="20% - Accent2 7 5 3 2" xfId="4897"/>
    <cellStyle name="20% - Accent2 7 5 3 3" xfId="4898"/>
    <cellStyle name="20% - Accent2 7 5 3 4" xfId="4899"/>
    <cellStyle name="20% - Accent2 7 5 3 5" xfId="4900"/>
    <cellStyle name="20% - Accent2 7 5 3 6" xfId="4901"/>
    <cellStyle name="20% - Accent2 7 5 4" xfId="4902"/>
    <cellStyle name="20% - Accent2 7 5 5" xfId="4903"/>
    <cellStyle name="20% - Accent2 7 5 6" xfId="4904"/>
    <cellStyle name="20% - Accent2 7 5 7" xfId="4905"/>
    <cellStyle name="20% - Accent2 7 5 8" xfId="4906"/>
    <cellStyle name="20% - Accent2 7 5 9" xfId="4907"/>
    <cellStyle name="20% - Accent2 7 6" xfId="4908"/>
    <cellStyle name="20% - Accent2 7 6 2" xfId="4909"/>
    <cellStyle name="20% - Accent2 7 6 2 2" xfId="4910"/>
    <cellStyle name="20% - Accent2 7 6 2 3" xfId="4911"/>
    <cellStyle name="20% - Accent2 7 6 2 4" xfId="4912"/>
    <cellStyle name="20% - Accent2 7 6 2 5" xfId="4913"/>
    <cellStyle name="20% - Accent2 7 6 2 6" xfId="4914"/>
    <cellStyle name="20% - Accent2 7 6 2 7" xfId="4915"/>
    <cellStyle name="20% - Accent2 7 6 3" xfId="4916"/>
    <cellStyle name="20% - Accent2 7 6 3 2" xfId="4917"/>
    <cellStyle name="20% - Accent2 7 6 3 3" xfId="4918"/>
    <cellStyle name="20% - Accent2 7 6 3 4" xfId="4919"/>
    <cellStyle name="20% - Accent2 7 6 3 5" xfId="4920"/>
    <cellStyle name="20% - Accent2 7 6 3 6" xfId="4921"/>
    <cellStyle name="20% - Accent2 7 6 4" xfId="4922"/>
    <cellStyle name="20% - Accent2 7 6 5" xfId="4923"/>
    <cellStyle name="20% - Accent2 7 6 6" xfId="4924"/>
    <cellStyle name="20% - Accent2 7 6 7" xfId="4925"/>
    <cellStyle name="20% - Accent2 7 6 8" xfId="4926"/>
    <cellStyle name="20% - Accent2 7 6 9" xfId="4927"/>
    <cellStyle name="20% - Accent2 7 7" xfId="4928"/>
    <cellStyle name="20% - Accent2 7 7 2" xfId="4929"/>
    <cellStyle name="20% - Accent2 7 7 2 2" xfId="4930"/>
    <cellStyle name="20% - Accent2 7 7 2 3" xfId="4931"/>
    <cellStyle name="20% - Accent2 7 7 2 4" xfId="4932"/>
    <cellStyle name="20% - Accent2 7 7 2 5" xfId="4933"/>
    <cellStyle name="20% - Accent2 7 7 2 6" xfId="4934"/>
    <cellStyle name="20% - Accent2 7 7 2 7" xfId="4935"/>
    <cellStyle name="20% - Accent2 7 7 3" xfId="4936"/>
    <cellStyle name="20% - Accent2 7 7 3 2" xfId="4937"/>
    <cellStyle name="20% - Accent2 7 7 3 3" xfId="4938"/>
    <cellStyle name="20% - Accent2 7 7 3 4" xfId="4939"/>
    <cellStyle name="20% - Accent2 7 7 3 5" xfId="4940"/>
    <cellStyle name="20% - Accent2 7 7 3 6" xfId="4941"/>
    <cellStyle name="20% - Accent2 7 7 4" xfId="4942"/>
    <cellStyle name="20% - Accent2 7 7 5" xfId="4943"/>
    <cellStyle name="20% - Accent2 7 7 6" xfId="4944"/>
    <cellStyle name="20% - Accent2 7 7 7" xfId="4945"/>
    <cellStyle name="20% - Accent2 7 7 8" xfId="4946"/>
    <cellStyle name="20% - Accent2 7 7 9" xfId="4947"/>
    <cellStyle name="20% - Accent2 7 8" xfId="4948"/>
    <cellStyle name="20% - Accent2 7 8 2" xfId="4949"/>
    <cellStyle name="20% - Accent2 7 8 2 2" xfId="4950"/>
    <cellStyle name="20% - Accent2 7 8 2 3" xfId="4951"/>
    <cellStyle name="20% - Accent2 7 8 2 4" xfId="4952"/>
    <cellStyle name="20% - Accent2 7 8 2 5" xfId="4953"/>
    <cellStyle name="20% - Accent2 7 8 2 6" xfId="4954"/>
    <cellStyle name="20% - Accent2 7 8 2 7" xfId="4955"/>
    <cellStyle name="20% - Accent2 7 8 3" xfId="4956"/>
    <cellStyle name="20% - Accent2 7 8 3 2" xfId="4957"/>
    <cellStyle name="20% - Accent2 7 8 3 3" xfId="4958"/>
    <cellStyle name="20% - Accent2 7 8 3 4" xfId="4959"/>
    <cellStyle name="20% - Accent2 7 8 3 5" xfId="4960"/>
    <cellStyle name="20% - Accent2 7 8 3 6" xfId="4961"/>
    <cellStyle name="20% - Accent2 7 8 4" xfId="4962"/>
    <cellStyle name="20% - Accent2 7 8 5" xfId="4963"/>
    <cellStyle name="20% - Accent2 7 8 6" xfId="4964"/>
    <cellStyle name="20% - Accent2 7 8 7" xfId="4965"/>
    <cellStyle name="20% - Accent2 7 8 8" xfId="4966"/>
    <cellStyle name="20% - Accent2 7 8 9" xfId="4967"/>
    <cellStyle name="20% - Accent2 7 9" xfId="4968"/>
    <cellStyle name="20% - Accent2 7 9 2" xfId="4969"/>
    <cellStyle name="20% - Accent2 7 9 2 2" xfId="4970"/>
    <cellStyle name="20% - Accent2 7 9 2 3" xfId="4971"/>
    <cellStyle name="20% - Accent2 7 9 2 4" xfId="4972"/>
    <cellStyle name="20% - Accent2 7 9 2 5" xfId="4973"/>
    <cellStyle name="20% - Accent2 7 9 2 6" xfId="4974"/>
    <cellStyle name="20% - Accent2 7 9 3" xfId="4975"/>
    <cellStyle name="20% - Accent2 7 9 4" xfId="4976"/>
    <cellStyle name="20% - Accent2 7 9 5" xfId="4977"/>
    <cellStyle name="20% - Accent2 7 9 6" xfId="4978"/>
    <cellStyle name="20% - Accent2 7 9 7" xfId="4979"/>
    <cellStyle name="20% - Accent2 7 9 8" xfId="4980"/>
    <cellStyle name="20% - Accent2 8" xfId="4981"/>
    <cellStyle name="20% - Accent2 8 10" xfId="4982"/>
    <cellStyle name="20% - Accent2 8 10 2" xfId="4983"/>
    <cellStyle name="20% - Accent2 8 10 3" xfId="4984"/>
    <cellStyle name="20% - Accent2 8 10 4" xfId="4985"/>
    <cellStyle name="20% - Accent2 8 10 5" xfId="4986"/>
    <cellStyle name="20% - Accent2 8 10 6" xfId="4987"/>
    <cellStyle name="20% - Accent2 8 10 7" xfId="4988"/>
    <cellStyle name="20% - Accent2 8 11" xfId="4989"/>
    <cellStyle name="20% - Accent2 8 11 2" xfId="4990"/>
    <cellStyle name="20% - Accent2 8 11 3" xfId="4991"/>
    <cellStyle name="20% - Accent2 8 11 4" xfId="4992"/>
    <cellStyle name="20% - Accent2 8 11 5" xfId="4993"/>
    <cellStyle name="20% - Accent2 8 11 6" xfId="4994"/>
    <cellStyle name="20% - Accent2 8 12" xfId="4995"/>
    <cellStyle name="20% - Accent2 8 12 2" xfId="4996"/>
    <cellStyle name="20% - Accent2 8 13" xfId="4997"/>
    <cellStyle name="20% - Accent2 8 14" xfId="4998"/>
    <cellStyle name="20% - Accent2 8 15" xfId="4999"/>
    <cellStyle name="20% - Accent2 8 16" xfId="5000"/>
    <cellStyle name="20% - Accent2 8 17" xfId="5001"/>
    <cellStyle name="20% - Accent2 8 2" xfId="5002"/>
    <cellStyle name="20% - Accent2 8 2 2" xfId="5003"/>
    <cellStyle name="20% - Accent2 8 2 2 2" xfId="5004"/>
    <cellStyle name="20% - Accent2 8 2 2 3" xfId="5005"/>
    <cellStyle name="20% - Accent2 8 2 2 4" xfId="5006"/>
    <cellStyle name="20% - Accent2 8 2 2 5" xfId="5007"/>
    <cellStyle name="20% - Accent2 8 2 2 6" xfId="5008"/>
    <cellStyle name="20% - Accent2 8 2 2 7" xfId="5009"/>
    <cellStyle name="20% - Accent2 8 2 3" xfId="5010"/>
    <cellStyle name="20% - Accent2 8 2 3 2" xfId="5011"/>
    <cellStyle name="20% - Accent2 8 2 3 3" xfId="5012"/>
    <cellStyle name="20% - Accent2 8 2 3 4" xfId="5013"/>
    <cellStyle name="20% - Accent2 8 2 3 5" xfId="5014"/>
    <cellStyle name="20% - Accent2 8 2 3 6" xfId="5015"/>
    <cellStyle name="20% - Accent2 8 2 4" xfId="5016"/>
    <cellStyle name="20% - Accent2 8 2 4 2" xfId="5017"/>
    <cellStyle name="20% - Accent2 8 2 5" xfId="5018"/>
    <cellStyle name="20% - Accent2 8 2 6" xfId="5019"/>
    <cellStyle name="20% - Accent2 8 2 7" xfId="5020"/>
    <cellStyle name="20% - Accent2 8 2 8" xfId="5021"/>
    <cellStyle name="20% - Accent2 8 2 9" xfId="5022"/>
    <cellStyle name="20% - Accent2 8 3" xfId="5023"/>
    <cellStyle name="20% - Accent2 8 3 2" xfId="5024"/>
    <cellStyle name="20% - Accent2 8 3 2 2" xfId="5025"/>
    <cellStyle name="20% - Accent2 8 3 2 3" xfId="5026"/>
    <cellStyle name="20% - Accent2 8 3 2 4" xfId="5027"/>
    <cellStyle name="20% - Accent2 8 3 2 5" xfId="5028"/>
    <cellStyle name="20% - Accent2 8 3 2 6" xfId="5029"/>
    <cellStyle name="20% - Accent2 8 3 2 7" xfId="5030"/>
    <cellStyle name="20% - Accent2 8 3 3" xfId="5031"/>
    <cellStyle name="20% - Accent2 8 3 3 2" xfId="5032"/>
    <cellStyle name="20% - Accent2 8 3 3 3" xfId="5033"/>
    <cellStyle name="20% - Accent2 8 3 3 4" xfId="5034"/>
    <cellStyle name="20% - Accent2 8 3 3 5" xfId="5035"/>
    <cellStyle name="20% - Accent2 8 3 3 6" xfId="5036"/>
    <cellStyle name="20% - Accent2 8 3 4" xfId="5037"/>
    <cellStyle name="20% - Accent2 8 3 4 2" xfId="5038"/>
    <cellStyle name="20% - Accent2 8 3 5" xfId="5039"/>
    <cellStyle name="20% - Accent2 8 3 6" xfId="5040"/>
    <cellStyle name="20% - Accent2 8 3 7" xfId="5041"/>
    <cellStyle name="20% - Accent2 8 3 8" xfId="5042"/>
    <cellStyle name="20% - Accent2 8 3 9" xfId="5043"/>
    <cellStyle name="20% - Accent2 8 4" xfId="5044"/>
    <cellStyle name="20% - Accent2 8 4 2" xfId="5045"/>
    <cellStyle name="20% - Accent2 8 4 2 2" xfId="5046"/>
    <cellStyle name="20% - Accent2 8 4 2 3" xfId="5047"/>
    <cellStyle name="20% - Accent2 8 4 2 4" xfId="5048"/>
    <cellStyle name="20% - Accent2 8 4 2 5" xfId="5049"/>
    <cellStyle name="20% - Accent2 8 4 2 6" xfId="5050"/>
    <cellStyle name="20% - Accent2 8 4 2 7" xfId="5051"/>
    <cellStyle name="20% - Accent2 8 4 3" xfId="5052"/>
    <cellStyle name="20% - Accent2 8 4 3 2" xfId="5053"/>
    <cellStyle name="20% - Accent2 8 4 3 3" xfId="5054"/>
    <cellStyle name="20% - Accent2 8 4 3 4" xfId="5055"/>
    <cellStyle name="20% - Accent2 8 4 3 5" xfId="5056"/>
    <cellStyle name="20% - Accent2 8 4 3 6" xfId="5057"/>
    <cellStyle name="20% - Accent2 8 4 4" xfId="5058"/>
    <cellStyle name="20% - Accent2 8 4 5" xfId="5059"/>
    <cellStyle name="20% - Accent2 8 4 6" xfId="5060"/>
    <cellStyle name="20% - Accent2 8 4 7" xfId="5061"/>
    <cellStyle name="20% - Accent2 8 4 8" xfId="5062"/>
    <cellStyle name="20% - Accent2 8 4 9" xfId="5063"/>
    <cellStyle name="20% - Accent2 8 5" xfId="5064"/>
    <cellStyle name="20% - Accent2 8 5 2" xfId="5065"/>
    <cellStyle name="20% - Accent2 8 5 2 2" xfId="5066"/>
    <cellStyle name="20% - Accent2 8 5 2 3" xfId="5067"/>
    <cellStyle name="20% - Accent2 8 5 2 4" xfId="5068"/>
    <cellStyle name="20% - Accent2 8 5 2 5" xfId="5069"/>
    <cellStyle name="20% - Accent2 8 5 2 6" xfId="5070"/>
    <cellStyle name="20% - Accent2 8 5 2 7" xfId="5071"/>
    <cellStyle name="20% - Accent2 8 5 3" xfId="5072"/>
    <cellStyle name="20% - Accent2 8 5 3 2" xfId="5073"/>
    <cellStyle name="20% - Accent2 8 5 3 3" xfId="5074"/>
    <cellStyle name="20% - Accent2 8 5 3 4" xfId="5075"/>
    <cellStyle name="20% - Accent2 8 5 3 5" xfId="5076"/>
    <cellStyle name="20% - Accent2 8 5 3 6" xfId="5077"/>
    <cellStyle name="20% - Accent2 8 5 4" xfId="5078"/>
    <cellStyle name="20% - Accent2 8 5 5" xfId="5079"/>
    <cellStyle name="20% - Accent2 8 5 6" xfId="5080"/>
    <cellStyle name="20% - Accent2 8 5 7" xfId="5081"/>
    <cellStyle name="20% - Accent2 8 5 8" xfId="5082"/>
    <cellStyle name="20% - Accent2 8 5 9" xfId="5083"/>
    <cellStyle name="20% - Accent2 8 6" xfId="5084"/>
    <cellStyle name="20% - Accent2 8 6 2" xfId="5085"/>
    <cellStyle name="20% - Accent2 8 6 2 2" xfId="5086"/>
    <cellStyle name="20% - Accent2 8 6 2 3" xfId="5087"/>
    <cellStyle name="20% - Accent2 8 6 2 4" xfId="5088"/>
    <cellStyle name="20% - Accent2 8 6 2 5" xfId="5089"/>
    <cellStyle name="20% - Accent2 8 6 2 6" xfId="5090"/>
    <cellStyle name="20% - Accent2 8 6 2 7" xfId="5091"/>
    <cellStyle name="20% - Accent2 8 6 3" xfId="5092"/>
    <cellStyle name="20% - Accent2 8 6 3 2" xfId="5093"/>
    <cellStyle name="20% - Accent2 8 6 3 3" xfId="5094"/>
    <cellStyle name="20% - Accent2 8 6 3 4" xfId="5095"/>
    <cellStyle name="20% - Accent2 8 6 3 5" xfId="5096"/>
    <cellStyle name="20% - Accent2 8 6 3 6" xfId="5097"/>
    <cellStyle name="20% - Accent2 8 6 4" xfId="5098"/>
    <cellStyle name="20% - Accent2 8 6 5" xfId="5099"/>
    <cellStyle name="20% - Accent2 8 6 6" xfId="5100"/>
    <cellStyle name="20% - Accent2 8 6 7" xfId="5101"/>
    <cellStyle name="20% - Accent2 8 6 8" xfId="5102"/>
    <cellStyle name="20% - Accent2 8 6 9" xfId="5103"/>
    <cellStyle name="20% - Accent2 8 7" xfId="5104"/>
    <cellStyle name="20% - Accent2 8 7 2" xfId="5105"/>
    <cellStyle name="20% - Accent2 8 7 2 2" xfId="5106"/>
    <cellStyle name="20% - Accent2 8 7 2 3" xfId="5107"/>
    <cellStyle name="20% - Accent2 8 7 2 4" xfId="5108"/>
    <cellStyle name="20% - Accent2 8 7 2 5" xfId="5109"/>
    <cellStyle name="20% - Accent2 8 7 2 6" xfId="5110"/>
    <cellStyle name="20% - Accent2 8 7 2 7" xfId="5111"/>
    <cellStyle name="20% - Accent2 8 7 3" xfId="5112"/>
    <cellStyle name="20% - Accent2 8 7 3 2" xfId="5113"/>
    <cellStyle name="20% - Accent2 8 7 3 3" xfId="5114"/>
    <cellStyle name="20% - Accent2 8 7 3 4" xfId="5115"/>
    <cellStyle name="20% - Accent2 8 7 3 5" xfId="5116"/>
    <cellStyle name="20% - Accent2 8 7 3 6" xfId="5117"/>
    <cellStyle name="20% - Accent2 8 7 4" xfId="5118"/>
    <cellStyle name="20% - Accent2 8 7 5" xfId="5119"/>
    <cellStyle name="20% - Accent2 8 7 6" xfId="5120"/>
    <cellStyle name="20% - Accent2 8 7 7" xfId="5121"/>
    <cellStyle name="20% - Accent2 8 7 8" xfId="5122"/>
    <cellStyle name="20% - Accent2 8 7 9" xfId="5123"/>
    <cellStyle name="20% - Accent2 8 8" xfId="5124"/>
    <cellStyle name="20% - Accent2 8 8 2" xfId="5125"/>
    <cellStyle name="20% - Accent2 8 8 2 2" xfId="5126"/>
    <cellStyle name="20% - Accent2 8 8 2 3" xfId="5127"/>
    <cellStyle name="20% - Accent2 8 8 2 4" xfId="5128"/>
    <cellStyle name="20% - Accent2 8 8 2 5" xfId="5129"/>
    <cellStyle name="20% - Accent2 8 8 2 6" xfId="5130"/>
    <cellStyle name="20% - Accent2 8 8 2 7" xfId="5131"/>
    <cellStyle name="20% - Accent2 8 8 3" xfId="5132"/>
    <cellStyle name="20% - Accent2 8 8 3 2" xfId="5133"/>
    <cellStyle name="20% - Accent2 8 8 3 3" xfId="5134"/>
    <cellStyle name="20% - Accent2 8 8 3 4" xfId="5135"/>
    <cellStyle name="20% - Accent2 8 8 3 5" xfId="5136"/>
    <cellStyle name="20% - Accent2 8 8 3 6" xfId="5137"/>
    <cellStyle name="20% - Accent2 8 8 4" xfId="5138"/>
    <cellStyle name="20% - Accent2 8 8 5" xfId="5139"/>
    <cellStyle name="20% - Accent2 8 8 6" xfId="5140"/>
    <cellStyle name="20% - Accent2 8 8 7" xfId="5141"/>
    <cellStyle name="20% - Accent2 8 8 8" xfId="5142"/>
    <cellStyle name="20% - Accent2 8 8 9" xfId="5143"/>
    <cellStyle name="20% - Accent2 8 9" xfId="5144"/>
    <cellStyle name="20% - Accent2 8 9 2" xfId="5145"/>
    <cellStyle name="20% - Accent2 8 9 2 2" xfId="5146"/>
    <cellStyle name="20% - Accent2 8 9 2 3" xfId="5147"/>
    <cellStyle name="20% - Accent2 8 9 2 4" xfId="5148"/>
    <cellStyle name="20% - Accent2 8 9 2 5" xfId="5149"/>
    <cellStyle name="20% - Accent2 8 9 2 6" xfId="5150"/>
    <cellStyle name="20% - Accent2 8 9 3" xfId="5151"/>
    <cellStyle name="20% - Accent2 8 9 4" xfId="5152"/>
    <cellStyle name="20% - Accent2 8 9 5" xfId="5153"/>
    <cellStyle name="20% - Accent2 8 9 6" xfId="5154"/>
    <cellStyle name="20% - Accent2 8 9 7" xfId="5155"/>
    <cellStyle name="20% - Accent2 8 9 8" xfId="5156"/>
    <cellStyle name="20% - Accent2 9" xfId="5157"/>
    <cellStyle name="20% - Accent2 9 2" xfId="5158"/>
    <cellStyle name="20% - Accent2 9 3" xfId="5159"/>
    <cellStyle name="20% - Accent2 9 4" xfId="5160"/>
    <cellStyle name="20% - Accent3" xfId="3" builtinId="38" customBuiltin="1"/>
    <cellStyle name="20% - Accent3 10" xfId="5161"/>
    <cellStyle name="20% - Accent3 10 2" xfId="5162"/>
    <cellStyle name="20% - Accent3 10 2 2" xfId="5163"/>
    <cellStyle name="20% - Accent3 10 2 2 2" xfId="5164"/>
    <cellStyle name="20% - Accent3 10 2 3" xfId="5165"/>
    <cellStyle name="20% - Accent3 10 2 4" xfId="5166"/>
    <cellStyle name="20% - Accent3 10 2 5" xfId="5167"/>
    <cellStyle name="20% - Accent3 10 2 6" xfId="5168"/>
    <cellStyle name="20% - Accent3 10 2 7" xfId="5169"/>
    <cellStyle name="20% - Accent3 10 3" xfId="5170"/>
    <cellStyle name="20% - Accent3 10 3 2" xfId="5171"/>
    <cellStyle name="20% - Accent3 10 3 2 2" xfId="5172"/>
    <cellStyle name="20% - Accent3 10 3 3" xfId="5173"/>
    <cellStyle name="20% - Accent3 10 3 4" xfId="5174"/>
    <cellStyle name="20% - Accent3 10 3 5" xfId="5175"/>
    <cellStyle name="20% - Accent3 10 3 6" xfId="5176"/>
    <cellStyle name="20% - Accent3 10 4" xfId="5177"/>
    <cellStyle name="20% - Accent3 10 4 2" xfId="5178"/>
    <cellStyle name="20% - Accent3 10 5" xfId="5179"/>
    <cellStyle name="20% - Accent3 10 6" xfId="5180"/>
    <cellStyle name="20% - Accent3 10 7" xfId="5181"/>
    <cellStyle name="20% - Accent3 10 8" xfId="5182"/>
    <cellStyle name="20% - Accent3 10 9" xfId="5183"/>
    <cellStyle name="20% - Accent3 11" xfId="5184"/>
    <cellStyle name="20% - Accent3 11 2" xfId="5185"/>
    <cellStyle name="20% - Accent3 11 2 2" xfId="5186"/>
    <cellStyle name="20% - Accent3 11 2 2 2" xfId="5187"/>
    <cellStyle name="20% - Accent3 11 2 3" xfId="5188"/>
    <cellStyle name="20% - Accent3 11 2 4" xfId="5189"/>
    <cellStyle name="20% - Accent3 11 2 5" xfId="5190"/>
    <cellStyle name="20% - Accent3 11 2 6" xfId="5191"/>
    <cellStyle name="20% - Accent3 11 2 7" xfId="5192"/>
    <cellStyle name="20% - Accent3 11 3" xfId="5193"/>
    <cellStyle name="20% - Accent3 11 3 2" xfId="5194"/>
    <cellStyle name="20% - Accent3 11 3 2 2" xfId="5195"/>
    <cellStyle name="20% - Accent3 11 3 3" xfId="5196"/>
    <cellStyle name="20% - Accent3 11 3 4" xfId="5197"/>
    <cellStyle name="20% - Accent3 11 3 5" xfId="5198"/>
    <cellStyle name="20% - Accent3 11 3 6" xfId="5199"/>
    <cellStyle name="20% - Accent3 11 4" xfId="5200"/>
    <cellStyle name="20% - Accent3 11 4 2" xfId="5201"/>
    <cellStyle name="20% - Accent3 11 5" xfId="5202"/>
    <cellStyle name="20% - Accent3 11 6" xfId="5203"/>
    <cellStyle name="20% - Accent3 11 7" xfId="5204"/>
    <cellStyle name="20% - Accent3 11 8" xfId="5205"/>
    <cellStyle name="20% - Accent3 11 9" xfId="5206"/>
    <cellStyle name="20% - Accent3 12" xfId="5207"/>
    <cellStyle name="20% - Accent3 12 2" xfId="5208"/>
    <cellStyle name="20% - Accent3 12 2 2" xfId="5209"/>
    <cellStyle name="20% - Accent3 12 2 2 2" xfId="5210"/>
    <cellStyle name="20% - Accent3 12 2 3" xfId="5211"/>
    <cellStyle name="20% - Accent3 12 2 4" xfId="5212"/>
    <cellStyle name="20% - Accent3 12 2 5" xfId="5213"/>
    <cellStyle name="20% - Accent3 12 2 6" xfId="5214"/>
    <cellStyle name="20% - Accent3 12 2 7" xfId="5215"/>
    <cellStyle name="20% - Accent3 12 3" xfId="5216"/>
    <cellStyle name="20% - Accent3 12 3 2" xfId="5217"/>
    <cellStyle name="20% - Accent3 12 3 2 2" xfId="5218"/>
    <cellStyle name="20% - Accent3 12 3 3" xfId="5219"/>
    <cellStyle name="20% - Accent3 12 3 4" xfId="5220"/>
    <cellStyle name="20% - Accent3 12 3 5" xfId="5221"/>
    <cellStyle name="20% - Accent3 12 3 6" xfId="5222"/>
    <cellStyle name="20% - Accent3 12 4" xfId="5223"/>
    <cellStyle name="20% - Accent3 12 4 2" xfId="5224"/>
    <cellStyle name="20% - Accent3 12 5" xfId="5225"/>
    <cellStyle name="20% - Accent3 12 6" xfId="5226"/>
    <cellStyle name="20% - Accent3 12 7" xfId="5227"/>
    <cellStyle name="20% - Accent3 12 8" xfId="5228"/>
    <cellStyle name="20% - Accent3 12 9" xfId="5229"/>
    <cellStyle name="20% - Accent3 13" xfId="5230"/>
    <cellStyle name="20% - Accent3 13 2" xfId="5231"/>
    <cellStyle name="20% - Accent3 13 2 2" xfId="5232"/>
    <cellStyle name="20% - Accent3 13 2 2 2" xfId="5233"/>
    <cellStyle name="20% - Accent3 13 2 3" xfId="5234"/>
    <cellStyle name="20% - Accent3 13 2 4" xfId="5235"/>
    <cellStyle name="20% - Accent3 13 2 5" xfId="5236"/>
    <cellStyle name="20% - Accent3 13 2 6" xfId="5237"/>
    <cellStyle name="20% - Accent3 13 2 7" xfId="5238"/>
    <cellStyle name="20% - Accent3 13 3" xfId="5239"/>
    <cellStyle name="20% - Accent3 13 3 2" xfId="5240"/>
    <cellStyle name="20% - Accent3 13 3 2 2" xfId="5241"/>
    <cellStyle name="20% - Accent3 13 3 3" xfId="5242"/>
    <cellStyle name="20% - Accent3 13 3 4" xfId="5243"/>
    <cellStyle name="20% - Accent3 13 3 5" xfId="5244"/>
    <cellStyle name="20% - Accent3 13 3 6" xfId="5245"/>
    <cellStyle name="20% - Accent3 13 4" xfId="5246"/>
    <cellStyle name="20% - Accent3 13 4 2" xfId="5247"/>
    <cellStyle name="20% - Accent3 13 5" xfId="5248"/>
    <cellStyle name="20% - Accent3 13 6" xfId="5249"/>
    <cellStyle name="20% - Accent3 13 7" xfId="5250"/>
    <cellStyle name="20% - Accent3 13 8" xfId="5251"/>
    <cellStyle name="20% - Accent3 13 9" xfId="5252"/>
    <cellStyle name="20% - Accent3 14" xfId="5253"/>
    <cellStyle name="20% - Accent3 14 2" xfId="5254"/>
    <cellStyle name="20% - Accent3 14 2 2" xfId="5255"/>
    <cellStyle name="20% - Accent3 14 2 2 2" xfId="5256"/>
    <cellStyle name="20% - Accent3 14 2 3" xfId="5257"/>
    <cellStyle name="20% - Accent3 14 2 4" xfId="5258"/>
    <cellStyle name="20% - Accent3 14 2 5" xfId="5259"/>
    <cellStyle name="20% - Accent3 14 2 6" xfId="5260"/>
    <cellStyle name="20% - Accent3 14 2 7" xfId="5261"/>
    <cellStyle name="20% - Accent3 14 3" xfId="5262"/>
    <cellStyle name="20% - Accent3 14 3 2" xfId="5263"/>
    <cellStyle name="20% - Accent3 14 3 2 2" xfId="5264"/>
    <cellStyle name="20% - Accent3 14 3 3" xfId="5265"/>
    <cellStyle name="20% - Accent3 14 3 4" xfId="5266"/>
    <cellStyle name="20% - Accent3 14 3 5" xfId="5267"/>
    <cellStyle name="20% - Accent3 14 3 6" xfId="5268"/>
    <cellStyle name="20% - Accent3 14 4" xfId="5269"/>
    <cellStyle name="20% - Accent3 14 4 2" xfId="5270"/>
    <cellStyle name="20% - Accent3 14 5" xfId="5271"/>
    <cellStyle name="20% - Accent3 14 6" xfId="5272"/>
    <cellStyle name="20% - Accent3 14 7" xfId="5273"/>
    <cellStyle name="20% - Accent3 14 8" xfId="5274"/>
    <cellStyle name="20% - Accent3 14 9" xfId="5275"/>
    <cellStyle name="20% - Accent3 15" xfId="5276"/>
    <cellStyle name="20% - Accent3 15 2" xfId="5277"/>
    <cellStyle name="20% - Accent3 15 2 2" xfId="5278"/>
    <cellStyle name="20% - Accent3 15 2 2 2" xfId="5279"/>
    <cellStyle name="20% - Accent3 15 2 3" xfId="5280"/>
    <cellStyle name="20% - Accent3 15 2 4" xfId="5281"/>
    <cellStyle name="20% - Accent3 15 2 5" xfId="5282"/>
    <cellStyle name="20% - Accent3 15 2 6" xfId="5283"/>
    <cellStyle name="20% - Accent3 15 2 7" xfId="5284"/>
    <cellStyle name="20% - Accent3 15 3" xfId="5285"/>
    <cellStyle name="20% - Accent3 15 3 2" xfId="5286"/>
    <cellStyle name="20% - Accent3 15 3 2 2" xfId="5287"/>
    <cellStyle name="20% - Accent3 15 3 3" xfId="5288"/>
    <cellStyle name="20% - Accent3 15 3 4" xfId="5289"/>
    <cellStyle name="20% - Accent3 15 3 5" xfId="5290"/>
    <cellStyle name="20% - Accent3 15 3 6" xfId="5291"/>
    <cellStyle name="20% - Accent3 15 4" xfId="5292"/>
    <cellStyle name="20% - Accent3 15 4 2" xfId="5293"/>
    <cellStyle name="20% - Accent3 15 5" xfId="5294"/>
    <cellStyle name="20% - Accent3 15 6" xfId="5295"/>
    <cellStyle name="20% - Accent3 15 7" xfId="5296"/>
    <cellStyle name="20% - Accent3 15 8" xfId="5297"/>
    <cellStyle name="20% - Accent3 15 9" xfId="5298"/>
    <cellStyle name="20% - Accent3 16" xfId="5299"/>
    <cellStyle name="20% - Accent3 16 2" xfId="5300"/>
    <cellStyle name="20% - Accent3 16 2 2" xfId="5301"/>
    <cellStyle name="20% - Accent3 16 2 2 2" xfId="5302"/>
    <cellStyle name="20% - Accent3 16 2 3" xfId="5303"/>
    <cellStyle name="20% - Accent3 16 2 4" xfId="5304"/>
    <cellStyle name="20% - Accent3 16 2 5" xfId="5305"/>
    <cellStyle name="20% - Accent3 16 2 6" xfId="5306"/>
    <cellStyle name="20% - Accent3 16 2 7" xfId="5307"/>
    <cellStyle name="20% - Accent3 16 3" xfId="5308"/>
    <cellStyle name="20% - Accent3 16 3 2" xfId="5309"/>
    <cellStyle name="20% - Accent3 16 3 2 2" xfId="5310"/>
    <cellStyle name="20% - Accent3 16 3 3" xfId="5311"/>
    <cellStyle name="20% - Accent3 16 3 4" xfId="5312"/>
    <cellStyle name="20% - Accent3 16 3 5" xfId="5313"/>
    <cellStyle name="20% - Accent3 16 3 6" xfId="5314"/>
    <cellStyle name="20% - Accent3 16 4" xfId="5315"/>
    <cellStyle name="20% - Accent3 16 4 2" xfId="5316"/>
    <cellStyle name="20% - Accent3 16 5" xfId="5317"/>
    <cellStyle name="20% - Accent3 16 6" xfId="5318"/>
    <cellStyle name="20% - Accent3 16 7" xfId="5319"/>
    <cellStyle name="20% - Accent3 16 8" xfId="5320"/>
    <cellStyle name="20% - Accent3 16 9" xfId="5321"/>
    <cellStyle name="20% - Accent3 17" xfId="5322"/>
    <cellStyle name="20% - Accent3 17 2" xfId="5323"/>
    <cellStyle name="20% - Accent3 17 2 2" xfId="5324"/>
    <cellStyle name="20% - Accent3 17 2 2 2" xfId="5325"/>
    <cellStyle name="20% - Accent3 17 2 3" xfId="5326"/>
    <cellStyle name="20% - Accent3 17 2 4" xfId="5327"/>
    <cellStyle name="20% - Accent3 17 2 5" xfId="5328"/>
    <cellStyle name="20% - Accent3 17 2 6" xfId="5329"/>
    <cellStyle name="20% - Accent3 17 3" xfId="5330"/>
    <cellStyle name="20% - Accent3 17 3 2" xfId="5331"/>
    <cellStyle name="20% - Accent3 17 4" xfId="5332"/>
    <cellStyle name="20% - Accent3 17 4 2" xfId="5333"/>
    <cellStyle name="20% - Accent3 17 5" xfId="5334"/>
    <cellStyle name="20% - Accent3 17 6" xfId="5335"/>
    <cellStyle name="20% - Accent3 17 7" xfId="5336"/>
    <cellStyle name="20% - Accent3 17 8" xfId="5337"/>
    <cellStyle name="20% - Accent3 18" xfId="5338"/>
    <cellStyle name="20% - Accent3 18 2" xfId="5339"/>
    <cellStyle name="20% - Accent3 18 2 2" xfId="5340"/>
    <cellStyle name="20% - Accent3 18 3" xfId="5341"/>
    <cellStyle name="20% - Accent3 18 3 2" xfId="5342"/>
    <cellStyle name="20% - Accent3 18 4" xfId="5343"/>
    <cellStyle name="20% - Accent3 18 4 2" xfId="5344"/>
    <cellStyle name="20% - Accent3 18 5" xfId="5345"/>
    <cellStyle name="20% - Accent3 18 6" xfId="5346"/>
    <cellStyle name="20% - Accent3 18 7" xfId="5347"/>
    <cellStyle name="20% - Accent3 19" xfId="5348"/>
    <cellStyle name="20% - Accent3 19 2" xfId="5349"/>
    <cellStyle name="20% - Accent3 19 2 2" xfId="5350"/>
    <cellStyle name="20% - Accent3 19 3" xfId="5351"/>
    <cellStyle name="20% - Accent3 19 3 2" xfId="5352"/>
    <cellStyle name="20% - Accent3 19 4" xfId="5353"/>
    <cellStyle name="20% - Accent3 19 4 2" xfId="5354"/>
    <cellStyle name="20% - Accent3 19 5" xfId="5355"/>
    <cellStyle name="20% - Accent3 19 6" xfId="5356"/>
    <cellStyle name="20% - Accent3 2" xfId="376"/>
    <cellStyle name="20% - Accent3 2 10" xfId="5357"/>
    <cellStyle name="20% - Accent3 2 10 2" xfId="5358"/>
    <cellStyle name="20% - Accent3 2 10 2 2" xfId="5359"/>
    <cellStyle name="20% - Accent3 2 10 2 3" xfId="5360"/>
    <cellStyle name="20% - Accent3 2 10 2 4" xfId="5361"/>
    <cellStyle name="20% - Accent3 2 10 2 5" xfId="5362"/>
    <cellStyle name="20% - Accent3 2 10 2 6" xfId="5363"/>
    <cellStyle name="20% - Accent3 2 10 3" xfId="5364"/>
    <cellStyle name="20% - Accent3 2 10 3 2" xfId="5365"/>
    <cellStyle name="20% - Accent3 2 10 4" xfId="5366"/>
    <cellStyle name="20% - Accent3 2 10 5" xfId="5367"/>
    <cellStyle name="20% - Accent3 2 10 6" xfId="5368"/>
    <cellStyle name="20% - Accent3 2 10 7" xfId="5369"/>
    <cellStyle name="20% - Accent3 2 10 8" xfId="5370"/>
    <cellStyle name="20% - Accent3 2 11" xfId="5371"/>
    <cellStyle name="20% - Accent3 2 11 2" xfId="5372"/>
    <cellStyle name="20% - Accent3 2 11 2 2" xfId="5373"/>
    <cellStyle name="20% - Accent3 2 11 3" xfId="5374"/>
    <cellStyle name="20% - Accent3 2 11 4" xfId="5375"/>
    <cellStyle name="20% - Accent3 2 11 5" xfId="5376"/>
    <cellStyle name="20% - Accent3 2 11 6" xfId="5377"/>
    <cellStyle name="20% - Accent3 2 11 7" xfId="5378"/>
    <cellStyle name="20% - Accent3 2 12" xfId="5379"/>
    <cellStyle name="20% - Accent3 2 12 2" xfId="5380"/>
    <cellStyle name="20% - Accent3 2 12 2 2" xfId="5381"/>
    <cellStyle name="20% - Accent3 2 12 3" xfId="5382"/>
    <cellStyle name="20% - Accent3 2 12 4" xfId="5383"/>
    <cellStyle name="20% - Accent3 2 12 5" xfId="5384"/>
    <cellStyle name="20% - Accent3 2 12 6" xfId="5385"/>
    <cellStyle name="20% - Accent3 2 13" xfId="5386"/>
    <cellStyle name="20% - Accent3 2 13 2" xfId="5387"/>
    <cellStyle name="20% - Accent3 2 14" xfId="5388"/>
    <cellStyle name="20% - Accent3 2 14 2" xfId="5389"/>
    <cellStyle name="20% - Accent3 2 15" xfId="5390"/>
    <cellStyle name="20% - Accent3 2 15 2" xfId="5391"/>
    <cellStyle name="20% - Accent3 2 16" xfId="5392"/>
    <cellStyle name="20% - Accent3 2 16 2" xfId="5393"/>
    <cellStyle name="20% - Accent3 2 17" xfId="5394"/>
    <cellStyle name="20% - Accent3 2 17 2" xfId="5395"/>
    <cellStyle name="20% - Accent3 2 18" xfId="5396"/>
    <cellStyle name="20% - Accent3 2 19" xfId="5397"/>
    <cellStyle name="20% - Accent3 2 2" xfId="1443"/>
    <cellStyle name="20% - Accent3 2 2 2" xfId="1444"/>
    <cellStyle name="20% - Accent3 2 2 2 2" xfId="5398"/>
    <cellStyle name="20% - Accent3 2 2 2 3" xfId="5399"/>
    <cellStyle name="20% - Accent3 2 2 3" xfId="5400"/>
    <cellStyle name="20% - Accent3 2 2 4" xfId="5401"/>
    <cellStyle name="20% - Accent3 2 20" xfId="5402"/>
    <cellStyle name="20% - Accent3 2 21" xfId="5403"/>
    <cellStyle name="20% - Accent3 2 22" xfId="5404"/>
    <cellStyle name="20% - Accent3 2 23" xfId="5405"/>
    <cellStyle name="20% - Accent3 2 24" xfId="5406"/>
    <cellStyle name="20% - Accent3 2 25" xfId="5407"/>
    <cellStyle name="20% - Accent3 2 26" xfId="5408"/>
    <cellStyle name="20% - Accent3 2 27" xfId="5409"/>
    <cellStyle name="20% - Accent3 2 28" xfId="5410"/>
    <cellStyle name="20% - Accent3 2 29" xfId="5411"/>
    <cellStyle name="20% - Accent3 2 3" xfId="1445"/>
    <cellStyle name="20% - Accent3 2 3 10" xfId="5412"/>
    <cellStyle name="20% - Accent3 2 3 11" xfId="5413"/>
    <cellStyle name="20% - Accent3 2 3 2" xfId="1446"/>
    <cellStyle name="20% - Accent3 2 3 2 2" xfId="5414"/>
    <cellStyle name="20% - Accent3 2 3 2 3" xfId="5415"/>
    <cellStyle name="20% - Accent3 2 3 2 4" xfId="5416"/>
    <cellStyle name="20% - Accent3 2 3 2 5" xfId="5417"/>
    <cellStyle name="20% - Accent3 2 3 2 6" xfId="5418"/>
    <cellStyle name="20% - Accent3 2 3 2 7" xfId="5419"/>
    <cellStyle name="20% - Accent3 2 3 2 8" xfId="5420"/>
    <cellStyle name="20% - Accent3 2 3 2 9" xfId="5421"/>
    <cellStyle name="20% - Accent3 2 3 3" xfId="5422"/>
    <cellStyle name="20% - Accent3 2 3 3 2" xfId="5423"/>
    <cellStyle name="20% - Accent3 2 3 3 3" xfId="5424"/>
    <cellStyle name="20% - Accent3 2 3 3 4" xfId="5425"/>
    <cellStyle name="20% - Accent3 2 3 3 5" xfId="5426"/>
    <cellStyle name="20% - Accent3 2 3 3 6" xfId="5427"/>
    <cellStyle name="20% - Accent3 2 3 4" xfId="5428"/>
    <cellStyle name="20% - Accent3 2 3 4 2" xfId="5429"/>
    <cellStyle name="20% - Accent3 2 3 5" xfId="5430"/>
    <cellStyle name="20% - Accent3 2 3 6" xfId="5431"/>
    <cellStyle name="20% - Accent3 2 3 7" xfId="5432"/>
    <cellStyle name="20% - Accent3 2 3 8" xfId="5433"/>
    <cellStyle name="20% - Accent3 2 3 9" xfId="5434"/>
    <cellStyle name="20% - Accent3 2 30" xfId="5435"/>
    <cellStyle name="20% - Accent3 2 31" xfId="5436"/>
    <cellStyle name="20% - Accent3 2 32" xfId="5437"/>
    <cellStyle name="20% - Accent3 2 33" xfId="5438"/>
    <cellStyle name="20% - Accent3 2 34" xfId="5439"/>
    <cellStyle name="20% - Accent3 2 35" xfId="5440"/>
    <cellStyle name="20% - Accent3 2 4" xfId="1447"/>
    <cellStyle name="20% - Accent3 2 4 10" xfId="5441"/>
    <cellStyle name="20% - Accent3 2 4 11" xfId="5442"/>
    <cellStyle name="20% - Accent3 2 4 2" xfId="5443"/>
    <cellStyle name="20% - Accent3 2 4 2 2" xfId="5444"/>
    <cellStyle name="20% - Accent3 2 4 2 3" xfId="5445"/>
    <cellStyle name="20% - Accent3 2 4 2 4" xfId="5446"/>
    <cellStyle name="20% - Accent3 2 4 2 5" xfId="5447"/>
    <cellStyle name="20% - Accent3 2 4 2 6" xfId="5448"/>
    <cellStyle name="20% - Accent3 2 4 2 7" xfId="5449"/>
    <cellStyle name="20% - Accent3 2 4 3" xfId="5450"/>
    <cellStyle name="20% - Accent3 2 4 3 2" xfId="5451"/>
    <cellStyle name="20% - Accent3 2 4 3 3" xfId="5452"/>
    <cellStyle name="20% - Accent3 2 4 3 4" xfId="5453"/>
    <cellStyle name="20% - Accent3 2 4 3 5" xfId="5454"/>
    <cellStyle name="20% - Accent3 2 4 3 6" xfId="5455"/>
    <cellStyle name="20% - Accent3 2 4 4" xfId="5456"/>
    <cellStyle name="20% - Accent3 2 4 4 2" xfId="5457"/>
    <cellStyle name="20% - Accent3 2 4 5" xfId="5458"/>
    <cellStyle name="20% - Accent3 2 4 6" xfId="5459"/>
    <cellStyle name="20% - Accent3 2 4 7" xfId="5460"/>
    <cellStyle name="20% - Accent3 2 4 8" xfId="5461"/>
    <cellStyle name="20% - Accent3 2 4 9" xfId="5462"/>
    <cellStyle name="20% - Accent3 2 5" xfId="1448"/>
    <cellStyle name="20% - Accent3 2 5 10" xfId="5463"/>
    <cellStyle name="20% - Accent3 2 5 11" xfId="5464"/>
    <cellStyle name="20% - Accent3 2 5 2" xfId="5465"/>
    <cellStyle name="20% - Accent3 2 5 2 2" xfId="5466"/>
    <cellStyle name="20% - Accent3 2 5 2 3" xfId="5467"/>
    <cellStyle name="20% - Accent3 2 5 2 4" xfId="5468"/>
    <cellStyle name="20% - Accent3 2 5 2 5" xfId="5469"/>
    <cellStyle name="20% - Accent3 2 5 2 6" xfId="5470"/>
    <cellStyle name="20% - Accent3 2 5 2 7" xfId="5471"/>
    <cellStyle name="20% - Accent3 2 5 3" xfId="5472"/>
    <cellStyle name="20% - Accent3 2 5 3 2" xfId="5473"/>
    <cellStyle name="20% - Accent3 2 5 3 3" xfId="5474"/>
    <cellStyle name="20% - Accent3 2 5 3 4" xfId="5475"/>
    <cellStyle name="20% - Accent3 2 5 3 5" xfId="5476"/>
    <cellStyle name="20% - Accent3 2 5 3 6" xfId="5477"/>
    <cellStyle name="20% - Accent3 2 5 4" xfId="5478"/>
    <cellStyle name="20% - Accent3 2 5 4 2" xfId="5479"/>
    <cellStyle name="20% - Accent3 2 5 5" xfId="5480"/>
    <cellStyle name="20% - Accent3 2 5 6" xfId="5481"/>
    <cellStyle name="20% - Accent3 2 5 7" xfId="5482"/>
    <cellStyle name="20% - Accent3 2 5 8" xfId="5483"/>
    <cellStyle name="20% - Accent3 2 5 9" xfId="5484"/>
    <cellStyle name="20% - Accent3 2 6" xfId="1449"/>
    <cellStyle name="20% - Accent3 2 6 10" xfId="5485"/>
    <cellStyle name="20% - Accent3 2 6 11" xfId="5486"/>
    <cellStyle name="20% - Accent3 2 6 2" xfId="5487"/>
    <cellStyle name="20% - Accent3 2 6 2 2" xfId="5488"/>
    <cellStyle name="20% - Accent3 2 6 2 3" xfId="5489"/>
    <cellStyle name="20% - Accent3 2 6 2 4" xfId="5490"/>
    <cellStyle name="20% - Accent3 2 6 2 5" xfId="5491"/>
    <cellStyle name="20% - Accent3 2 6 2 6" xfId="5492"/>
    <cellStyle name="20% - Accent3 2 6 2 7" xfId="5493"/>
    <cellStyle name="20% - Accent3 2 6 3" xfId="5494"/>
    <cellStyle name="20% - Accent3 2 6 3 2" xfId="5495"/>
    <cellStyle name="20% - Accent3 2 6 3 3" xfId="5496"/>
    <cellStyle name="20% - Accent3 2 6 3 4" xfId="5497"/>
    <cellStyle name="20% - Accent3 2 6 3 5" xfId="5498"/>
    <cellStyle name="20% - Accent3 2 6 3 6" xfId="5499"/>
    <cellStyle name="20% - Accent3 2 6 4" xfId="5500"/>
    <cellStyle name="20% - Accent3 2 6 4 2" xfId="5501"/>
    <cellStyle name="20% - Accent3 2 6 5" xfId="5502"/>
    <cellStyle name="20% - Accent3 2 6 6" xfId="5503"/>
    <cellStyle name="20% - Accent3 2 6 7" xfId="5504"/>
    <cellStyle name="20% - Accent3 2 6 8" xfId="5505"/>
    <cellStyle name="20% - Accent3 2 6 9" xfId="5506"/>
    <cellStyle name="20% - Accent3 2 7" xfId="1442"/>
    <cellStyle name="20% - Accent3 2 7 10" xfId="5507"/>
    <cellStyle name="20% - Accent3 2 7 2" xfId="5508"/>
    <cellStyle name="20% - Accent3 2 7 2 2" xfId="5509"/>
    <cellStyle name="20% - Accent3 2 7 2 3" xfId="5510"/>
    <cellStyle name="20% - Accent3 2 7 2 4" xfId="5511"/>
    <cellStyle name="20% - Accent3 2 7 2 5" xfId="5512"/>
    <cellStyle name="20% - Accent3 2 7 2 6" xfId="5513"/>
    <cellStyle name="20% - Accent3 2 7 2 7" xfId="5514"/>
    <cellStyle name="20% - Accent3 2 7 3" xfId="5515"/>
    <cellStyle name="20% - Accent3 2 7 3 2" xfId="5516"/>
    <cellStyle name="20% - Accent3 2 7 3 3" xfId="5517"/>
    <cellStyle name="20% - Accent3 2 7 3 4" xfId="5518"/>
    <cellStyle name="20% - Accent3 2 7 3 5" xfId="5519"/>
    <cellStyle name="20% - Accent3 2 7 3 6" xfId="5520"/>
    <cellStyle name="20% - Accent3 2 7 4" xfId="5521"/>
    <cellStyle name="20% - Accent3 2 7 4 2" xfId="5522"/>
    <cellStyle name="20% - Accent3 2 7 5" xfId="5523"/>
    <cellStyle name="20% - Accent3 2 7 6" xfId="5524"/>
    <cellStyle name="20% - Accent3 2 7 7" xfId="5525"/>
    <cellStyle name="20% - Accent3 2 7 8" xfId="5526"/>
    <cellStyle name="20% - Accent3 2 7 9" xfId="5527"/>
    <cellStyle name="20% - Accent3 2 8" xfId="5528"/>
    <cellStyle name="20% - Accent3 2 8 2" xfId="5529"/>
    <cellStyle name="20% - Accent3 2 8 2 2" xfId="5530"/>
    <cellStyle name="20% - Accent3 2 8 2 3" xfId="5531"/>
    <cellStyle name="20% - Accent3 2 8 2 4" xfId="5532"/>
    <cellStyle name="20% - Accent3 2 8 2 5" xfId="5533"/>
    <cellStyle name="20% - Accent3 2 8 2 6" xfId="5534"/>
    <cellStyle name="20% - Accent3 2 8 2 7" xfId="5535"/>
    <cellStyle name="20% - Accent3 2 8 3" xfId="5536"/>
    <cellStyle name="20% - Accent3 2 8 3 2" xfId="5537"/>
    <cellStyle name="20% - Accent3 2 8 3 3" xfId="5538"/>
    <cellStyle name="20% - Accent3 2 8 3 4" xfId="5539"/>
    <cellStyle name="20% - Accent3 2 8 3 5" xfId="5540"/>
    <cellStyle name="20% - Accent3 2 8 3 6" xfId="5541"/>
    <cellStyle name="20% - Accent3 2 8 4" xfId="5542"/>
    <cellStyle name="20% - Accent3 2 8 4 2" xfId="5543"/>
    <cellStyle name="20% - Accent3 2 8 5" xfId="5544"/>
    <cellStyle name="20% - Accent3 2 8 6" xfId="5545"/>
    <cellStyle name="20% - Accent3 2 8 7" xfId="5546"/>
    <cellStyle name="20% - Accent3 2 8 8" xfId="5547"/>
    <cellStyle name="20% - Accent3 2 8 9" xfId="5548"/>
    <cellStyle name="20% - Accent3 2 9" xfId="5549"/>
    <cellStyle name="20% - Accent3 2 9 2" xfId="5550"/>
    <cellStyle name="20% - Accent3 2 9 2 2" xfId="5551"/>
    <cellStyle name="20% - Accent3 2 9 2 3" xfId="5552"/>
    <cellStyle name="20% - Accent3 2 9 2 4" xfId="5553"/>
    <cellStyle name="20% - Accent3 2 9 2 5" xfId="5554"/>
    <cellStyle name="20% - Accent3 2 9 2 6" xfId="5555"/>
    <cellStyle name="20% - Accent3 2 9 2 7" xfId="5556"/>
    <cellStyle name="20% - Accent3 2 9 3" xfId="5557"/>
    <cellStyle name="20% - Accent3 2 9 3 2" xfId="5558"/>
    <cellStyle name="20% - Accent3 2 9 3 3" xfId="5559"/>
    <cellStyle name="20% - Accent3 2 9 3 4" xfId="5560"/>
    <cellStyle name="20% - Accent3 2 9 3 5" xfId="5561"/>
    <cellStyle name="20% - Accent3 2 9 3 6" xfId="5562"/>
    <cellStyle name="20% - Accent3 2 9 4" xfId="5563"/>
    <cellStyle name="20% - Accent3 2 9 4 2" xfId="5564"/>
    <cellStyle name="20% - Accent3 2 9 5" xfId="5565"/>
    <cellStyle name="20% - Accent3 2 9 6" xfId="5566"/>
    <cellStyle name="20% - Accent3 2 9 7" xfId="5567"/>
    <cellStyle name="20% - Accent3 2 9 8" xfId="5568"/>
    <cellStyle name="20% - Accent3 2 9 9" xfId="5569"/>
    <cellStyle name="20% - Accent3 20" xfId="5570"/>
    <cellStyle name="20% - Accent3 20 2" xfId="5571"/>
    <cellStyle name="20% - Accent3 20 3" xfId="5572"/>
    <cellStyle name="20% - Accent3 20 4" xfId="5573"/>
    <cellStyle name="20% - Accent3 21" xfId="5574"/>
    <cellStyle name="20% - Accent3 21 2" xfId="5575"/>
    <cellStyle name="20% - Accent3 21 3" xfId="5576"/>
    <cellStyle name="20% - Accent3 21 4" xfId="5577"/>
    <cellStyle name="20% - Accent3 22" xfId="5578"/>
    <cellStyle name="20% - Accent3 22 2" xfId="5579"/>
    <cellStyle name="20% - Accent3 22 3" xfId="5580"/>
    <cellStyle name="20% - Accent3 22 4" xfId="5581"/>
    <cellStyle name="20% - Accent3 23" xfId="5582"/>
    <cellStyle name="20% - Accent3 23 2" xfId="5583"/>
    <cellStyle name="20% - Accent3 23 3" xfId="5584"/>
    <cellStyle name="20% - Accent3 23 4" xfId="5585"/>
    <cellStyle name="20% - Accent3 24" xfId="5586"/>
    <cellStyle name="20% - Accent3 24 2" xfId="5587"/>
    <cellStyle name="20% - Accent3 24 3" xfId="5588"/>
    <cellStyle name="20% - Accent3 24 4" xfId="5589"/>
    <cellStyle name="20% - Accent3 25" xfId="5590"/>
    <cellStyle name="20% - Accent3 25 2" xfId="5591"/>
    <cellStyle name="20% - Accent3 25 3" xfId="5592"/>
    <cellStyle name="20% - Accent3 26" xfId="5593"/>
    <cellStyle name="20% - Accent3 26 2" xfId="5594"/>
    <cellStyle name="20% - Accent3 26 3" xfId="5595"/>
    <cellStyle name="20% - Accent3 27" xfId="5596"/>
    <cellStyle name="20% - Accent3 27 2" xfId="5597"/>
    <cellStyle name="20% - Accent3 27 3" xfId="5598"/>
    <cellStyle name="20% - Accent3 28" xfId="5599"/>
    <cellStyle name="20% - Accent3 28 2" xfId="5600"/>
    <cellStyle name="20% - Accent3 28 3" xfId="5601"/>
    <cellStyle name="20% - Accent3 29" xfId="5602"/>
    <cellStyle name="20% - Accent3 29 2" xfId="5603"/>
    <cellStyle name="20% - Accent3 29 3" xfId="5604"/>
    <cellStyle name="20% - Accent3 3" xfId="1450"/>
    <cellStyle name="20% - Accent3 3 10" xfId="5605"/>
    <cellStyle name="20% - Accent3 3 10 2" xfId="5606"/>
    <cellStyle name="20% - Accent3 3 10 3" xfId="5607"/>
    <cellStyle name="20% - Accent3 3 10 4" xfId="5608"/>
    <cellStyle name="20% - Accent3 3 10 5" xfId="5609"/>
    <cellStyle name="20% - Accent3 3 10 6" xfId="5610"/>
    <cellStyle name="20% - Accent3 3 10 7" xfId="5611"/>
    <cellStyle name="20% - Accent3 3 11" xfId="5612"/>
    <cellStyle name="20% - Accent3 3 11 2" xfId="5613"/>
    <cellStyle name="20% - Accent3 3 11 3" xfId="5614"/>
    <cellStyle name="20% - Accent3 3 11 4" xfId="5615"/>
    <cellStyle name="20% - Accent3 3 11 5" xfId="5616"/>
    <cellStyle name="20% - Accent3 3 11 6" xfId="5617"/>
    <cellStyle name="20% - Accent3 3 12" xfId="5618"/>
    <cellStyle name="20% - Accent3 3 12 2" xfId="5619"/>
    <cellStyle name="20% - Accent3 3 13" xfId="5620"/>
    <cellStyle name="20% - Accent3 3 14" xfId="5621"/>
    <cellStyle name="20% - Accent3 3 15" xfId="5622"/>
    <cellStyle name="20% - Accent3 3 16" xfId="5623"/>
    <cellStyle name="20% - Accent3 3 17" xfId="5624"/>
    <cellStyle name="20% - Accent3 3 18" xfId="5625"/>
    <cellStyle name="20% - Accent3 3 2" xfId="5626"/>
    <cellStyle name="20% - Accent3 3 2 2" xfId="5627"/>
    <cellStyle name="20% - Accent3 3 2 2 2" xfId="5628"/>
    <cellStyle name="20% - Accent3 3 2 2 3" xfId="5629"/>
    <cellStyle name="20% - Accent3 3 2 2 4" xfId="5630"/>
    <cellStyle name="20% - Accent3 3 2 2 5" xfId="5631"/>
    <cellStyle name="20% - Accent3 3 2 2 6" xfId="5632"/>
    <cellStyle name="20% - Accent3 3 2 2 7" xfId="5633"/>
    <cellStyle name="20% - Accent3 3 2 3" xfId="5634"/>
    <cellStyle name="20% - Accent3 3 2 3 2" xfId="5635"/>
    <cellStyle name="20% - Accent3 3 2 3 3" xfId="5636"/>
    <cellStyle name="20% - Accent3 3 2 3 4" xfId="5637"/>
    <cellStyle name="20% - Accent3 3 2 3 5" xfId="5638"/>
    <cellStyle name="20% - Accent3 3 2 3 6" xfId="5639"/>
    <cellStyle name="20% - Accent3 3 2 4" xfId="5640"/>
    <cellStyle name="20% - Accent3 3 2 5" xfId="5641"/>
    <cellStyle name="20% - Accent3 3 2 6" xfId="5642"/>
    <cellStyle name="20% - Accent3 3 2 7" xfId="5643"/>
    <cellStyle name="20% - Accent3 3 2 8" xfId="5644"/>
    <cellStyle name="20% - Accent3 3 2 9" xfId="5645"/>
    <cellStyle name="20% - Accent3 3 3" xfId="5646"/>
    <cellStyle name="20% - Accent3 3 3 2" xfId="5647"/>
    <cellStyle name="20% - Accent3 3 3 2 2" xfId="5648"/>
    <cellStyle name="20% - Accent3 3 3 2 3" xfId="5649"/>
    <cellStyle name="20% - Accent3 3 3 2 4" xfId="5650"/>
    <cellStyle name="20% - Accent3 3 3 2 5" xfId="5651"/>
    <cellStyle name="20% - Accent3 3 3 2 6" xfId="5652"/>
    <cellStyle name="20% - Accent3 3 3 2 7" xfId="5653"/>
    <cellStyle name="20% - Accent3 3 3 3" xfId="5654"/>
    <cellStyle name="20% - Accent3 3 3 3 2" xfId="5655"/>
    <cellStyle name="20% - Accent3 3 3 3 3" xfId="5656"/>
    <cellStyle name="20% - Accent3 3 3 3 4" xfId="5657"/>
    <cellStyle name="20% - Accent3 3 3 3 5" xfId="5658"/>
    <cellStyle name="20% - Accent3 3 3 3 6" xfId="5659"/>
    <cellStyle name="20% - Accent3 3 3 4" xfId="5660"/>
    <cellStyle name="20% - Accent3 3 3 5" xfId="5661"/>
    <cellStyle name="20% - Accent3 3 3 6" xfId="5662"/>
    <cellStyle name="20% - Accent3 3 3 7" xfId="5663"/>
    <cellStyle name="20% - Accent3 3 3 8" xfId="5664"/>
    <cellStyle name="20% - Accent3 3 3 9" xfId="5665"/>
    <cellStyle name="20% - Accent3 3 4" xfId="5666"/>
    <cellStyle name="20% - Accent3 3 4 2" xfId="5667"/>
    <cellStyle name="20% - Accent3 3 4 2 2" xfId="5668"/>
    <cellStyle name="20% - Accent3 3 4 2 3" xfId="5669"/>
    <cellStyle name="20% - Accent3 3 4 2 4" xfId="5670"/>
    <cellStyle name="20% - Accent3 3 4 2 5" xfId="5671"/>
    <cellStyle name="20% - Accent3 3 4 2 6" xfId="5672"/>
    <cellStyle name="20% - Accent3 3 4 2 7" xfId="5673"/>
    <cellStyle name="20% - Accent3 3 4 3" xfId="5674"/>
    <cellStyle name="20% - Accent3 3 4 3 2" xfId="5675"/>
    <cellStyle name="20% - Accent3 3 4 3 3" xfId="5676"/>
    <cellStyle name="20% - Accent3 3 4 3 4" xfId="5677"/>
    <cellStyle name="20% - Accent3 3 4 3 5" xfId="5678"/>
    <cellStyle name="20% - Accent3 3 4 3 6" xfId="5679"/>
    <cellStyle name="20% - Accent3 3 4 4" xfId="5680"/>
    <cellStyle name="20% - Accent3 3 4 5" xfId="5681"/>
    <cellStyle name="20% - Accent3 3 4 6" xfId="5682"/>
    <cellStyle name="20% - Accent3 3 4 7" xfId="5683"/>
    <cellStyle name="20% - Accent3 3 4 8" xfId="5684"/>
    <cellStyle name="20% - Accent3 3 4 9" xfId="5685"/>
    <cellStyle name="20% - Accent3 3 5" xfId="5686"/>
    <cellStyle name="20% - Accent3 3 5 2" xfId="5687"/>
    <cellStyle name="20% - Accent3 3 5 2 2" xfId="5688"/>
    <cellStyle name="20% - Accent3 3 5 2 3" xfId="5689"/>
    <cellStyle name="20% - Accent3 3 5 2 4" xfId="5690"/>
    <cellStyle name="20% - Accent3 3 5 2 5" xfId="5691"/>
    <cellStyle name="20% - Accent3 3 5 2 6" xfId="5692"/>
    <cellStyle name="20% - Accent3 3 5 2 7" xfId="5693"/>
    <cellStyle name="20% - Accent3 3 5 3" xfId="5694"/>
    <cellStyle name="20% - Accent3 3 5 3 2" xfId="5695"/>
    <cellStyle name="20% - Accent3 3 5 3 3" xfId="5696"/>
    <cellStyle name="20% - Accent3 3 5 3 4" xfId="5697"/>
    <cellStyle name="20% - Accent3 3 5 3 5" xfId="5698"/>
    <cellStyle name="20% - Accent3 3 5 3 6" xfId="5699"/>
    <cellStyle name="20% - Accent3 3 5 4" xfId="5700"/>
    <cellStyle name="20% - Accent3 3 5 5" xfId="5701"/>
    <cellStyle name="20% - Accent3 3 5 6" xfId="5702"/>
    <cellStyle name="20% - Accent3 3 5 7" xfId="5703"/>
    <cellStyle name="20% - Accent3 3 5 8" xfId="5704"/>
    <cellStyle name="20% - Accent3 3 5 9" xfId="5705"/>
    <cellStyle name="20% - Accent3 3 6" xfId="5706"/>
    <cellStyle name="20% - Accent3 3 6 2" xfId="5707"/>
    <cellStyle name="20% - Accent3 3 6 2 2" xfId="5708"/>
    <cellStyle name="20% - Accent3 3 6 2 3" xfId="5709"/>
    <cellStyle name="20% - Accent3 3 6 2 4" xfId="5710"/>
    <cellStyle name="20% - Accent3 3 6 2 5" xfId="5711"/>
    <cellStyle name="20% - Accent3 3 6 2 6" xfId="5712"/>
    <cellStyle name="20% - Accent3 3 6 2 7" xfId="5713"/>
    <cellStyle name="20% - Accent3 3 6 3" xfId="5714"/>
    <cellStyle name="20% - Accent3 3 6 3 2" xfId="5715"/>
    <cellStyle name="20% - Accent3 3 6 3 3" xfId="5716"/>
    <cellStyle name="20% - Accent3 3 6 3 4" xfId="5717"/>
    <cellStyle name="20% - Accent3 3 6 3 5" xfId="5718"/>
    <cellStyle name="20% - Accent3 3 6 3 6" xfId="5719"/>
    <cellStyle name="20% - Accent3 3 6 4" xfId="5720"/>
    <cellStyle name="20% - Accent3 3 6 5" xfId="5721"/>
    <cellStyle name="20% - Accent3 3 6 6" xfId="5722"/>
    <cellStyle name="20% - Accent3 3 6 7" xfId="5723"/>
    <cellStyle name="20% - Accent3 3 6 8" xfId="5724"/>
    <cellStyle name="20% - Accent3 3 6 9" xfId="5725"/>
    <cellStyle name="20% - Accent3 3 7" xfId="5726"/>
    <cellStyle name="20% - Accent3 3 7 2" xfId="5727"/>
    <cellStyle name="20% - Accent3 3 7 2 2" xfId="5728"/>
    <cellStyle name="20% - Accent3 3 7 2 3" xfId="5729"/>
    <cellStyle name="20% - Accent3 3 7 2 4" xfId="5730"/>
    <cellStyle name="20% - Accent3 3 7 2 5" xfId="5731"/>
    <cellStyle name="20% - Accent3 3 7 2 6" xfId="5732"/>
    <cellStyle name="20% - Accent3 3 7 2 7" xfId="5733"/>
    <cellStyle name="20% - Accent3 3 7 3" xfId="5734"/>
    <cellStyle name="20% - Accent3 3 7 3 2" xfId="5735"/>
    <cellStyle name="20% - Accent3 3 7 3 3" xfId="5736"/>
    <cellStyle name="20% - Accent3 3 7 3 4" xfId="5737"/>
    <cellStyle name="20% - Accent3 3 7 3 5" xfId="5738"/>
    <cellStyle name="20% - Accent3 3 7 3 6" xfId="5739"/>
    <cellStyle name="20% - Accent3 3 7 4" xfId="5740"/>
    <cellStyle name="20% - Accent3 3 7 5" xfId="5741"/>
    <cellStyle name="20% - Accent3 3 7 6" xfId="5742"/>
    <cellStyle name="20% - Accent3 3 7 7" xfId="5743"/>
    <cellStyle name="20% - Accent3 3 7 8" xfId="5744"/>
    <cellStyle name="20% - Accent3 3 7 9" xfId="5745"/>
    <cellStyle name="20% - Accent3 3 8" xfId="5746"/>
    <cellStyle name="20% - Accent3 3 8 2" xfId="5747"/>
    <cellStyle name="20% - Accent3 3 8 2 2" xfId="5748"/>
    <cellStyle name="20% - Accent3 3 8 2 3" xfId="5749"/>
    <cellStyle name="20% - Accent3 3 8 2 4" xfId="5750"/>
    <cellStyle name="20% - Accent3 3 8 2 5" xfId="5751"/>
    <cellStyle name="20% - Accent3 3 8 2 6" xfId="5752"/>
    <cellStyle name="20% - Accent3 3 8 2 7" xfId="5753"/>
    <cellStyle name="20% - Accent3 3 8 3" xfId="5754"/>
    <cellStyle name="20% - Accent3 3 8 3 2" xfId="5755"/>
    <cellStyle name="20% - Accent3 3 8 3 3" xfId="5756"/>
    <cellStyle name="20% - Accent3 3 8 3 4" xfId="5757"/>
    <cellStyle name="20% - Accent3 3 8 3 5" xfId="5758"/>
    <cellStyle name="20% - Accent3 3 8 3 6" xfId="5759"/>
    <cellStyle name="20% - Accent3 3 8 4" xfId="5760"/>
    <cellStyle name="20% - Accent3 3 8 5" xfId="5761"/>
    <cellStyle name="20% - Accent3 3 8 6" xfId="5762"/>
    <cellStyle name="20% - Accent3 3 8 7" xfId="5763"/>
    <cellStyle name="20% - Accent3 3 8 8" xfId="5764"/>
    <cellStyle name="20% - Accent3 3 8 9" xfId="5765"/>
    <cellStyle name="20% - Accent3 3 9" xfId="5766"/>
    <cellStyle name="20% - Accent3 3 9 2" xfId="5767"/>
    <cellStyle name="20% - Accent3 3 9 2 2" xfId="5768"/>
    <cellStyle name="20% - Accent3 3 9 2 3" xfId="5769"/>
    <cellStyle name="20% - Accent3 3 9 2 4" xfId="5770"/>
    <cellStyle name="20% - Accent3 3 9 2 5" xfId="5771"/>
    <cellStyle name="20% - Accent3 3 9 2 6" xfId="5772"/>
    <cellStyle name="20% - Accent3 3 9 3" xfId="5773"/>
    <cellStyle name="20% - Accent3 3 9 4" xfId="5774"/>
    <cellStyle name="20% - Accent3 3 9 5" xfId="5775"/>
    <cellStyle name="20% - Accent3 3 9 6" xfId="5776"/>
    <cellStyle name="20% - Accent3 3 9 7" xfId="5777"/>
    <cellStyle name="20% - Accent3 3 9 8" xfId="5778"/>
    <cellStyle name="20% - Accent3 30" xfId="5779"/>
    <cellStyle name="20% - Accent3 30 2" xfId="5780"/>
    <cellStyle name="20% - Accent3 31" xfId="5781"/>
    <cellStyle name="20% - Accent3 32" xfId="5782"/>
    <cellStyle name="20% - Accent3 33" xfId="5783"/>
    <cellStyle name="20% - Accent3 34" xfId="5784"/>
    <cellStyle name="20% - Accent3 4" xfId="5785"/>
    <cellStyle name="20% - Accent3 4 10" xfId="5786"/>
    <cellStyle name="20% - Accent3 4 10 2" xfId="5787"/>
    <cellStyle name="20% - Accent3 4 10 3" xfId="5788"/>
    <cellStyle name="20% - Accent3 4 10 4" xfId="5789"/>
    <cellStyle name="20% - Accent3 4 10 5" xfId="5790"/>
    <cellStyle name="20% - Accent3 4 10 6" xfId="5791"/>
    <cellStyle name="20% - Accent3 4 10 7" xfId="5792"/>
    <cellStyle name="20% - Accent3 4 11" xfId="5793"/>
    <cellStyle name="20% - Accent3 4 11 2" xfId="5794"/>
    <cellStyle name="20% - Accent3 4 11 3" xfId="5795"/>
    <cellStyle name="20% - Accent3 4 11 4" xfId="5796"/>
    <cellStyle name="20% - Accent3 4 11 5" xfId="5797"/>
    <cellStyle name="20% - Accent3 4 11 6" xfId="5798"/>
    <cellStyle name="20% - Accent3 4 12" xfId="5799"/>
    <cellStyle name="20% - Accent3 4 12 2" xfId="5800"/>
    <cellStyle name="20% - Accent3 4 13" xfId="5801"/>
    <cellStyle name="20% - Accent3 4 14" xfId="5802"/>
    <cellStyle name="20% - Accent3 4 15" xfId="5803"/>
    <cellStyle name="20% - Accent3 4 16" xfId="5804"/>
    <cellStyle name="20% - Accent3 4 17" xfId="5805"/>
    <cellStyle name="20% - Accent3 4 2" xfId="5806"/>
    <cellStyle name="20% - Accent3 4 2 2" xfId="5807"/>
    <cellStyle name="20% - Accent3 4 2 2 2" xfId="5808"/>
    <cellStyle name="20% - Accent3 4 2 2 3" xfId="5809"/>
    <cellStyle name="20% - Accent3 4 2 2 4" xfId="5810"/>
    <cellStyle name="20% - Accent3 4 2 2 5" xfId="5811"/>
    <cellStyle name="20% - Accent3 4 2 2 6" xfId="5812"/>
    <cellStyle name="20% - Accent3 4 2 2 7" xfId="5813"/>
    <cellStyle name="20% - Accent3 4 2 3" xfId="5814"/>
    <cellStyle name="20% - Accent3 4 2 3 2" xfId="5815"/>
    <cellStyle name="20% - Accent3 4 2 3 3" xfId="5816"/>
    <cellStyle name="20% - Accent3 4 2 3 4" xfId="5817"/>
    <cellStyle name="20% - Accent3 4 2 3 5" xfId="5818"/>
    <cellStyle name="20% - Accent3 4 2 3 6" xfId="5819"/>
    <cellStyle name="20% - Accent3 4 2 4" xfId="5820"/>
    <cellStyle name="20% - Accent3 4 2 4 2" xfId="5821"/>
    <cellStyle name="20% - Accent3 4 2 5" xfId="5822"/>
    <cellStyle name="20% - Accent3 4 2 6" xfId="5823"/>
    <cellStyle name="20% - Accent3 4 2 7" xfId="5824"/>
    <cellStyle name="20% - Accent3 4 2 8" xfId="5825"/>
    <cellStyle name="20% - Accent3 4 2 9" xfId="5826"/>
    <cellStyle name="20% - Accent3 4 3" xfId="5827"/>
    <cellStyle name="20% - Accent3 4 3 2" xfId="5828"/>
    <cellStyle name="20% - Accent3 4 3 2 2" xfId="5829"/>
    <cellStyle name="20% - Accent3 4 3 2 3" xfId="5830"/>
    <cellStyle name="20% - Accent3 4 3 2 4" xfId="5831"/>
    <cellStyle name="20% - Accent3 4 3 2 5" xfId="5832"/>
    <cellStyle name="20% - Accent3 4 3 2 6" xfId="5833"/>
    <cellStyle name="20% - Accent3 4 3 2 7" xfId="5834"/>
    <cellStyle name="20% - Accent3 4 3 3" xfId="5835"/>
    <cellStyle name="20% - Accent3 4 3 3 2" xfId="5836"/>
    <cellStyle name="20% - Accent3 4 3 3 3" xfId="5837"/>
    <cellStyle name="20% - Accent3 4 3 3 4" xfId="5838"/>
    <cellStyle name="20% - Accent3 4 3 3 5" xfId="5839"/>
    <cellStyle name="20% - Accent3 4 3 3 6" xfId="5840"/>
    <cellStyle name="20% - Accent3 4 3 4" xfId="5841"/>
    <cellStyle name="20% - Accent3 4 3 4 2" xfId="5842"/>
    <cellStyle name="20% - Accent3 4 3 5" xfId="5843"/>
    <cellStyle name="20% - Accent3 4 3 6" xfId="5844"/>
    <cellStyle name="20% - Accent3 4 3 7" xfId="5845"/>
    <cellStyle name="20% - Accent3 4 3 8" xfId="5846"/>
    <cellStyle name="20% - Accent3 4 3 9" xfId="5847"/>
    <cellStyle name="20% - Accent3 4 4" xfId="5848"/>
    <cellStyle name="20% - Accent3 4 4 2" xfId="5849"/>
    <cellStyle name="20% - Accent3 4 4 2 2" xfId="5850"/>
    <cellStyle name="20% - Accent3 4 4 2 3" xfId="5851"/>
    <cellStyle name="20% - Accent3 4 4 2 4" xfId="5852"/>
    <cellStyle name="20% - Accent3 4 4 2 5" xfId="5853"/>
    <cellStyle name="20% - Accent3 4 4 2 6" xfId="5854"/>
    <cellStyle name="20% - Accent3 4 4 2 7" xfId="5855"/>
    <cellStyle name="20% - Accent3 4 4 3" xfId="5856"/>
    <cellStyle name="20% - Accent3 4 4 3 2" xfId="5857"/>
    <cellStyle name="20% - Accent3 4 4 3 3" xfId="5858"/>
    <cellStyle name="20% - Accent3 4 4 3 4" xfId="5859"/>
    <cellStyle name="20% - Accent3 4 4 3 5" xfId="5860"/>
    <cellStyle name="20% - Accent3 4 4 3 6" xfId="5861"/>
    <cellStyle name="20% - Accent3 4 4 4" xfId="5862"/>
    <cellStyle name="20% - Accent3 4 4 5" xfId="5863"/>
    <cellStyle name="20% - Accent3 4 4 6" xfId="5864"/>
    <cellStyle name="20% - Accent3 4 4 7" xfId="5865"/>
    <cellStyle name="20% - Accent3 4 4 8" xfId="5866"/>
    <cellStyle name="20% - Accent3 4 4 9" xfId="5867"/>
    <cellStyle name="20% - Accent3 4 5" xfId="5868"/>
    <cellStyle name="20% - Accent3 4 5 2" xfId="5869"/>
    <cellStyle name="20% - Accent3 4 5 2 2" xfId="5870"/>
    <cellStyle name="20% - Accent3 4 5 2 3" xfId="5871"/>
    <cellStyle name="20% - Accent3 4 5 2 4" xfId="5872"/>
    <cellStyle name="20% - Accent3 4 5 2 5" xfId="5873"/>
    <cellStyle name="20% - Accent3 4 5 2 6" xfId="5874"/>
    <cellStyle name="20% - Accent3 4 5 2 7" xfId="5875"/>
    <cellStyle name="20% - Accent3 4 5 3" xfId="5876"/>
    <cellStyle name="20% - Accent3 4 5 3 2" xfId="5877"/>
    <cellStyle name="20% - Accent3 4 5 3 3" xfId="5878"/>
    <cellStyle name="20% - Accent3 4 5 3 4" xfId="5879"/>
    <cellStyle name="20% - Accent3 4 5 3 5" xfId="5880"/>
    <cellStyle name="20% - Accent3 4 5 3 6" xfId="5881"/>
    <cellStyle name="20% - Accent3 4 5 4" xfId="5882"/>
    <cellStyle name="20% - Accent3 4 5 5" xfId="5883"/>
    <cellStyle name="20% - Accent3 4 5 6" xfId="5884"/>
    <cellStyle name="20% - Accent3 4 5 7" xfId="5885"/>
    <cellStyle name="20% - Accent3 4 5 8" xfId="5886"/>
    <cellStyle name="20% - Accent3 4 5 9" xfId="5887"/>
    <cellStyle name="20% - Accent3 4 6" xfId="5888"/>
    <cellStyle name="20% - Accent3 4 6 2" xfId="5889"/>
    <cellStyle name="20% - Accent3 4 6 2 2" xfId="5890"/>
    <cellStyle name="20% - Accent3 4 6 2 3" xfId="5891"/>
    <cellStyle name="20% - Accent3 4 6 2 4" xfId="5892"/>
    <cellStyle name="20% - Accent3 4 6 2 5" xfId="5893"/>
    <cellStyle name="20% - Accent3 4 6 2 6" xfId="5894"/>
    <cellStyle name="20% - Accent3 4 6 2 7" xfId="5895"/>
    <cellStyle name="20% - Accent3 4 6 3" xfId="5896"/>
    <cellStyle name="20% - Accent3 4 6 3 2" xfId="5897"/>
    <cellStyle name="20% - Accent3 4 6 3 3" xfId="5898"/>
    <cellStyle name="20% - Accent3 4 6 3 4" xfId="5899"/>
    <cellStyle name="20% - Accent3 4 6 3 5" xfId="5900"/>
    <cellStyle name="20% - Accent3 4 6 3 6" xfId="5901"/>
    <cellStyle name="20% - Accent3 4 6 4" xfId="5902"/>
    <cellStyle name="20% - Accent3 4 6 5" xfId="5903"/>
    <cellStyle name="20% - Accent3 4 6 6" xfId="5904"/>
    <cellStyle name="20% - Accent3 4 6 7" xfId="5905"/>
    <cellStyle name="20% - Accent3 4 6 8" xfId="5906"/>
    <cellStyle name="20% - Accent3 4 6 9" xfId="5907"/>
    <cellStyle name="20% - Accent3 4 7" xfId="5908"/>
    <cellStyle name="20% - Accent3 4 7 2" xfId="5909"/>
    <cellStyle name="20% - Accent3 4 7 2 2" xfId="5910"/>
    <cellStyle name="20% - Accent3 4 7 2 3" xfId="5911"/>
    <cellStyle name="20% - Accent3 4 7 2 4" xfId="5912"/>
    <cellStyle name="20% - Accent3 4 7 2 5" xfId="5913"/>
    <cellStyle name="20% - Accent3 4 7 2 6" xfId="5914"/>
    <cellStyle name="20% - Accent3 4 7 2 7" xfId="5915"/>
    <cellStyle name="20% - Accent3 4 7 3" xfId="5916"/>
    <cellStyle name="20% - Accent3 4 7 3 2" xfId="5917"/>
    <cellStyle name="20% - Accent3 4 7 3 3" xfId="5918"/>
    <cellStyle name="20% - Accent3 4 7 3 4" xfId="5919"/>
    <cellStyle name="20% - Accent3 4 7 3 5" xfId="5920"/>
    <cellStyle name="20% - Accent3 4 7 3 6" xfId="5921"/>
    <cellStyle name="20% - Accent3 4 7 4" xfId="5922"/>
    <cellStyle name="20% - Accent3 4 7 5" xfId="5923"/>
    <cellStyle name="20% - Accent3 4 7 6" xfId="5924"/>
    <cellStyle name="20% - Accent3 4 7 7" xfId="5925"/>
    <cellStyle name="20% - Accent3 4 7 8" xfId="5926"/>
    <cellStyle name="20% - Accent3 4 7 9" xfId="5927"/>
    <cellStyle name="20% - Accent3 4 8" xfId="5928"/>
    <cellStyle name="20% - Accent3 4 8 2" xfId="5929"/>
    <cellStyle name="20% - Accent3 4 8 2 2" xfId="5930"/>
    <cellStyle name="20% - Accent3 4 8 2 3" xfId="5931"/>
    <cellStyle name="20% - Accent3 4 8 2 4" xfId="5932"/>
    <cellStyle name="20% - Accent3 4 8 2 5" xfId="5933"/>
    <cellStyle name="20% - Accent3 4 8 2 6" xfId="5934"/>
    <cellStyle name="20% - Accent3 4 8 2 7" xfId="5935"/>
    <cellStyle name="20% - Accent3 4 8 3" xfId="5936"/>
    <cellStyle name="20% - Accent3 4 8 3 2" xfId="5937"/>
    <cellStyle name="20% - Accent3 4 8 3 3" xfId="5938"/>
    <cellStyle name="20% - Accent3 4 8 3 4" xfId="5939"/>
    <cellStyle name="20% - Accent3 4 8 3 5" xfId="5940"/>
    <cellStyle name="20% - Accent3 4 8 3 6" xfId="5941"/>
    <cellStyle name="20% - Accent3 4 8 4" xfId="5942"/>
    <cellStyle name="20% - Accent3 4 8 5" xfId="5943"/>
    <cellStyle name="20% - Accent3 4 8 6" xfId="5944"/>
    <cellStyle name="20% - Accent3 4 8 7" xfId="5945"/>
    <cellStyle name="20% - Accent3 4 8 8" xfId="5946"/>
    <cellStyle name="20% - Accent3 4 8 9" xfId="5947"/>
    <cellStyle name="20% - Accent3 4 9" xfId="5948"/>
    <cellStyle name="20% - Accent3 4 9 2" xfId="5949"/>
    <cellStyle name="20% - Accent3 4 9 2 2" xfId="5950"/>
    <cellStyle name="20% - Accent3 4 9 2 3" xfId="5951"/>
    <cellStyle name="20% - Accent3 4 9 2 4" xfId="5952"/>
    <cellStyle name="20% - Accent3 4 9 2 5" xfId="5953"/>
    <cellStyle name="20% - Accent3 4 9 2 6" xfId="5954"/>
    <cellStyle name="20% - Accent3 4 9 3" xfId="5955"/>
    <cellStyle name="20% - Accent3 4 9 4" xfId="5956"/>
    <cellStyle name="20% - Accent3 4 9 5" xfId="5957"/>
    <cellStyle name="20% - Accent3 4 9 6" xfId="5958"/>
    <cellStyle name="20% - Accent3 4 9 7" xfId="5959"/>
    <cellStyle name="20% - Accent3 4 9 8" xfId="5960"/>
    <cellStyle name="20% - Accent3 5" xfId="5961"/>
    <cellStyle name="20% - Accent3 5 10" xfId="5962"/>
    <cellStyle name="20% - Accent3 5 10 2" xfId="5963"/>
    <cellStyle name="20% - Accent3 5 10 3" xfId="5964"/>
    <cellStyle name="20% - Accent3 5 10 4" xfId="5965"/>
    <cellStyle name="20% - Accent3 5 10 5" xfId="5966"/>
    <cellStyle name="20% - Accent3 5 10 6" xfId="5967"/>
    <cellStyle name="20% - Accent3 5 10 7" xfId="5968"/>
    <cellStyle name="20% - Accent3 5 11" xfId="5969"/>
    <cellStyle name="20% - Accent3 5 11 2" xfId="5970"/>
    <cellStyle name="20% - Accent3 5 11 3" xfId="5971"/>
    <cellStyle name="20% - Accent3 5 11 4" xfId="5972"/>
    <cellStyle name="20% - Accent3 5 11 5" xfId="5973"/>
    <cellStyle name="20% - Accent3 5 11 6" xfId="5974"/>
    <cellStyle name="20% - Accent3 5 12" xfId="5975"/>
    <cellStyle name="20% - Accent3 5 12 2" xfId="5976"/>
    <cellStyle name="20% - Accent3 5 13" xfId="5977"/>
    <cellStyle name="20% - Accent3 5 14" xfId="5978"/>
    <cellStyle name="20% - Accent3 5 15" xfId="5979"/>
    <cellStyle name="20% - Accent3 5 16" xfId="5980"/>
    <cellStyle name="20% - Accent3 5 17" xfId="5981"/>
    <cellStyle name="20% - Accent3 5 2" xfId="5982"/>
    <cellStyle name="20% - Accent3 5 2 2" xfId="5983"/>
    <cellStyle name="20% - Accent3 5 2 2 2" xfId="5984"/>
    <cellStyle name="20% - Accent3 5 2 2 3" xfId="5985"/>
    <cellStyle name="20% - Accent3 5 2 2 4" xfId="5986"/>
    <cellStyle name="20% - Accent3 5 2 2 5" xfId="5987"/>
    <cellStyle name="20% - Accent3 5 2 2 6" xfId="5988"/>
    <cellStyle name="20% - Accent3 5 2 2 7" xfId="5989"/>
    <cellStyle name="20% - Accent3 5 2 3" xfId="5990"/>
    <cellStyle name="20% - Accent3 5 2 3 2" xfId="5991"/>
    <cellStyle name="20% - Accent3 5 2 3 3" xfId="5992"/>
    <cellStyle name="20% - Accent3 5 2 3 4" xfId="5993"/>
    <cellStyle name="20% - Accent3 5 2 3 5" xfId="5994"/>
    <cellStyle name="20% - Accent3 5 2 3 6" xfId="5995"/>
    <cellStyle name="20% - Accent3 5 2 4" xfId="5996"/>
    <cellStyle name="20% - Accent3 5 2 4 2" xfId="5997"/>
    <cellStyle name="20% - Accent3 5 2 5" xfId="5998"/>
    <cellStyle name="20% - Accent3 5 2 6" xfId="5999"/>
    <cellStyle name="20% - Accent3 5 2 7" xfId="6000"/>
    <cellStyle name="20% - Accent3 5 2 8" xfId="6001"/>
    <cellStyle name="20% - Accent3 5 2 9" xfId="6002"/>
    <cellStyle name="20% - Accent3 5 3" xfId="6003"/>
    <cellStyle name="20% - Accent3 5 3 2" xfId="6004"/>
    <cellStyle name="20% - Accent3 5 3 2 2" xfId="6005"/>
    <cellStyle name="20% - Accent3 5 3 2 3" xfId="6006"/>
    <cellStyle name="20% - Accent3 5 3 2 4" xfId="6007"/>
    <cellStyle name="20% - Accent3 5 3 2 5" xfId="6008"/>
    <cellStyle name="20% - Accent3 5 3 2 6" xfId="6009"/>
    <cellStyle name="20% - Accent3 5 3 2 7" xfId="6010"/>
    <cellStyle name="20% - Accent3 5 3 3" xfId="6011"/>
    <cellStyle name="20% - Accent3 5 3 3 2" xfId="6012"/>
    <cellStyle name="20% - Accent3 5 3 3 3" xfId="6013"/>
    <cellStyle name="20% - Accent3 5 3 3 4" xfId="6014"/>
    <cellStyle name="20% - Accent3 5 3 3 5" xfId="6015"/>
    <cellStyle name="20% - Accent3 5 3 3 6" xfId="6016"/>
    <cellStyle name="20% - Accent3 5 3 4" xfId="6017"/>
    <cellStyle name="20% - Accent3 5 3 4 2" xfId="6018"/>
    <cellStyle name="20% - Accent3 5 3 5" xfId="6019"/>
    <cellStyle name="20% - Accent3 5 3 6" xfId="6020"/>
    <cellStyle name="20% - Accent3 5 3 7" xfId="6021"/>
    <cellStyle name="20% - Accent3 5 3 8" xfId="6022"/>
    <cellStyle name="20% - Accent3 5 3 9" xfId="6023"/>
    <cellStyle name="20% - Accent3 5 4" xfId="6024"/>
    <cellStyle name="20% - Accent3 5 4 2" xfId="6025"/>
    <cellStyle name="20% - Accent3 5 4 2 2" xfId="6026"/>
    <cellStyle name="20% - Accent3 5 4 2 3" xfId="6027"/>
    <cellStyle name="20% - Accent3 5 4 2 4" xfId="6028"/>
    <cellStyle name="20% - Accent3 5 4 2 5" xfId="6029"/>
    <cellStyle name="20% - Accent3 5 4 2 6" xfId="6030"/>
    <cellStyle name="20% - Accent3 5 4 2 7" xfId="6031"/>
    <cellStyle name="20% - Accent3 5 4 3" xfId="6032"/>
    <cellStyle name="20% - Accent3 5 4 3 2" xfId="6033"/>
    <cellStyle name="20% - Accent3 5 4 3 3" xfId="6034"/>
    <cellStyle name="20% - Accent3 5 4 3 4" xfId="6035"/>
    <cellStyle name="20% - Accent3 5 4 3 5" xfId="6036"/>
    <cellStyle name="20% - Accent3 5 4 3 6" xfId="6037"/>
    <cellStyle name="20% - Accent3 5 4 4" xfId="6038"/>
    <cellStyle name="20% - Accent3 5 4 5" xfId="6039"/>
    <cellStyle name="20% - Accent3 5 4 6" xfId="6040"/>
    <cellStyle name="20% - Accent3 5 4 7" xfId="6041"/>
    <cellStyle name="20% - Accent3 5 4 8" xfId="6042"/>
    <cellStyle name="20% - Accent3 5 4 9" xfId="6043"/>
    <cellStyle name="20% - Accent3 5 5" xfId="6044"/>
    <cellStyle name="20% - Accent3 5 5 2" xfId="6045"/>
    <cellStyle name="20% - Accent3 5 5 2 2" xfId="6046"/>
    <cellStyle name="20% - Accent3 5 5 2 3" xfId="6047"/>
    <cellStyle name="20% - Accent3 5 5 2 4" xfId="6048"/>
    <cellStyle name="20% - Accent3 5 5 2 5" xfId="6049"/>
    <cellStyle name="20% - Accent3 5 5 2 6" xfId="6050"/>
    <cellStyle name="20% - Accent3 5 5 2 7" xfId="6051"/>
    <cellStyle name="20% - Accent3 5 5 3" xfId="6052"/>
    <cellStyle name="20% - Accent3 5 5 3 2" xfId="6053"/>
    <cellStyle name="20% - Accent3 5 5 3 3" xfId="6054"/>
    <cellStyle name="20% - Accent3 5 5 3 4" xfId="6055"/>
    <cellStyle name="20% - Accent3 5 5 3 5" xfId="6056"/>
    <cellStyle name="20% - Accent3 5 5 3 6" xfId="6057"/>
    <cellStyle name="20% - Accent3 5 5 4" xfId="6058"/>
    <cellStyle name="20% - Accent3 5 5 5" xfId="6059"/>
    <cellStyle name="20% - Accent3 5 5 6" xfId="6060"/>
    <cellStyle name="20% - Accent3 5 5 7" xfId="6061"/>
    <cellStyle name="20% - Accent3 5 5 8" xfId="6062"/>
    <cellStyle name="20% - Accent3 5 5 9" xfId="6063"/>
    <cellStyle name="20% - Accent3 5 6" xfId="6064"/>
    <cellStyle name="20% - Accent3 5 6 2" xfId="6065"/>
    <cellStyle name="20% - Accent3 5 6 2 2" xfId="6066"/>
    <cellStyle name="20% - Accent3 5 6 2 3" xfId="6067"/>
    <cellStyle name="20% - Accent3 5 6 2 4" xfId="6068"/>
    <cellStyle name="20% - Accent3 5 6 2 5" xfId="6069"/>
    <cellStyle name="20% - Accent3 5 6 2 6" xfId="6070"/>
    <cellStyle name="20% - Accent3 5 6 2 7" xfId="6071"/>
    <cellStyle name="20% - Accent3 5 6 3" xfId="6072"/>
    <cellStyle name="20% - Accent3 5 6 3 2" xfId="6073"/>
    <cellStyle name="20% - Accent3 5 6 3 3" xfId="6074"/>
    <cellStyle name="20% - Accent3 5 6 3 4" xfId="6075"/>
    <cellStyle name="20% - Accent3 5 6 3 5" xfId="6076"/>
    <cellStyle name="20% - Accent3 5 6 3 6" xfId="6077"/>
    <cellStyle name="20% - Accent3 5 6 4" xfId="6078"/>
    <cellStyle name="20% - Accent3 5 6 5" xfId="6079"/>
    <cellStyle name="20% - Accent3 5 6 6" xfId="6080"/>
    <cellStyle name="20% - Accent3 5 6 7" xfId="6081"/>
    <cellStyle name="20% - Accent3 5 6 8" xfId="6082"/>
    <cellStyle name="20% - Accent3 5 6 9" xfId="6083"/>
    <cellStyle name="20% - Accent3 5 7" xfId="6084"/>
    <cellStyle name="20% - Accent3 5 7 2" xfId="6085"/>
    <cellStyle name="20% - Accent3 5 7 2 2" xfId="6086"/>
    <cellStyle name="20% - Accent3 5 7 2 3" xfId="6087"/>
    <cellStyle name="20% - Accent3 5 7 2 4" xfId="6088"/>
    <cellStyle name="20% - Accent3 5 7 2 5" xfId="6089"/>
    <cellStyle name="20% - Accent3 5 7 2 6" xfId="6090"/>
    <cellStyle name="20% - Accent3 5 7 2 7" xfId="6091"/>
    <cellStyle name="20% - Accent3 5 7 3" xfId="6092"/>
    <cellStyle name="20% - Accent3 5 7 3 2" xfId="6093"/>
    <cellStyle name="20% - Accent3 5 7 3 3" xfId="6094"/>
    <cellStyle name="20% - Accent3 5 7 3 4" xfId="6095"/>
    <cellStyle name="20% - Accent3 5 7 3 5" xfId="6096"/>
    <cellStyle name="20% - Accent3 5 7 3 6" xfId="6097"/>
    <cellStyle name="20% - Accent3 5 7 4" xfId="6098"/>
    <cellStyle name="20% - Accent3 5 7 5" xfId="6099"/>
    <cellStyle name="20% - Accent3 5 7 6" xfId="6100"/>
    <cellStyle name="20% - Accent3 5 7 7" xfId="6101"/>
    <cellStyle name="20% - Accent3 5 7 8" xfId="6102"/>
    <cellStyle name="20% - Accent3 5 7 9" xfId="6103"/>
    <cellStyle name="20% - Accent3 5 8" xfId="6104"/>
    <cellStyle name="20% - Accent3 5 8 2" xfId="6105"/>
    <cellStyle name="20% - Accent3 5 8 2 2" xfId="6106"/>
    <cellStyle name="20% - Accent3 5 8 2 3" xfId="6107"/>
    <cellStyle name="20% - Accent3 5 8 2 4" xfId="6108"/>
    <cellStyle name="20% - Accent3 5 8 2 5" xfId="6109"/>
    <cellStyle name="20% - Accent3 5 8 2 6" xfId="6110"/>
    <cellStyle name="20% - Accent3 5 8 2 7" xfId="6111"/>
    <cellStyle name="20% - Accent3 5 8 3" xfId="6112"/>
    <cellStyle name="20% - Accent3 5 8 3 2" xfId="6113"/>
    <cellStyle name="20% - Accent3 5 8 3 3" xfId="6114"/>
    <cellStyle name="20% - Accent3 5 8 3 4" xfId="6115"/>
    <cellStyle name="20% - Accent3 5 8 3 5" xfId="6116"/>
    <cellStyle name="20% - Accent3 5 8 3 6" xfId="6117"/>
    <cellStyle name="20% - Accent3 5 8 4" xfId="6118"/>
    <cellStyle name="20% - Accent3 5 8 5" xfId="6119"/>
    <cellStyle name="20% - Accent3 5 8 6" xfId="6120"/>
    <cellStyle name="20% - Accent3 5 8 7" xfId="6121"/>
    <cellStyle name="20% - Accent3 5 8 8" xfId="6122"/>
    <cellStyle name="20% - Accent3 5 8 9" xfId="6123"/>
    <cellStyle name="20% - Accent3 5 9" xfId="6124"/>
    <cellStyle name="20% - Accent3 5 9 2" xfId="6125"/>
    <cellStyle name="20% - Accent3 5 9 2 2" xfId="6126"/>
    <cellStyle name="20% - Accent3 5 9 2 3" xfId="6127"/>
    <cellStyle name="20% - Accent3 5 9 2 4" xfId="6128"/>
    <cellStyle name="20% - Accent3 5 9 2 5" xfId="6129"/>
    <cellStyle name="20% - Accent3 5 9 2 6" xfId="6130"/>
    <cellStyle name="20% - Accent3 5 9 3" xfId="6131"/>
    <cellStyle name="20% - Accent3 5 9 4" xfId="6132"/>
    <cellStyle name="20% - Accent3 5 9 5" xfId="6133"/>
    <cellStyle name="20% - Accent3 5 9 6" xfId="6134"/>
    <cellStyle name="20% - Accent3 5 9 7" xfId="6135"/>
    <cellStyle name="20% - Accent3 5 9 8" xfId="6136"/>
    <cellStyle name="20% - Accent3 6" xfId="6137"/>
    <cellStyle name="20% - Accent3 6 10" xfId="6138"/>
    <cellStyle name="20% - Accent3 6 10 2" xfId="6139"/>
    <cellStyle name="20% - Accent3 6 10 3" xfId="6140"/>
    <cellStyle name="20% - Accent3 6 10 4" xfId="6141"/>
    <cellStyle name="20% - Accent3 6 10 5" xfId="6142"/>
    <cellStyle name="20% - Accent3 6 10 6" xfId="6143"/>
    <cellStyle name="20% - Accent3 6 10 7" xfId="6144"/>
    <cellStyle name="20% - Accent3 6 11" xfId="6145"/>
    <cellStyle name="20% - Accent3 6 11 2" xfId="6146"/>
    <cellStyle name="20% - Accent3 6 11 3" xfId="6147"/>
    <cellStyle name="20% - Accent3 6 11 4" xfId="6148"/>
    <cellStyle name="20% - Accent3 6 11 5" xfId="6149"/>
    <cellStyle name="20% - Accent3 6 11 6" xfId="6150"/>
    <cellStyle name="20% - Accent3 6 12" xfId="6151"/>
    <cellStyle name="20% - Accent3 6 12 2" xfId="6152"/>
    <cellStyle name="20% - Accent3 6 13" xfId="6153"/>
    <cellStyle name="20% - Accent3 6 14" xfId="6154"/>
    <cellStyle name="20% - Accent3 6 15" xfId="6155"/>
    <cellStyle name="20% - Accent3 6 16" xfId="6156"/>
    <cellStyle name="20% - Accent3 6 17" xfId="6157"/>
    <cellStyle name="20% - Accent3 6 2" xfId="6158"/>
    <cellStyle name="20% - Accent3 6 2 2" xfId="6159"/>
    <cellStyle name="20% - Accent3 6 2 2 2" xfId="6160"/>
    <cellStyle name="20% - Accent3 6 2 2 3" xfId="6161"/>
    <cellStyle name="20% - Accent3 6 2 2 4" xfId="6162"/>
    <cellStyle name="20% - Accent3 6 2 2 5" xfId="6163"/>
    <cellStyle name="20% - Accent3 6 2 2 6" xfId="6164"/>
    <cellStyle name="20% - Accent3 6 2 2 7" xfId="6165"/>
    <cellStyle name="20% - Accent3 6 2 3" xfId="6166"/>
    <cellStyle name="20% - Accent3 6 2 3 2" xfId="6167"/>
    <cellStyle name="20% - Accent3 6 2 3 3" xfId="6168"/>
    <cellStyle name="20% - Accent3 6 2 3 4" xfId="6169"/>
    <cellStyle name="20% - Accent3 6 2 3 5" xfId="6170"/>
    <cellStyle name="20% - Accent3 6 2 3 6" xfId="6171"/>
    <cellStyle name="20% - Accent3 6 2 4" xfId="6172"/>
    <cellStyle name="20% - Accent3 6 2 4 2" xfId="6173"/>
    <cellStyle name="20% - Accent3 6 2 5" xfId="6174"/>
    <cellStyle name="20% - Accent3 6 2 6" xfId="6175"/>
    <cellStyle name="20% - Accent3 6 2 7" xfId="6176"/>
    <cellStyle name="20% - Accent3 6 2 8" xfId="6177"/>
    <cellStyle name="20% - Accent3 6 2 9" xfId="6178"/>
    <cellStyle name="20% - Accent3 6 3" xfId="6179"/>
    <cellStyle name="20% - Accent3 6 3 2" xfId="6180"/>
    <cellStyle name="20% - Accent3 6 3 2 2" xfId="6181"/>
    <cellStyle name="20% - Accent3 6 3 2 3" xfId="6182"/>
    <cellStyle name="20% - Accent3 6 3 2 4" xfId="6183"/>
    <cellStyle name="20% - Accent3 6 3 2 5" xfId="6184"/>
    <cellStyle name="20% - Accent3 6 3 2 6" xfId="6185"/>
    <cellStyle name="20% - Accent3 6 3 2 7" xfId="6186"/>
    <cellStyle name="20% - Accent3 6 3 3" xfId="6187"/>
    <cellStyle name="20% - Accent3 6 3 3 2" xfId="6188"/>
    <cellStyle name="20% - Accent3 6 3 3 3" xfId="6189"/>
    <cellStyle name="20% - Accent3 6 3 3 4" xfId="6190"/>
    <cellStyle name="20% - Accent3 6 3 3 5" xfId="6191"/>
    <cellStyle name="20% - Accent3 6 3 3 6" xfId="6192"/>
    <cellStyle name="20% - Accent3 6 3 4" xfId="6193"/>
    <cellStyle name="20% - Accent3 6 3 4 2" xfId="6194"/>
    <cellStyle name="20% - Accent3 6 3 5" xfId="6195"/>
    <cellStyle name="20% - Accent3 6 3 6" xfId="6196"/>
    <cellStyle name="20% - Accent3 6 3 7" xfId="6197"/>
    <cellStyle name="20% - Accent3 6 3 8" xfId="6198"/>
    <cellStyle name="20% - Accent3 6 3 9" xfId="6199"/>
    <cellStyle name="20% - Accent3 6 4" xfId="6200"/>
    <cellStyle name="20% - Accent3 6 4 2" xfId="6201"/>
    <cellStyle name="20% - Accent3 6 4 2 2" xfId="6202"/>
    <cellStyle name="20% - Accent3 6 4 2 3" xfId="6203"/>
    <cellStyle name="20% - Accent3 6 4 2 4" xfId="6204"/>
    <cellStyle name="20% - Accent3 6 4 2 5" xfId="6205"/>
    <cellStyle name="20% - Accent3 6 4 2 6" xfId="6206"/>
    <cellStyle name="20% - Accent3 6 4 2 7" xfId="6207"/>
    <cellStyle name="20% - Accent3 6 4 3" xfId="6208"/>
    <cellStyle name="20% - Accent3 6 4 3 2" xfId="6209"/>
    <cellStyle name="20% - Accent3 6 4 3 3" xfId="6210"/>
    <cellStyle name="20% - Accent3 6 4 3 4" xfId="6211"/>
    <cellStyle name="20% - Accent3 6 4 3 5" xfId="6212"/>
    <cellStyle name="20% - Accent3 6 4 3 6" xfId="6213"/>
    <cellStyle name="20% - Accent3 6 4 4" xfId="6214"/>
    <cellStyle name="20% - Accent3 6 4 5" xfId="6215"/>
    <cellStyle name="20% - Accent3 6 4 6" xfId="6216"/>
    <cellStyle name="20% - Accent3 6 4 7" xfId="6217"/>
    <cellStyle name="20% - Accent3 6 4 8" xfId="6218"/>
    <cellStyle name="20% - Accent3 6 4 9" xfId="6219"/>
    <cellStyle name="20% - Accent3 6 5" xfId="6220"/>
    <cellStyle name="20% - Accent3 6 5 2" xfId="6221"/>
    <cellStyle name="20% - Accent3 6 5 2 2" xfId="6222"/>
    <cellStyle name="20% - Accent3 6 5 2 3" xfId="6223"/>
    <cellStyle name="20% - Accent3 6 5 2 4" xfId="6224"/>
    <cellStyle name="20% - Accent3 6 5 2 5" xfId="6225"/>
    <cellStyle name="20% - Accent3 6 5 2 6" xfId="6226"/>
    <cellStyle name="20% - Accent3 6 5 2 7" xfId="6227"/>
    <cellStyle name="20% - Accent3 6 5 3" xfId="6228"/>
    <cellStyle name="20% - Accent3 6 5 3 2" xfId="6229"/>
    <cellStyle name="20% - Accent3 6 5 3 3" xfId="6230"/>
    <cellStyle name="20% - Accent3 6 5 3 4" xfId="6231"/>
    <cellStyle name="20% - Accent3 6 5 3 5" xfId="6232"/>
    <cellStyle name="20% - Accent3 6 5 3 6" xfId="6233"/>
    <cellStyle name="20% - Accent3 6 5 4" xfId="6234"/>
    <cellStyle name="20% - Accent3 6 5 5" xfId="6235"/>
    <cellStyle name="20% - Accent3 6 5 6" xfId="6236"/>
    <cellStyle name="20% - Accent3 6 5 7" xfId="6237"/>
    <cellStyle name="20% - Accent3 6 5 8" xfId="6238"/>
    <cellStyle name="20% - Accent3 6 5 9" xfId="6239"/>
    <cellStyle name="20% - Accent3 6 6" xfId="6240"/>
    <cellStyle name="20% - Accent3 6 6 2" xfId="6241"/>
    <cellStyle name="20% - Accent3 6 6 2 2" xfId="6242"/>
    <cellStyle name="20% - Accent3 6 6 2 3" xfId="6243"/>
    <cellStyle name="20% - Accent3 6 6 2 4" xfId="6244"/>
    <cellStyle name="20% - Accent3 6 6 2 5" xfId="6245"/>
    <cellStyle name="20% - Accent3 6 6 2 6" xfId="6246"/>
    <cellStyle name="20% - Accent3 6 6 2 7" xfId="6247"/>
    <cellStyle name="20% - Accent3 6 6 3" xfId="6248"/>
    <cellStyle name="20% - Accent3 6 6 3 2" xfId="6249"/>
    <cellStyle name="20% - Accent3 6 6 3 3" xfId="6250"/>
    <cellStyle name="20% - Accent3 6 6 3 4" xfId="6251"/>
    <cellStyle name="20% - Accent3 6 6 3 5" xfId="6252"/>
    <cellStyle name="20% - Accent3 6 6 3 6" xfId="6253"/>
    <cellStyle name="20% - Accent3 6 6 4" xfId="6254"/>
    <cellStyle name="20% - Accent3 6 6 5" xfId="6255"/>
    <cellStyle name="20% - Accent3 6 6 6" xfId="6256"/>
    <cellStyle name="20% - Accent3 6 6 7" xfId="6257"/>
    <cellStyle name="20% - Accent3 6 6 8" xfId="6258"/>
    <cellStyle name="20% - Accent3 6 6 9" xfId="6259"/>
    <cellStyle name="20% - Accent3 6 7" xfId="6260"/>
    <cellStyle name="20% - Accent3 6 7 2" xfId="6261"/>
    <cellStyle name="20% - Accent3 6 7 2 2" xfId="6262"/>
    <cellStyle name="20% - Accent3 6 7 2 3" xfId="6263"/>
    <cellStyle name="20% - Accent3 6 7 2 4" xfId="6264"/>
    <cellStyle name="20% - Accent3 6 7 2 5" xfId="6265"/>
    <cellStyle name="20% - Accent3 6 7 2 6" xfId="6266"/>
    <cellStyle name="20% - Accent3 6 7 2 7" xfId="6267"/>
    <cellStyle name="20% - Accent3 6 7 3" xfId="6268"/>
    <cellStyle name="20% - Accent3 6 7 3 2" xfId="6269"/>
    <cellStyle name="20% - Accent3 6 7 3 3" xfId="6270"/>
    <cellStyle name="20% - Accent3 6 7 3 4" xfId="6271"/>
    <cellStyle name="20% - Accent3 6 7 3 5" xfId="6272"/>
    <cellStyle name="20% - Accent3 6 7 3 6" xfId="6273"/>
    <cellStyle name="20% - Accent3 6 7 4" xfId="6274"/>
    <cellStyle name="20% - Accent3 6 7 5" xfId="6275"/>
    <cellStyle name="20% - Accent3 6 7 6" xfId="6276"/>
    <cellStyle name="20% - Accent3 6 7 7" xfId="6277"/>
    <cellStyle name="20% - Accent3 6 7 8" xfId="6278"/>
    <cellStyle name="20% - Accent3 6 7 9" xfId="6279"/>
    <cellStyle name="20% - Accent3 6 8" xfId="6280"/>
    <cellStyle name="20% - Accent3 6 8 2" xfId="6281"/>
    <cellStyle name="20% - Accent3 6 8 2 2" xfId="6282"/>
    <cellStyle name="20% - Accent3 6 8 2 3" xfId="6283"/>
    <cellStyle name="20% - Accent3 6 8 2 4" xfId="6284"/>
    <cellStyle name="20% - Accent3 6 8 2 5" xfId="6285"/>
    <cellStyle name="20% - Accent3 6 8 2 6" xfId="6286"/>
    <cellStyle name="20% - Accent3 6 8 2 7" xfId="6287"/>
    <cellStyle name="20% - Accent3 6 8 3" xfId="6288"/>
    <cellStyle name="20% - Accent3 6 8 3 2" xfId="6289"/>
    <cellStyle name="20% - Accent3 6 8 3 3" xfId="6290"/>
    <cellStyle name="20% - Accent3 6 8 3 4" xfId="6291"/>
    <cellStyle name="20% - Accent3 6 8 3 5" xfId="6292"/>
    <cellStyle name="20% - Accent3 6 8 3 6" xfId="6293"/>
    <cellStyle name="20% - Accent3 6 8 4" xfId="6294"/>
    <cellStyle name="20% - Accent3 6 8 5" xfId="6295"/>
    <cellStyle name="20% - Accent3 6 8 6" xfId="6296"/>
    <cellStyle name="20% - Accent3 6 8 7" xfId="6297"/>
    <cellStyle name="20% - Accent3 6 8 8" xfId="6298"/>
    <cellStyle name="20% - Accent3 6 8 9" xfId="6299"/>
    <cellStyle name="20% - Accent3 6 9" xfId="6300"/>
    <cellStyle name="20% - Accent3 6 9 2" xfId="6301"/>
    <cellStyle name="20% - Accent3 6 9 2 2" xfId="6302"/>
    <cellStyle name="20% - Accent3 6 9 2 3" xfId="6303"/>
    <cellStyle name="20% - Accent3 6 9 2 4" xfId="6304"/>
    <cellStyle name="20% - Accent3 6 9 2 5" xfId="6305"/>
    <cellStyle name="20% - Accent3 6 9 2 6" xfId="6306"/>
    <cellStyle name="20% - Accent3 6 9 3" xfId="6307"/>
    <cellStyle name="20% - Accent3 6 9 4" xfId="6308"/>
    <cellStyle name="20% - Accent3 6 9 5" xfId="6309"/>
    <cellStyle name="20% - Accent3 6 9 6" xfId="6310"/>
    <cellStyle name="20% - Accent3 6 9 7" xfId="6311"/>
    <cellStyle name="20% - Accent3 6 9 8" xfId="6312"/>
    <cellStyle name="20% - Accent3 7" xfId="6313"/>
    <cellStyle name="20% - Accent3 7 10" xfId="6314"/>
    <cellStyle name="20% - Accent3 7 10 2" xfId="6315"/>
    <cellStyle name="20% - Accent3 7 10 3" xfId="6316"/>
    <cellStyle name="20% - Accent3 7 10 4" xfId="6317"/>
    <cellStyle name="20% - Accent3 7 10 5" xfId="6318"/>
    <cellStyle name="20% - Accent3 7 10 6" xfId="6319"/>
    <cellStyle name="20% - Accent3 7 10 7" xfId="6320"/>
    <cellStyle name="20% - Accent3 7 11" xfId="6321"/>
    <cellStyle name="20% - Accent3 7 11 2" xfId="6322"/>
    <cellStyle name="20% - Accent3 7 11 3" xfId="6323"/>
    <cellStyle name="20% - Accent3 7 11 4" xfId="6324"/>
    <cellStyle name="20% - Accent3 7 11 5" xfId="6325"/>
    <cellStyle name="20% - Accent3 7 11 6" xfId="6326"/>
    <cellStyle name="20% - Accent3 7 12" xfId="6327"/>
    <cellStyle name="20% - Accent3 7 12 2" xfId="6328"/>
    <cellStyle name="20% - Accent3 7 13" xfId="6329"/>
    <cellStyle name="20% - Accent3 7 14" xfId="6330"/>
    <cellStyle name="20% - Accent3 7 15" xfId="6331"/>
    <cellStyle name="20% - Accent3 7 16" xfId="6332"/>
    <cellStyle name="20% - Accent3 7 17" xfId="6333"/>
    <cellStyle name="20% - Accent3 7 2" xfId="6334"/>
    <cellStyle name="20% - Accent3 7 2 2" xfId="6335"/>
    <cellStyle name="20% - Accent3 7 2 2 2" xfId="6336"/>
    <cellStyle name="20% - Accent3 7 2 2 3" xfId="6337"/>
    <cellStyle name="20% - Accent3 7 2 2 4" xfId="6338"/>
    <cellStyle name="20% - Accent3 7 2 2 5" xfId="6339"/>
    <cellStyle name="20% - Accent3 7 2 2 6" xfId="6340"/>
    <cellStyle name="20% - Accent3 7 2 2 7" xfId="6341"/>
    <cellStyle name="20% - Accent3 7 2 3" xfId="6342"/>
    <cellStyle name="20% - Accent3 7 2 3 2" xfId="6343"/>
    <cellStyle name="20% - Accent3 7 2 3 3" xfId="6344"/>
    <cellStyle name="20% - Accent3 7 2 3 4" xfId="6345"/>
    <cellStyle name="20% - Accent3 7 2 3 5" xfId="6346"/>
    <cellStyle name="20% - Accent3 7 2 3 6" xfId="6347"/>
    <cellStyle name="20% - Accent3 7 2 4" xfId="6348"/>
    <cellStyle name="20% - Accent3 7 2 4 2" xfId="6349"/>
    <cellStyle name="20% - Accent3 7 2 5" xfId="6350"/>
    <cellStyle name="20% - Accent3 7 2 6" xfId="6351"/>
    <cellStyle name="20% - Accent3 7 2 7" xfId="6352"/>
    <cellStyle name="20% - Accent3 7 2 8" xfId="6353"/>
    <cellStyle name="20% - Accent3 7 2 9" xfId="6354"/>
    <cellStyle name="20% - Accent3 7 3" xfId="6355"/>
    <cellStyle name="20% - Accent3 7 3 2" xfId="6356"/>
    <cellStyle name="20% - Accent3 7 3 2 2" xfId="6357"/>
    <cellStyle name="20% - Accent3 7 3 2 3" xfId="6358"/>
    <cellStyle name="20% - Accent3 7 3 2 4" xfId="6359"/>
    <cellStyle name="20% - Accent3 7 3 2 5" xfId="6360"/>
    <cellStyle name="20% - Accent3 7 3 2 6" xfId="6361"/>
    <cellStyle name="20% - Accent3 7 3 2 7" xfId="6362"/>
    <cellStyle name="20% - Accent3 7 3 3" xfId="6363"/>
    <cellStyle name="20% - Accent3 7 3 3 2" xfId="6364"/>
    <cellStyle name="20% - Accent3 7 3 3 3" xfId="6365"/>
    <cellStyle name="20% - Accent3 7 3 3 4" xfId="6366"/>
    <cellStyle name="20% - Accent3 7 3 3 5" xfId="6367"/>
    <cellStyle name="20% - Accent3 7 3 3 6" xfId="6368"/>
    <cellStyle name="20% - Accent3 7 3 4" xfId="6369"/>
    <cellStyle name="20% - Accent3 7 3 4 2" xfId="6370"/>
    <cellStyle name="20% - Accent3 7 3 5" xfId="6371"/>
    <cellStyle name="20% - Accent3 7 3 6" xfId="6372"/>
    <cellStyle name="20% - Accent3 7 3 7" xfId="6373"/>
    <cellStyle name="20% - Accent3 7 3 8" xfId="6374"/>
    <cellStyle name="20% - Accent3 7 3 9" xfId="6375"/>
    <cellStyle name="20% - Accent3 7 4" xfId="6376"/>
    <cellStyle name="20% - Accent3 7 4 2" xfId="6377"/>
    <cellStyle name="20% - Accent3 7 4 2 2" xfId="6378"/>
    <cellStyle name="20% - Accent3 7 4 2 3" xfId="6379"/>
    <cellStyle name="20% - Accent3 7 4 2 4" xfId="6380"/>
    <cellStyle name="20% - Accent3 7 4 2 5" xfId="6381"/>
    <cellStyle name="20% - Accent3 7 4 2 6" xfId="6382"/>
    <cellStyle name="20% - Accent3 7 4 2 7" xfId="6383"/>
    <cellStyle name="20% - Accent3 7 4 3" xfId="6384"/>
    <cellStyle name="20% - Accent3 7 4 3 2" xfId="6385"/>
    <cellStyle name="20% - Accent3 7 4 3 3" xfId="6386"/>
    <cellStyle name="20% - Accent3 7 4 3 4" xfId="6387"/>
    <cellStyle name="20% - Accent3 7 4 3 5" xfId="6388"/>
    <cellStyle name="20% - Accent3 7 4 3 6" xfId="6389"/>
    <cellStyle name="20% - Accent3 7 4 4" xfId="6390"/>
    <cellStyle name="20% - Accent3 7 4 5" xfId="6391"/>
    <cellStyle name="20% - Accent3 7 4 6" xfId="6392"/>
    <cellStyle name="20% - Accent3 7 4 7" xfId="6393"/>
    <cellStyle name="20% - Accent3 7 4 8" xfId="6394"/>
    <cellStyle name="20% - Accent3 7 4 9" xfId="6395"/>
    <cellStyle name="20% - Accent3 7 5" xfId="6396"/>
    <cellStyle name="20% - Accent3 7 5 2" xfId="6397"/>
    <cellStyle name="20% - Accent3 7 5 2 2" xfId="6398"/>
    <cellStyle name="20% - Accent3 7 5 2 3" xfId="6399"/>
    <cellStyle name="20% - Accent3 7 5 2 4" xfId="6400"/>
    <cellStyle name="20% - Accent3 7 5 2 5" xfId="6401"/>
    <cellStyle name="20% - Accent3 7 5 2 6" xfId="6402"/>
    <cellStyle name="20% - Accent3 7 5 2 7" xfId="6403"/>
    <cellStyle name="20% - Accent3 7 5 3" xfId="6404"/>
    <cellStyle name="20% - Accent3 7 5 3 2" xfId="6405"/>
    <cellStyle name="20% - Accent3 7 5 3 3" xfId="6406"/>
    <cellStyle name="20% - Accent3 7 5 3 4" xfId="6407"/>
    <cellStyle name="20% - Accent3 7 5 3 5" xfId="6408"/>
    <cellStyle name="20% - Accent3 7 5 3 6" xfId="6409"/>
    <cellStyle name="20% - Accent3 7 5 4" xfId="6410"/>
    <cellStyle name="20% - Accent3 7 5 5" xfId="6411"/>
    <cellStyle name="20% - Accent3 7 5 6" xfId="6412"/>
    <cellStyle name="20% - Accent3 7 5 7" xfId="6413"/>
    <cellStyle name="20% - Accent3 7 5 8" xfId="6414"/>
    <cellStyle name="20% - Accent3 7 5 9" xfId="6415"/>
    <cellStyle name="20% - Accent3 7 6" xfId="6416"/>
    <cellStyle name="20% - Accent3 7 6 2" xfId="6417"/>
    <cellStyle name="20% - Accent3 7 6 2 2" xfId="6418"/>
    <cellStyle name="20% - Accent3 7 6 2 3" xfId="6419"/>
    <cellStyle name="20% - Accent3 7 6 2 4" xfId="6420"/>
    <cellStyle name="20% - Accent3 7 6 2 5" xfId="6421"/>
    <cellStyle name="20% - Accent3 7 6 2 6" xfId="6422"/>
    <cellStyle name="20% - Accent3 7 6 2 7" xfId="6423"/>
    <cellStyle name="20% - Accent3 7 6 3" xfId="6424"/>
    <cellStyle name="20% - Accent3 7 6 3 2" xfId="6425"/>
    <cellStyle name="20% - Accent3 7 6 3 3" xfId="6426"/>
    <cellStyle name="20% - Accent3 7 6 3 4" xfId="6427"/>
    <cellStyle name="20% - Accent3 7 6 3 5" xfId="6428"/>
    <cellStyle name="20% - Accent3 7 6 3 6" xfId="6429"/>
    <cellStyle name="20% - Accent3 7 6 4" xfId="6430"/>
    <cellStyle name="20% - Accent3 7 6 5" xfId="6431"/>
    <cellStyle name="20% - Accent3 7 6 6" xfId="6432"/>
    <cellStyle name="20% - Accent3 7 6 7" xfId="6433"/>
    <cellStyle name="20% - Accent3 7 6 8" xfId="6434"/>
    <cellStyle name="20% - Accent3 7 6 9" xfId="6435"/>
    <cellStyle name="20% - Accent3 7 7" xfId="6436"/>
    <cellStyle name="20% - Accent3 7 7 2" xfId="6437"/>
    <cellStyle name="20% - Accent3 7 7 2 2" xfId="6438"/>
    <cellStyle name="20% - Accent3 7 7 2 3" xfId="6439"/>
    <cellStyle name="20% - Accent3 7 7 2 4" xfId="6440"/>
    <cellStyle name="20% - Accent3 7 7 2 5" xfId="6441"/>
    <cellStyle name="20% - Accent3 7 7 2 6" xfId="6442"/>
    <cellStyle name="20% - Accent3 7 7 2 7" xfId="6443"/>
    <cellStyle name="20% - Accent3 7 7 3" xfId="6444"/>
    <cellStyle name="20% - Accent3 7 7 3 2" xfId="6445"/>
    <cellStyle name="20% - Accent3 7 7 3 3" xfId="6446"/>
    <cellStyle name="20% - Accent3 7 7 3 4" xfId="6447"/>
    <cellStyle name="20% - Accent3 7 7 3 5" xfId="6448"/>
    <cellStyle name="20% - Accent3 7 7 3 6" xfId="6449"/>
    <cellStyle name="20% - Accent3 7 7 4" xfId="6450"/>
    <cellStyle name="20% - Accent3 7 7 5" xfId="6451"/>
    <cellStyle name="20% - Accent3 7 7 6" xfId="6452"/>
    <cellStyle name="20% - Accent3 7 7 7" xfId="6453"/>
    <cellStyle name="20% - Accent3 7 7 8" xfId="6454"/>
    <cellStyle name="20% - Accent3 7 7 9" xfId="6455"/>
    <cellStyle name="20% - Accent3 7 8" xfId="6456"/>
    <cellStyle name="20% - Accent3 7 8 2" xfId="6457"/>
    <cellStyle name="20% - Accent3 7 8 2 2" xfId="6458"/>
    <cellStyle name="20% - Accent3 7 8 2 3" xfId="6459"/>
    <cellStyle name="20% - Accent3 7 8 2 4" xfId="6460"/>
    <cellStyle name="20% - Accent3 7 8 2 5" xfId="6461"/>
    <cellStyle name="20% - Accent3 7 8 2 6" xfId="6462"/>
    <cellStyle name="20% - Accent3 7 8 2 7" xfId="6463"/>
    <cellStyle name="20% - Accent3 7 8 3" xfId="6464"/>
    <cellStyle name="20% - Accent3 7 8 3 2" xfId="6465"/>
    <cellStyle name="20% - Accent3 7 8 3 3" xfId="6466"/>
    <cellStyle name="20% - Accent3 7 8 3 4" xfId="6467"/>
    <cellStyle name="20% - Accent3 7 8 3 5" xfId="6468"/>
    <cellStyle name="20% - Accent3 7 8 3 6" xfId="6469"/>
    <cellStyle name="20% - Accent3 7 8 4" xfId="6470"/>
    <cellStyle name="20% - Accent3 7 8 5" xfId="6471"/>
    <cellStyle name="20% - Accent3 7 8 6" xfId="6472"/>
    <cellStyle name="20% - Accent3 7 8 7" xfId="6473"/>
    <cellStyle name="20% - Accent3 7 8 8" xfId="6474"/>
    <cellStyle name="20% - Accent3 7 8 9" xfId="6475"/>
    <cellStyle name="20% - Accent3 7 9" xfId="6476"/>
    <cellStyle name="20% - Accent3 7 9 2" xfId="6477"/>
    <cellStyle name="20% - Accent3 7 9 2 2" xfId="6478"/>
    <cellStyle name="20% - Accent3 7 9 2 3" xfId="6479"/>
    <cellStyle name="20% - Accent3 7 9 2 4" xfId="6480"/>
    <cellStyle name="20% - Accent3 7 9 2 5" xfId="6481"/>
    <cellStyle name="20% - Accent3 7 9 2 6" xfId="6482"/>
    <cellStyle name="20% - Accent3 7 9 3" xfId="6483"/>
    <cellStyle name="20% - Accent3 7 9 4" xfId="6484"/>
    <cellStyle name="20% - Accent3 7 9 5" xfId="6485"/>
    <cellStyle name="20% - Accent3 7 9 6" xfId="6486"/>
    <cellStyle name="20% - Accent3 7 9 7" xfId="6487"/>
    <cellStyle name="20% - Accent3 7 9 8" xfId="6488"/>
    <cellStyle name="20% - Accent3 8" xfId="6489"/>
    <cellStyle name="20% - Accent3 8 10" xfId="6490"/>
    <cellStyle name="20% - Accent3 8 10 2" xfId="6491"/>
    <cellStyle name="20% - Accent3 8 10 3" xfId="6492"/>
    <cellStyle name="20% - Accent3 8 10 4" xfId="6493"/>
    <cellStyle name="20% - Accent3 8 10 5" xfId="6494"/>
    <cellStyle name="20% - Accent3 8 10 6" xfId="6495"/>
    <cellStyle name="20% - Accent3 8 10 7" xfId="6496"/>
    <cellStyle name="20% - Accent3 8 11" xfId="6497"/>
    <cellStyle name="20% - Accent3 8 11 2" xfId="6498"/>
    <cellStyle name="20% - Accent3 8 11 3" xfId="6499"/>
    <cellStyle name="20% - Accent3 8 11 4" xfId="6500"/>
    <cellStyle name="20% - Accent3 8 11 5" xfId="6501"/>
    <cellStyle name="20% - Accent3 8 11 6" xfId="6502"/>
    <cellStyle name="20% - Accent3 8 12" xfId="6503"/>
    <cellStyle name="20% - Accent3 8 12 2" xfId="6504"/>
    <cellStyle name="20% - Accent3 8 13" xfId="6505"/>
    <cellStyle name="20% - Accent3 8 14" xfId="6506"/>
    <cellStyle name="20% - Accent3 8 15" xfId="6507"/>
    <cellStyle name="20% - Accent3 8 16" xfId="6508"/>
    <cellStyle name="20% - Accent3 8 17" xfId="6509"/>
    <cellStyle name="20% - Accent3 8 2" xfId="6510"/>
    <cellStyle name="20% - Accent3 8 2 2" xfId="6511"/>
    <cellStyle name="20% - Accent3 8 2 2 2" xfId="6512"/>
    <cellStyle name="20% - Accent3 8 2 2 3" xfId="6513"/>
    <cellStyle name="20% - Accent3 8 2 2 4" xfId="6514"/>
    <cellStyle name="20% - Accent3 8 2 2 5" xfId="6515"/>
    <cellStyle name="20% - Accent3 8 2 2 6" xfId="6516"/>
    <cellStyle name="20% - Accent3 8 2 2 7" xfId="6517"/>
    <cellStyle name="20% - Accent3 8 2 3" xfId="6518"/>
    <cellStyle name="20% - Accent3 8 2 3 2" xfId="6519"/>
    <cellStyle name="20% - Accent3 8 2 3 3" xfId="6520"/>
    <cellStyle name="20% - Accent3 8 2 3 4" xfId="6521"/>
    <cellStyle name="20% - Accent3 8 2 3 5" xfId="6522"/>
    <cellStyle name="20% - Accent3 8 2 3 6" xfId="6523"/>
    <cellStyle name="20% - Accent3 8 2 4" xfId="6524"/>
    <cellStyle name="20% - Accent3 8 2 4 2" xfId="6525"/>
    <cellStyle name="20% - Accent3 8 2 5" xfId="6526"/>
    <cellStyle name="20% - Accent3 8 2 6" xfId="6527"/>
    <cellStyle name="20% - Accent3 8 2 7" xfId="6528"/>
    <cellStyle name="20% - Accent3 8 2 8" xfId="6529"/>
    <cellStyle name="20% - Accent3 8 2 9" xfId="6530"/>
    <cellStyle name="20% - Accent3 8 3" xfId="6531"/>
    <cellStyle name="20% - Accent3 8 3 2" xfId="6532"/>
    <cellStyle name="20% - Accent3 8 3 2 2" xfId="6533"/>
    <cellStyle name="20% - Accent3 8 3 2 3" xfId="6534"/>
    <cellStyle name="20% - Accent3 8 3 2 4" xfId="6535"/>
    <cellStyle name="20% - Accent3 8 3 2 5" xfId="6536"/>
    <cellStyle name="20% - Accent3 8 3 2 6" xfId="6537"/>
    <cellStyle name="20% - Accent3 8 3 2 7" xfId="6538"/>
    <cellStyle name="20% - Accent3 8 3 3" xfId="6539"/>
    <cellStyle name="20% - Accent3 8 3 3 2" xfId="6540"/>
    <cellStyle name="20% - Accent3 8 3 3 3" xfId="6541"/>
    <cellStyle name="20% - Accent3 8 3 3 4" xfId="6542"/>
    <cellStyle name="20% - Accent3 8 3 3 5" xfId="6543"/>
    <cellStyle name="20% - Accent3 8 3 3 6" xfId="6544"/>
    <cellStyle name="20% - Accent3 8 3 4" xfId="6545"/>
    <cellStyle name="20% - Accent3 8 3 4 2" xfId="6546"/>
    <cellStyle name="20% - Accent3 8 3 5" xfId="6547"/>
    <cellStyle name="20% - Accent3 8 3 6" xfId="6548"/>
    <cellStyle name="20% - Accent3 8 3 7" xfId="6549"/>
    <cellStyle name="20% - Accent3 8 3 8" xfId="6550"/>
    <cellStyle name="20% - Accent3 8 3 9" xfId="6551"/>
    <cellStyle name="20% - Accent3 8 4" xfId="6552"/>
    <cellStyle name="20% - Accent3 8 4 2" xfId="6553"/>
    <cellStyle name="20% - Accent3 8 4 2 2" xfId="6554"/>
    <cellStyle name="20% - Accent3 8 4 2 3" xfId="6555"/>
    <cellStyle name="20% - Accent3 8 4 2 4" xfId="6556"/>
    <cellStyle name="20% - Accent3 8 4 2 5" xfId="6557"/>
    <cellStyle name="20% - Accent3 8 4 2 6" xfId="6558"/>
    <cellStyle name="20% - Accent3 8 4 2 7" xfId="6559"/>
    <cellStyle name="20% - Accent3 8 4 3" xfId="6560"/>
    <cellStyle name="20% - Accent3 8 4 3 2" xfId="6561"/>
    <cellStyle name="20% - Accent3 8 4 3 3" xfId="6562"/>
    <cellStyle name="20% - Accent3 8 4 3 4" xfId="6563"/>
    <cellStyle name="20% - Accent3 8 4 3 5" xfId="6564"/>
    <cellStyle name="20% - Accent3 8 4 3 6" xfId="6565"/>
    <cellStyle name="20% - Accent3 8 4 4" xfId="6566"/>
    <cellStyle name="20% - Accent3 8 4 5" xfId="6567"/>
    <cellStyle name="20% - Accent3 8 4 6" xfId="6568"/>
    <cellStyle name="20% - Accent3 8 4 7" xfId="6569"/>
    <cellStyle name="20% - Accent3 8 4 8" xfId="6570"/>
    <cellStyle name="20% - Accent3 8 4 9" xfId="6571"/>
    <cellStyle name="20% - Accent3 8 5" xfId="6572"/>
    <cellStyle name="20% - Accent3 8 5 2" xfId="6573"/>
    <cellStyle name="20% - Accent3 8 5 2 2" xfId="6574"/>
    <cellStyle name="20% - Accent3 8 5 2 3" xfId="6575"/>
    <cellStyle name="20% - Accent3 8 5 2 4" xfId="6576"/>
    <cellStyle name="20% - Accent3 8 5 2 5" xfId="6577"/>
    <cellStyle name="20% - Accent3 8 5 2 6" xfId="6578"/>
    <cellStyle name="20% - Accent3 8 5 2 7" xfId="6579"/>
    <cellStyle name="20% - Accent3 8 5 3" xfId="6580"/>
    <cellStyle name="20% - Accent3 8 5 3 2" xfId="6581"/>
    <cellStyle name="20% - Accent3 8 5 3 3" xfId="6582"/>
    <cellStyle name="20% - Accent3 8 5 3 4" xfId="6583"/>
    <cellStyle name="20% - Accent3 8 5 3 5" xfId="6584"/>
    <cellStyle name="20% - Accent3 8 5 3 6" xfId="6585"/>
    <cellStyle name="20% - Accent3 8 5 4" xfId="6586"/>
    <cellStyle name="20% - Accent3 8 5 5" xfId="6587"/>
    <cellStyle name="20% - Accent3 8 5 6" xfId="6588"/>
    <cellStyle name="20% - Accent3 8 5 7" xfId="6589"/>
    <cellStyle name="20% - Accent3 8 5 8" xfId="6590"/>
    <cellStyle name="20% - Accent3 8 5 9" xfId="6591"/>
    <cellStyle name="20% - Accent3 8 6" xfId="6592"/>
    <cellStyle name="20% - Accent3 8 6 2" xfId="6593"/>
    <cellStyle name="20% - Accent3 8 6 2 2" xfId="6594"/>
    <cellStyle name="20% - Accent3 8 6 2 3" xfId="6595"/>
    <cellStyle name="20% - Accent3 8 6 2 4" xfId="6596"/>
    <cellStyle name="20% - Accent3 8 6 2 5" xfId="6597"/>
    <cellStyle name="20% - Accent3 8 6 2 6" xfId="6598"/>
    <cellStyle name="20% - Accent3 8 6 2 7" xfId="6599"/>
    <cellStyle name="20% - Accent3 8 6 3" xfId="6600"/>
    <cellStyle name="20% - Accent3 8 6 3 2" xfId="6601"/>
    <cellStyle name="20% - Accent3 8 6 3 3" xfId="6602"/>
    <cellStyle name="20% - Accent3 8 6 3 4" xfId="6603"/>
    <cellStyle name="20% - Accent3 8 6 3 5" xfId="6604"/>
    <cellStyle name="20% - Accent3 8 6 3 6" xfId="6605"/>
    <cellStyle name="20% - Accent3 8 6 4" xfId="6606"/>
    <cellStyle name="20% - Accent3 8 6 5" xfId="6607"/>
    <cellStyle name="20% - Accent3 8 6 6" xfId="6608"/>
    <cellStyle name="20% - Accent3 8 6 7" xfId="6609"/>
    <cellStyle name="20% - Accent3 8 6 8" xfId="6610"/>
    <cellStyle name="20% - Accent3 8 6 9" xfId="6611"/>
    <cellStyle name="20% - Accent3 8 7" xfId="6612"/>
    <cellStyle name="20% - Accent3 8 7 2" xfId="6613"/>
    <cellStyle name="20% - Accent3 8 7 2 2" xfId="6614"/>
    <cellStyle name="20% - Accent3 8 7 2 3" xfId="6615"/>
    <cellStyle name="20% - Accent3 8 7 2 4" xfId="6616"/>
    <cellStyle name="20% - Accent3 8 7 2 5" xfId="6617"/>
    <cellStyle name="20% - Accent3 8 7 2 6" xfId="6618"/>
    <cellStyle name="20% - Accent3 8 7 2 7" xfId="6619"/>
    <cellStyle name="20% - Accent3 8 7 3" xfId="6620"/>
    <cellStyle name="20% - Accent3 8 7 3 2" xfId="6621"/>
    <cellStyle name="20% - Accent3 8 7 3 3" xfId="6622"/>
    <cellStyle name="20% - Accent3 8 7 3 4" xfId="6623"/>
    <cellStyle name="20% - Accent3 8 7 3 5" xfId="6624"/>
    <cellStyle name="20% - Accent3 8 7 3 6" xfId="6625"/>
    <cellStyle name="20% - Accent3 8 7 4" xfId="6626"/>
    <cellStyle name="20% - Accent3 8 7 5" xfId="6627"/>
    <cellStyle name="20% - Accent3 8 7 6" xfId="6628"/>
    <cellStyle name="20% - Accent3 8 7 7" xfId="6629"/>
    <cellStyle name="20% - Accent3 8 7 8" xfId="6630"/>
    <cellStyle name="20% - Accent3 8 7 9" xfId="6631"/>
    <cellStyle name="20% - Accent3 8 8" xfId="6632"/>
    <cellStyle name="20% - Accent3 8 8 2" xfId="6633"/>
    <cellStyle name="20% - Accent3 8 8 2 2" xfId="6634"/>
    <cellStyle name="20% - Accent3 8 8 2 3" xfId="6635"/>
    <cellStyle name="20% - Accent3 8 8 2 4" xfId="6636"/>
    <cellStyle name="20% - Accent3 8 8 2 5" xfId="6637"/>
    <cellStyle name="20% - Accent3 8 8 2 6" xfId="6638"/>
    <cellStyle name="20% - Accent3 8 8 2 7" xfId="6639"/>
    <cellStyle name="20% - Accent3 8 8 3" xfId="6640"/>
    <cellStyle name="20% - Accent3 8 8 3 2" xfId="6641"/>
    <cellStyle name="20% - Accent3 8 8 3 3" xfId="6642"/>
    <cellStyle name="20% - Accent3 8 8 3 4" xfId="6643"/>
    <cellStyle name="20% - Accent3 8 8 3 5" xfId="6644"/>
    <cellStyle name="20% - Accent3 8 8 3 6" xfId="6645"/>
    <cellStyle name="20% - Accent3 8 8 4" xfId="6646"/>
    <cellStyle name="20% - Accent3 8 8 5" xfId="6647"/>
    <cellStyle name="20% - Accent3 8 8 6" xfId="6648"/>
    <cellStyle name="20% - Accent3 8 8 7" xfId="6649"/>
    <cellStyle name="20% - Accent3 8 8 8" xfId="6650"/>
    <cellStyle name="20% - Accent3 8 8 9" xfId="6651"/>
    <cellStyle name="20% - Accent3 8 9" xfId="6652"/>
    <cellStyle name="20% - Accent3 8 9 2" xfId="6653"/>
    <cellStyle name="20% - Accent3 8 9 2 2" xfId="6654"/>
    <cellStyle name="20% - Accent3 8 9 2 3" xfId="6655"/>
    <cellStyle name="20% - Accent3 8 9 2 4" xfId="6656"/>
    <cellStyle name="20% - Accent3 8 9 2 5" xfId="6657"/>
    <cellStyle name="20% - Accent3 8 9 2 6" xfId="6658"/>
    <cellStyle name="20% - Accent3 8 9 3" xfId="6659"/>
    <cellStyle name="20% - Accent3 8 9 4" xfId="6660"/>
    <cellStyle name="20% - Accent3 8 9 5" xfId="6661"/>
    <cellStyle name="20% - Accent3 8 9 6" xfId="6662"/>
    <cellStyle name="20% - Accent3 8 9 7" xfId="6663"/>
    <cellStyle name="20% - Accent3 8 9 8" xfId="6664"/>
    <cellStyle name="20% - Accent3 9" xfId="6665"/>
    <cellStyle name="20% - Accent3 9 2" xfId="6666"/>
    <cellStyle name="20% - Accent3 9 3" xfId="6667"/>
    <cellStyle name="20% - Accent3 9 4" xfId="6668"/>
    <cellStyle name="20% - Accent4" xfId="4" builtinId="42" customBuiltin="1"/>
    <cellStyle name="20% - Accent4 10" xfId="6669"/>
    <cellStyle name="20% - Accent4 10 2" xfId="6670"/>
    <cellStyle name="20% - Accent4 10 2 2" xfId="6671"/>
    <cellStyle name="20% - Accent4 10 2 2 2" xfId="6672"/>
    <cellStyle name="20% - Accent4 10 2 3" xfId="6673"/>
    <cellStyle name="20% - Accent4 10 2 4" xfId="6674"/>
    <cellStyle name="20% - Accent4 10 2 5" xfId="6675"/>
    <cellStyle name="20% - Accent4 10 2 6" xfId="6676"/>
    <cellStyle name="20% - Accent4 10 2 7" xfId="6677"/>
    <cellStyle name="20% - Accent4 10 3" xfId="6678"/>
    <cellStyle name="20% - Accent4 10 3 2" xfId="6679"/>
    <cellStyle name="20% - Accent4 10 3 2 2" xfId="6680"/>
    <cellStyle name="20% - Accent4 10 3 3" xfId="6681"/>
    <cellStyle name="20% - Accent4 10 3 4" xfId="6682"/>
    <cellStyle name="20% - Accent4 10 3 5" xfId="6683"/>
    <cellStyle name="20% - Accent4 10 3 6" xfId="6684"/>
    <cellStyle name="20% - Accent4 10 4" xfId="6685"/>
    <cellStyle name="20% - Accent4 10 4 2" xfId="6686"/>
    <cellStyle name="20% - Accent4 10 5" xfId="6687"/>
    <cellStyle name="20% - Accent4 10 6" xfId="6688"/>
    <cellStyle name="20% - Accent4 10 7" xfId="6689"/>
    <cellStyle name="20% - Accent4 10 8" xfId="6690"/>
    <cellStyle name="20% - Accent4 10 9" xfId="6691"/>
    <cellStyle name="20% - Accent4 11" xfId="6692"/>
    <cellStyle name="20% - Accent4 11 2" xfId="6693"/>
    <cellStyle name="20% - Accent4 11 2 2" xfId="6694"/>
    <cellStyle name="20% - Accent4 11 2 2 2" xfId="6695"/>
    <cellStyle name="20% - Accent4 11 2 3" xfId="6696"/>
    <cellStyle name="20% - Accent4 11 2 4" xfId="6697"/>
    <cellStyle name="20% - Accent4 11 2 5" xfId="6698"/>
    <cellStyle name="20% - Accent4 11 2 6" xfId="6699"/>
    <cellStyle name="20% - Accent4 11 2 7" xfId="6700"/>
    <cellStyle name="20% - Accent4 11 3" xfId="6701"/>
    <cellStyle name="20% - Accent4 11 3 2" xfId="6702"/>
    <cellStyle name="20% - Accent4 11 3 2 2" xfId="6703"/>
    <cellStyle name="20% - Accent4 11 3 3" xfId="6704"/>
    <cellStyle name="20% - Accent4 11 3 4" xfId="6705"/>
    <cellStyle name="20% - Accent4 11 3 5" xfId="6706"/>
    <cellStyle name="20% - Accent4 11 3 6" xfId="6707"/>
    <cellStyle name="20% - Accent4 11 4" xfId="6708"/>
    <cellStyle name="20% - Accent4 11 4 2" xfId="6709"/>
    <cellStyle name="20% - Accent4 11 5" xfId="6710"/>
    <cellStyle name="20% - Accent4 11 6" xfId="6711"/>
    <cellStyle name="20% - Accent4 11 7" xfId="6712"/>
    <cellStyle name="20% - Accent4 11 8" xfId="6713"/>
    <cellStyle name="20% - Accent4 11 9" xfId="6714"/>
    <cellStyle name="20% - Accent4 12" xfId="6715"/>
    <cellStyle name="20% - Accent4 12 2" xfId="6716"/>
    <cellStyle name="20% - Accent4 12 2 2" xfId="6717"/>
    <cellStyle name="20% - Accent4 12 2 2 2" xfId="6718"/>
    <cellStyle name="20% - Accent4 12 2 3" xfId="6719"/>
    <cellStyle name="20% - Accent4 12 2 4" xfId="6720"/>
    <cellStyle name="20% - Accent4 12 2 5" xfId="6721"/>
    <cellStyle name="20% - Accent4 12 2 6" xfId="6722"/>
    <cellStyle name="20% - Accent4 12 2 7" xfId="6723"/>
    <cellStyle name="20% - Accent4 12 3" xfId="6724"/>
    <cellStyle name="20% - Accent4 12 3 2" xfId="6725"/>
    <cellStyle name="20% - Accent4 12 3 2 2" xfId="6726"/>
    <cellStyle name="20% - Accent4 12 3 3" xfId="6727"/>
    <cellStyle name="20% - Accent4 12 3 4" xfId="6728"/>
    <cellStyle name="20% - Accent4 12 3 5" xfId="6729"/>
    <cellStyle name="20% - Accent4 12 3 6" xfId="6730"/>
    <cellStyle name="20% - Accent4 12 4" xfId="6731"/>
    <cellStyle name="20% - Accent4 12 4 2" xfId="6732"/>
    <cellStyle name="20% - Accent4 12 5" xfId="6733"/>
    <cellStyle name="20% - Accent4 12 6" xfId="6734"/>
    <cellStyle name="20% - Accent4 12 7" xfId="6735"/>
    <cellStyle name="20% - Accent4 12 8" xfId="6736"/>
    <cellStyle name="20% - Accent4 12 9" xfId="6737"/>
    <cellStyle name="20% - Accent4 13" xfId="6738"/>
    <cellStyle name="20% - Accent4 13 2" xfId="6739"/>
    <cellStyle name="20% - Accent4 13 2 2" xfId="6740"/>
    <cellStyle name="20% - Accent4 13 2 2 2" xfId="6741"/>
    <cellStyle name="20% - Accent4 13 2 3" xfId="6742"/>
    <cellStyle name="20% - Accent4 13 2 4" xfId="6743"/>
    <cellStyle name="20% - Accent4 13 2 5" xfId="6744"/>
    <cellStyle name="20% - Accent4 13 2 6" xfId="6745"/>
    <cellStyle name="20% - Accent4 13 2 7" xfId="6746"/>
    <cellStyle name="20% - Accent4 13 3" xfId="6747"/>
    <cellStyle name="20% - Accent4 13 3 2" xfId="6748"/>
    <cellStyle name="20% - Accent4 13 3 2 2" xfId="6749"/>
    <cellStyle name="20% - Accent4 13 3 3" xfId="6750"/>
    <cellStyle name="20% - Accent4 13 3 4" xfId="6751"/>
    <cellStyle name="20% - Accent4 13 3 5" xfId="6752"/>
    <cellStyle name="20% - Accent4 13 3 6" xfId="6753"/>
    <cellStyle name="20% - Accent4 13 4" xfId="6754"/>
    <cellStyle name="20% - Accent4 13 4 2" xfId="6755"/>
    <cellStyle name="20% - Accent4 13 5" xfId="6756"/>
    <cellStyle name="20% - Accent4 13 6" xfId="6757"/>
    <cellStyle name="20% - Accent4 13 7" xfId="6758"/>
    <cellStyle name="20% - Accent4 13 8" xfId="6759"/>
    <cellStyle name="20% - Accent4 13 9" xfId="6760"/>
    <cellStyle name="20% - Accent4 14" xfId="6761"/>
    <cellStyle name="20% - Accent4 14 2" xfId="6762"/>
    <cellStyle name="20% - Accent4 14 2 2" xfId="6763"/>
    <cellStyle name="20% - Accent4 14 2 2 2" xfId="6764"/>
    <cellStyle name="20% - Accent4 14 2 3" xfId="6765"/>
    <cellStyle name="20% - Accent4 14 2 4" xfId="6766"/>
    <cellStyle name="20% - Accent4 14 2 5" xfId="6767"/>
    <cellStyle name="20% - Accent4 14 2 6" xfId="6768"/>
    <cellStyle name="20% - Accent4 14 2 7" xfId="6769"/>
    <cellStyle name="20% - Accent4 14 3" xfId="6770"/>
    <cellStyle name="20% - Accent4 14 3 2" xfId="6771"/>
    <cellStyle name="20% - Accent4 14 3 2 2" xfId="6772"/>
    <cellStyle name="20% - Accent4 14 3 3" xfId="6773"/>
    <cellStyle name="20% - Accent4 14 3 4" xfId="6774"/>
    <cellStyle name="20% - Accent4 14 3 5" xfId="6775"/>
    <cellStyle name="20% - Accent4 14 3 6" xfId="6776"/>
    <cellStyle name="20% - Accent4 14 4" xfId="6777"/>
    <cellStyle name="20% - Accent4 14 4 2" xfId="6778"/>
    <cellStyle name="20% - Accent4 14 5" xfId="6779"/>
    <cellStyle name="20% - Accent4 14 6" xfId="6780"/>
    <cellStyle name="20% - Accent4 14 7" xfId="6781"/>
    <cellStyle name="20% - Accent4 14 8" xfId="6782"/>
    <cellStyle name="20% - Accent4 14 9" xfId="6783"/>
    <cellStyle name="20% - Accent4 15" xfId="6784"/>
    <cellStyle name="20% - Accent4 15 2" xfId="6785"/>
    <cellStyle name="20% - Accent4 15 2 2" xfId="6786"/>
    <cellStyle name="20% - Accent4 15 2 2 2" xfId="6787"/>
    <cellStyle name="20% - Accent4 15 2 3" xfId="6788"/>
    <cellStyle name="20% - Accent4 15 2 4" xfId="6789"/>
    <cellStyle name="20% - Accent4 15 2 5" xfId="6790"/>
    <cellStyle name="20% - Accent4 15 2 6" xfId="6791"/>
    <cellStyle name="20% - Accent4 15 2 7" xfId="6792"/>
    <cellStyle name="20% - Accent4 15 3" xfId="6793"/>
    <cellStyle name="20% - Accent4 15 3 2" xfId="6794"/>
    <cellStyle name="20% - Accent4 15 3 2 2" xfId="6795"/>
    <cellStyle name="20% - Accent4 15 3 3" xfId="6796"/>
    <cellStyle name="20% - Accent4 15 3 4" xfId="6797"/>
    <cellStyle name="20% - Accent4 15 3 5" xfId="6798"/>
    <cellStyle name="20% - Accent4 15 3 6" xfId="6799"/>
    <cellStyle name="20% - Accent4 15 4" xfId="6800"/>
    <cellStyle name="20% - Accent4 15 4 2" xfId="6801"/>
    <cellStyle name="20% - Accent4 15 5" xfId="6802"/>
    <cellStyle name="20% - Accent4 15 6" xfId="6803"/>
    <cellStyle name="20% - Accent4 15 7" xfId="6804"/>
    <cellStyle name="20% - Accent4 15 8" xfId="6805"/>
    <cellStyle name="20% - Accent4 15 9" xfId="6806"/>
    <cellStyle name="20% - Accent4 16" xfId="6807"/>
    <cellStyle name="20% - Accent4 16 2" xfId="6808"/>
    <cellStyle name="20% - Accent4 16 2 2" xfId="6809"/>
    <cellStyle name="20% - Accent4 16 2 2 2" xfId="6810"/>
    <cellStyle name="20% - Accent4 16 2 3" xfId="6811"/>
    <cellStyle name="20% - Accent4 16 2 4" xfId="6812"/>
    <cellStyle name="20% - Accent4 16 2 5" xfId="6813"/>
    <cellStyle name="20% - Accent4 16 2 6" xfId="6814"/>
    <cellStyle name="20% - Accent4 16 2 7" xfId="6815"/>
    <cellStyle name="20% - Accent4 16 3" xfId="6816"/>
    <cellStyle name="20% - Accent4 16 3 2" xfId="6817"/>
    <cellStyle name="20% - Accent4 16 3 2 2" xfId="6818"/>
    <cellStyle name="20% - Accent4 16 3 3" xfId="6819"/>
    <cellStyle name="20% - Accent4 16 3 4" xfId="6820"/>
    <cellStyle name="20% - Accent4 16 3 5" xfId="6821"/>
    <cellStyle name="20% - Accent4 16 3 6" xfId="6822"/>
    <cellStyle name="20% - Accent4 16 4" xfId="6823"/>
    <cellStyle name="20% - Accent4 16 4 2" xfId="6824"/>
    <cellStyle name="20% - Accent4 16 5" xfId="6825"/>
    <cellStyle name="20% - Accent4 16 6" xfId="6826"/>
    <cellStyle name="20% - Accent4 16 7" xfId="6827"/>
    <cellStyle name="20% - Accent4 16 8" xfId="6828"/>
    <cellStyle name="20% - Accent4 16 9" xfId="6829"/>
    <cellStyle name="20% - Accent4 17" xfId="6830"/>
    <cellStyle name="20% - Accent4 17 2" xfId="6831"/>
    <cellStyle name="20% - Accent4 17 2 2" xfId="6832"/>
    <cellStyle name="20% - Accent4 17 2 2 2" xfId="6833"/>
    <cellStyle name="20% - Accent4 17 2 3" xfId="6834"/>
    <cellStyle name="20% - Accent4 17 2 4" xfId="6835"/>
    <cellStyle name="20% - Accent4 17 2 5" xfId="6836"/>
    <cellStyle name="20% - Accent4 17 2 6" xfId="6837"/>
    <cellStyle name="20% - Accent4 17 3" xfId="6838"/>
    <cellStyle name="20% - Accent4 17 3 2" xfId="6839"/>
    <cellStyle name="20% - Accent4 17 4" xfId="6840"/>
    <cellStyle name="20% - Accent4 17 4 2" xfId="6841"/>
    <cellStyle name="20% - Accent4 17 5" xfId="6842"/>
    <cellStyle name="20% - Accent4 17 6" xfId="6843"/>
    <cellStyle name="20% - Accent4 17 7" xfId="6844"/>
    <cellStyle name="20% - Accent4 17 8" xfId="6845"/>
    <cellStyle name="20% - Accent4 18" xfId="6846"/>
    <cellStyle name="20% - Accent4 18 2" xfId="6847"/>
    <cellStyle name="20% - Accent4 18 2 2" xfId="6848"/>
    <cellStyle name="20% - Accent4 18 3" xfId="6849"/>
    <cellStyle name="20% - Accent4 18 3 2" xfId="6850"/>
    <cellStyle name="20% - Accent4 18 4" xfId="6851"/>
    <cellStyle name="20% - Accent4 18 4 2" xfId="6852"/>
    <cellStyle name="20% - Accent4 18 5" xfId="6853"/>
    <cellStyle name="20% - Accent4 18 6" xfId="6854"/>
    <cellStyle name="20% - Accent4 18 7" xfId="6855"/>
    <cellStyle name="20% - Accent4 19" xfId="6856"/>
    <cellStyle name="20% - Accent4 19 2" xfId="6857"/>
    <cellStyle name="20% - Accent4 19 2 2" xfId="6858"/>
    <cellStyle name="20% - Accent4 19 3" xfId="6859"/>
    <cellStyle name="20% - Accent4 19 3 2" xfId="6860"/>
    <cellStyle name="20% - Accent4 19 4" xfId="6861"/>
    <cellStyle name="20% - Accent4 19 4 2" xfId="6862"/>
    <cellStyle name="20% - Accent4 19 5" xfId="6863"/>
    <cellStyle name="20% - Accent4 19 6" xfId="6864"/>
    <cellStyle name="20% - Accent4 2" xfId="377"/>
    <cellStyle name="20% - Accent4 2 10" xfId="6865"/>
    <cellStyle name="20% - Accent4 2 10 2" xfId="6866"/>
    <cellStyle name="20% - Accent4 2 10 2 2" xfId="6867"/>
    <cellStyle name="20% - Accent4 2 10 2 3" xfId="6868"/>
    <cellStyle name="20% - Accent4 2 10 2 4" xfId="6869"/>
    <cellStyle name="20% - Accent4 2 10 2 5" xfId="6870"/>
    <cellStyle name="20% - Accent4 2 10 2 6" xfId="6871"/>
    <cellStyle name="20% - Accent4 2 10 3" xfId="6872"/>
    <cellStyle name="20% - Accent4 2 10 3 2" xfId="6873"/>
    <cellStyle name="20% - Accent4 2 10 4" xfId="6874"/>
    <cellStyle name="20% - Accent4 2 10 5" xfId="6875"/>
    <cellStyle name="20% - Accent4 2 10 6" xfId="6876"/>
    <cellStyle name="20% - Accent4 2 10 7" xfId="6877"/>
    <cellStyle name="20% - Accent4 2 10 8" xfId="6878"/>
    <cellStyle name="20% - Accent4 2 11" xfId="6879"/>
    <cellStyle name="20% - Accent4 2 11 2" xfId="6880"/>
    <cellStyle name="20% - Accent4 2 11 2 2" xfId="6881"/>
    <cellStyle name="20% - Accent4 2 11 3" xfId="6882"/>
    <cellStyle name="20% - Accent4 2 11 4" xfId="6883"/>
    <cellStyle name="20% - Accent4 2 11 5" xfId="6884"/>
    <cellStyle name="20% - Accent4 2 11 6" xfId="6885"/>
    <cellStyle name="20% - Accent4 2 11 7" xfId="6886"/>
    <cellStyle name="20% - Accent4 2 12" xfId="6887"/>
    <cellStyle name="20% - Accent4 2 12 2" xfId="6888"/>
    <cellStyle name="20% - Accent4 2 12 2 2" xfId="6889"/>
    <cellStyle name="20% - Accent4 2 12 3" xfId="6890"/>
    <cellStyle name="20% - Accent4 2 12 4" xfId="6891"/>
    <cellStyle name="20% - Accent4 2 12 5" xfId="6892"/>
    <cellStyle name="20% - Accent4 2 12 6" xfId="6893"/>
    <cellStyle name="20% - Accent4 2 13" xfId="6894"/>
    <cellStyle name="20% - Accent4 2 13 2" xfId="6895"/>
    <cellStyle name="20% - Accent4 2 14" xfId="6896"/>
    <cellStyle name="20% - Accent4 2 14 2" xfId="6897"/>
    <cellStyle name="20% - Accent4 2 15" xfId="6898"/>
    <cellStyle name="20% - Accent4 2 15 2" xfId="6899"/>
    <cellStyle name="20% - Accent4 2 16" xfId="6900"/>
    <cellStyle name="20% - Accent4 2 16 2" xfId="6901"/>
    <cellStyle name="20% - Accent4 2 17" xfId="6902"/>
    <cellStyle name="20% - Accent4 2 17 2" xfId="6903"/>
    <cellStyle name="20% - Accent4 2 18" xfId="6904"/>
    <cellStyle name="20% - Accent4 2 19" xfId="6905"/>
    <cellStyle name="20% - Accent4 2 2" xfId="1452"/>
    <cellStyle name="20% - Accent4 2 2 2" xfId="1453"/>
    <cellStyle name="20% - Accent4 2 2 2 2" xfId="6906"/>
    <cellStyle name="20% - Accent4 2 2 2 3" xfId="6907"/>
    <cellStyle name="20% - Accent4 2 2 3" xfId="6908"/>
    <cellStyle name="20% - Accent4 2 2 4" xfId="6909"/>
    <cellStyle name="20% - Accent4 2 20" xfId="6910"/>
    <cellStyle name="20% - Accent4 2 21" xfId="6911"/>
    <cellStyle name="20% - Accent4 2 22" xfId="6912"/>
    <cellStyle name="20% - Accent4 2 23" xfId="6913"/>
    <cellStyle name="20% - Accent4 2 24" xfId="6914"/>
    <cellStyle name="20% - Accent4 2 25" xfId="6915"/>
    <cellStyle name="20% - Accent4 2 26" xfId="6916"/>
    <cellStyle name="20% - Accent4 2 27" xfId="6917"/>
    <cellStyle name="20% - Accent4 2 28" xfId="6918"/>
    <cellStyle name="20% - Accent4 2 29" xfId="6919"/>
    <cellStyle name="20% - Accent4 2 3" xfId="1454"/>
    <cellStyle name="20% - Accent4 2 3 10" xfId="6920"/>
    <cellStyle name="20% - Accent4 2 3 11" xfId="6921"/>
    <cellStyle name="20% - Accent4 2 3 2" xfId="1455"/>
    <cellStyle name="20% - Accent4 2 3 2 2" xfId="6922"/>
    <cellStyle name="20% - Accent4 2 3 2 3" xfId="6923"/>
    <cellStyle name="20% - Accent4 2 3 2 4" xfId="6924"/>
    <cellStyle name="20% - Accent4 2 3 2 5" xfId="6925"/>
    <cellStyle name="20% - Accent4 2 3 2 6" xfId="6926"/>
    <cellStyle name="20% - Accent4 2 3 2 7" xfId="6927"/>
    <cellStyle name="20% - Accent4 2 3 2 8" xfId="6928"/>
    <cellStyle name="20% - Accent4 2 3 2 9" xfId="6929"/>
    <cellStyle name="20% - Accent4 2 3 3" xfId="6930"/>
    <cellStyle name="20% - Accent4 2 3 3 2" xfId="6931"/>
    <cellStyle name="20% - Accent4 2 3 3 3" xfId="6932"/>
    <cellStyle name="20% - Accent4 2 3 3 4" xfId="6933"/>
    <cellStyle name="20% - Accent4 2 3 3 5" xfId="6934"/>
    <cellStyle name="20% - Accent4 2 3 3 6" xfId="6935"/>
    <cellStyle name="20% - Accent4 2 3 4" xfId="6936"/>
    <cellStyle name="20% - Accent4 2 3 4 2" xfId="6937"/>
    <cellStyle name="20% - Accent4 2 3 5" xfId="6938"/>
    <cellStyle name="20% - Accent4 2 3 6" xfId="6939"/>
    <cellStyle name="20% - Accent4 2 3 7" xfId="6940"/>
    <cellStyle name="20% - Accent4 2 3 8" xfId="6941"/>
    <cellStyle name="20% - Accent4 2 3 9" xfId="6942"/>
    <cellStyle name="20% - Accent4 2 30" xfId="6943"/>
    <cellStyle name="20% - Accent4 2 31" xfId="6944"/>
    <cellStyle name="20% - Accent4 2 32" xfId="6945"/>
    <cellStyle name="20% - Accent4 2 33" xfId="6946"/>
    <cellStyle name="20% - Accent4 2 34" xfId="6947"/>
    <cellStyle name="20% - Accent4 2 35" xfId="6948"/>
    <cellStyle name="20% - Accent4 2 4" xfId="1456"/>
    <cellStyle name="20% - Accent4 2 4 10" xfId="6949"/>
    <cellStyle name="20% - Accent4 2 4 11" xfId="6950"/>
    <cellStyle name="20% - Accent4 2 4 2" xfId="6951"/>
    <cellStyle name="20% - Accent4 2 4 2 2" xfId="6952"/>
    <cellStyle name="20% - Accent4 2 4 2 3" xfId="6953"/>
    <cellStyle name="20% - Accent4 2 4 2 4" xfId="6954"/>
    <cellStyle name="20% - Accent4 2 4 2 5" xfId="6955"/>
    <cellStyle name="20% - Accent4 2 4 2 6" xfId="6956"/>
    <cellStyle name="20% - Accent4 2 4 2 7" xfId="6957"/>
    <cellStyle name="20% - Accent4 2 4 3" xfId="6958"/>
    <cellStyle name="20% - Accent4 2 4 3 2" xfId="6959"/>
    <cellStyle name="20% - Accent4 2 4 3 3" xfId="6960"/>
    <cellStyle name="20% - Accent4 2 4 3 4" xfId="6961"/>
    <cellStyle name="20% - Accent4 2 4 3 5" xfId="6962"/>
    <cellStyle name="20% - Accent4 2 4 3 6" xfId="6963"/>
    <cellStyle name="20% - Accent4 2 4 4" xfId="6964"/>
    <cellStyle name="20% - Accent4 2 4 4 2" xfId="6965"/>
    <cellStyle name="20% - Accent4 2 4 5" xfId="6966"/>
    <cellStyle name="20% - Accent4 2 4 6" xfId="6967"/>
    <cellStyle name="20% - Accent4 2 4 7" xfId="6968"/>
    <cellStyle name="20% - Accent4 2 4 8" xfId="6969"/>
    <cellStyle name="20% - Accent4 2 4 9" xfId="6970"/>
    <cellStyle name="20% - Accent4 2 5" xfId="1457"/>
    <cellStyle name="20% - Accent4 2 5 10" xfId="6971"/>
    <cellStyle name="20% - Accent4 2 5 11" xfId="6972"/>
    <cellStyle name="20% - Accent4 2 5 2" xfId="6973"/>
    <cellStyle name="20% - Accent4 2 5 2 2" xfId="6974"/>
    <cellStyle name="20% - Accent4 2 5 2 3" xfId="6975"/>
    <cellStyle name="20% - Accent4 2 5 2 4" xfId="6976"/>
    <cellStyle name="20% - Accent4 2 5 2 5" xfId="6977"/>
    <cellStyle name="20% - Accent4 2 5 2 6" xfId="6978"/>
    <cellStyle name="20% - Accent4 2 5 2 7" xfId="6979"/>
    <cellStyle name="20% - Accent4 2 5 3" xfId="6980"/>
    <cellStyle name="20% - Accent4 2 5 3 2" xfId="6981"/>
    <cellStyle name="20% - Accent4 2 5 3 3" xfId="6982"/>
    <cellStyle name="20% - Accent4 2 5 3 4" xfId="6983"/>
    <cellStyle name="20% - Accent4 2 5 3 5" xfId="6984"/>
    <cellStyle name="20% - Accent4 2 5 3 6" xfId="6985"/>
    <cellStyle name="20% - Accent4 2 5 4" xfId="6986"/>
    <cellStyle name="20% - Accent4 2 5 4 2" xfId="6987"/>
    <cellStyle name="20% - Accent4 2 5 5" xfId="6988"/>
    <cellStyle name="20% - Accent4 2 5 6" xfId="6989"/>
    <cellStyle name="20% - Accent4 2 5 7" xfId="6990"/>
    <cellStyle name="20% - Accent4 2 5 8" xfId="6991"/>
    <cellStyle name="20% - Accent4 2 5 9" xfId="6992"/>
    <cellStyle name="20% - Accent4 2 6" xfId="1458"/>
    <cellStyle name="20% - Accent4 2 6 10" xfId="6993"/>
    <cellStyle name="20% - Accent4 2 6 11" xfId="6994"/>
    <cellStyle name="20% - Accent4 2 6 2" xfId="6995"/>
    <cellStyle name="20% - Accent4 2 6 2 2" xfId="6996"/>
    <cellStyle name="20% - Accent4 2 6 2 3" xfId="6997"/>
    <cellStyle name="20% - Accent4 2 6 2 4" xfId="6998"/>
    <cellStyle name="20% - Accent4 2 6 2 5" xfId="6999"/>
    <cellStyle name="20% - Accent4 2 6 2 6" xfId="7000"/>
    <cellStyle name="20% - Accent4 2 6 2 7" xfId="7001"/>
    <cellStyle name="20% - Accent4 2 6 3" xfId="7002"/>
    <cellStyle name="20% - Accent4 2 6 3 2" xfId="7003"/>
    <cellStyle name="20% - Accent4 2 6 3 3" xfId="7004"/>
    <cellStyle name="20% - Accent4 2 6 3 4" xfId="7005"/>
    <cellStyle name="20% - Accent4 2 6 3 5" xfId="7006"/>
    <cellStyle name="20% - Accent4 2 6 3 6" xfId="7007"/>
    <cellStyle name="20% - Accent4 2 6 4" xfId="7008"/>
    <cellStyle name="20% - Accent4 2 6 4 2" xfId="7009"/>
    <cellStyle name="20% - Accent4 2 6 5" xfId="7010"/>
    <cellStyle name="20% - Accent4 2 6 6" xfId="7011"/>
    <cellStyle name="20% - Accent4 2 6 7" xfId="7012"/>
    <cellStyle name="20% - Accent4 2 6 8" xfId="7013"/>
    <cellStyle name="20% - Accent4 2 6 9" xfId="7014"/>
    <cellStyle name="20% - Accent4 2 7" xfId="1451"/>
    <cellStyle name="20% - Accent4 2 7 10" xfId="7015"/>
    <cellStyle name="20% - Accent4 2 7 2" xfId="7016"/>
    <cellStyle name="20% - Accent4 2 7 2 2" xfId="7017"/>
    <cellStyle name="20% - Accent4 2 7 2 3" xfId="7018"/>
    <cellStyle name="20% - Accent4 2 7 2 4" xfId="7019"/>
    <cellStyle name="20% - Accent4 2 7 2 5" xfId="7020"/>
    <cellStyle name="20% - Accent4 2 7 2 6" xfId="7021"/>
    <cellStyle name="20% - Accent4 2 7 2 7" xfId="7022"/>
    <cellStyle name="20% - Accent4 2 7 3" xfId="7023"/>
    <cellStyle name="20% - Accent4 2 7 3 2" xfId="7024"/>
    <cellStyle name="20% - Accent4 2 7 3 3" xfId="7025"/>
    <cellStyle name="20% - Accent4 2 7 3 4" xfId="7026"/>
    <cellStyle name="20% - Accent4 2 7 3 5" xfId="7027"/>
    <cellStyle name="20% - Accent4 2 7 3 6" xfId="7028"/>
    <cellStyle name="20% - Accent4 2 7 4" xfId="7029"/>
    <cellStyle name="20% - Accent4 2 7 4 2" xfId="7030"/>
    <cellStyle name="20% - Accent4 2 7 5" xfId="7031"/>
    <cellStyle name="20% - Accent4 2 7 6" xfId="7032"/>
    <cellStyle name="20% - Accent4 2 7 7" xfId="7033"/>
    <cellStyle name="20% - Accent4 2 7 8" xfId="7034"/>
    <cellStyle name="20% - Accent4 2 7 9" xfId="7035"/>
    <cellStyle name="20% - Accent4 2 8" xfId="7036"/>
    <cellStyle name="20% - Accent4 2 8 2" xfId="7037"/>
    <cellStyle name="20% - Accent4 2 8 2 2" xfId="7038"/>
    <cellStyle name="20% - Accent4 2 8 2 3" xfId="7039"/>
    <cellStyle name="20% - Accent4 2 8 2 4" xfId="7040"/>
    <cellStyle name="20% - Accent4 2 8 2 5" xfId="7041"/>
    <cellStyle name="20% - Accent4 2 8 2 6" xfId="7042"/>
    <cellStyle name="20% - Accent4 2 8 2 7" xfId="7043"/>
    <cellStyle name="20% - Accent4 2 8 3" xfId="7044"/>
    <cellStyle name="20% - Accent4 2 8 3 2" xfId="7045"/>
    <cellStyle name="20% - Accent4 2 8 3 3" xfId="7046"/>
    <cellStyle name="20% - Accent4 2 8 3 4" xfId="7047"/>
    <cellStyle name="20% - Accent4 2 8 3 5" xfId="7048"/>
    <cellStyle name="20% - Accent4 2 8 3 6" xfId="7049"/>
    <cellStyle name="20% - Accent4 2 8 4" xfId="7050"/>
    <cellStyle name="20% - Accent4 2 8 4 2" xfId="7051"/>
    <cellStyle name="20% - Accent4 2 8 5" xfId="7052"/>
    <cellStyle name="20% - Accent4 2 8 6" xfId="7053"/>
    <cellStyle name="20% - Accent4 2 8 7" xfId="7054"/>
    <cellStyle name="20% - Accent4 2 8 8" xfId="7055"/>
    <cellStyle name="20% - Accent4 2 8 9" xfId="7056"/>
    <cellStyle name="20% - Accent4 2 9" xfId="7057"/>
    <cellStyle name="20% - Accent4 2 9 2" xfId="7058"/>
    <cellStyle name="20% - Accent4 2 9 2 2" xfId="7059"/>
    <cellStyle name="20% - Accent4 2 9 2 3" xfId="7060"/>
    <cellStyle name="20% - Accent4 2 9 2 4" xfId="7061"/>
    <cellStyle name="20% - Accent4 2 9 2 5" xfId="7062"/>
    <cellStyle name="20% - Accent4 2 9 2 6" xfId="7063"/>
    <cellStyle name="20% - Accent4 2 9 2 7" xfId="7064"/>
    <cellStyle name="20% - Accent4 2 9 3" xfId="7065"/>
    <cellStyle name="20% - Accent4 2 9 3 2" xfId="7066"/>
    <cellStyle name="20% - Accent4 2 9 3 3" xfId="7067"/>
    <cellStyle name="20% - Accent4 2 9 3 4" xfId="7068"/>
    <cellStyle name="20% - Accent4 2 9 3 5" xfId="7069"/>
    <cellStyle name="20% - Accent4 2 9 3 6" xfId="7070"/>
    <cellStyle name="20% - Accent4 2 9 4" xfId="7071"/>
    <cellStyle name="20% - Accent4 2 9 4 2" xfId="7072"/>
    <cellStyle name="20% - Accent4 2 9 5" xfId="7073"/>
    <cellStyle name="20% - Accent4 2 9 6" xfId="7074"/>
    <cellStyle name="20% - Accent4 2 9 7" xfId="7075"/>
    <cellStyle name="20% - Accent4 2 9 8" xfId="7076"/>
    <cellStyle name="20% - Accent4 2 9 9" xfId="7077"/>
    <cellStyle name="20% - Accent4 20" xfId="7078"/>
    <cellStyle name="20% - Accent4 20 2" xfId="7079"/>
    <cellStyle name="20% - Accent4 20 3" xfId="7080"/>
    <cellStyle name="20% - Accent4 20 4" xfId="7081"/>
    <cellStyle name="20% - Accent4 21" xfId="7082"/>
    <cellStyle name="20% - Accent4 21 2" xfId="7083"/>
    <cellStyle name="20% - Accent4 21 3" xfId="7084"/>
    <cellStyle name="20% - Accent4 21 4" xfId="7085"/>
    <cellStyle name="20% - Accent4 22" xfId="7086"/>
    <cellStyle name="20% - Accent4 22 2" xfId="7087"/>
    <cellStyle name="20% - Accent4 22 3" xfId="7088"/>
    <cellStyle name="20% - Accent4 22 4" xfId="7089"/>
    <cellStyle name="20% - Accent4 23" xfId="7090"/>
    <cellStyle name="20% - Accent4 23 2" xfId="7091"/>
    <cellStyle name="20% - Accent4 23 3" xfId="7092"/>
    <cellStyle name="20% - Accent4 23 4" xfId="7093"/>
    <cellStyle name="20% - Accent4 24" xfId="7094"/>
    <cellStyle name="20% - Accent4 24 2" xfId="7095"/>
    <cellStyle name="20% - Accent4 24 3" xfId="7096"/>
    <cellStyle name="20% - Accent4 24 4" xfId="7097"/>
    <cellStyle name="20% - Accent4 25" xfId="7098"/>
    <cellStyle name="20% - Accent4 25 2" xfId="7099"/>
    <cellStyle name="20% - Accent4 25 3" xfId="7100"/>
    <cellStyle name="20% - Accent4 26" xfId="7101"/>
    <cellStyle name="20% - Accent4 26 2" xfId="7102"/>
    <cellStyle name="20% - Accent4 26 3" xfId="7103"/>
    <cellStyle name="20% - Accent4 27" xfId="7104"/>
    <cellStyle name="20% - Accent4 27 2" xfId="7105"/>
    <cellStyle name="20% - Accent4 27 3" xfId="7106"/>
    <cellStyle name="20% - Accent4 28" xfId="7107"/>
    <cellStyle name="20% - Accent4 28 2" xfId="7108"/>
    <cellStyle name="20% - Accent4 28 3" xfId="7109"/>
    <cellStyle name="20% - Accent4 29" xfId="7110"/>
    <cellStyle name="20% - Accent4 29 2" xfId="7111"/>
    <cellStyle name="20% - Accent4 29 3" xfId="7112"/>
    <cellStyle name="20% - Accent4 3" xfId="1459"/>
    <cellStyle name="20% - Accent4 3 10" xfId="7113"/>
    <cellStyle name="20% - Accent4 3 10 2" xfId="7114"/>
    <cellStyle name="20% - Accent4 3 10 3" xfId="7115"/>
    <cellStyle name="20% - Accent4 3 10 4" xfId="7116"/>
    <cellStyle name="20% - Accent4 3 10 5" xfId="7117"/>
    <cellStyle name="20% - Accent4 3 10 6" xfId="7118"/>
    <cellStyle name="20% - Accent4 3 10 7" xfId="7119"/>
    <cellStyle name="20% - Accent4 3 11" xfId="7120"/>
    <cellStyle name="20% - Accent4 3 11 2" xfId="7121"/>
    <cellStyle name="20% - Accent4 3 11 3" xfId="7122"/>
    <cellStyle name="20% - Accent4 3 11 4" xfId="7123"/>
    <cellStyle name="20% - Accent4 3 11 5" xfId="7124"/>
    <cellStyle name="20% - Accent4 3 11 6" xfId="7125"/>
    <cellStyle name="20% - Accent4 3 12" xfId="7126"/>
    <cellStyle name="20% - Accent4 3 12 2" xfId="7127"/>
    <cellStyle name="20% - Accent4 3 13" xfId="7128"/>
    <cellStyle name="20% - Accent4 3 14" xfId="7129"/>
    <cellStyle name="20% - Accent4 3 15" xfId="7130"/>
    <cellStyle name="20% - Accent4 3 16" xfId="7131"/>
    <cellStyle name="20% - Accent4 3 17" xfId="7132"/>
    <cellStyle name="20% - Accent4 3 18" xfId="7133"/>
    <cellStyle name="20% - Accent4 3 2" xfId="7134"/>
    <cellStyle name="20% - Accent4 3 2 2" xfId="7135"/>
    <cellStyle name="20% - Accent4 3 2 2 2" xfId="7136"/>
    <cellStyle name="20% - Accent4 3 2 2 3" xfId="7137"/>
    <cellStyle name="20% - Accent4 3 2 2 4" xfId="7138"/>
    <cellStyle name="20% - Accent4 3 2 2 5" xfId="7139"/>
    <cellStyle name="20% - Accent4 3 2 2 6" xfId="7140"/>
    <cellStyle name="20% - Accent4 3 2 2 7" xfId="7141"/>
    <cellStyle name="20% - Accent4 3 2 3" xfId="7142"/>
    <cellStyle name="20% - Accent4 3 2 3 2" xfId="7143"/>
    <cellStyle name="20% - Accent4 3 2 3 3" xfId="7144"/>
    <cellStyle name="20% - Accent4 3 2 3 4" xfId="7145"/>
    <cellStyle name="20% - Accent4 3 2 3 5" xfId="7146"/>
    <cellStyle name="20% - Accent4 3 2 3 6" xfId="7147"/>
    <cellStyle name="20% - Accent4 3 2 4" xfId="7148"/>
    <cellStyle name="20% - Accent4 3 2 5" xfId="7149"/>
    <cellStyle name="20% - Accent4 3 2 6" xfId="7150"/>
    <cellStyle name="20% - Accent4 3 2 7" xfId="7151"/>
    <cellStyle name="20% - Accent4 3 2 8" xfId="7152"/>
    <cellStyle name="20% - Accent4 3 2 9" xfId="7153"/>
    <cellStyle name="20% - Accent4 3 3" xfId="7154"/>
    <cellStyle name="20% - Accent4 3 3 2" xfId="7155"/>
    <cellStyle name="20% - Accent4 3 3 2 2" xfId="7156"/>
    <cellStyle name="20% - Accent4 3 3 2 3" xfId="7157"/>
    <cellStyle name="20% - Accent4 3 3 2 4" xfId="7158"/>
    <cellStyle name="20% - Accent4 3 3 2 5" xfId="7159"/>
    <cellStyle name="20% - Accent4 3 3 2 6" xfId="7160"/>
    <cellStyle name="20% - Accent4 3 3 2 7" xfId="7161"/>
    <cellStyle name="20% - Accent4 3 3 3" xfId="7162"/>
    <cellStyle name="20% - Accent4 3 3 3 2" xfId="7163"/>
    <cellStyle name="20% - Accent4 3 3 3 3" xfId="7164"/>
    <cellStyle name="20% - Accent4 3 3 3 4" xfId="7165"/>
    <cellStyle name="20% - Accent4 3 3 3 5" xfId="7166"/>
    <cellStyle name="20% - Accent4 3 3 3 6" xfId="7167"/>
    <cellStyle name="20% - Accent4 3 3 4" xfId="7168"/>
    <cellStyle name="20% - Accent4 3 3 5" xfId="7169"/>
    <cellStyle name="20% - Accent4 3 3 6" xfId="7170"/>
    <cellStyle name="20% - Accent4 3 3 7" xfId="7171"/>
    <cellStyle name="20% - Accent4 3 3 8" xfId="7172"/>
    <cellStyle name="20% - Accent4 3 3 9" xfId="7173"/>
    <cellStyle name="20% - Accent4 3 4" xfId="7174"/>
    <cellStyle name="20% - Accent4 3 4 2" xfId="7175"/>
    <cellStyle name="20% - Accent4 3 4 2 2" xfId="7176"/>
    <cellStyle name="20% - Accent4 3 4 2 3" xfId="7177"/>
    <cellStyle name="20% - Accent4 3 4 2 4" xfId="7178"/>
    <cellStyle name="20% - Accent4 3 4 2 5" xfId="7179"/>
    <cellStyle name="20% - Accent4 3 4 2 6" xfId="7180"/>
    <cellStyle name="20% - Accent4 3 4 2 7" xfId="7181"/>
    <cellStyle name="20% - Accent4 3 4 3" xfId="7182"/>
    <cellStyle name="20% - Accent4 3 4 3 2" xfId="7183"/>
    <cellStyle name="20% - Accent4 3 4 3 3" xfId="7184"/>
    <cellStyle name="20% - Accent4 3 4 3 4" xfId="7185"/>
    <cellStyle name="20% - Accent4 3 4 3 5" xfId="7186"/>
    <cellStyle name="20% - Accent4 3 4 3 6" xfId="7187"/>
    <cellStyle name="20% - Accent4 3 4 4" xfId="7188"/>
    <cellStyle name="20% - Accent4 3 4 5" xfId="7189"/>
    <cellStyle name="20% - Accent4 3 4 6" xfId="7190"/>
    <cellStyle name="20% - Accent4 3 4 7" xfId="7191"/>
    <cellStyle name="20% - Accent4 3 4 8" xfId="7192"/>
    <cellStyle name="20% - Accent4 3 4 9" xfId="7193"/>
    <cellStyle name="20% - Accent4 3 5" xfId="7194"/>
    <cellStyle name="20% - Accent4 3 5 2" xfId="7195"/>
    <cellStyle name="20% - Accent4 3 5 2 2" xfId="7196"/>
    <cellStyle name="20% - Accent4 3 5 2 3" xfId="7197"/>
    <cellStyle name="20% - Accent4 3 5 2 4" xfId="7198"/>
    <cellStyle name="20% - Accent4 3 5 2 5" xfId="7199"/>
    <cellStyle name="20% - Accent4 3 5 2 6" xfId="7200"/>
    <cellStyle name="20% - Accent4 3 5 2 7" xfId="7201"/>
    <cellStyle name="20% - Accent4 3 5 3" xfId="7202"/>
    <cellStyle name="20% - Accent4 3 5 3 2" xfId="7203"/>
    <cellStyle name="20% - Accent4 3 5 3 3" xfId="7204"/>
    <cellStyle name="20% - Accent4 3 5 3 4" xfId="7205"/>
    <cellStyle name="20% - Accent4 3 5 3 5" xfId="7206"/>
    <cellStyle name="20% - Accent4 3 5 3 6" xfId="7207"/>
    <cellStyle name="20% - Accent4 3 5 4" xfId="7208"/>
    <cellStyle name="20% - Accent4 3 5 5" xfId="7209"/>
    <cellStyle name="20% - Accent4 3 5 6" xfId="7210"/>
    <cellStyle name="20% - Accent4 3 5 7" xfId="7211"/>
    <cellStyle name="20% - Accent4 3 5 8" xfId="7212"/>
    <cellStyle name="20% - Accent4 3 5 9" xfId="7213"/>
    <cellStyle name="20% - Accent4 3 6" xfId="7214"/>
    <cellStyle name="20% - Accent4 3 6 2" xfId="7215"/>
    <cellStyle name="20% - Accent4 3 6 2 2" xfId="7216"/>
    <cellStyle name="20% - Accent4 3 6 2 3" xfId="7217"/>
    <cellStyle name="20% - Accent4 3 6 2 4" xfId="7218"/>
    <cellStyle name="20% - Accent4 3 6 2 5" xfId="7219"/>
    <cellStyle name="20% - Accent4 3 6 2 6" xfId="7220"/>
    <cellStyle name="20% - Accent4 3 6 2 7" xfId="7221"/>
    <cellStyle name="20% - Accent4 3 6 3" xfId="7222"/>
    <cellStyle name="20% - Accent4 3 6 3 2" xfId="7223"/>
    <cellStyle name="20% - Accent4 3 6 3 3" xfId="7224"/>
    <cellStyle name="20% - Accent4 3 6 3 4" xfId="7225"/>
    <cellStyle name="20% - Accent4 3 6 3 5" xfId="7226"/>
    <cellStyle name="20% - Accent4 3 6 3 6" xfId="7227"/>
    <cellStyle name="20% - Accent4 3 6 4" xfId="7228"/>
    <cellStyle name="20% - Accent4 3 6 5" xfId="7229"/>
    <cellStyle name="20% - Accent4 3 6 6" xfId="7230"/>
    <cellStyle name="20% - Accent4 3 6 7" xfId="7231"/>
    <cellStyle name="20% - Accent4 3 6 8" xfId="7232"/>
    <cellStyle name="20% - Accent4 3 6 9" xfId="7233"/>
    <cellStyle name="20% - Accent4 3 7" xfId="7234"/>
    <cellStyle name="20% - Accent4 3 7 2" xfId="7235"/>
    <cellStyle name="20% - Accent4 3 7 2 2" xfId="7236"/>
    <cellStyle name="20% - Accent4 3 7 2 3" xfId="7237"/>
    <cellStyle name="20% - Accent4 3 7 2 4" xfId="7238"/>
    <cellStyle name="20% - Accent4 3 7 2 5" xfId="7239"/>
    <cellStyle name="20% - Accent4 3 7 2 6" xfId="7240"/>
    <cellStyle name="20% - Accent4 3 7 2 7" xfId="7241"/>
    <cellStyle name="20% - Accent4 3 7 3" xfId="7242"/>
    <cellStyle name="20% - Accent4 3 7 3 2" xfId="7243"/>
    <cellStyle name="20% - Accent4 3 7 3 3" xfId="7244"/>
    <cellStyle name="20% - Accent4 3 7 3 4" xfId="7245"/>
    <cellStyle name="20% - Accent4 3 7 3 5" xfId="7246"/>
    <cellStyle name="20% - Accent4 3 7 3 6" xfId="7247"/>
    <cellStyle name="20% - Accent4 3 7 4" xfId="7248"/>
    <cellStyle name="20% - Accent4 3 7 5" xfId="7249"/>
    <cellStyle name="20% - Accent4 3 7 6" xfId="7250"/>
    <cellStyle name="20% - Accent4 3 7 7" xfId="7251"/>
    <cellStyle name="20% - Accent4 3 7 8" xfId="7252"/>
    <cellStyle name="20% - Accent4 3 7 9" xfId="7253"/>
    <cellStyle name="20% - Accent4 3 8" xfId="7254"/>
    <cellStyle name="20% - Accent4 3 8 2" xfId="7255"/>
    <cellStyle name="20% - Accent4 3 8 2 2" xfId="7256"/>
    <cellStyle name="20% - Accent4 3 8 2 3" xfId="7257"/>
    <cellStyle name="20% - Accent4 3 8 2 4" xfId="7258"/>
    <cellStyle name="20% - Accent4 3 8 2 5" xfId="7259"/>
    <cellStyle name="20% - Accent4 3 8 2 6" xfId="7260"/>
    <cellStyle name="20% - Accent4 3 8 2 7" xfId="7261"/>
    <cellStyle name="20% - Accent4 3 8 3" xfId="7262"/>
    <cellStyle name="20% - Accent4 3 8 3 2" xfId="7263"/>
    <cellStyle name="20% - Accent4 3 8 3 3" xfId="7264"/>
    <cellStyle name="20% - Accent4 3 8 3 4" xfId="7265"/>
    <cellStyle name="20% - Accent4 3 8 3 5" xfId="7266"/>
    <cellStyle name="20% - Accent4 3 8 3 6" xfId="7267"/>
    <cellStyle name="20% - Accent4 3 8 4" xfId="7268"/>
    <cellStyle name="20% - Accent4 3 8 5" xfId="7269"/>
    <cellStyle name="20% - Accent4 3 8 6" xfId="7270"/>
    <cellStyle name="20% - Accent4 3 8 7" xfId="7271"/>
    <cellStyle name="20% - Accent4 3 8 8" xfId="7272"/>
    <cellStyle name="20% - Accent4 3 8 9" xfId="7273"/>
    <cellStyle name="20% - Accent4 3 9" xfId="7274"/>
    <cellStyle name="20% - Accent4 3 9 2" xfId="7275"/>
    <cellStyle name="20% - Accent4 3 9 2 2" xfId="7276"/>
    <cellStyle name="20% - Accent4 3 9 2 3" xfId="7277"/>
    <cellStyle name="20% - Accent4 3 9 2 4" xfId="7278"/>
    <cellStyle name="20% - Accent4 3 9 2 5" xfId="7279"/>
    <cellStyle name="20% - Accent4 3 9 2 6" xfId="7280"/>
    <cellStyle name="20% - Accent4 3 9 3" xfId="7281"/>
    <cellStyle name="20% - Accent4 3 9 4" xfId="7282"/>
    <cellStyle name="20% - Accent4 3 9 5" xfId="7283"/>
    <cellStyle name="20% - Accent4 3 9 6" xfId="7284"/>
    <cellStyle name="20% - Accent4 3 9 7" xfId="7285"/>
    <cellStyle name="20% - Accent4 3 9 8" xfId="7286"/>
    <cellStyle name="20% - Accent4 30" xfId="7287"/>
    <cellStyle name="20% - Accent4 30 2" xfId="7288"/>
    <cellStyle name="20% - Accent4 31" xfId="7289"/>
    <cellStyle name="20% - Accent4 32" xfId="7290"/>
    <cellStyle name="20% - Accent4 33" xfId="7291"/>
    <cellStyle name="20% - Accent4 34" xfId="7292"/>
    <cellStyle name="20% - Accent4 4" xfId="7293"/>
    <cellStyle name="20% - Accent4 4 10" xfId="7294"/>
    <cellStyle name="20% - Accent4 4 10 2" xfId="7295"/>
    <cellStyle name="20% - Accent4 4 10 3" xfId="7296"/>
    <cellStyle name="20% - Accent4 4 10 4" xfId="7297"/>
    <cellStyle name="20% - Accent4 4 10 5" xfId="7298"/>
    <cellStyle name="20% - Accent4 4 10 6" xfId="7299"/>
    <cellStyle name="20% - Accent4 4 10 7" xfId="7300"/>
    <cellStyle name="20% - Accent4 4 11" xfId="7301"/>
    <cellStyle name="20% - Accent4 4 11 2" xfId="7302"/>
    <cellStyle name="20% - Accent4 4 11 3" xfId="7303"/>
    <cellStyle name="20% - Accent4 4 11 4" xfId="7304"/>
    <cellStyle name="20% - Accent4 4 11 5" xfId="7305"/>
    <cellStyle name="20% - Accent4 4 11 6" xfId="7306"/>
    <cellStyle name="20% - Accent4 4 12" xfId="7307"/>
    <cellStyle name="20% - Accent4 4 12 2" xfId="7308"/>
    <cellStyle name="20% - Accent4 4 13" xfId="7309"/>
    <cellStyle name="20% - Accent4 4 14" xfId="7310"/>
    <cellStyle name="20% - Accent4 4 15" xfId="7311"/>
    <cellStyle name="20% - Accent4 4 16" xfId="7312"/>
    <cellStyle name="20% - Accent4 4 17" xfId="7313"/>
    <cellStyle name="20% - Accent4 4 2" xfId="7314"/>
    <cellStyle name="20% - Accent4 4 2 2" xfId="7315"/>
    <cellStyle name="20% - Accent4 4 2 2 2" xfId="7316"/>
    <cellStyle name="20% - Accent4 4 2 2 3" xfId="7317"/>
    <cellStyle name="20% - Accent4 4 2 2 4" xfId="7318"/>
    <cellStyle name="20% - Accent4 4 2 2 5" xfId="7319"/>
    <cellStyle name="20% - Accent4 4 2 2 6" xfId="7320"/>
    <cellStyle name="20% - Accent4 4 2 2 7" xfId="7321"/>
    <cellStyle name="20% - Accent4 4 2 3" xfId="7322"/>
    <cellStyle name="20% - Accent4 4 2 3 2" xfId="7323"/>
    <cellStyle name="20% - Accent4 4 2 3 3" xfId="7324"/>
    <cellStyle name="20% - Accent4 4 2 3 4" xfId="7325"/>
    <cellStyle name="20% - Accent4 4 2 3 5" xfId="7326"/>
    <cellStyle name="20% - Accent4 4 2 3 6" xfId="7327"/>
    <cellStyle name="20% - Accent4 4 2 4" xfId="7328"/>
    <cellStyle name="20% - Accent4 4 2 4 2" xfId="7329"/>
    <cellStyle name="20% - Accent4 4 2 5" xfId="7330"/>
    <cellStyle name="20% - Accent4 4 2 6" xfId="7331"/>
    <cellStyle name="20% - Accent4 4 2 7" xfId="7332"/>
    <cellStyle name="20% - Accent4 4 2 8" xfId="7333"/>
    <cellStyle name="20% - Accent4 4 2 9" xfId="7334"/>
    <cellStyle name="20% - Accent4 4 3" xfId="7335"/>
    <cellStyle name="20% - Accent4 4 3 2" xfId="7336"/>
    <cellStyle name="20% - Accent4 4 3 2 2" xfId="7337"/>
    <cellStyle name="20% - Accent4 4 3 2 3" xfId="7338"/>
    <cellStyle name="20% - Accent4 4 3 2 4" xfId="7339"/>
    <cellStyle name="20% - Accent4 4 3 2 5" xfId="7340"/>
    <cellStyle name="20% - Accent4 4 3 2 6" xfId="7341"/>
    <cellStyle name="20% - Accent4 4 3 2 7" xfId="7342"/>
    <cellStyle name="20% - Accent4 4 3 3" xfId="7343"/>
    <cellStyle name="20% - Accent4 4 3 3 2" xfId="7344"/>
    <cellStyle name="20% - Accent4 4 3 3 3" xfId="7345"/>
    <cellStyle name="20% - Accent4 4 3 3 4" xfId="7346"/>
    <cellStyle name="20% - Accent4 4 3 3 5" xfId="7347"/>
    <cellStyle name="20% - Accent4 4 3 3 6" xfId="7348"/>
    <cellStyle name="20% - Accent4 4 3 4" xfId="7349"/>
    <cellStyle name="20% - Accent4 4 3 4 2" xfId="7350"/>
    <cellStyle name="20% - Accent4 4 3 5" xfId="7351"/>
    <cellStyle name="20% - Accent4 4 3 6" xfId="7352"/>
    <cellStyle name="20% - Accent4 4 3 7" xfId="7353"/>
    <cellStyle name="20% - Accent4 4 3 8" xfId="7354"/>
    <cellStyle name="20% - Accent4 4 3 9" xfId="7355"/>
    <cellStyle name="20% - Accent4 4 4" xfId="7356"/>
    <cellStyle name="20% - Accent4 4 4 2" xfId="7357"/>
    <cellStyle name="20% - Accent4 4 4 2 2" xfId="7358"/>
    <cellStyle name="20% - Accent4 4 4 2 3" xfId="7359"/>
    <cellStyle name="20% - Accent4 4 4 2 4" xfId="7360"/>
    <cellStyle name="20% - Accent4 4 4 2 5" xfId="7361"/>
    <cellStyle name="20% - Accent4 4 4 2 6" xfId="7362"/>
    <cellStyle name="20% - Accent4 4 4 2 7" xfId="7363"/>
    <cellStyle name="20% - Accent4 4 4 3" xfId="7364"/>
    <cellStyle name="20% - Accent4 4 4 3 2" xfId="7365"/>
    <cellStyle name="20% - Accent4 4 4 3 3" xfId="7366"/>
    <cellStyle name="20% - Accent4 4 4 3 4" xfId="7367"/>
    <cellStyle name="20% - Accent4 4 4 3 5" xfId="7368"/>
    <cellStyle name="20% - Accent4 4 4 3 6" xfId="7369"/>
    <cellStyle name="20% - Accent4 4 4 4" xfId="7370"/>
    <cellStyle name="20% - Accent4 4 4 5" xfId="7371"/>
    <cellStyle name="20% - Accent4 4 4 6" xfId="7372"/>
    <cellStyle name="20% - Accent4 4 4 7" xfId="7373"/>
    <cellStyle name="20% - Accent4 4 4 8" xfId="7374"/>
    <cellStyle name="20% - Accent4 4 4 9" xfId="7375"/>
    <cellStyle name="20% - Accent4 4 5" xfId="7376"/>
    <cellStyle name="20% - Accent4 4 5 2" xfId="7377"/>
    <cellStyle name="20% - Accent4 4 5 2 2" xfId="7378"/>
    <cellStyle name="20% - Accent4 4 5 2 3" xfId="7379"/>
    <cellStyle name="20% - Accent4 4 5 2 4" xfId="7380"/>
    <cellStyle name="20% - Accent4 4 5 2 5" xfId="7381"/>
    <cellStyle name="20% - Accent4 4 5 2 6" xfId="7382"/>
    <cellStyle name="20% - Accent4 4 5 2 7" xfId="7383"/>
    <cellStyle name="20% - Accent4 4 5 3" xfId="7384"/>
    <cellStyle name="20% - Accent4 4 5 3 2" xfId="7385"/>
    <cellStyle name="20% - Accent4 4 5 3 3" xfId="7386"/>
    <cellStyle name="20% - Accent4 4 5 3 4" xfId="7387"/>
    <cellStyle name="20% - Accent4 4 5 3 5" xfId="7388"/>
    <cellStyle name="20% - Accent4 4 5 3 6" xfId="7389"/>
    <cellStyle name="20% - Accent4 4 5 4" xfId="7390"/>
    <cellStyle name="20% - Accent4 4 5 5" xfId="7391"/>
    <cellStyle name="20% - Accent4 4 5 6" xfId="7392"/>
    <cellStyle name="20% - Accent4 4 5 7" xfId="7393"/>
    <cellStyle name="20% - Accent4 4 5 8" xfId="7394"/>
    <cellStyle name="20% - Accent4 4 5 9" xfId="7395"/>
    <cellStyle name="20% - Accent4 4 6" xfId="7396"/>
    <cellStyle name="20% - Accent4 4 6 2" xfId="7397"/>
    <cellStyle name="20% - Accent4 4 6 2 2" xfId="7398"/>
    <cellStyle name="20% - Accent4 4 6 2 3" xfId="7399"/>
    <cellStyle name="20% - Accent4 4 6 2 4" xfId="7400"/>
    <cellStyle name="20% - Accent4 4 6 2 5" xfId="7401"/>
    <cellStyle name="20% - Accent4 4 6 2 6" xfId="7402"/>
    <cellStyle name="20% - Accent4 4 6 2 7" xfId="7403"/>
    <cellStyle name="20% - Accent4 4 6 3" xfId="7404"/>
    <cellStyle name="20% - Accent4 4 6 3 2" xfId="7405"/>
    <cellStyle name="20% - Accent4 4 6 3 3" xfId="7406"/>
    <cellStyle name="20% - Accent4 4 6 3 4" xfId="7407"/>
    <cellStyle name="20% - Accent4 4 6 3 5" xfId="7408"/>
    <cellStyle name="20% - Accent4 4 6 3 6" xfId="7409"/>
    <cellStyle name="20% - Accent4 4 6 4" xfId="7410"/>
    <cellStyle name="20% - Accent4 4 6 5" xfId="7411"/>
    <cellStyle name="20% - Accent4 4 6 6" xfId="7412"/>
    <cellStyle name="20% - Accent4 4 6 7" xfId="7413"/>
    <cellStyle name="20% - Accent4 4 6 8" xfId="7414"/>
    <cellStyle name="20% - Accent4 4 6 9" xfId="7415"/>
    <cellStyle name="20% - Accent4 4 7" xfId="7416"/>
    <cellStyle name="20% - Accent4 4 7 2" xfId="7417"/>
    <cellStyle name="20% - Accent4 4 7 2 2" xfId="7418"/>
    <cellStyle name="20% - Accent4 4 7 2 3" xfId="7419"/>
    <cellStyle name="20% - Accent4 4 7 2 4" xfId="7420"/>
    <cellStyle name="20% - Accent4 4 7 2 5" xfId="7421"/>
    <cellStyle name="20% - Accent4 4 7 2 6" xfId="7422"/>
    <cellStyle name="20% - Accent4 4 7 2 7" xfId="7423"/>
    <cellStyle name="20% - Accent4 4 7 3" xfId="7424"/>
    <cellStyle name="20% - Accent4 4 7 3 2" xfId="7425"/>
    <cellStyle name="20% - Accent4 4 7 3 3" xfId="7426"/>
    <cellStyle name="20% - Accent4 4 7 3 4" xfId="7427"/>
    <cellStyle name="20% - Accent4 4 7 3 5" xfId="7428"/>
    <cellStyle name="20% - Accent4 4 7 3 6" xfId="7429"/>
    <cellStyle name="20% - Accent4 4 7 4" xfId="7430"/>
    <cellStyle name="20% - Accent4 4 7 5" xfId="7431"/>
    <cellStyle name="20% - Accent4 4 7 6" xfId="7432"/>
    <cellStyle name="20% - Accent4 4 7 7" xfId="7433"/>
    <cellStyle name="20% - Accent4 4 7 8" xfId="7434"/>
    <cellStyle name="20% - Accent4 4 7 9" xfId="7435"/>
    <cellStyle name="20% - Accent4 4 8" xfId="7436"/>
    <cellStyle name="20% - Accent4 4 8 2" xfId="7437"/>
    <cellStyle name="20% - Accent4 4 8 2 2" xfId="7438"/>
    <cellStyle name="20% - Accent4 4 8 2 3" xfId="7439"/>
    <cellStyle name="20% - Accent4 4 8 2 4" xfId="7440"/>
    <cellStyle name="20% - Accent4 4 8 2 5" xfId="7441"/>
    <cellStyle name="20% - Accent4 4 8 2 6" xfId="7442"/>
    <cellStyle name="20% - Accent4 4 8 2 7" xfId="7443"/>
    <cellStyle name="20% - Accent4 4 8 3" xfId="7444"/>
    <cellStyle name="20% - Accent4 4 8 3 2" xfId="7445"/>
    <cellStyle name="20% - Accent4 4 8 3 3" xfId="7446"/>
    <cellStyle name="20% - Accent4 4 8 3 4" xfId="7447"/>
    <cellStyle name="20% - Accent4 4 8 3 5" xfId="7448"/>
    <cellStyle name="20% - Accent4 4 8 3 6" xfId="7449"/>
    <cellStyle name="20% - Accent4 4 8 4" xfId="7450"/>
    <cellStyle name="20% - Accent4 4 8 5" xfId="7451"/>
    <cellStyle name="20% - Accent4 4 8 6" xfId="7452"/>
    <cellStyle name="20% - Accent4 4 8 7" xfId="7453"/>
    <cellStyle name="20% - Accent4 4 8 8" xfId="7454"/>
    <cellStyle name="20% - Accent4 4 8 9" xfId="7455"/>
    <cellStyle name="20% - Accent4 4 9" xfId="7456"/>
    <cellStyle name="20% - Accent4 4 9 2" xfId="7457"/>
    <cellStyle name="20% - Accent4 4 9 2 2" xfId="7458"/>
    <cellStyle name="20% - Accent4 4 9 2 3" xfId="7459"/>
    <cellStyle name="20% - Accent4 4 9 2 4" xfId="7460"/>
    <cellStyle name="20% - Accent4 4 9 2 5" xfId="7461"/>
    <cellStyle name="20% - Accent4 4 9 2 6" xfId="7462"/>
    <cellStyle name="20% - Accent4 4 9 3" xfId="7463"/>
    <cellStyle name="20% - Accent4 4 9 4" xfId="7464"/>
    <cellStyle name="20% - Accent4 4 9 5" xfId="7465"/>
    <cellStyle name="20% - Accent4 4 9 6" xfId="7466"/>
    <cellStyle name="20% - Accent4 4 9 7" xfId="7467"/>
    <cellStyle name="20% - Accent4 4 9 8" xfId="7468"/>
    <cellStyle name="20% - Accent4 5" xfId="7469"/>
    <cellStyle name="20% - Accent4 5 10" xfId="7470"/>
    <cellStyle name="20% - Accent4 5 10 2" xfId="7471"/>
    <cellStyle name="20% - Accent4 5 10 3" xfId="7472"/>
    <cellStyle name="20% - Accent4 5 10 4" xfId="7473"/>
    <cellStyle name="20% - Accent4 5 10 5" xfId="7474"/>
    <cellStyle name="20% - Accent4 5 10 6" xfId="7475"/>
    <cellStyle name="20% - Accent4 5 10 7" xfId="7476"/>
    <cellStyle name="20% - Accent4 5 11" xfId="7477"/>
    <cellStyle name="20% - Accent4 5 11 2" xfId="7478"/>
    <cellStyle name="20% - Accent4 5 11 3" xfId="7479"/>
    <cellStyle name="20% - Accent4 5 11 4" xfId="7480"/>
    <cellStyle name="20% - Accent4 5 11 5" xfId="7481"/>
    <cellStyle name="20% - Accent4 5 11 6" xfId="7482"/>
    <cellStyle name="20% - Accent4 5 12" xfId="7483"/>
    <cellStyle name="20% - Accent4 5 12 2" xfId="7484"/>
    <cellStyle name="20% - Accent4 5 13" xfId="7485"/>
    <cellStyle name="20% - Accent4 5 14" xfId="7486"/>
    <cellStyle name="20% - Accent4 5 15" xfId="7487"/>
    <cellStyle name="20% - Accent4 5 16" xfId="7488"/>
    <cellStyle name="20% - Accent4 5 17" xfId="7489"/>
    <cellStyle name="20% - Accent4 5 2" xfId="7490"/>
    <cellStyle name="20% - Accent4 5 2 2" xfId="7491"/>
    <cellStyle name="20% - Accent4 5 2 2 2" xfId="7492"/>
    <cellStyle name="20% - Accent4 5 2 2 3" xfId="7493"/>
    <cellStyle name="20% - Accent4 5 2 2 4" xfId="7494"/>
    <cellStyle name="20% - Accent4 5 2 2 5" xfId="7495"/>
    <cellStyle name="20% - Accent4 5 2 2 6" xfId="7496"/>
    <cellStyle name="20% - Accent4 5 2 2 7" xfId="7497"/>
    <cellStyle name="20% - Accent4 5 2 3" xfId="7498"/>
    <cellStyle name="20% - Accent4 5 2 3 2" xfId="7499"/>
    <cellStyle name="20% - Accent4 5 2 3 3" xfId="7500"/>
    <cellStyle name="20% - Accent4 5 2 3 4" xfId="7501"/>
    <cellStyle name="20% - Accent4 5 2 3 5" xfId="7502"/>
    <cellStyle name="20% - Accent4 5 2 3 6" xfId="7503"/>
    <cellStyle name="20% - Accent4 5 2 4" xfId="7504"/>
    <cellStyle name="20% - Accent4 5 2 4 2" xfId="7505"/>
    <cellStyle name="20% - Accent4 5 2 5" xfId="7506"/>
    <cellStyle name="20% - Accent4 5 2 6" xfId="7507"/>
    <cellStyle name="20% - Accent4 5 2 7" xfId="7508"/>
    <cellStyle name="20% - Accent4 5 2 8" xfId="7509"/>
    <cellStyle name="20% - Accent4 5 2 9" xfId="7510"/>
    <cellStyle name="20% - Accent4 5 3" xfId="7511"/>
    <cellStyle name="20% - Accent4 5 3 2" xfId="7512"/>
    <cellStyle name="20% - Accent4 5 3 2 2" xfId="7513"/>
    <cellStyle name="20% - Accent4 5 3 2 3" xfId="7514"/>
    <cellStyle name="20% - Accent4 5 3 2 4" xfId="7515"/>
    <cellStyle name="20% - Accent4 5 3 2 5" xfId="7516"/>
    <cellStyle name="20% - Accent4 5 3 2 6" xfId="7517"/>
    <cellStyle name="20% - Accent4 5 3 2 7" xfId="7518"/>
    <cellStyle name="20% - Accent4 5 3 3" xfId="7519"/>
    <cellStyle name="20% - Accent4 5 3 3 2" xfId="7520"/>
    <cellStyle name="20% - Accent4 5 3 3 3" xfId="7521"/>
    <cellStyle name="20% - Accent4 5 3 3 4" xfId="7522"/>
    <cellStyle name="20% - Accent4 5 3 3 5" xfId="7523"/>
    <cellStyle name="20% - Accent4 5 3 3 6" xfId="7524"/>
    <cellStyle name="20% - Accent4 5 3 4" xfId="7525"/>
    <cellStyle name="20% - Accent4 5 3 4 2" xfId="7526"/>
    <cellStyle name="20% - Accent4 5 3 5" xfId="7527"/>
    <cellStyle name="20% - Accent4 5 3 6" xfId="7528"/>
    <cellStyle name="20% - Accent4 5 3 7" xfId="7529"/>
    <cellStyle name="20% - Accent4 5 3 8" xfId="7530"/>
    <cellStyle name="20% - Accent4 5 3 9" xfId="7531"/>
    <cellStyle name="20% - Accent4 5 4" xfId="7532"/>
    <cellStyle name="20% - Accent4 5 4 2" xfId="7533"/>
    <cellStyle name="20% - Accent4 5 4 2 2" xfId="7534"/>
    <cellStyle name="20% - Accent4 5 4 2 3" xfId="7535"/>
    <cellStyle name="20% - Accent4 5 4 2 4" xfId="7536"/>
    <cellStyle name="20% - Accent4 5 4 2 5" xfId="7537"/>
    <cellStyle name="20% - Accent4 5 4 2 6" xfId="7538"/>
    <cellStyle name="20% - Accent4 5 4 2 7" xfId="7539"/>
    <cellStyle name="20% - Accent4 5 4 3" xfId="7540"/>
    <cellStyle name="20% - Accent4 5 4 3 2" xfId="7541"/>
    <cellStyle name="20% - Accent4 5 4 3 3" xfId="7542"/>
    <cellStyle name="20% - Accent4 5 4 3 4" xfId="7543"/>
    <cellStyle name="20% - Accent4 5 4 3 5" xfId="7544"/>
    <cellStyle name="20% - Accent4 5 4 3 6" xfId="7545"/>
    <cellStyle name="20% - Accent4 5 4 4" xfId="7546"/>
    <cellStyle name="20% - Accent4 5 4 5" xfId="7547"/>
    <cellStyle name="20% - Accent4 5 4 6" xfId="7548"/>
    <cellStyle name="20% - Accent4 5 4 7" xfId="7549"/>
    <cellStyle name="20% - Accent4 5 4 8" xfId="7550"/>
    <cellStyle name="20% - Accent4 5 4 9" xfId="7551"/>
    <cellStyle name="20% - Accent4 5 5" xfId="7552"/>
    <cellStyle name="20% - Accent4 5 5 2" xfId="7553"/>
    <cellStyle name="20% - Accent4 5 5 2 2" xfId="7554"/>
    <cellStyle name="20% - Accent4 5 5 2 3" xfId="7555"/>
    <cellStyle name="20% - Accent4 5 5 2 4" xfId="7556"/>
    <cellStyle name="20% - Accent4 5 5 2 5" xfId="7557"/>
    <cellStyle name="20% - Accent4 5 5 2 6" xfId="7558"/>
    <cellStyle name="20% - Accent4 5 5 2 7" xfId="7559"/>
    <cellStyle name="20% - Accent4 5 5 3" xfId="7560"/>
    <cellStyle name="20% - Accent4 5 5 3 2" xfId="7561"/>
    <cellStyle name="20% - Accent4 5 5 3 3" xfId="7562"/>
    <cellStyle name="20% - Accent4 5 5 3 4" xfId="7563"/>
    <cellStyle name="20% - Accent4 5 5 3 5" xfId="7564"/>
    <cellStyle name="20% - Accent4 5 5 3 6" xfId="7565"/>
    <cellStyle name="20% - Accent4 5 5 4" xfId="7566"/>
    <cellStyle name="20% - Accent4 5 5 5" xfId="7567"/>
    <cellStyle name="20% - Accent4 5 5 6" xfId="7568"/>
    <cellStyle name="20% - Accent4 5 5 7" xfId="7569"/>
    <cellStyle name="20% - Accent4 5 5 8" xfId="7570"/>
    <cellStyle name="20% - Accent4 5 5 9" xfId="7571"/>
    <cellStyle name="20% - Accent4 5 6" xfId="7572"/>
    <cellStyle name="20% - Accent4 5 6 2" xfId="7573"/>
    <cellStyle name="20% - Accent4 5 6 2 2" xfId="7574"/>
    <cellStyle name="20% - Accent4 5 6 2 3" xfId="7575"/>
    <cellStyle name="20% - Accent4 5 6 2 4" xfId="7576"/>
    <cellStyle name="20% - Accent4 5 6 2 5" xfId="7577"/>
    <cellStyle name="20% - Accent4 5 6 2 6" xfId="7578"/>
    <cellStyle name="20% - Accent4 5 6 2 7" xfId="7579"/>
    <cellStyle name="20% - Accent4 5 6 3" xfId="7580"/>
    <cellStyle name="20% - Accent4 5 6 3 2" xfId="7581"/>
    <cellStyle name="20% - Accent4 5 6 3 3" xfId="7582"/>
    <cellStyle name="20% - Accent4 5 6 3 4" xfId="7583"/>
    <cellStyle name="20% - Accent4 5 6 3 5" xfId="7584"/>
    <cellStyle name="20% - Accent4 5 6 3 6" xfId="7585"/>
    <cellStyle name="20% - Accent4 5 6 4" xfId="7586"/>
    <cellStyle name="20% - Accent4 5 6 5" xfId="7587"/>
    <cellStyle name="20% - Accent4 5 6 6" xfId="7588"/>
    <cellStyle name="20% - Accent4 5 6 7" xfId="7589"/>
    <cellStyle name="20% - Accent4 5 6 8" xfId="7590"/>
    <cellStyle name="20% - Accent4 5 6 9" xfId="7591"/>
    <cellStyle name="20% - Accent4 5 7" xfId="7592"/>
    <cellStyle name="20% - Accent4 5 7 2" xfId="7593"/>
    <cellStyle name="20% - Accent4 5 7 2 2" xfId="7594"/>
    <cellStyle name="20% - Accent4 5 7 2 3" xfId="7595"/>
    <cellStyle name="20% - Accent4 5 7 2 4" xfId="7596"/>
    <cellStyle name="20% - Accent4 5 7 2 5" xfId="7597"/>
    <cellStyle name="20% - Accent4 5 7 2 6" xfId="7598"/>
    <cellStyle name="20% - Accent4 5 7 2 7" xfId="7599"/>
    <cellStyle name="20% - Accent4 5 7 3" xfId="7600"/>
    <cellStyle name="20% - Accent4 5 7 3 2" xfId="7601"/>
    <cellStyle name="20% - Accent4 5 7 3 3" xfId="7602"/>
    <cellStyle name="20% - Accent4 5 7 3 4" xfId="7603"/>
    <cellStyle name="20% - Accent4 5 7 3 5" xfId="7604"/>
    <cellStyle name="20% - Accent4 5 7 3 6" xfId="7605"/>
    <cellStyle name="20% - Accent4 5 7 4" xfId="7606"/>
    <cellStyle name="20% - Accent4 5 7 5" xfId="7607"/>
    <cellStyle name="20% - Accent4 5 7 6" xfId="7608"/>
    <cellStyle name="20% - Accent4 5 7 7" xfId="7609"/>
    <cellStyle name="20% - Accent4 5 7 8" xfId="7610"/>
    <cellStyle name="20% - Accent4 5 7 9" xfId="7611"/>
    <cellStyle name="20% - Accent4 5 8" xfId="7612"/>
    <cellStyle name="20% - Accent4 5 8 2" xfId="7613"/>
    <cellStyle name="20% - Accent4 5 8 2 2" xfId="7614"/>
    <cellStyle name="20% - Accent4 5 8 2 3" xfId="7615"/>
    <cellStyle name="20% - Accent4 5 8 2 4" xfId="7616"/>
    <cellStyle name="20% - Accent4 5 8 2 5" xfId="7617"/>
    <cellStyle name="20% - Accent4 5 8 2 6" xfId="7618"/>
    <cellStyle name="20% - Accent4 5 8 2 7" xfId="7619"/>
    <cellStyle name="20% - Accent4 5 8 3" xfId="7620"/>
    <cellStyle name="20% - Accent4 5 8 3 2" xfId="7621"/>
    <cellStyle name="20% - Accent4 5 8 3 3" xfId="7622"/>
    <cellStyle name="20% - Accent4 5 8 3 4" xfId="7623"/>
    <cellStyle name="20% - Accent4 5 8 3 5" xfId="7624"/>
    <cellStyle name="20% - Accent4 5 8 3 6" xfId="7625"/>
    <cellStyle name="20% - Accent4 5 8 4" xfId="7626"/>
    <cellStyle name="20% - Accent4 5 8 5" xfId="7627"/>
    <cellStyle name="20% - Accent4 5 8 6" xfId="7628"/>
    <cellStyle name="20% - Accent4 5 8 7" xfId="7629"/>
    <cellStyle name="20% - Accent4 5 8 8" xfId="7630"/>
    <cellStyle name="20% - Accent4 5 8 9" xfId="7631"/>
    <cellStyle name="20% - Accent4 5 9" xfId="7632"/>
    <cellStyle name="20% - Accent4 5 9 2" xfId="7633"/>
    <cellStyle name="20% - Accent4 5 9 2 2" xfId="7634"/>
    <cellStyle name="20% - Accent4 5 9 2 3" xfId="7635"/>
    <cellStyle name="20% - Accent4 5 9 2 4" xfId="7636"/>
    <cellStyle name="20% - Accent4 5 9 2 5" xfId="7637"/>
    <cellStyle name="20% - Accent4 5 9 2 6" xfId="7638"/>
    <cellStyle name="20% - Accent4 5 9 3" xfId="7639"/>
    <cellStyle name="20% - Accent4 5 9 4" xfId="7640"/>
    <cellStyle name="20% - Accent4 5 9 5" xfId="7641"/>
    <cellStyle name="20% - Accent4 5 9 6" xfId="7642"/>
    <cellStyle name="20% - Accent4 5 9 7" xfId="7643"/>
    <cellStyle name="20% - Accent4 5 9 8" xfId="7644"/>
    <cellStyle name="20% - Accent4 6" xfId="7645"/>
    <cellStyle name="20% - Accent4 6 10" xfId="7646"/>
    <cellStyle name="20% - Accent4 6 10 2" xfId="7647"/>
    <cellStyle name="20% - Accent4 6 10 3" xfId="7648"/>
    <cellStyle name="20% - Accent4 6 10 4" xfId="7649"/>
    <cellStyle name="20% - Accent4 6 10 5" xfId="7650"/>
    <cellStyle name="20% - Accent4 6 10 6" xfId="7651"/>
    <cellStyle name="20% - Accent4 6 10 7" xfId="7652"/>
    <cellStyle name="20% - Accent4 6 11" xfId="7653"/>
    <cellStyle name="20% - Accent4 6 11 2" xfId="7654"/>
    <cellStyle name="20% - Accent4 6 11 3" xfId="7655"/>
    <cellStyle name="20% - Accent4 6 11 4" xfId="7656"/>
    <cellStyle name="20% - Accent4 6 11 5" xfId="7657"/>
    <cellStyle name="20% - Accent4 6 11 6" xfId="7658"/>
    <cellStyle name="20% - Accent4 6 12" xfId="7659"/>
    <cellStyle name="20% - Accent4 6 12 2" xfId="7660"/>
    <cellStyle name="20% - Accent4 6 13" xfId="7661"/>
    <cellStyle name="20% - Accent4 6 14" xfId="7662"/>
    <cellStyle name="20% - Accent4 6 15" xfId="7663"/>
    <cellStyle name="20% - Accent4 6 16" xfId="7664"/>
    <cellStyle name="20% - Accent4 6 17" xfId="7665"/>
    <cellStyle name="20% - Accent4 6 2" xfId="7666"/>
    <cellStyle name="20% - Accent4 6 2 2" xfId="7667"/>
    <cellStyle name="20% - Accent4 6 2 2 2" xfId="7668"/>
    <cellStyle name="20% - Accent4 6 2 2 3" xfId="7669"/>
    <cellStyle name="20% - Accent4 6 2 2 4" xfId="7670"/>
    <cellStyle name="20% - Accent4 6 2 2 5" xfId="7671"/>
    <cellStyle name="20% - Accent4 6 2 2 6" xfId="7672"/>
    <cellStyle name="20% - Accent4 6 2 2 7" xfId="7673"/>
    <cellStyle name="20% - Accent4 6 2 3" xfId="7674"/>
    <cellStyle name="20% - Accent4 6 2 3 2" xfId="7675"/>
    <cellStyle name="20% - Accent4 6 2 3 3" xfId="7676"/>
    <cellStyle name="20% - Accent4 6 2 3 4" xfId="7677"/>
    <cellStyle name="20% - Accent4 6 2 3 5" xfId="7678"/>
    <cellStyle name="20% - Accent4 6 2 3 6" xfId="7679"/>
    <cellStyle name="20% - Accent4 6 2 4" xfId="7680"/>
    <cellStyle name="20% - Accent4 6 2 4 2" xfId="7681"/>
    <cellStyle name="20% - Accent4 6 2 5" xfId="7682"/>
    <cellStyle name="20% - Accent4 6 2 6" xfId="7683"/>
    <cellStyle name="20% - Accent4 6 2 7" xfId="7684"/>
    <cellStyle name="20% - Accent4 6 2 8" xfId="7685"/>
    <cellStyle name="20% - Accent4 6 2 9" xfId="7686"/>
    <cellStyle name="20% - Accent4 6 3" xfId="7687"/>
    <cellStyle name="20% - Accent4 6 3 2" xfId="7688"/>
    <cellStyle name="20% - Accent4 6 3 2 2" xfId="7689"/>
    <cellStyle name="20% - Accent4 6 3 2 3" xfId="7690"/>
    <cellStyle name="20% - Accent4 6 3 2 4" xfId="7691"/>
    <cellStyle name="20% - Accent4 6 3 2 5" xfId="7692"/>
    <cellStyle name="20% - Accent4 6 3 2 6" xfId="7693"/>
    <cellStyle name="20% - Accent4 6 3 2 7" xfId="7694"/>
    <cellStyle name="20% - Accent4 6 3 3" xfId="7695"/>
    <cellStyle name="20% - Accent4 6 3 3 2" xfId="7696"/>
    <cellStyle name="20% - Accent4 6 3 3 3" xfId="7697"/>
    <cellStyle name="20% - Accent4 6 3 3 4" xfId="7698"/>
    <cellStyle name="20% - Accent4 6 3 3 5" xfId="7699"/>
    <cellStyle name="20% - Accent4 6 3 3 6" xfId="7700"/>
    <cellStyle name="20% - Accent4 6 3 4" xfId="7701"/>
    <cellStyle name="20% - Accent4 6 3 4 2" xfId="7702"/>
    <cellStyle name="20% - Accent4 6 3 5" xfId="7703"/>
    <cellStyle name="20% - Accent4 6 3 6" xfId="7704"/>
    <cellStyle name="20% - Accent4 6 3 7" xfId="7705"/>
    <cellStyle name="20% - Accent4 6 3 8" xfId="7706"/>
    <cellStyle name="20% - Accent4 6 3 9" xfId="7707"/>
    <cellStyle name="20% - Accent4 6 4" xfId="7708"/>
    <cellStyle name="20% - Accent4 6 4 2" xfId="7709"/>
    <cellStyle name="20% - Accent4 6 4 2 2" xfId="7710"/>
    <cellStyle name="20% - Accent4 6 4 2 3" xfId="7711"/>
    <cellStyle name="20% - Accent4 6 4 2 4" xfId="7712"/>
    <cellStyle name="20% - Accent4 6 4 2 5" xfId="7713"/>
    <cellStyle name="20% - Accent4 6 4 2 6" xfId="7714"/>
    <cellStyle name="20% - Accent4 6 4 2 7" xfId="7715"/>
    <cellStyle name="20% - Accent4 6 4 3" xfId="7716"/>
    <cellStyle name="20% - Accent4 6 4 3 2" xfId="7717"/>
    <cellStyle name="20% - Accent4 6 4 3 3" xfId="7718"/>
    <cellStyle name="20% - Accent4 6 4 3 4" xfId="7719"/>
    <cellStyle name="20% - Accent4 6 4 3 5" xfId="7720"/>
    <cellStyle name="20% - Accent4 6 4 3 6" xfId="7721"/>
    <cellStyle name="20% - Accent4 6 4 4" xfId="7722"/>
    <cellStyle name="20% - Accent4 6 4 5" xfId="7723"/>
    <cellStyle name="20% - Accent4 6 4 6" xfId="7724"/>
    <cellStyle name="20% - Accent4 6 4 7" xfId="7725"/>
    <cellStyle name="20% - Accent4 6 4 8" xfId="7726"/>
    <cellStyle name="20% - Accent4 6 4 9" xfId="7727"/>
    <cellStyle name="20% - Accent4 6 5" xfId="7728"/>
    <cellStyle name="20% - Accent4 6 5 2" xfId="7729"/>
    <cellStyle name="20% - Accent4 6 5 2 2" xfId="7730"/>
    <cellStyle name="20% - Accent4 6 5 2 3" xfId="7731"/>
    <cellStyle name="20% - Accent4 6 5 2 4" xfId="7732"/>
    <cellStyle name="20% - Accent4 6 5 2 5" xfId="7733"/>
    <cellStyle name="20% - Accent4 6 5 2 6" xfId="7734"/>
    <cellStyle name="20% - Accent4 6 5 2 7" xfId="7735"/>
    <cellStyle name="20% - Accent4 6 5 3" xfId="7736"/>
    <cellStyle name="20% - Accent4 6 5 3 2" xfId="7737"/>
    <cellStyle name="20% - Accent4 6 5 3 3" xfId="7738"/>
    <cellStyle name="20% - Accent4 6 5 3 4" xfId="7739"/>
    <cellStyle name="20% - Accent4 6 5 3 5" xfId="7740"/>
    <cellStyle name="20% - Accent4 6 5 3 6" xfId="7741"/>
    <cellStyle name="20% - Accent4 6 5 4" xfId="7742"/>
    <cellStyle name="20% - Accent4 6 5 5" xfId="7743"/>
    <cellStyle name="20% - Accent4 6 5 6" xfId="7744"/>
    <cellStyle name="20% - Accent4 6 5 7" xfId="7745"/>
    <cellStyle name="20% - Accent4 6 5 8" xfId="7746"/>
    <cellStyle name="20% - Accent4 6 5 9" xfId="7747"/>
    <cellStyle name="20% - Accent4 6 6" xfId="7748"/>
    <cellStyle name="20% - Accent4 6 6 2" xfId="7749"/>
    <cellStyle name="20% - Accent4 6 6 2 2" xfId="7750"/>
    <cellStyle name="20% - Accent4 6 6 2 3" xfId="7751"/>
    <cellStyle name="20% - Accent4 6 6 2 4" xfId="7752"/>
    <cellStyle name="20% - Accent4 6 6 2 5" xfId="7753"/>
    <cellStyle name="20% - Accent4 6 6 2 6" xfId="7754"/>
    <cellStyle name="20% - Accent4 6 6 2 7" xfId="7755"/>
    <cellStyle name="20% - Accent4 6 6 3" xfId="7756"/>
    <cellStyle name="20% - Accent4 6 6 3 2" xfId="7757"/>
    <cellStyle name="20% - Accent4 6 6 3 3" xfId="7758"/>
    <cellStyle name="20% - Accent4 6 6 3 4" xfId="7759"/>
    <cellStyle name="20% - Accent4 6 6 3 5" xfId="7760"/>
    <cellStyle name="20% - Accent4 6 6 3 6" xfId="7761"/>
    <cellStyle name="20% - Accent4 6 6 4" xfId="7762"/>
    <cellStyle name="20% - Accent4 6 6 5" xfId="7763"/>
    <cellStyle name="20% - Accent4 6 6 6" xfId="7764"/>
    <cellStyle name="20% - Accent4 6 6 7" xfId="7765"/>
    <cellStyle name="20% - Accent4 6 6 8" xfId="7766"/>
    <cellStyle name="20% - Accent4 6 6 9" xfId="7767"/>
    <cellStyle name="20% - Accent4 6 7" xfId="7768"/>
    <cellStyle name="20% - Accent4 6 7 2" xfId="7769"/>
    <cellStyle name="20% - Accent4 6 7 2 2" xfId="7770"/>
    <cellStyle name="20% - Accent4 6 7 2 3" xfId="7771"/>
    <cellStyle name="20% - Accent4 6 7 2 4" xfId="7772"/>
    <cellStyle name="20% - Accent4 6 7 2 5" xfId="7773"/>
    <cellStyle name="20% - Accent4 6 7 2 6" xfId="7774"/>
    <cellStyle name="20% - Accent4 6 7 2 7" xfId="7775"/>
    <cellStyle name="20% - Accent4 6 7 3" xfId="7776"/>
    <cellStyle name="20% - Accent4 6 7 3 2" xfId="7777"/>
    <cellStyle name="20% - Accent4 6 7 3 3" xfId="7778"/>
    <cellStyle name="20% - Accent4 6 7 3 4" xfId="7779"/>
    <cellStyle name="20% - Accent4 6 7 3 5" xfId="7780"/>
    <cellStyle name="20% - Accent4 6 7 3 6" xfId="7781"/>
    <cellStyle name="20% - Accent4 6 7 4" xfId="7782"/>
    <cellStyle name="20% - Accent4 6 7 5" xfId="7783"/>
    <cellStyle name="20% - Accent4 6 7 6" xfId="7784"/>
    <cellStyle name="20% - Accent4 6 7 7" xfId="7785"/>
    <cellStyle name="20% - Accent4 6 7 8" xfId="7786"/>
    <cellStyle name="20% - Accent4 6 7 9" xfId="7787"/>
    <cellStyle name="20% - Accent4 6 8" xfId="7788"/>
    <cellStyle name="20% - Accent4 6 8 2" xfId="7789"/>
    <cellStyle name="20% - Accent4 6 8 2 2" xfId="7790"/>
    <cellStyle name="20% - Accent4 6 8 2 3" xfId="7791"/>
    <cellStyle name="20% - Accent4 6 8 2 4" xfId="7792"/>
    <cellStyle name="20% - Accent4 6 8 2 5" xfId="7793"/>
    <cellStyle name="20% - Accent4 6 8 2 6" xfId="7794"/>
    <cellStyle name="20% - Accent4 6 8 2 7" xfId="7795"/>
    <cellStyle name="20% - Accent4 6 8 3" xfId="7796"/>
    <cellStyle name="20% - Accent4 6 8 3 2" xfId="7797"/>
    <cellStyle name="20% - Accent4 6 8 3 3" xfId="7798"/>
    <cellStyle name="20% - Accent4 6 8 3 4" xfId="7799"/>
    <cellStyle name="20% - Accent4 6 8 3 5" xfId="7800"/>
    <cellStyle name="20% - Accent4 6 8 3 6" xfId="7801"/>
    <cellStyle name="20% - Accent4 6 8 4" xfId="7802"/>
    <cellStyle name="20% - Accent4 6 8 5" xfId="7803"/>
    <cellStyle name="20% - Accent4 6 8 6" xfId="7804"/>
    <cellStyle name="20% - Accent4 6 8 7" xfId="7805"/>
    <cellStyle name="20% - Accent4 6 8 8" xfId="7806"/>
    <cellStyle name="20% - Accent4 6 8 9" xfId="7807"/>
    <cellStyle name="20% - Accent4 6 9" xfId="7808"/>
    <cellStyle name="20% - Accent4 6 9 2" xfId="7809"/>
    <cellStyle name="20% - Accent4 6 9 2 2" xfId="7810"/>
    <cellStyle name="20% - Accent4 6 9 2 3" xfId="7811"/>
    <cellStyle name="20% - Accent4 6 9 2 4" xfId="7812"/>
    <cellStyle name="20% - Accent4 6 9 2 5" xfId="7813"/>
    <cellStyle name="20% - Accent4 6 9 2 6" xfId="7814"/>
    <cellStyle name="20% - Accent4 6 9 3" xfId="7815"/>
    <cellStyle name="20% - Accent4 6 9 4" xfId="7816"/>
    <cellStyle name="20% - Accent4 6 9 5" xfId="7817"/>
    <cellStyle name="20% - Accent4 6 9 6" xfId="7818"/>
    <cellStyle name="20% - Accent4 6 9 7" xfId="7819"/>
    <cellStyle name="20% - Accent4 6 9 8" xfId="7820"/>
    <cellStyle name="20% - Accent4 7" xfId="7821"/>
    <cellStyle name="20% - Accent4 7 10" xfId="7822"/>
    <cellStyle name="20% - Accent4 7 10 2" xfId="7823"/>
    <cellStyle name="20% - Accent4 7 10 3" xfId="7824"/>
    <cellStyle name="20% - Accent4 7 10 4" xfId="7825"/>
    <cellStyle name="20% - Accent4 7 10 5" xfId="7826"/>
    <cellStyle name="20% - Accent4 7 10 6" xfId="7827"/>
    <cellStyle name="20% - Accent4 7 10 7" xfId="7828"/>
    <cellStyle name="20% - Accent4 7 11" xfId="7829"/>
    <cellStyle name="20% - Accent4 7 11 2" xfId="7830"/>
    <cellStyle name="20% - Accent4 7 11 3" xfId="7831"/>
    <cellStyle name="20% - Accent4 7 11 4" xfId="7832"/>
    <cellStyle name="20% - Accent4 7 11 5" xfId="7833"/>
    <cellStyle name="20% - Accent4 7 11 6" xfId="7834"/>
    <cellStyle name="20% - Accent4 7 12" xfId="7835"/>
    <cellStyle name="20% - Accent4 7 12 2" xfId="7836"/>
    <cellStyle name="20% - Accent4 7 13" xfId="7837"/>
    <cellStyle name="20% - Accent4 7 14" xfId="7838"/>
    <cellStyle name="20% - Accent4 7 15" xfId="7839"/>
    <cellStyle name="20% - Accent4 7 16" xfId="7840"/>
    <cellStyle name="20% - Accent4 7 17" xfId="7841"/>
    <cellStyle name="20% - Accent4 7 2" xfId="7842"/>
    <cellStyle name="20% - Accent4 7 2 2" xfId="7843"/>
    <cellStyle name="20% - Accent4 7 2 2 2" xfId="7844"/>
    <cellStyle name="20% - Accent4 7 2 2 3" xfId="7845"/>
    <cellStyle name="20% - Accent4 7 2 2 4" xfId="7846"/>
    <cellStyle name="20% - Accent4 7 2 2 5" xfId="7847"/>
    <cellStyle name="20% - Accent4 7 2 2 6" xfId="7848"/>
    <cellStyle name="20% - Accent4 7 2 2 7" xfId="7849"/>
    <cellStyle name="20% - Accent4 7 2 3" xfId="7850"/>
    <cellStyle name="20% - Accent4 7 2 3 2" xfId="7851"/>
    <cellStyle name="20% - Accent4 7 2 3 3" xfId="7852"/>
    <cellStyle name="20% - Accent4 7 2 3 4" xfId="7853"/>
    <cellStyle name="20% - Accent4 7 2 3 5" xfId="7854"/>
    <cellStyle name="20% - Accent4 7 2 3 6" xfId="7855"/>
    <cellStyle name="20% - Accent4 7 2 4" xfId="7856"/>
    <cellStyle name="20% - Accent4 7 2 4 2" xfId="7857"/>
    <cellStyle name="20% - Accent4 7 2 5" xfId="7858"/>
    <cellStyle name="20% - Accent4 7 2 6" xfId="7859"/>
    <cellStyle name="20% - Accent4 7 2 7" xfId="7860"/>
    <cellStyle name="20% - Accent4 7 2 8" xfId="7861"/>
    <cellStyle name="20% - Accent4 7 2 9" xfId="7862"/>
    <cellStyle name="20% - Accent4 7 3" xfId="7863"/>
    <cellStyle name="20% - Accent4 7 3 2" xfId="7864"/>
    <cellStyle name="20% - Accent4 7 3 2 2" xfId="7865"/>
    <cellStyle name="20% - Accent4 7 3 2 3" xfId="7866"/>
    <cellStyle name="20% - Accent4 7 3 2 4" xfId="7867"/>
    <cellStyle name="20% - Accent4 7 3 2 5" xfId="7868"/>
    <cellStyle name="20% - Accent4 7 3 2 6" xfId="7869"/>
    <cellStyle name="20% - Accent4 7 3 2 7" xfId="7870"/>
    <cellStyle name="20% - Accent4 7 3 3" xfId="7871"/>
    <cellStyle name="20% - Accent4 7 3 3 2" xfId="7872"/>
    <cellStyle name="20% - Accent4 7 3 3 3" xfId="7873"/>
    <cellStyle name="20% - Accent4 7 3 3 4" xfId="7874"/>
    <cellStyle name="20% - Accent4 7 3 3 5" xfId="7875"/>
    <cellStyle name="20% - Accent4 7 3 3 6" xfId="7876"/>
    <cellStyle name="20% - Accent4 7 3 4" xfId="7877"/>
    <cellStyle name="20% - Accent4 7 3 4 2" xfId="7878"/>
    <cellStyle name="20% - Accent4 7 3 5" xfId="7879"/>
    <cellStyle name="20% - Accent4 7 3 6" xfId="7880"/>
    <cellStyle name="20% - Accent4 7 3 7" xfId="7881"/>
    <cellStyle name="20% - Accent4 7 3 8" xfId="7882"/>
    <cellStyle name="20% - Accent4 7 3 9" xfId="7883"/>
    <cellStyle name="20% - Accent4 7 4" xfId="7884"/>
    <cellStyle name="20% - Accent4 7 4 2" xfId="7885"/>
    <cellStyle name="20% - Accent4 7 4 2 2" xfId="7886"/>
    <cellStyle name="20% - Accent4 7 4 2 3" xfId="7887"/>
    <cellStyle name="20% - Accent4 7 4 2 4" xfId="7888"/>
    <cellStyle name="20% - Accent4 7 4 2 5" xfId="7889"/>
    <cellStyle name="20% - Accent4 7 4 2 6" xfId="7890"/>
    <cellStyle name="20% - Accent4 7 4 2 7" xfId="7891"/>
    <cellStyle name="20% - Accent4 7 4 3" xfId="7892"/>
    <cellStyle name="20% - Accent4 7 4 3 2" xfId="7893"/>
    <cellStyle name="20% - Accent4 7 4 3 3" xfId="7894"/>
    <cellStyle name="20% - Accent4 7 4 3 4" xfId="7895"/>
    <cellStyle name="20% - Accent4 7 4 3 5" xfId="7896"/>
    <cellStyle name="20% - Accent4 7 4 3 6" xfId="7897"/>
    <cellStyle name="20% - Accent4 7 4 4" xfId="7898"/>
    <cellStyle name="20% - Accent4 7 4 5" xfId="7899"/>
    <cellStyle name="20% - Accent4 7 4 6" xfId="7900"/>
    <cellStyle name="20% - Accent4 7 4 7" xfId="7901"/>
    <cellStyle name="20% - Accent4 7 4 8" xfId="7902"/>
    <cellStyle name="20% - Accent4 7 4 9" xfId="7903"/>
    <cellStyle name="20% - Accent4 7 5" xfId="7904"/>
    <cellStyle name="20% - Accent4 7 5 2" xfId="7905"/>
    <cellStyle name="20% - Accent4 7 5 2 2" xfId="7906"/>
    <cellStyle name="20% - Accent4 7 5 2 3" xfId="7907"/>
    <cellStyle name="20% - Accent4 7 5 2 4" xfId="7908"/>
    <cellStyle name="20% - Accent4 7 5 2 5" xfId="7909"/>
    <cellStyle name="20% - Accent4 7 5 2 6" xfId="7910"/>
    <cellStyle name="20% - Accent4 7 5 2 7" xfId="7911"/>
    <cellStyle name="20% - Accent4 7 5 3" xfId="7912"/>
    <cellStyle name="20% - Accent4 7 5 3 2" xfId="7913"/>
    <cellStyle name="20% - Accent4 7 5 3 3" xfId="7914"/>
    <cellStyle name="20% - Accent4 7 5 3 4" xfId="7915"/>
    <cellStyle name="20% - Accent4 7 5 3 5" xfId="7916"/>
    <cellStyle name="20% - Accent4 7 5 3 6" xfId="7917"/>
    <cellStyle name="20% - Accent4 7 5 4" xfId="7918"/>
    <cellStyle name="20% - Accent4 7 5 5" xfId="7919"/>
    <cellStyle name="20% - Accent4 7 5 6" xfId="7920"/>
    <cellStyle name="20% - Accent4 7 5 7" xfId="7921"/>
    <cellStyle name="20% - Accent4 7 5 8" xfId="7922"/>
    <cellStyle name="20% - Accent4 7 5 9" xfId="7923"/>
    <cellStyle name="20% - Accent4 7 6" xfId="7924"/>
    <cellStyle name="20% - Accent4 7 6 2" xfId="7925"/>
    <cellStyle name="20% - Accent4 7 6 2 2" xfId="7926"/>
    <cellStyle name="20% - Accent4 7 6 2 3" xfId="7927"/>
    <cellStyle name="20% - Accent4 7 6 2 4" xfId="7928"/>
    <cellStyle name="20% - Accent4 7 6 2 5" xfId="7929"/>
    <cellStyle name="20% - Accent4 7 6 2 6" xfId="7930"/>
    <cellStyle name="20% - Accent4 7 6 2 7" xfId="7931"/>
    <cellStyle name="20% - Accent4 7 6 3" xfId="7932"/>
    <cellStyle name="20% - Accent4 7 6 3 2" xfId="7933"/>
    <cellStyle name="20% - Accent4 7 6 3 3" xfId="7934"/>
    <cellStyle name="20% - Accent4 7 6 3 4" xfId="7935"/>
    <cellStyle name="20% - Accent4 7 6 3 5" xfId="7936"/>
    <cellStyle name="20% - Accent4 7 6 3 6" xfId="7937"/>
    <cellStyle name="20% - Accent4 7 6 4" xfId="7938"/>
    <cellStyle name="20% - Accent4 7 6 5" xfId="7939"/>
    <cellStyle name="20% - Accent4 7 6 6" xfId="7940"/>
    <cellStyle name="20% - Accent4 7 6 7" xfId="7941"/>
    <cellStyle name="20% - Accent4 7 6 8" xfId="7942"/>
    <cellStyle name="20% - Accent4 7 6 9" xfId="7943"/>
    <cellStyle name="20% - Accent4 7 7" xfId="7944"/>
    <cellStyle name="20% - Accent4 7 7 2" xfId="7945"/>
    <cellStyle name="20% - Accent4 7 7 2 2" xfId="7946"/>
    <cellStyle name="20% - Accent4 7 7 2 3" xfId="7947"/>
    <cellStyle name="20% - Accent4 7 7 2 4" xfId="7948"/>
    <cellStyle name="20% - Accent4 7 7 2 5" xfId="7949"/>
    <cellStyle name="20% - Accent4 7 7 2 6" xfId="7950"/>
    <cellStyle name="20% - Accent4 7 7 2 7" xfId="7951"/>
    <cellStyle name="20% - Accent4 7 7 3" xfId="7952"/>
    <cellStyle name="20% - Accent4 7 7 3 2" xfId="7953"/>
    <cellStyle name="20% - Accent4 7 7 3 3" xfId="7954"/>
    <cellStyle name="20% - Accent4 7 7 3 4" xfId="7955"/>
    <cellStyle name="20% - Accent4 7 7 3 5" xfId="7956"/>
    <cellStyle name="20% - Accent4 7 7 3 6" xfId="7957"/>
    <cellStyle name="20% - Accent4 7 7 4" xfId="7958"/>
    <cellStyle name="20% - Accent4 7 7 5" xfId="7959"/>
    <cellStyle name="20% - Accent4 7 7 6" xfId="7960"/>
    <cellStyle name="20% - Accent4 7 7 7" xfId="7961"/>
    <cellStyle name="20% - Accent4 7 7 8" xfId="7962"/>
    <cellStyle name="20% - Accent4 7 7 9" xfId="7963"/>
    <cellStyle name="20% - Accent4 7 8" xfId="7964"/>
    <cellStyle name="20% - Accent4 7 8 2" xfId="7965"/>
    <cellStyle name="20% - Accent4 7 8 2 2" xfId="7966"/>
    <cellStyle name="20% - Accent4 7 8 2 3" xfId="7967"/>
    <cellStyle name="20% - Accent4 7 8 2 4" xfId="7968"/>
    <cellStyle name="20% - Accent4 7 8 2 5" xfId="7969"/>
    <cellStyle name="20% - Accent4 7 8 2 6" xfId="7970"/>
    <cellStyle name="20% - Accent4 7 8 2 7" xfId="7971"/>
    <cellStyle name="20% - Accent4 7 8 3" xfId="7972"/>
    <cellStyle name="20% - Accent4 7 8 3 2" xfId="7973"/>
    <cellStyle name="20% - Accent4 7 8 3 3" xfId="7974"/>
    <cellStyle name="20% - Accent4 7 8 3 4" xfId="7975"/>
    <cellStyle name="20% - Accent4 7 8 3 5" xfId="7976"/>
    <cellStyle name="20% - Accent4 7 8 3 6" xfId="7977"/>
    <cellStyle name="20% - Accent4 7 8 4" xfId="7978"/>
    <cellStyle name="20% - Accent4 7 8 5" xfId="7979"/>
    <cellStyle name="20% - Accent4 7 8 6" xfId="7980"/>
    <cellStyle name="20% - Accent4 7 8 7" xfId="7981"/>
    <cellStyle name="20% - Accent4 7 8 8" xfId="7982"/>
    <cellStyle name="20% - Accent4 7 8 9" xfId="7983"/>
    <cellStyle name="20% - Accent4 7 9" xfId="7984"/>
    <cellStyle name="20% - Accent4 7 9 2" xfId="7985"/>
    <cellStyle name="20% - Accent4 7 9 2 2" xfId="7986"/>
    <cellStyle name="20% - Accent4 7 9 2 3" xfId="7987"/>
    <cellStyle name="20% - Accent4 7 9 2 4" xfId="7988"/>
    <cellStyle name="20% - Accent4 7 9 2 5" xfId="7989"/>
    <cellStyle name="20% - Accent4 7 9 2 6" xfId="7990"/>
    <cellStyle name="20% - Accent4 7 9 3" xfId="7991"/>
    <cellStyle name="20% - Accent4 7 9 4" xfId="7992"/>
    <cellStyle name="20% - Accent4 7 9 5" xfId="7993"/>
    <cellStyle name="20% - Accent4 7 9 6" xfId="7994"/>
    <cellStyle name="20% - Accent4 7 9 7" xfId="7995"/>
    <cellStyle name="20% - Accent4 7 9 8" xfId="7996"/>
    <cellStyle name="20% - Accent4 8" xfId="7997"/>
    <cellStyle name="20% - Accent4 8 10" xfId="7998"/>
    <cellStyle name="20% - Accent4 8 10 2" xfId="7999"/>
    <cellStyle name="20% - Accent4 8 10 3" xfId="8000"/>
    <cellStyle name="20% - Accent4 8 10 4" xfId="8001"/>
    <cellStyle name="20% - Accent4 8 10 5" xfId="8002"/>
    <cellStyle name="20% - Accent4 8 10 6" xfId="8003"/>
    <cellStyle name="20% - Accent4 8 10 7" xfId="8004"/>
    <cellStyle name="20% - Accent4 8 11" xfId="8005"/>
    <cellStyle name="20% - Accent4 8 11 2" xfId="8006"/>
    <cellStyle name="20% - Accent4 8 11 3" xfId="8007"/>
    <cellStyle name="20% - Accent4 8 11 4" xfId="8008"/>
    <cellStyle name="20% - Accent4 8 11 5" xfId="8009"/>
    <cellStyle name="20% - Accent4 8 11 6" xfId="8010"/>
    <cellStyle name="20% - Accent4 8 12" xfId="8011"/>
    <cellStyle name="20% - Accent4 8 12 2" xfId="8012"/>
    <cellStyle name="20% - Accent4 8 13" xfId="8013"/>
    <cellStyle name="20% - Accent4 8 14" xfId="8014"/>
    <cellStyle name="20% - Accent4 8 15" xfId="8015"/>
    <cellStyle name="20% - Accent4 8 16" xfId="8016"/>
    <cellStyle name="20% - Accent4 8 17" xfId="8017"/>
    <cellStyle name="20% - Accent4 8 2" xfId="8018"/>
    <cellStyle name="20% - Accent4 8 2 2" xfId="8019"/>
    <cellStyle name="20% - Accent4 8 2 2 2" xfId="8020"/>
    <cellStyle name="20% - Accent4 8 2 2 3" xfId="8021"/>
    <cellStyle name="20% - Accent4 8 2 2 4" xfId="8022"/>
    <cellStyle name="20% - Accent4 8 2 2 5" xfId="8023"/>
    <cellStyle name="20% - Accent4 8 2 2 6" xfId="8024"/>
    <cellStyle name="20% - Accent4 8 2 2 7" xfId="8025"/>
    <cellStyle name="20% - Accent4 8 2 3" xfId="8026"/>
    <cellStyle name="20% - Accent4 8 2 3 2" xfId="8027"/>
    <cellStyle name="20% - Accent4 8 2 3 3" xfId="8028"/>
    <cellStyle name="20% - Accent4 8 2 3 4" xfId="8029"/>
    <cellStyle name="20% - Accent4 8 2 3 5" xfId="8030"/>
    <cellStyle name="20% - Accent4 8 2 3 6" xfId="8031"/>
    <cellStyle name="20% - Accent4 8 2 4" xfId="8032"/>
    <cellStyle name="20% - Accent4 8 2 4 2" xfId="8033"/>
    <cellStyle name="20% - Accent4 8 2 5" xfId="8034"/>
    <cellStyle name="20% - Accent4 8 2 6" xfId="8035"/>
    <cellStyle name="20% - Accent4 8 2 7" xfId="8036"/>
    <cellStyle name="20% - Accent4 8 2 8" xfId="8037"/>
    <cellStyle name="20% - Accent4 8 2 9" xfId="8038"/>
    <cellStyle name="20% - Accent4 8 3" xfId="8039"/>
    <cellStyle name="20% - Accent4 8 3 2" xfId="8040"/>
    <cellStyle name="20% - Accent4 8 3 2 2" xfId="8041"/>
    <cellStyle name="20% - Accent4 8 3 2 3" xfId="8042"/>
    <cellStyle name="20% - Accent4 8 3 2 4" xfId="8043"/>
    <cellStyle name="20% - Accent4 8 3 2 5" xfId="8044"/>
    <cellStyle name="20% - Accent4 8 3 2 6" xfId="8045"/>
    <cellStyle name="20% - Accent4 8 3 2 7" xfId="8046"/>
    <cellStyle name="20% - Accent4 8 3 3" xfId="8047"/>
    <cellStyle name="20% - Accent4 8 3 3 2" xfId="8048"/>
    <cellStyle name="20% - Accent4 8 3 3 3" xfId="8049"/>
    <cellStyle name="20% - Accent4 8 3 3 4" xfId="8050"/>
    <cellStyle name="20% - Accent4 8 3 3 5" xfId="8051"/>
    <cellStyle name="20% - Accent4 8 3 3 6" xfId="8052"/>
    <cellStyle name="20% - Accent4 8 3 4" xfId="8053"/>
    <cellStyle name="20% - Accent4 8 3 4 2" xfId="8054"/>
    <cellStyle name="20% - Accent4 8 3 5" xfId="8055"/>
    <cellStyle name="20% - Accent4 8 3 6" xfId="8056"/>
    <cellStyle name="20% - Accent4 8 3 7" xfId="8057"/>
    <cellStyle name="20% - Accent4 8 3 8" xfId="8058"/>
    <cellStyle name="20% - Accent4 8 3 9" xfId="8059"/>
    <cellStyle name="20% - Accent4 8 4" xfId="8060"/>
    <cellStyle name="20% - Accent4 8 4 2" xfId="8061"/>
    <cellStyle name="20% - Accent4 8 4 2 2" xfId="8062"/>
    <cellStyle name="20% - Accent4 8 4 2 3" xfId="8063"/>
    <cellStyle name="20% - Accent4 8 4 2 4" xfId="8064"/>
    <cellStyle name="20% - Accent4 8 4 2 5" xfId="8065"/>
    <cellStyle name="20% - Accent4 8 4 2 6" xfId="8066"/>
    <cellStyle name="20% - Accent4 8 4 2 7" xfId="8067"/>
    <cellStyle name="20% - Accent4 8 4 3" xfId="8068"/>
    <cellStyle name="20% - Accent4 8 4 3 2" xfId="8069"/>
    <cellStyle name="20% - Accent4 8 4 3 3" xfId="8070"/>
    <cellStyle name="20% - Accent4 8 4 3 4" xfId="8071"/>
    <cellStyle name="20% - Accent4 8 4 3 5" xfId="8072"/>
    <cellStyle name="20% - Accent4 8 4 3 6" xfId="8073"/>
    <cellStyle name="20% - Accent4 8 4 4" xfId="8074"/>
    <cellStyle name="20% - Accent4 8 4 5" xfId="8075"/>
    <cellStyle name="20% - Accent4 8 4 6" xfId="8076"/>
    <cellStyle name="20% - Accent4 8 4 7" xfId="8077"/>
    <cellStyle name="20% - Accent4 8 4 8" xfId="8078"/>
    <cellStyle name="20% - Accent4 8 4 9" xfId="8079"/>
    <cellStyle name="20% - Accent4 8 5" xfId="8080"/>
    <cellStyle name="20% - Accent4 8 5 2" xfId="8081"/>
    <cellStyle name="20% - Accent4 8 5 2 2" xfId="8082"/>
    <cellStyle name="20% - Accent4 8 5 2 3" xfId="8083"/>
    <cellStyle name="20% - Accent4 8 5 2 4" xfId="8084"/>
    <cellStyle name="20% - Accent4 8 5 2 5" xfId="8085"/>
    <cellStyle name="20% - Accent4 8 5 2 6" xfId="8086"/>
    <cellStyle name="20% - Accent4 8 5 2 7" xfId="8087"/>
    <cellStyle name="20% - Accent4 8 5 3" xfId="8088"/>
    <cellStyle name="20% - Accent4 8 5 3 2" xfId="8089"/>
    <cellStyle name="20% - Accent4 8 5 3 3" xfId="8090"/>
    <cellStyle name="20% - Accent4 8 5 3 4" xfId="8091"/>
    <cellStyle name="20% - Accent4 8 5 3 5" xfId="8092"/>
    <cellStyle name="20% - Accent4 8 5 3 6" xfId="8093"/>
    <cellStyle name="20% - Accent4 8 5 4" xfId="8094"/>
    <cellStyle name="20% - Accent4 8 5 5" xfId="8095"/>
    <cellStyle name="20% - Accent4 8 5 6" xfId="8096"/>
    <cellStyle name="20% - Accent4 8 5 7" xfId="8097"/>
    <cellStyle name="20% - Accent4 8 5 8" xfId="8098"/>
    <cellStyle name="20% - Accent4 8 5 9" xfId="8099"/>
    <cellStyle name="20% - Accent4 8 6" xfId="8100"/>
    <cellStyle name="20% - Accent4 8 6 2" xfId="8101"/>
    <cellStyle name="20% - Accent4 8 6 2 2" xfId="8102"/>
    <cellStyle name="20% - Accent4 8 6 2 3" xfId="8103"/>
    <cellStyle name="20% - Accent4 8 6 2 4" xfId="8104"/>
    <cellStyle name="20% - Accent4 8 6 2 5" xfId="8105"/>
    <cellStyle name="20% - Accent4 8 6 2 6" xfId="8106"/>
    <cellStyle name="20% - Accent4 8 6 2 7" xfId="8107"/>
    <cellStyle name="20% - Accent4 8 6 3" xfId="8108"/>
    <cellStyle name="20% - Accent4 8 6 3 2" xfId="8109"/>
    <cellStyle name="20% - Accent4 8 6 3 3" xfId="8110"/>
    <cellStyle name="20% - Accent4 8 6 3 4" xfId="8111"/>
    <cellStyle name="20% - Accent4 8 6 3 5" xfId="8112"/>
    <cellStyle name="20% - Accent4 8 6 3 6" xfId="8113"/>
    <cellStyle name="20% - Accent4 8 6 4" xfId="8114"/>
    <cellStyle name="20% - Accent4 8 6 5" xfId="8115"/>
    <cellStyle name="20% - Accent4 8 6 6" xfId="8116"/>
    <cellStyle name="20% - Accent4 8 6 7" xfId="8117"/>
    <cellStyle name="20% - Accent4 8 6 8" xfId="8118"/>
    <cellStyle name="20% - Accent4 8 6 9" xfId="8119"/>
    <cellStyle name="20% - Accent4 8 7" xfId="8120"/>
    <cellStyle name="20% - Accent4 8 7 2" xfId="8121"/>
    <cellStyle name="20% - Accent4 8 7 2 2" xfId="8122"/>
    <cellStyle name="20% - Accent4 8 7 2 3" xfId="8123"/>
    <cellStyle name="20% - Accent4 8 7 2 4" xfId="8124"/>
    <cellStyle name="20% - Accent4 8 7 2 5" xfId="8125"/>
    <cellStyle name="20% - Accent4 8 7 2 6" xfId="8126"/>
    <cellStyle name="20% - Accent4 8 7 2 7" xfId="8127"/>
    <cellStyle name="20% - Accent4 8 7 3" xfId="8128"/>
    <cellStyle name="20% - Accent4 8 7 3 2" xfId="8129"/>
    <cellStyle name="20% - Accent4 8 7 3 3" xfId="8130"/>
    <cellStyle name="20% - Accent4 8 7 3 4" xfId="8131"/>
    <cellStyle name="20% - Accent4 8 7 3 5" xfId="8132"/>
    <cellStyle name="20% - Accent4 8 7 3 6" xfId="8133"/>
    <cellStyle name="20% - Accent4 8 7 4" xfId="8134"/>
    <cellStyle name="20% - Accent4 8 7 5" xfId="8135"/>
    <cellStyle name="20% - Accent4 8 7 6" xfId="8136"/>
    <cellStyle name="20% - Accent4 8 7 7" xfId="8137"/>
    <cellStyle name="20% - Accent4 8 7 8" xfId="8138"/>
    <cellStyle name="20% - Accent4 8 7 9" xfId="8139"/>
    <cellStyle name="20% - Accent4 8 8" xfId="8140"/>
    <cellStyle name="20% - Accent4 8 8 2" xfId="8141"/>
    <cellStyle name="20% - Accent4 8 8 2 2" xfId="8142"/>
    <cellStyle name="20% - Accent4 8 8 2 3" xfId="8143"/>
    <cellStyle name="20% - Accent4 8 8 2 4" xfId="8144"/>
    <cellStyle name="20% - Accent4 8 8 2 5" xfId="8145"/>
    <cellStyle name="20% - Accent4 8 8 2 6" xfId="8146"/>
    <cellStyle name="20% - Accent4 8 8 2 7" xfId="8147"/>
    <cellStyle name="20% - Accent4 8 8 3" xfId="8148"/>
    <cellStyle name="20% - Accent4 8 8 3 2" xfId="8149"/>
    <cellStyle name="20% - Accent4 8 8 3 3" xfId="8150"/>
    <cellStyle name="20% - Accent4 8 8 3 4" xfId="8151"/>
    <cellStyle name="20% - Accent4 8 8 3 5" xfId="8152"/>
    <cellStyle name="20% - Accent4 8 8 3 6" xfId="8153"/>
    <cellStyle name="20% - Accent4 8 8 4" xfId="8154"/>
    <cellStyle name="20% - Accent4 8 8 5" xfId="8155"/>
    <cellStyle name="20% - Accent4 8 8 6" xfId="8156"/>
    <cellStyle name="20% - Accent4 8 8 7" xfId="8157"/>
    <cellStyle name="20% - Accent4 8 8 8" xfId="8158"/>
    <cellStyle name="20% - Accent4 8 8 9" xfId="8159"/>
    <cellStyle name="20% - Accent4 8 9" xfId="8160"/>
    <cellStyle name="20% - Accent4 8 9 2" xfId="8161"/>
    <cellStyle name="20% - Accent4 8 9 2 2" xfId="8162"/>
    <cellStyle name="20% - Accent4 8 9 2 3" xfId="8163"/>
    <cellStyle name="20% - Accent4 8 9 2 4" xfId="8164"/>
    <cellStyle name="20% - Accent4 8 9 2 5" xfId="8165"/>
    <cellStyle name="20% - Accent4 8 9 2 6" xfId="8166"/>
    <cellStyle name="20% - Accent4 8 9 3" xfId="8167"/>
    <cellStyle name="20% - Accent4 8 9 4" xfId="8168"/>
    <cellStyle name="20% - Accent4 8 9 5" xfId="8169"/>
    <cellStyle name="20% - Accent4 8 9 6" xfId="8170"/>
    <cellStyle name="20% - Accent4 8 9 7" xfId="8171"/>
    <cellStyle name="20% - Accent4 8 9 8" xfId="8172"/>
    <cellStyle name="20% - Accent4 9" xfId="8173"/>
    <cellStyle name="20% - Accent4 9 2" xfId="8174"/>
    <cellStyle name="20% - Accent4 9 3" xfId="8175"/>
    <cellStyle name="20% - Accent4 9 4" xfId="8176"/>
    <cellStyle name="20% - Accent5" xfId="5" builtinId="46" customBuiltin="1"/>
    <cellStyle name="20% - Accent5 10" xfId="8177"/>
    <cellStyle name="20% - Accent5 10 2" xfId="8178"/>
    <cellStyle name="20% - Accent5 10 2 2" xfId="8179"/>
    <cellStyle name="20% - Accent5 10 2 2 2" xfId="8180"/>
    <cellStyle name="20% - Accent5 10 2 3" xfId="8181"/>
    <cellStyle name="20% - Accent5 10 2 4" xfId="8182"/>
    <cellStyle name="20% - Accent5 10 2 5" xfId="8183"/>
    <cellStyle name="20% - Accent5 10 2 6" xfId="8184"/>
    <cellStyle name="20% - Accent5 10 2 7" xfId="8185"/>
    <cellStyle name="20% - Accent5 10 3" xfId="8186"/>
    <cellStyle name="20% - Accent5 10 3 2" xfId="8187"/>
    <cellStyle name="20% - Accent5 10 3 2 2" xfId="8188"/>
    <cellStyle name="20% - Accent5 10 3 3" xfId="8189"/>
    <cellStyle name="20% - Accent5 10 3 4" xfId="8190"/>
    <cellStyle name="20% - Accent5 10 3 5" xfId="8191"/>
    <cellStyle name="20% - Accent5 10 3 6" xfId="8192"/>
    <cellStyle name="20% - Accent5 10 4" xfId="8193"/>
    <cellStyle name="20% - Accent5 10 4 2" xfId="8194"/>
    <cellStyle name="20% - Accent5 10 5" xfId="8195"/>
    <cellStyle name="20% - Accent5 10 6" xfId="8196"/>
    <cellStyle name="20% - Accent5 10 7" xfId="8197"/>
    <cellStyle name="20% - Accent5 10 8" xfId="8198"/>
    <cellStyle name="20% - Accent5 10 9" xfId="8199"/>
    <cellStyle name="20% - Accent5 11" xfId="8200"/>
    <cellStyle name="20% - Accent5 11 2" xfId="8201"/>
    <cellStyle name="20% - Accent5 11 2 2" xfId="8202"/>
    <cellStyle name="20% - Accent5 11 2 2 2" xfId="8203"/>
    <cellStyle name="20% - Accent5 11 2 3" xfId="8204"/>
    <cellStyle name="20% - Accent5 11 2 4" xfId="8205"/>
    <cellStyle name="20% - Accent5 11 2 5" xfId="8206"/>
    <cellStyle name="20% - Accent5 11 2 6" xfId="8207"/>
    <cellStyle name="20% - Accent5 11 2 7" xfId="8208"/>
    <cellStyle name="20% - Accent5 11 3" xfId="8209"/>
    <cellStyle name="20% - Accent5 11 3 2" xfId="8210"/>
    <cellStyle name="20% - Accent5 11 3 2 2" xfId="8211"/>
    <cellStyle name="20% - Accent5 11 3 3" xfId="8212"/>
    <cellStyle name="20% - Accent5 11 3 4" xfId="8213"/>
    <cellStyle name="20% - Accent5 11 3 5" xfId="8214"/>
    <cellStyle name="20% - Accent5 11 3 6" xfId="8215"/>
    <cellStyle name="20% - Accent5 11 4" xfId="8216"/>
    <cellStyle name="20% - Accent5 11 4 2" xfId="8217"/>
    <cellStyle name="20% - Accent5 11 5" xfId="8218"/>
    <cellStyle name="20% - Accent5 11 6" xfId="8219"/>
    <cellStyle name="20% - Accent5 11 7" xfId="8220"/>
    <cellStyle name="20% - Accent5 11 8" xfId="8221"/>
    <cellStyle name="20% - Accent5 11 9" xfId="8222"/>
    <cellStyle name="20% - Accent5 12" xfId="8223"/>
    <cellStyle name="20% - Accent5 12 2" xfId="8224"/>
    <cellStyle name="20% - Accent5 12 2 2" xfId="8225"/>
    <cellStyle name="20% - Accent5 12 2 2 2" xfId="8226"/>
    <cellStyle name="20% - Accent5 12 2 3" xfId="8227"/>
    <cellStyle name="20% - Accent5 12 2 4" xfId="8228"/>
    <cellStyle name="20% - Accent5 12 2 5" xfId="8229"/>
    <cellStyle name="20% - Accent5 12 2 6" xfId="8230"/>
    <cellStyle name="20% - Accent5 12 2 7" xfId="8231"/>
    <cellStyle name="20% - Accent5 12 3" xfId="8232"/>
    <cellStyle name="20% - Accent5 12 3 2" xfId="8233"/>
    <cellStyle name="20% - Accent5 12 3 2 2" xfId="8234"/>
    <cellStyle name="20% - Accent5 12 3 3" xfId="8235"/>
    <cellStyle name="20% - Accent5 12 3 4" xfId="8236"/>
    <cellStyle name="20% - Accent5 12 3 5" xfId="8237"/>
    <cellStyle name="20% - Accent5 12 3 6" xfId="8238"/>
    <cellStyle name="20% - Accent5 12 4" xfId="8239"/>
    <cellStyle name="20% - Accent5 12 4 2" xfId="8240"/>
    <cellStyle name="20% - Accent5 12 5" xfId="8241"/>
    <cellStyle name="20% - Accent5 12 6" xfId="8242"/>
    <cellStyle name="20% - Accent5 12 7" xfId="8243"/>
    <cellStyle name="20% - Accent5 12 8" xfId="8244"/>
    <cellStyle name="20% - Accent5 12 9" xfId="8245"/>
    <cellStyle name="20% - Accent5 13" xfId="8246"/>
    <cellStyle name="20% - Accent5 13 2" xfId="8247"/>
    <cellStyle name="20% - Accent5 13 2 2" xfId="8248"/>
    <cellStyle name="20% - Accent5 13 2 2 2" xfId="8249"/>
    <cellStyle name="20% - Accent5 13 2 3" xfId="8250"/>
    <cellStyle name="20% - Accent5 13 2 4" xfId="8251"/>
    <cellStyle name="20% - Accent5 13 2 5" xfId="8252"/>
    <cellStyle name="20% - Accent5 13 2 6" xfId="8253"/>
    <cellStyle name="20% - Accent5 13 2 7" xfId="8254"/>
    <cellStyle name="20% - Accent5 13 3" xfId="8255"/>
    <cellStyle name="20% - Accent5 13 3 2" xfId="8256"/>
    <cellStyle name="20% - Accent5 13 3 2 2" xfId="8257"/>
    <cellStyle name="20% - Accent5 13 3 3" xfId="8258"/>
    <cellStyle name="20% - Accent5 13 3 4" xfId="8259"/>
    <cellStyle name="20% - Accent5 13 3 5" xfId="8260"/>
    <cellStyle name="20% - Accent5 13 3 6" xfId="8261"/>
    <cellStyle name="20% - Accent5 13 4" xfId="8262"/>
    <cellStyle name="20% - Accent5 13 4 2" xfId="8263"/>
    <cellStyle name="20% - Accent5 13 5" xfId="8264"/>
    <cellStyle name="20% - Accent5 13 6" xfId="8265"/>
    <cellStyle name="20% - Accent5 13 7" xfId="8266"/>
    <cellStyle name="20% - Accent5 13 8" xfId="8267"/>
    <cellStyle name="20% - Accent5 13 9" xfId="8268"/>
    <cellStyle name="20% - Accent5 14" xfId="8269"/>
    <cellStyle name="20% - Accent5 14 2" xfId="8270"/>
    <cellStyle name="20% - Accent5 14 2 2" xfId="8271"/>
    <cellStyle name="20% - Accent5 14 2 2 2" xfId="8272"/>
    <cellStyle name="20% - Accent5 14 2 3" xfId="8273"/>
    <cellStyle name="20% - Accent5 14 2 4" xfId="8274"/>
    <cellStyle name="20% - Accent5 14 2 5" xfId="8275"/>
    <cellStyle name="20% - Accent5 14 2 6" xfId="8276"/>
    <cellStyle name="20% - Accent5 14 2 7" xfId="8277"/>
    <cellStyle name="20% - Accent5 14 3" xfId="8278"/>
    <cellStyle name="20% - Accent5 14 3 2" xfId="8279"/>
    <cellStyle name="20% - Accent5 14 3 2 2" xfId="8280"/>
    <cellStyle name="20% - Accent5 14 3 3" xfId="8281"/>
    <cellStyle name="20% - Accent5 14 3 4" xfId="8282"/>
    <cellStyle name="20% - Accent5 14 3 5" xfId="8283"/>
    <cellStyle name="20% - Accent5 14 3 6" xfId="8284"/>
    <cellStyle name="20% - Accent5 14 4" xfId="8285"/>
    <cellStyle name="20% - Accent5 14 4 2" xfId="8286"/>
    <cellStyle name="20% - Accent5 14 5" xfId="8287"/>
    <cellStyle name="20% - Accent5 14 6" xfId="8288"/>
    <cellStyle name="20% - Accent5 14 7" xfId="8289"/>
    <cellStyle name="20% - Accent5 14 8" xfId="8290"/>
    <cellStyle name="20% - Accent5 14 9" xfId="8291"/>
    <cellStyle name="20% - Accent5 15" xfId="8292"/>
    <cellStyle name="20% - Accent5 15 2" xfId="8293"/>
    <cellStyle name="20% - Accent5 15 2 2" xfId="8294"/>
    <cellStyle name="20% - Accent5 15 2 2 2" xfId="8295"/>
    <cellStyle name="20% - Accent5 15 2 3" xfId="8296"/>
    <cellStyle name="20% - Accent5 15 2 4" xfId="8297"/>
    <cellStyle name="20% - Accent5 15 2 5" xfId="8298"/>
    <cellStyle name="20% - Accent5 15 2 6" xfId="8299"/>
    <cellStyle name="20% - Accent5 15 2 7" xfId="8300"/>
    <cellStyle name="20% - Accent5 15 3" xfId="8301"/>
    <cellStyle name="20% - Accent5 15 3 2" xfId="8302"/>
    <cellStyle name="20% - Accent5 15 3 2 2" xfId="8303"/>
    <cellStyle name="20% - Accent5 15 3 3" xfId="8304"/>
    <cellStyle name="20% - Accent5 15 3 4" xfId="8305"/>
    <cellStyle name="20% - Accent5 15 3 5" xfId="8306"/>
    <cellStyle name="20% - Accent5 15 3 6" xfId="8307"/>
    <cellStyle name="20% - Accent5 15 4" xfId="8308"/>
    <cellStyle name="20% - Accent5 15 4 2" xfId="8309"/>
    <cellStyle name="20% - Accent5 15 5" xfId="8310"/>
    <cellStyle name="20% - Accent5 15 6" xfId="8311"/>
    <cellStyle name="20% - Accent5 15 7" xfId="8312"/>
    <cellStyle name="20% - Accent5 15 8" xfId="8313"/>
    <cellStyle name="20% - Accent5 15 9" xfId="8314"/>
    <cellStyle name="20% - Accent5 16" xfId="8315"/>
    <cellStyle name="20% - Accent5 16 2" xfId="8316"/>
    <cellStyle name="20% - Accent5 16 2 2" xfId="8317"/>
    <cellStyle name="20% - Accent5 16 2 2 2" xfId="8318"/>
    <cellStyle name="20% - Accent5 16 2 3" xfId="8319"/>
    <cellStyle name="20% - Accent5 16 2 4" xfId="8320"/>
    <cellStyle name="20% - Accent5 16 2 5" xfId="8321"/>
    <cellStyle name="20% - Accent5 16 2 6" xfId="8322"/>
    <cellStyle name="20% - Accent5 16 2 7" xfId="8323"/>
    <cellStyle name="20% - Accent5 16 3" xfId="8324"/>
    <cellStyle name="20% - Accent5 16 3 2" xfId="8325"/>
    <cellStyle name="20% - Accent5 16 3 2 2" xfId="8326"/>
    <cellStyle name="20% - Accent5 16 3 3" xfId="8327"/>
    <cellStyle name="20% - Accent5 16 3 4" xfId="8328"/>
    <cellStyle name="20% - Accent5 16 3 5" xfId="8329"/>
    <cellStyle name="20% - Accent5 16 3 6" xfId="8330"/>
    <cellStyle name="20% - Accent5 16 4" xfId="8331"/>
    <cellStyle name="20% - Accent5 16 4 2" xfId="8332"/>
    <cellStyle name="20% - Accent5 16 5" xfId="8333"/>
    <cellStyle name="20% - Accent5 16 6" xfId="8334"/>
    <cellStyle name="20% - Accent5 16 7" xfId="8335"/>
    <cellStyle name="20% - Accent5 16 8" xfId="8336"/>
    <cellStyle name="20% - Accent5 16 9" xfId="8337"/>
    <cellStyle name="20% - Accent5 17" xfId="8338"/>
    <cellStyle name="20% - Accent5 17 2" xfId="8339"/>
    <cellStyle name="20% - Accent5 17 2 2" xfId="8340"/>
    <cellStyle name="20% - Accent5 17 2 2 2" xfId="8341"/>
    <cellStyle name="20% - Accent5 17 2 3" xfId="8342"/>
    <cellStyle name="20% - Accent5 17 2 4" xfId="8343"/>
    <cellStyle name="20% - Accent5 17 2 5" xfId="8344"/>
    <cellStyle name="20% - Accent5 17 2 6" xfId="8345"/>
    <cellStyle name="20% - Accent5 17 3" xfId="8346"/>
    <cellStyle name="20% - Accent5 17 3 2" xfId="8347"/>
    <cellStyle name="20% - Accent5 17 4" xfId="8348"/>
    <cellStyle name="20% - Accent5 17 4 2" xfId="8349"/>
    <cellStyle name="20% - Accent5 17 5" xfId="8350"/>
    <cellStyle name="20% - Accent5 17 6" xfId="8351"/>
    <cellStyle name="20% - Accent5 17 7" xfId="8352"/>
    <cellStyle name="20% - Accent5 17 8" xfId="8353"/>
    <cellStyle name="20% - Accent5 18" xfId="8354"/>
    <cellStyle name="20% - Accent5 18 2" xfId="8355"/>
    <cellStyle name="20% - Accent5 18 2 2" xfId="8356"/>
    <cellStyle name="20% - Accent5 18 3" xfId="8357"/>
    <cellStyle name="20% - Accent5 18 3 2" xfId="8358"/>
    <cellStyle name="20% - Accent5 18 4" xfId="8359"/>
    <cellStyle name="20% - Accent5 18 4 2" xfId="8360"/>
    <cellStyle name="20% - Accent5 18 5" xfId="8361"/>
    <cellStyle name="20% - Accent5 18 6" xfId="8362"/>
    <cellStyle name="20% - Accent5 18 7" xfId="8363"/>
    <cellStyle name="20% - Accent5 19" xfId="8364"/>
    <cellStyle name="20% - Accent5 19 2" xfId="8365"/>
    <cellStyle name="20% - Accent5 19 2 2" xfId="8366"/>
    <cellStyle name="20% - Accent5 19 3" xfId="8367"/>
    <cellStyle name="20% - Accent5 19 3 2" xfId="8368"/>
    <cellStyle name="20% - Accent5 19 4" xfId="8369"/>
    <cellStyle name="20% - Accent5 19 4 2" xfId="8370"/>
    <cellStyle name="20% - Accent5 19 5" xfId="8371"/>
    <cellStyle name="20% - Accent5 19 6" xfId="8372"/>
    <cellStyle name="20% - Accent5 2" xfId="378"/>
    <cellStyle name="20% - Accent5 2 10" xfId="8373"/>
    <cellStyle name="20% - Accent5 2 10 2" xfId="8374"/>
    <cellStyle name="20% - Accent5 2 10 2 2" xfId="8375"/>
    <cellStyle name="20% - Accent5 2 10 2 3" xfId="8376"/>
    <cellStyle name="20% - Accent5 2 10 2 4" xfId="8377"/>
    <cellStyle name="20% - Accent5 2 10 2 5" xfId="8378"/>
    <cellStyle name="20% - Accent5 2 10 2 6" xfId="8379"/>
    <cellStyle name="20% - Accent5 2 10 3" xfId="8380"/>
    <cellStyle name="20% - Accent5 2 10 3 2" xfId="8381"/>
    <cellStyle name="20% - Accent5 2 10 4" xfId="8382"/>
    <cellStyle name="20% - Accent5 2 10 5" xfId="8383"/>
    <cellStyle name="20% - Accent5 2 10 6" xfId="8384"/>
    <cellStyle name="20% - Accent5 2 10 7" xfId="8385"/>
    <cellStyle name="20% - Accent5 2 10 8" xfId="8386"/>
    <cellStyle name="20% - Accent5 2 11" xfId="8387"/>
    <cellStyle name="20% - Accent5 2 11 2" xfId="8388"/>
    <cellStyle name="20% - Accent5 2 11 2 2" xfId="8389"/>
    <cellStyle name="20% - Accent5 2 11 3" xfId="8390"/>
    <cellStyle name="20% - Accent5 2 11 4" xfId="8391"/>
    <cellStyle name="20% - Accent5 2 11 5" xfId="8392"/>
    <cellStyle name="20% - Accent5 2 11 6" xfId="8393"/>
    <cellStyle name="20% - Accent5 2 11 7" xfId="8394"/>
    <cellStyle name="20% - Accent5 2 12" xfId="8395"/>
    <cellStyle name="20% - Accent5 2 12 2" xfId="8396"/>
    <cellStyle name="20% - Accent5 2 12 2 2" xfId="8397"/>
    <cellStyle name="20% - Accent5 2 12 3" xfId="8398"/>
    <cellStyle name="20% - Accent5 2 12 4" xfId="8399"/>
    <cellStyle name="20% - Accent5 2 12 5" xfId="8400"/>
    <cellStyle name="20% - Accent5 2 12 6" xfId="8401"/>
    <cellStyle name="20% - Accent5 2 13" xfId="8402"/>
    <cellStyle name="20% - Accent5 2 13 2" xfId="8403"/>
    <cellStyle name="20% - Accent5 2 14" xfId="8404"/>
    <cellStyle name="20% - Accent5 2 14 2" xfId="8405"/>
    <cellStyle name="20% - Accent5 2 15" xfId="8406"/>
    <cellStyle name="20% - Accent5 2 15 2" xfId="8407"/>
    <cellStyle name="20% - Accent5 2 16" xfId="8408"/>
    <cellStyle name="20% - Accent5 2 16 2" xfId="8409"/>
    <cellStyle name="20% - Accent5 2 17" xfId="8410"/>
    <cellStyle name="20% - Accent5 2 17 2" xfId="8411"/>
    <cellStyle name="20% - Accent5 2 18" xfId="8412"/>
    <cellStyle name="20% - Accent5 2 19" xfId="8413"/>
    <cellStyle name="20% - Accent5 2 2" xfId="1461"/>
    <cellStyle name="20% - Accent5 2 2 2" xfId="1462"/>
    <cellStyle name="20% - Accent5 2 2 2 2" xfId="8414"/>
    <cellStyle name="20% - Accent5 2 2 2 3" xfId="8415"/>
    <cellStyle name="20% - Accent5 2 2 3" xfId="8416"/>
    <cellStyle name="20% - Accent5 2 2 4" xfId="8417"/>
    <cellStyle name="20% - Accent5 2 20" xfId="8418"/>
    <cellStyle name="20% - Accent5 2 21" xfId="8419"/>
    <cellStyle name="20% - Accent5 2 22" xfId="8420"/>
    <cellStyle name="20% - Accent5 2 23" xfId="8421"/>
    <cellStyle name="20% - Accent5 2 24" xfId="8422"/>
    <cellStyle name="20% - Accent5 2 25" xfId="8423"/>
    <cellStyle name="20% - Accent5 2 26" xfId="8424"/>
    <cellStyle name="20% - Accent5 2 27" xfId="8425"/>
    <cellStyle name="20% - Accent5 2 28" xfId="8426"/>
    <cellStyle name="20% - Accent5 2 29" xfId="8427"/>
    <cellStyle name="20% - Accent5 2 3" xfId="1463"/>
    <cellStyle name="20% - Accent5 2 3 10" xfId="8428"/>
    <cellStyle name="20% - Accent5 2 3 11" xfId="8429"/>
    <cellStyle name="20% - Accent5 2 3 2" xfId="1464"/>
    <cellStyle name="20% - Accent5 2 3 2 2" xfId="8430"/>
    <cellStyle name="20% - Accent5 2 3 2 3" xfId="8431"/>
    <cellStyle name="20% - Accent5 2 3 2 4" xfId="8432"/>
    <cellStyle name="20% - Accent5 2 3 2 5" xfId="8433"/>
    <cellStyle name="20% - Accent5 2 3 2 6" xfId="8434"/>
    <cellStyle name="20% - Accent5 2 3 2 7" xfId="8435"/>
    <cellStyle name="20% - Accent5 2 3 2 8" xfId="8436"/>
    <cellStyle name="20% - Accent5 2 3 2 9" xfId="8437"/>
    <cellStyle name="20% - Accent5 2 3 3" xfId="8438"/>
    <cellStyle name="20% - Accent5 2 3 3 2" xfId="8439"/>
    <cellStyle name="20% - Accent5 2 3 3 3" xfId="8440"/>
    <cellStyle name="20% - Accent5 2 3 3 4" xfId="8441"/>
    <cellStyle name="20% - Accent5 2 3 3 5" xfId="8442"/>
    <cellStyle name="20% - Accent5 2 3 3 6" xfId="8443"/>
    <cellStyle name="20% - Accent5 2 3 4" xfId="8444"/>
    <cellStyle name="20% - Accent5 2 3 4 2" xfId="8445"/>
    <cellStyle name="20% - Accent5 2 3 5" xfId="8446"/>
    <cellStyle name="20% - Accent5 2 3 6" xfId="8447"/>
    <cellStyle name="20% - Accent5 2 3 7" xfId="8448"/>
    <cellStyle name="20% - Accent5 2 3 8" xfId="8449"/>
    <cellStyle name="20% - Accent5 2 3 9" xfId="8450"/>
    <cellStyle name="20% - Accent5 2 30" xfId="8451"/>
    <cellStyle name="20% - Accent5 2 31" xfId="8452"/>
    <cellStyle name="20% - Accent5 2 32" xfId="8453"/>
    <cellStyle name="20% - Accent5 2 33" xfId="8454"/>
    <cellStyle name="20% - Accent5 2 34" xfId="8455"/>
    <cellStyle name="20% - Accent5 2 35" xfId="8456"/>
    <cellStyle name="20% - Accent5 2 4" xfId="1465"/>
    <cellStyle name="20% - Accent5 2 4 10" xfId="8457"/>
    <cellStyle name="20% - Accent5 2 4 11" xfId="8458"/>
    <cellStyle name="20% - Accent5 2 4 2" xfId="8459"/>
    <cellStyle name="20% - Accent5 2 4 2 2" xfId="8460"/>
    <cellStyle name="20% - Accent5 2 4 2 3" xfId="8461"/>
    <cellStyle name="20% - Accent5 2 4 2 4" xfId="8462"/>
    <cellStyle name="20% - Accent5 2 4 2 5" xfId="8463"/>
    <cellStyle name="20% - Accent5 2 4 2 6" xfId="8464"/>
    <cellStyle name="20% - Accent5 2 4 2 7" xfId="8465"/>
    <cellStyle name="20% - Accent5 2 4 3" xfId="8466"/>
    <cellStyle name="20% - Accent5 2 4 3 2" xfId="8467"/>
    <cellStyle name="20% - Accent5 2 4 3 3" xfId="8468"/>
    <cellStyle name="20% - Accent5 2 4 3 4" xfId="8469"/>
    <cellStyle name="20% - Accent5 2 4 3 5" xfId="8470"/>
    <cellStyle name="20% - Accent5 2 4 3 6" xfId="8471"/>
    <cellStyle name="20% - Accent5 2 4 4" xfId="8472"/>
    <cellStyle name="20% - Accent5 2 4 4 2" xfId="8473"/>
    <cellStyle name="20% - Accent5 2 4 5" xfId="8474"/>
    <cellStyle name="20% - Accent5 2 4 6" xfId="8475"/>
    <cellStyle name="20% - Accent5 2 4 7" xfId="8476"/>
    <cellStyle name="20% - Accent5 2 4 8" xfId="8477"/>
    <cellStyle name="20% - Accent5 2 4 9" xfId="8478"/>
    <cellStyle name="20% - Accent5 2 5" xfId="1466"/>
    <cellStyle name="20% - Accent5 2 5 10" xfId="8479"/>
    <cellStyle name="20% - Accent5 2 5 11" xfId="8480"/>
    <cellStyle name="20% - Accent5 2 5 2" xfId="8481"/>
    <cellStyle name="20% - Accent5 2 5 2 2" xfId="8482"/>
    <cellStyle name="20% - Accent5 2 5 2 3" xfId="8483"/>
    <cellStyle name="20% - Accent5 2 5 2 4" xfId="8484"/>
    <cellStyle name="20% - Accent5 2 5 2 5" xfId="8485"/>
    <cellStyle name="20% - Accent5 2 5 2 6" xfId="8486"/>
    <cellStyle name="20% - Accent5 2 5 2 7" xfId="8487"/>
    <cellStyle name="20% - Accent5 2 5 3" xfId="8488"/>
    <cellStyle name="20% - Accent5 2 5 3 2" xfId="8489"/>
    <cellStyle name="20% - Accent5 2 5 3 3" xfId="8490"/>
    <cellStyle name="20% - Accent5 2 5 3 4" xfId="8491"/>
    <cellStyle name="20% - Accent5 2 5 3 5" xfId="8492"/>
    <cellStyle name="20% - Accent5 2 5 3 6" xfId="8493"/>
    <cellStyle name="20% - Accent5 2 5 4" xfId="8494"/>
    <cellStyle name="20% - Accent5 2 5 4 2" xfId="8495"/>
    <cellStyle name="20% - Accent5 2 5 5" xfId="8496"/>
    <cellStyle name="20% - Accent5 2 5 6" xfId="8497"/>
    <cellStyle name="20% - Accent5 2 5 7" xfId="8498"/>
    <cellStyle name="20% - Accent5 2 5 8" xfId="8499"/>
    <cellStyle name="20% - Accent5 2 5 9" xfId="8500"/>
    <cellStyle name="20% - Accent5 2 6" xfId="1467"/>
    <cellStyle name="20% - Accent5 2 6 10" xfId="8501"/>
    <cellStyle name="20% - Accent5 2 6 11" xfId="8502"/>
    <cellStyle name="20% - Accent5 2 6 2" xfId="8503"/>
    <cellStyle name="20% - Accent5 2 6 2 2" xfId="8504"/>
    <cellStyle name="20% - Accent5 2 6 2 3" xfId="8505"/>
    <cellStyle name="20% - Accent5 2 6 2 4" xfId="8506"/>
    <cellStyle name="20% - Accent5 2 6 2 5" xfId="8507"/>
    <cellStyle name="20% - Accent5 2 6 2 6" xfId="8508"/>
    <cellStyle name="20% - Accent5 2 6 2 7" xfId="8509"/>
    <cellStyle name="20% - Accent5 2 6 3" xfId="8510"/>
    <cellStyle name="20% - Accent5 2 6 3 2" xfId="8511"/>
    <cellStyle name="20% - Accent5 2 6 3 3" xfId="8512"/>
    <cellStyle name="20% - Accent5 2 6 3 4" xfId="8513"/>
    <cellStyle name="20% - Accent5 2 6 3 5" xfId="8514"/>
    <cellStyle name="20% - Accent5 2 6 3 6" xfId="8515"/>
    <cellStyle name="20% - Accent5 2 6 4" xfId="8516"/>
    <cellStyle name="20% - Accent5 2 6 4 2" xfId="8517"/>
    <cellStyle name="20% - Accent5 2 6 5" xfId="8518"/>
    <cellStyle name="20% - Accent5 2 6 6" xfId="8519"/>
    <cellStyle name="20% - Accent5 2 6 7" xfId="8520"/>
    <cellStyle name="20% - Accent5 2 6 8" xfId="8521"/>
    <cellStyle name="20% - Accent5 2 6 9" xfId="8522"/>
    <cellStyle name="20% - Accent5 2 7" xfId="1460"/>
    <cellStyle name="20% - Accent5 2 7 10" xfId="8523"/>
    <cellStyle name="20% - Accent5 2 7 2" xfId="8524"/>
    <cellStyle name="20% - Accent5 2 7 2 2" xfId="8525"/>
    <cellStyle name="20% - Accent5 2 7 2 3" xfId="8526"/>
    <cellStyle name="20% - Accent5 2 7 2 4" xfId="8527"/>
    <cellStyle name="20% - Accent5 2 7 2 5" xfId="8528"/>
    <cellStyle name="20% - Accent5 2 7 2 6" xfId="8529"/>
    <cellStyle name="20% - Accent5 2 7 2 7" xfId="8530"/>
    <cellStyle name="20% - Accent5 2 7 3" xfId="8531"/>
    <cellStyle name="20% - Accent5 2 7 3 2" xfId="8532"/>
    <cellStyle name="20% - Accent5 2 7 3 3" xfId="8533"/>
    <cellStyle name="20% - Accent5 2 7 3 4" xfId="8534"/>
    <cellStyle name="20% - Accent5 2 7 3 5" xfId="8535"/>
    <cellStyle name="20% - Accent5 2 7 3 6" xfId="8536"/>
    <cellStyle name="20% - Accent5 2 7 4" xfId="8537"/>
    <cellStyle name="20% - Accent5 2 7 4 2" xfId="8538"/>
    <cellStyle name="20% - Accent5 2 7 5" xfId="8539"/>
    <cellStyle name="20% - Accent5 2 7 6" xfId="8540"/>
    <cellStyle name="20% - Accent5 2 7 7" xfId="8541"/>
    <cellStyle name="20% - Accent5 2 7 8" xfId="8542"/>
    <cellStyle name="20% - Accent5 2 7 9" xfId="8543"/>
    <cellStyle name="20% - Accent5 2 8" xfId="8544"/>
    <cellStyle name="20% - Accent5 2 8 2" xfId="8545"/>
    <cellStyle name="20% - Accent5 2 8 2 2" xfId="8546"/>
    <cellStyle name="20% - Accent5 2 8 2 3" xfId="8547"/>
    <cellStyle name="20% - Accent5 2 8 2 4" xfId="8548"/>
    <cellStyle name="20% - Accent5 2 8 2 5" xfId="8549"/>
    <cellStyle name="20% - Accent5 2 8 2 6" xfId="8550"/>
    <cellStyle name="20% - Accent5 2 8 2 7" xfId="8551"/>
    <cellStyle name="20% - Accent5 2 8 3" xfId="8552"/>
    <cellStyle name="20% - Accent5 2 8 3 2" xfId="8553"/>
    <cellStyle name="20% - Accent5 2 8 3 3" xfId="8554"/>
    <cellStyle name="20% - Accent5 2 8 3 4" xfId="8555"/>
    <cellStyle name="20% - Accent5 2 8 3 5" xfId="8556"/>
    <cellStyle name="20% - Accent5 2 8 3 6" xfId="8557"/>
    <cellStyle name="20% - Accent5 2 8 4" xfId="8558"/>
    <cellStyle name="20% - Accent5 2 8 4 2" xfId="8559"/>
    <cellStyle name="20% - Accent5 2 8 5" xfId="8560"/>
    <cellStyle name="20% - Accent5 2 8 6" xfId="8561"/>
    <cellStyle name="20% - Accent5 2 8 7" xfId="8562"/>
    <cellStyle name="20% - Accent5 2 8 8" xfId="8563"/>
    <cellStyle name="20% - Accent5 2 8 9" xfId="8564"/>
    <cellStyle name="20% - Accent5 2 9" xfId="8565"/>
    <cellStyle name="20% - Accent5 2 9 2" xfId="8566"/>
    <cellStyle name="20% - Accent5 2 9 2 2" xfId="8567"/>
    <cellStyle name="20% - Accent5 2 9 2 3" xfId="8568"/>
    <cellStyle name="20% - Accent5 2 9 2 4" xfId="8569"/>
    <cellStyle name="20% - Accent5 2 9 2 5" xfId="8570"/>
    <cellStyle name="20% - Accent5 2 9 2 6" xfId="8571"/>
    <cellStyle name="20% - Accent5 2 9 2 7" xfId="8572"/>
    <cellStyle name="20% - Accent5 2 9 3" xfId="8573"/>
    <cellStyle name="20% - Accent5 2 9 3 2" xfId="8574"/>
    <cellStyle name="20% - Accent5 2 9 3 3" xfId="8575"/>
    <cellStyle name="20% - Accent5 2 9 3 4" xfId="8576"/>
    <cellStyle name="20% - Accent5 2 9 3 5" xfId="8577"/>
    <cellStyle name="20% - Accent5 2 9 3 6" xfId="8578"/>
    <cellStyle name="20% - Accent5 2 9 4" xfId="8579"/>
    <cellStyle name="20% - Accent5 2 9 4 2" xfId="8580"/>
    <cellStyle name="20% - Accent5 2 9 5" xfId="8581"/>
    <cellStyle name="20% - Accent5 2 9 6" xfId="8582"/>
    <cellStyle name="20% - Accent5 2 9 7" xfId="8583"/>
    <cellStyle name="20% - Accent5 2 9 8" xfId="8584"/>
    <cellStyle name="20% - Accent5 2 9 9" xfId="8585"/>
    <cellStyle name="20% - Accent5 20" xfId="8586"/>
    <cellStyle name="20% - Accent5 20 2" xfId="8587"/>
    <cellStyle name="20% - Accent5 20 3" xfId="8588"/>
    <cellStyle name="20% - Accent5 20 4" xfId="8589"/>
    <cellStyle name="20% - Accent5 21" xfId="8590"/>
    <cellStyle name="20% - Accent5 21 2" xfId="8591"/>
    <cellStyle name="20% - Accent5 21 3" xfId="8592"/>
    <cellStyle name="20% - Accent5 21 4" xfId="8593"/>
    <cellStyle name="20% - Accent5 22" xfId="8594"/>
    <cellStyle name="20% - Accent5 22 2" xfId="8595"/>
    <cellStyle name="20% - Accent5 22 3" xfId="8596"/>
    <cellStyle name="20% - Accent5 22 4" xfId="8597"/>
    <cellStyle name="20% - Accent5 23" xfId="8598"/>
    <cellStyle name="20% - Accent5 23 2" xfId="8599"/>
    <cellStyle name="20% - Accent5 23 3" xfId="8600"/>
    <cellStyle name="20% - Accent5 23 4" xfId="8601"/>
    <cellStyle name="20% - Accent5 24" xfId="8602"/>
    <cellStyle name="20% - Accent5 24 2" xfId="8603"/>
    <cellStyle name="20% - Accent5 24 3" xfId="8604"/>
    <cellStyle name="20% - Accent5 24 4" xfId="8605"/>
    <cellStyle name="20% - Accent5 25" xfId="8606"/>
    <cellStyle name="20% - Accent5 25 2" xfId="8607"/>
    <cellStyle name="20% - Accent5 25 3" xfId="8608"/>
    <cellStyle name="20% - Accent5 26" xfId="8609"/>
    <cellStyle name="20% - Accent5 26 2" xfId="8610"/>
    <cellStyle name="20% - Accent5 26 3" xfId="8611"/>
    <cellStyle name="20% - Accent5 27" xfId="8612"/>
    <cellStyle name="20% - Accent5 27 2" xfId="8613"/>
    <cellStyle name="20% - Accent5 27 3" xfId="8614"/>
    <cellStyle name="20% - Accent5 28" xfId="8615"/>
    <cellStyle name="20% - Accent5 28 2" xfId="8616"/>
    <cellStyle name="20% - Accent5 28 3" xfId="8617"/>
    <cellStyle name="20% - Accent5 29" xfId="8618"/>
    <cellStyle name="20% - Accent5 29 2" xfId="8619"/>
    <cellStyle name="20% - Accent5 29 3" xfId="8620"/>
    <cellStyle name="20% - Accent5 3" xfId="1468"/>
    <cellStyle name="20% - Accent5 3 10" xfId="8621"/>
    <cellStyle name="20% - Accent5 3 10 2" xfId="8622"/>
    <cellStyle name="20% - Accent5 3 10 3" xfId="8623"/>
    <cellStyle name="20% - Accent5 3 10 4" xfId="8624"/>
    <cellStyle name="20% - Accent5 3 10 5" xfId="8625"/>
    <cellStyle name="20% - Accent5 3 10 6" xfId="8626"/>
    <cellStyle name="20% - Accent5 3 10 7" xfId="8627"/>
    <cellStyle name="20% - Accent5 3 11" xfId="8628"/>
    <cellStyle name="20% - Accent5 3 11 2" xfId="8629"/>
    <cellStyle name="20% - Accent5 3 11 3" xfId="8630"/>
    <cellStyle name="20% - Accent5 3 11 4" xfId="8631"/>
    <cellStyle name="20% - Accent5 3 11 5" xfId="8632"/>
    <cellStyle name="20% - Accent5 3 11 6" xfId="8633"/>
    <cellStyle name="20% - Accent5 3 12" xfId="8634"/>
    <cellStyle name="20% - Accent5 3 12 2" xfId="8635"/>
    <cellStyle name="20% - Accent5 3 13" xfId="8636"/>
    <cellStyle name="20% - Accent5 3 14" xfId="8637"/>
    <cellStyle name="20% - Accent5 3 15" xfId="8638"/>
    <cellStyle name="20% - Accent5 3 16" xfId="8639"/>
    <cellStyle name="20% - Accent5 3 17" xfId="8640"/>
    <cellStyle name="20% - Accent5 3 18" xfId="8641"/>
    <cellStyle name="20% - Accent5 3 2" xfId="8642"/>
    <cellStyle name="20% - Accent5 3 2 2" xfId="8643"/>
    <cellStyle name="20% - Accent5 3 2 2 2" xfId="8644"/>
    <cellStyle name="20% - Accent5 3 2 2 3" xfId="8645"/>
    <cellStyle name="20% - Accent5 3 2 2 4" xfId="8646"/>
    <cellStyle name="20% - Accent5 3 2 2 5" xfId="8647"/>
    <cellStyle name="20% - Accent5 3 2 2 6" xfId="8648"/>
    <cellStyle name="20% - Accent5 3 2 2 7" xfId="8649"/>
    <cellStyle name="20% - Accent5 3 2 3" xfId="8650"/>
    <cellStyle name="20% - Accent5 3 2 3 2" xfId="8651"/>
    <cellStyle name="20% - Accent5 3 2 3 3" xfId="8652"/>
    <cellStyle name="20% - Accent5 3 2 3 4" xfId="8653"/>
    <cellStyle name="20% - Accent5 3 2 3 5" xfId="8654"/>
    <cellStyle name="20% - Accent5 3 2 3 6" xfId="8655"/>
    <cellStyle name="20% - Accent5 3 2 4" xfId="8656"/>
    <cellStyle name="20% - Accent5 3 2 5" xfId="8657"/>
    <cellStyle name="20% - Accent5 3 2 6" xfId="8658"/>
    <cellStyle name="20% - Accent5 3 2 7" xfId="8659"/>
    <cellStyle name="20% - Accent5 3 2 8" xfId="8660"/>
    <cellStyle name="20% - Accent5 3 2 9" xfId="8661"/>
    <cellStyle name="20% - Accent5 3 3" xfId="8662"/>
    <cellStyle name="20% - Accent5 3 3 2" xfId="8663"/>
    <cellStyle name="20% - Accent5 3 3 2 2" xfId="8664"/>
    <cellStyle name="20% - Accent5 3 3 2 3" xfId="8665"/>
    <cellStyle name="20% - Accent5 3 3 2 4" xfId="8666"/>
    <cellStyle name="20% - Accent5 3 3 2 5" xfId="8667"/>
    <cellStyle name="20% - Accent5 3 3 2 6" xfId="8668"/>
    <cellStyle name="20% - Accent5 3 3 2 7" xfId="8669"/>
    <cellStyle name="20% - Accent5 3 3 3" xfId="8670"/>
    <cellStyle name="20% - Accent5 3 3 3 2" xfId="8671"/>
    <cellStyle name="20% - Accent5 3 3 3 3" xfId="8672"/>
    <cellStyle name="20% - Accent5 3 3 3 4" xfId="8673"/>
    <cellStyle name="20% - Accent5 3 3 3 5" xfId="8674"/>
    <cellStyle name="20% - Accent5 3 3 3 6" xfId="8675"/>
    <cellStyle name="20% - Accent5 3 3 4" xfId="8676"/>
    <cellStyle name="20% - Accent5 3 3 5" xfId="8677"/>
    <cellStyle name="20% - Accent5 3 3 6" xfId="8678"/>
    <cellStyle name="20% - Accent5 3 3 7" xfId="8679"/>
    <cellStyle name="20% - Accent5 3 3 8" xfId="8680"/>
    <cellStyle name="20% - Accent5 3 3 9" xfId="8681"/>
    <cellStyle name="20% - Accent5 3 4" xfId="8682"/>
    <cellStyle name="20% - Accent5 3 4 2" xfId="8683"/>
    <cellStyle name="20% - Accent5 3 4 2 2" xfId="8684"/>
    <cellStyle name="20% - Accent5 3 4 2 3" xfId="8685"/>
    <cellStyle name="20% - Accent5 3 4 2 4" xfId="8686"/>
    <cellStyle name="20% - Accent5 3 4 2 5" xfId="8687"/>
    <cellStyle name="20% - Accent5 3 4 2 6" xfId="8688"/>
    <cellStyle name="20% - Accent5 3 4 2 7" xfId="8689"/>
    <cellStyle name="20% - Accent5 3 4 3" xfId="8690"/>
    <cellStyle name="20% - Accent5 3 4 3 2" xfId="8691"/>
    <cellStyle name="20% - Accent5 3 4 3 3" xfId="8692"/>
    <cellStyle name="20% - Accent5 3 4 3 4" xfId="8693"/>
    <cellStyle name="20% - Accent5 3 4 3 5" xfId="8694"/>
    <cellStyle name="20% - Accent5 3 4 3 6" xfId="8695"/>
    <cellStyle name="20% - Accent5 3 4 4" xfId="8696"/>
    <cellStyle name="20% - Accent5 3 4 5" xfId="8697"/>
    <cellStyle name="20% - Accent5 3 4 6" xfId="8698"/>
    <cellStyle name="20% - Accent5 3 4 7" xfId="8699"/>
    <cellStyle name="20% - Accent5 3 4 8" xfId="8700"/>
    <cellStyle name="20% - Accent5 3 4 9" xfId="8701"/>
    <cellStyle name="20% - Accent5 3 5" xfId="8702"/>
    <cellStyle name="20% - Accent5 3 5 2" xfId="8703"/>
    <cellStyle name="20% - Accent5 3 5 2 2" xfId="8704"/>
    <cellStyle name="20% - Accent5 3 5 2 3" xfId="8705"/>
    <cellStyle name="20% - Accent5 3 5 2 4" xfId="8706"/>
    <cellStyle name="20% - Accent5 3 5 2 5" xfId="8707"/>
    <cellStyle name="20% - Accent5 3 5 2 6" xfId="8708"/>
    <cellStyle name="20% - Accent5 3 5 2 7" xfId="8709"/>
    <cellStyle name="20% - Accent5 3 5 3" xfId="8710"/>
    <cellStyle name="20% - Accent5 3 5 3 2" xfId="8711"/>
    <cellStyle name="20% - Accent5 3 5 3 3" xfId="8712"/>
    <cellStyle name="20% - Accent5 3 5 3 4" xfId="8713"/>
    <cellStyle name="20% - Accent5 3 5 3 5" xfId="8714"/>
    <cellStyle name="20% - Accent5 3 5 3 6" xfId="8715"/>
    <cellStyle name="20% - Accent5 3 5 4" xfId="8716"/>
    <cellStyle name="20% - Accent5 3 5 5" xfId="8717"/>
    <cellStyle name="20% - Accent5 3 5 6" xfId="8718"/>
    <cellStyle name="20% - Accent5 3 5 7" xfId="8719"/>
    <cellStyle name="20% - Accent5 3 5 8" xfId="8720"/>
    <cellStyle name="20% - Accent5 3 5 9" xfId="8721"/>
    <cellStyle name="20% - Accent5 3 6" xfId="8722"/>
    <cellStyle name="20% - Accent5 3 6 2" xfId="8723"/>
    <cellStyle name="20% - Accent5 3 6 2 2" xfId="8724"/>
    <cellStyle name="20% - Accent5 3 6 2 3" xfId="8725"/>
    <cellStyle name="20% - Accent5 3 6 2 4" xfId="8726"/>
    <cellStyle name="20% - Accent5 3 6 2 5" xfId="8727"/>
    <cellStyle name="20% - Accent5 3 6 2 6" xfId="8728"/>
    <cellStyle name="20% - Accent5 3 6 2 7" xfId="8729"/>
    <cellStyle name="20% - Accent5 3 6 3" xfId="8730"/>
    <cellStyle name="20% - Accent5 3 6 3 2" xfId="8731"/>
    <cellStyle name="20% - Accent5 3 6 3 3" xfId="8732"/>
    <cellStyle name="20% - Accent5 3 6 3 4" xfId="8733"/>
    <cellStyle name="20% - Accent5 3 6 3 5" xfId="8734"/>
    <cellStyle name="20% - Accent5 3 6 3 6" xfId="8735"/>
    <cellStyle name="20% - Accent5 3 6 4" xfId="8736"/>
    <cellStyle name="20% - Accent5 3 6 5" xfId="8737"/>
    <cellStyle name="20% - Accent5 3 6 6" xfId="8738"/>
    <cellStyle name="20% - Accent5 3 6 7" xfId="8739"/>
    <cellStyle name="20% - Accent5 3 6 8" xfId="8740"/>
    <cellStyle name="20% - Accent5 3 6 9" xfId="8741"/>
    <cellStyle name="20% - Accent5 3 7" xfId="8742"/>
    <cellStyle name="20% - Accent5 3 7 2" xfId="8743"/>
    <cellStyle name="20% - Accent5 3 7 2 2" xfId="8744"/>
    <cellStyle name="20% - Accent5 3 7 2 3" xfId="8745"/>
    <cellStyle name="20% - Accent5 3 7 2 4" xfId="8746"/>
    <cellStyle name="20% - Accent5 3 7 2 5" xfId="8747"/>
    <cellStyle name="20% - Accent5 3 7 2 6" xfId="8748"/>
    <cellStyle name="20% - Accent5 3 7 2 7" xfId="8749"/>
    <cellStyle name="20% - Accent5 3 7 3" xfId="8750"/>
    <cellStyle name="20% - Accent5 3 7 3 2" xfId="8751"/>
    <cellStyle name="20% - Accent5 3 7 3 3" xfId="8752"/>
    <cellStyle name="20% - Accent5 3 7 3 4" xfId="8753"/>
    <cellStyle name="20% - Accent5 3 7 3 5" xfId="8754"/>
    <cellStyle name="20% - Accent5 3 7 3 6" xfId="8755"/>
    <cellStyle name="20% - Accent5 3 7 4" xfId="8756"/>
    <cellStyle name="20% - Accent5 3 7 5" xfId="8757"/>
    <cellStyle name="20% - Accent5 3 7 6" xfId="8758"/>
    <cellStyle name="20% - Accent5 3 7 7" xfId="8759"/>
    <cellStyle name="20% - Accent5 3 7 8" xfId="8760"/>
    <cellStyle name="20% - Accent5 3 7 9" xfId="8761"/>
    <cellStyle name="20% - Accent5 3 8" xfId="8762"/>
    <cellStyle name="20% - Accent5 3 8 2" xfId="8763"/>
    <cellStyle name="20% - Accent5 3 8 2 2" xfId="8764"/>
    <cellStyle name="20% - Accent5 3 8 2 3" xfId="8765"/>
    <cellStyle name="20% - Accent5 3 8 2 4" xfId="8766"/>
    <cellStyle name="20% - Accent5 3 8 2 5" xfId="8767"/>
    <cellStyle name="20% - Accent5 3 8 2 6" xfId="8768"/>
    <cellStyle name="20% - Accent5 3 8 2 7" xfId="8769"/>
    <cellStyle name="20% - Accent5 3 8 3" xfId="8770"/>
    <cellStyle name="20% - Accent5 3 8 3 2" xfId="8771"/>
    <cellStyle name="20% - Accent5 3 8 3 3" xfId="8772"/>
    <cellStyle name="20% - Accent5 3 8 3 4" xfId="8773"/>
    <cellStyle name="20% - Accent5 3 8 3 5" xfId="8774"/>
    <cellStyle name="20% - Accent5 3 8 3 6" xfId="8775"/>
    <cellStyle name="20% - Accent5 3 8 4" xfId="8776"/>
    <cellStyle name="20% - Accent5 3 8 5" xfId="8777"/>
    <cellStyle name="20% - Accent5 3 8 6" xfId="8778"/>
    <cellStyle name="20% - Accent5 3 8 7" xfId="8779"/>
    <cellStyle name="20% - Accent5 3 8 8" xfId="8780"/>
    <cellStyle name="20% - Accent5 3 8 9" xfId="8781"/>
    <cellStyle name="20% - Accent5 3 9" xfId="8782"/>
    <cellStyle name="20% - Accent5 3 9 2" xfId="8783"/>
    <cellStyle name="20% - Accent5 3 9 2 2" xfId="8784"/>
    <cellStyle name="20% - Accent5 3 9 2 3" xfId="8785"/>
    <cellStyle name="20% - Accent5 3 9 2 4" xfId="8786"/>
    <cellStyle name="20% - Accent5 3 9 2 5" xfId="8787"/>
    <cellStyle name="20% - Accent5 3 9 2 6" xfId="8788"/>
    <cellStyle name="20% - Accent5 3 9 3" xfId="8789"/>
    <cellStyle name="20% - Accent5 3 9 4" xfId="8790"/>
    <cellStyle name="20% - Accent5 3 9 5" xfId="8791"/>
    <cellStyle name="20% - Accent5 3 9 6" xfId="8792"/>
    <cellStyle name="20% - Accent5 3 9 7" xfId="8793"/>
    <cellStyle name="20% - Accent5 3 9 8" xfId="8794"/>
    <cellStyle name="20% - Accent5 30" xfId="8795"/>
    <cellStyle name="20% - Accent5 30 2" xfId="8796"/>
    <cellStyle name="20% - Accent5 31" xfId="8797"/>
    <cellStyle name="20% - Accent5 32" xfId="8798"/>
    <cellStyle name="20% - Accent5 33" xfId="8799"/>
    <cellStyle name="20% - Accent5 34" xfId="8800"/>
    <cellStyle name="20% - Accent5 4" xfId="8801"/>
    <cellStyle name="20% - Accent5 4 10" xfId="8802"/>
    <cellStyle name="20% - Accent5 4 10 2" xfId="8803"/>
    <cellStyle name="20% - Accent5 4 10 3" xfId="8804"/>
    <cellStyle name="20% - Accent5 4 10 4" xfId="8805"/>
    <cellStyle name="20% - Accent5 4 10 5" xfId="8806"/>
    <cellStyle name="20% - Accent5 4 10 6" xfId="8807"/>
    <cellStyle name="20% - Accent5 4 10 7" xfId="8808"/>
    <cellStyle name="20% - Accent5 4 11" xfId="8809"/>
    <cellStyle name="20% - Accent5 4 11 2" xfId="8810"/>
    <cellStyle name="20% - Accent5 4 11 3" xfId="8811"/>
    <cellStyle name="20% - Accent5 4 11 4" xfId="8812"/>
    <cellStyle name="20% - Accent5 4 11 5" xfId="8813"/>
    <cellStyle name="20% - Accent5 4 11 6" xfId="8814"/>
    <cellStyle name="20% - Accent5 4 12" xfId="8815"/>
    <cellStyle name="20% - Accent5 4 12 2" xfId="8816"/>
    <cellStyle name="20% - Accent5 4 13" xfId="8817"/>
    <cellStyle name="20% - Accent5 4 14" xfId="8818"/>
    <cellStyle name="20% - Accent5 4 15" xfId="8819"/>
    <cellStyle name="20% - Accent5 4 16" xfId="8820"/>
    <cellStyle name="20% - Accent5 4 17" xfId="8821"/>
    <cellStyle name="20% - Accent5 4 2" xfId="8822"/>
    <cellStyle name="20% - Accent5 4 2 2" xfId="8823"/>
    <cellStyle name="20% - Accent5 4 2 2 2" xfId="8824"/>
    <cellStyle name="20% - Accent5 4 2 2 3" xfId="8825"/>
    <cellStyle name="20% - Accent5 4 2 2 4" xfId="8826"/>
    <cellStyle name="20% - Accent5 4 2 2 5" xfId="8827"/>
    <cellStyle name="20% - Accent5 4 2 2 6" xfId="8828"/>
    <cellStyle name="20% - Accent5 4 2 2 7" xfId="8829"/>
    <cellStyle name="20% - Accent5 4 2 3" xfId="8830"/>
    <cellStyle name="20% - Accent5 4 2 3 2" xfId="8831"/>
    <cellStyle name="20% - Accent5 4 2 3 3" xfId="8832"/>
    <cellStyle name="20% - Accent5 4 2 3 4" xfId="8833"/>
    <cellStyle name="20% - Accent5 4 2 3 5" xfId="8834"/>
    <cellStyle name="20% - Accent5 4 2 3 6" xfId="8835"/>
    <cellStyle name="20% - Accent5 4 2 4" xfId="8836"/>
    <cellStyle name="20% - Accent5 4 2 4 2" xfId="8837"/>
    <cellStyle name="20% - Accent5 4 2 5" xfId="8838"/>
    <cellStyle name="20% - Accent5 4 2 6" xfId="8839"/>
    <cellStyle name="20% - Accent5 4 2 7" xfId="8840"/>
    <cellStyle name="20% - Accent5 4 2 8" xfId="8841"/>
    <cellStyle name="20% - Accent5 4 2 9" xfId="8842"/>
    <cellStyle name="20% - Accent5 4 3" xfId="8843"/>
    <cellStyle name="20% - Accent5 4 3 2" xfId="8844"/>
    <cellStyle name="20% - Accent5 4 3 2 2" xfId="8845"/>
    <cellStyle name="20% - Accent5 4 3 2 3" xfId="8846"/>
    <cellStyle name="20% - Accent5 4 3 2 4" xfId="8847"/>
    <cellStyle name="20% - Accent5 4 3 2 5" xfId="8848"/>
    <cellStyle name="20% - Accent5 4 3 2 6" xfId="8849"/>
    <cellStyle name="20% - Accent5 4 3 2 7" xfId="8850"/>
    <cellStyle name="20% - Accent5 4 3 3" xfId="8851"/>
    <cellStyle name="20% - Accent5 4 3 3 2" xfId="8852"/>
    <cellStyle name="20% - Accent5 4 3 3 3" xfId="8853"/>
    <cellStyle name="20% - Accent5 4 3 3 4" xfId="8854"/>
    <cellStyle name="20% - Accent5 4 3 3 5" xfId="8855"/>
    <cellStyle name="20% - Accent5 4 3 3 6" xfId="8856"/>
    <cellStyle name="20% - Accent5 4 3 4" xfId="8857"/>
    <cellStyle name="20% - Accent5 4 3 4 2" xfId="8858"/>
    <cellStyle name="20% - Accent5 4 3 5" xfId="8859"/>
    <cellStyle name="20% - Accent5 4 3 6" xfId="8860"/>
    <cellStyle name="20% - Accent5 4 3 7" xfId="8861"/>
    <cellStyle name="20% - Accent5 4 3 8" xfId="8862"/>
    <cellStyle name="20% - Accent5 4 3 9" xfId="8863"/>
    <cellStyle name="20% - Accent5 4 4" xfId="8864"/>
    <cellStyle name="20% - Accent5 4 4 2" xfId="8865"/>
    <cellStyle name="20% - Accent5 4 4 2 2" xfId="8866"/>
    <cellStyle name="20% - Accent5 4 4 2 3" xfId="8867"/>
    <cellStyle name="20% - Accent5 4 4 2 4" xfId="8868"/>
    <cellStyle name="20% - Accent5 4 4 2 5" xfId="8869"/>
    <cellStyle name="20% - Accent5 4 4 2 6" xfId="8870"/>
    <cellStyle name="20% - Accent5 4 4 2 7" xfId="8871"/>
    <cellStyle name="20% - Accent5 4 4 3" xfId="8872"/>
    <cellStyle name="20% - Accent5 4 4 3 2" xfId="8873"/>
    <cellStyle name="20% - Accent5 4 4 3 3" xfId="8874"/>
    <cellStyle name="20% - Accent5 4 4 3 4" xfId="8875"/>
    <cellStyle name="20% - Accent5 4 4 3 5" xfId="8876"/>
    <cellStyle name="20% - Accent5 4 4 3 6" xfId="8877"/>
    <cellStyle name="20% - Accent5 4 4 4" xfId="8878"/>
    <cellStyle name="20% - Accent5 4 4 5" xfId="8879"/>
    <cellStyle name="20% - Accent5 4 4 6" xfId="8880"/>
    <cellStyle name="20% - Accent5 4 4 7" xfId="8881"/>
    <cellStyle name="20% - Accent5 4 4 8" xfId="8882"/>
    <cellStyle name="20% - Accent5 4 4 9" xfId="8883"/>
    <cellStyle name="20% - Accent5 4 5" xfId="8884"/>
    <cellStyle name="20% - Accent5 4 5 2" xfId="8885"/>
    <cellStyle name="20% - Accent5 4 5 2 2" xfId="8886"/>
    <cellStyle name="20% - Accent5 4 5 2 3" xfId="8887"/>
    <cellStyle name="20% - Accent5 4 5 2 4" xfId="8888"/>
    <cellStyle name="20% - Accent5 4 5 2 5" xfId="8889"/>
    <cellStyle name="20% - Accent5 4 5 2 6" xfId="8890"/>
    <cellStyle name="20% - Accent5 4 5 2 7" xfId="8891"/>
    <cellStyle name="20% - Accent5 4 5 3" xfId="8892"/>
    <cellStyle name="20% - Accent5 4 5 3 2" xfId="8893"/>
    <cellStyle name="20% - Accent5 4 5 3 3" xfId="8894"/>
    <cellStyle name="20% - Accent5 4 5 3 4" xfId="8895"/>
    <cellStyle name="20% - Accent5 4 5 3 5" xfId="8896"/>
    <cellStyle name="20% - Accent5 4 5 3 6" xfId="8897"/>
    <cellStyle name="20% - Accent5 4 5 4" xfId="8898"/>
    <cellStyle name="20% - Accent5 4 5 5" xfId="8899"/>
    <cellStyle name="20% - Accent5 4 5 6" xfId="8900"/>
    <cellStyle name="20% - Accent5 4 5 7" xfId="8901"/>
    <cellStyle name="20% - Accent5 4 5 8" xfId="8902"/>
    <cellStyle name="20% - Accent5 4 5 9" xfId="8903"/>
    <cellStyle name="20% - Accent5 4 6" xfId="8904"/>
    <cellStyle name="20% - Accent5 4 6 2" xfId="8905"/>
    <cellStyle name="20% - Accent5 4 6 2 2" xfId="8906"/>
    <cellStyle name="20% - Accent5 4 6 2 3" xfId="8907"/>
    <cellStyle name="20% - Accent5 4 6 2 4" xfId="8908"/>
    <cellStyle name="20% - Accent5 4 6 2 5" xfId="8909"/>
    <cellStyle name="20% - Accent5 4 6 2 6" xfId="8910"/>
    <cellStyle name="20% - Accent5 4 6 2 7" xfId="8911"/>
    <cellStyle name="20% - Accent5 4 6 3" xfId="8912"/>
    <cellStyle name="20% - Accent5 4 6 3 2" xfId="8913"/>
    <cellStyle name="20% - Accent5 4 6 3 3" xfId="8914"/>
    <cellStyle name="20% - Accent5 4 6 3 4" xfId="8915"/>
    <cellStyle name="20% - Accent5 4 6 3 5" xfId="8916"/>
    <cellStyle name="20% - Accent5 4 6 3 6" xfId="8917"/>
    <cellStyle name="20% - Accent5 4 6 4" xfId="8918"/>
    <cellStyle name="20% - Accent5 4 6 5" xfId="8919"/>
    <cellStyle name="20% - Accent5 4 6 6" xfId="8920"/>
    <cellStyle name="20% - Accent5 4 6 7" xfId="8921"/>
    <cellStyle name="20% - Accent5 4 6 8" xfId="8922"/>
    <cellStyle name="20% - Accent5 4 6 9" xfId="8923"/>
    <cellStyle name="20% - Accent5 4 7" xfId="8924"/>
    <cellStyle name="20% - Accent5 4 7 2" xfId="8925"/>
    <cellStyle name="20% - Accent5 4 7 2 2" xfId="8926"/>
    <cellStyle name="20% - Accent5 4 7 2 3" xfId="8927"/>
    <cellStyle name="20% - Accent5 4 7 2 4" xfId="8928"/>
    <cellStyle name="20% - Accent5 4 7 2 5" xfId="8929"/>
    <cellStyle name="20% - Accent5 4 7 2 6" xfId="8930"/>
    <cellStyle name="20% - Accent5 4 7 2 7" xfId="8931"/>
    <cellStyle name="20% - Accent5 4 7 3" xfId="8932"/>
    <cellStyle name="20% - Accent5 4 7 3 2" xfId="8933"/>
    <cellStyle name="20% - Accent5 4 7 3 3" xfId="8934"/>
    <cellStyle name="20% - Accent5 4 7 3 4" xfId="8935"/>
    <cellStyle name="20% - Accent5 4 7 3 5" xfId="8936"/>
    <cellStyle name="20% - Accent5 4 7 3 6" xfId="8937"/>
    <cellStyle name="20% - Accent5 4 7 4" xfId="8938"/>
    <cellStyle name="20% - Accent5 4 7 5" xfId="8939"/>
    <cellStyle name="20% - Accent5 4 7 6" xfId="8940"/>
    <cellStyle name="20% - Accent5 4 7 7" xfId="8941"/>
    <cellStyle name="20% - Accent5 4 7 8" xfId="8942"/>
    <cellStyle name="20% - Accent5 4 7 9" xfId="8943"/>
    <cellStyle name="20% - Accent5 4 8" xfId="8944"/>
    <cellStyle name="20% - Accent5 4 8 2" xfId="8945"/>
    <cellStyle name="20% - Accent5 4 8 2 2" xfId="8946"/>
    <cellStyle name="20% - Accent5 4 8 2 3" xfId="8947"/>
    <cellStyle name="20% - Accent5 4 8 2 4" xfId="8948"/>
    <cellStyle name="20% - Accent5 4 8 2 5" xfId="8949"/>
    <cellStyle name="20% - Accent5 4 8 2 6" xfId="8950"/>
    <cellStyle name="20% - Accent5 4 8 2 7" xfId="8951"/>
    <cellStyle name="20% - Accent5 4 8 3" xfId="8952"/>
    <cellStyle name="20% - Accent5 4 8 3 2" xfId="8953"/>
    <cellStyle name="20% - Accent5 4 8 3 3" xfId="8954"/>
    <cellStyle name="20% - Accent5 4 8 3 4" xfId="8955"/>
    <cellStyle name="20% - Accent5 4 8 3 5" xfId="8956"/>
    <cellStyle name="20% - Accent5 4 8 3 6" xfId="8957"/>
    <cellStyle name="20% - Accent5 4 8 4" xfId="8958"/>
    <cellStyle name="20% - Accent5 4 8 5" xfId="8959"/>
    <cellStyle name="20% - Accent5 4 8 6" xfId="8960"/>
    <cellStyle name="20% - Accent5 4 8 7" xfId="8961"/>
    <cellStyle name="20% - Accent5 4 8 8" xfId="8962"/>
    <cellStyle name="20% - Accent5 4 8 9" xfId="8963"/>
    <cellStyle name="20% - Accent5 4 9" xfId="8964"/>
    <cellStyle name="20% - Accent5 4 9 2" xfId="8965"/>
    <cellStyle name="20% - Accent5 4 9 2 2" xfId="8966"/>
    <cellStyle name="20% - Accent5 4 9 2 3" xfId="8967"/>
    <cellStyle name="20% - Accent5 4 9 2 4" xfId="8968"/>
    <cellStyle name="20% - Accent5 4 9 2 5" xfId="8969"/>
    <cellStyle name="20% - Accent5 4 9 2 6" xfId="8970"/>
    <cellStyle name="20% - Accent5 4 9 3" xfId="8971"/>
    <cellStyle name="20% - Accent5 4 9 4" xfId="8972"/>
    <cellStyle name="20% - Accent5 4 9 5" xfId="8973"/>
    <cellStyle name="20% - Accent5 4 9 6" xfId="8974"/>
    <cellStyle name="20% - Accent5 4 9 7" xfId="8975"/>
    <cellStyle name="20% - Accent5 4 9 8" xfId="8976"/>
    <cellStyle name="20% - Accent5 5" xfId="8977"/>
    <cellStyle name="20% - Accent5 5 10" xfId="8978"/>
    <cellStyle name="20% - Accent5 5 10 2" xfId="8979"/>
    <cellStyle name="20% - Accent5 5 10 3" xfId="8980"/>
    <cellStyle name="20% - Accent5 5 10 4" xfId="8981"/>
    <cellStyle name="20% - Accent5 5 10 5" xfId="8982"/>
    <cellStyle name="20% - Accent5 5 10 6" xfId="8983"/>
    <cellStyle name="20% - Accent5 5 10 7" xfId="8984"/>
    <cellStyle name="20% - Accent5 5 11" xfId="8985"/>
    <cellStyle name="20% - Accent5 5 11 2" xfId="8986"/>
    <cellStyle name="20% - Accent5 5 11 3" xfId="8987"/>
    <cellStyle name="20% - Accent5 5 11 4" xfId="8988"/>
    <cellStyle name="20% - Accent5 5 11 5" xfId="8989"/>
    <cellStyle name="20% - Accent5 5 11 6" xfId="8990"/>
    <cellStyle name="20% - Accent5 5 12" xfId="8991"/>
    <cellStyle name="20% - Accent5 5 12 2" xfId="8992"/>
    <cellStyle name="20% - Accent5 5 13" xfId="8993"/>
    <cellStyle name="20% - Accent5 5 14" xfId="8994"/>
    <cellStyle name="20% - Accent5 5 15" xfId="8995"/>
    <cellStyle name="20% - Accent5 5 16" xfId="8996"/>
    <cellStyle name="20% - Accent5 5 17" xfId="8997"/>
    <cellStyle name="20% - Accent5 5 2" xfId="8998"/>
    <cellStyle name="20% - Accent5 5 2 2" xfId="8999"/>
    <cellStyle name="20% - Accent5 5 2 2 2" xfId="9000"/>
    <cellStyle name="20% - Accent5 5 2 2 3" xfId="9001"/>
    <cellStyle name="20% - Accent5 5 2 2 4" xfId="9002"/>
    <cellStyle name="20% - Accent5 5 2 2 5" xfId="9003"/>
    <cellStyle name="20% - Accent5 5 2 2 6" xfId="9004"/>
    <cellStyle name="20% - Accent5 5 2 2 7" xfId="9005"/>
    <cellStyle name="20% - Accent5 5 2 3" xfId="9006"/>
    <cellStyle name="20% - Accent5 5 2 3 2" xfId="9007"/>
    <cellStyle name="20% - Accent5 5 2 3 3" xfId="9008"/>
    <cellStyle name="20% - Accent5 5 2 3 4" xfId="9009"/>
    <cellStyle name="20% - Accent5 5 2 3 5" xfId="9010"/>
    <cellStyle name="20% - Accent5 5 2 3 6" xfId="9011"/>
    <cellStyle name="20% - Accent5 5 2 4" xfId="9012"/>
    <cellStyle name="20% - Accent5 5 2 4 2" xfId="9013"/>
    <cellStyle name="20% - Accent5 5 2 5" xfId="9014"/>
    <cellStyle name="20% - Accent5 5 2 6" xfId="9015"/>
    <cellStyle name="20% - Accent5 5 2 7" xfId="9016"/>
    <cellStyle name="20% - Accent5 5 2 8" xfId="9017"/>
    <cellStyle name="20% - Accent5 5 2 9" xfId="9018"/>
    <cellStyle name="20% - Accent5 5 3" xfId="9019"/>
    <cellStyle name="20% - Accent5 5 3 2" xfId="9020"/>
    <cellStyle name="20% - Accent5 5 3 2 2" xfId="9021"/>
    <cellStyle name="20% - Accent5 5 3 2 3" xfId="9022"/>
    <cellStyle name="20% - Accent5 5 3 2 4" xfId="9023"/>
    <cellStyle name="20% - Accent5 5 3 2 5" xfId="9024"/>
    <cellStyle name="20% - Accent5 5 3 2 6" xfId="9025"/>
    <cellStyle name="20% - Accent5 5 3 2 7" xfId="9026"/>
    <cellStyle name="20% - Accent5 5 3 3" xfId="9027"/>
    <cellStyle name="20% - Accent5 5 3 3 2" xfId="9028"/>
    <cellStyle name="20% - Accent5 5 3 3 3" xfId="9029"/>
    <cellStyle name="20% - Accent5 5 3 3 4" xfId="9030"/>
    <cellStyle name="20% - Accent5 5 3 3 5" xfId="9031"/>
    <cellStyle name="20% - Accent5 5 3 3 6" xfId="9032"/>
    <cellStyle name="20% - Accent5 5 3 4" xfId="9033"/>
    <cellStyle name="20% - Accent5 5 3 4 2" xfId="9034"/>
    <cellStyle name="20% - Accent5 5 3 5" xfId="9035"/>
    <cellStyle name="20% - Accent5 5 3 6" xfId="9036"/>
    <cellStyle name="20% - Accent5 5 3 7" xfId="9037"/>
    <cellStyle name="20% - Accent5 5 3 8" xfId="9038"/>
    <cellStyle name="20% - Accent5 5 3 9" xfId="9039"/>
    <cellStyle name="20% - Accent5 5 4" xfId="9040"/>
    <cellStyle name="20% - Accent5 5 4 2" xfId="9041"/>
    <cellStyle name="20% - Accent5 5 4 2 2" xfId="9042"/>
    <cellStyle name="20% - Accent5 5 4 2 3" xfId="9043"/>
    <cellStyle name="20% - Accent5 5 4 2 4" xfId="9044"/>
    <cellStyle name="20% - Accent5 5 4 2 5" xfId="9045"/>
    <cellStyle name="20% - Accent5 5 4 2 6" xfId="9046"/>
    <cellStyle name="20% - Accent5 5 4 2 7" xfId="9047"/>
    <cellStyle name="20% - Accent5 5 4 3" xfId="9048"/>
    <cellStyle name="20% - Accent5 5 4 3 2" xfId="9049"/>
    <cellStyle name="20% - Accent5 5 4 3 3" xfId="9050"/>
    <cellStyle name="20% - Accent5 5 4 3 4" xfId="9051"/>
    <cellStyle name="20% - Accent5 5 4 3 5" xfId="9052"/>
    <cellStyle name="20% - Accent5 5 4 3 6" xfId="9053"/>
    <cellStyle name="20% - Accent5 5 4 4" xfId="9054"/>
    <cellStyle name="20% - Accent5 5 4 5" xfId="9055"/>
    <cellStyle name="20% - Accent5 5 4 6" xfId="9056"/>
    <cellStyle name="20% - Accent5 5 4 7" xfId="9057"/>
    <cellStyle name="20% - Accent5 5 4 8" xfId="9058"/>
    <cellStyle name="20% - Accent5 5 4 9" xfId="9059"/>
    <cellStyle name="20% - Accent5 5 5" xfId="9060"/>
    <cellStyle name="20% - Accent5 5 5 2" xfId="9061"/>
    <cellStyle name="20% - Accent5 5 5 2 2" xfId="9062"/>
    <cellStyle name="20% - Accent5 5 5 2 3" xfId="9063"/>
    <cellStyle name="20% - Accent5 5 5 2 4" xfId="9064"/>
    <cellStyle name="20% - Accent5 5 5 2 5" xfId="9065"/>
    <cellStyle name="20% - Accent5 5 5 2 6" xfId="9066"/>
    <cellStyle name="20% - Accent5 5 5 2 7" xfId="9067"/>
    <cellStyle name="20% - Accent5 5 5 3" xfId="9068"/>
    <cellStyle name="20% - Accent5 5 5 3 2" xfId="9069"/>
    <cellStyle name="20% - Accent5 5 5 3 3" xfId="9070"/>
    <cellStyle name="20% - Accent5 5 5 3 4" xfId="9071"/>
    <cellStyle name="20% - Accent5 5 5 3 5" xfId="9072"/>
    <cellStyle name="20% - Accent5 5 5 3 6" xfId="9073"/>
    <cellStyle name="20% - Accent5 5 5 4" xfId="9074"/>
    <cellStyle name="20% - Accent5 5 5 5" xfId="9075"/>
    <cellStyle name="20% - Accent5 5 5 6" xfId="9076"/>
    <cellStyle name="20% - Accent5 5 5 7" xfId="9077"/>
    <cellStyle name="20% - Accent5 5 5 8" xfId="9078"/>
    <cellStyle name="20% - Accent5 5 5 9" xfId="9079"/>
    <cellStyle name="20% - Accent5 5 6" xfId="9080"/>
    <cellStyle name="20% - Accent5 5 6 2" xfId="9081"/>
    <cellStyle name="20% - Accent5 5 6 2 2" xfId="9082"/>
    <cellStyle name="20% - Accent5 5 6 2 3" xfId="9083"/>
    <cellStyle name="20% - Accent5 5 6 2 4" xfId="9084"/>
    <cellStyle name="20% - Accent5 5 6 2 5" xfId="9085"/>
    <cellStyle name="20% - Accent5 5 6 2 6" xfId="9086"/>
    <cellStyle name="20% - Accent5 5 6 2 7" xfId="9087"/>
    <cellStyle name="20% - Accent5 5 6 3" xfId="9088"/>
    <cellStyle name="20% - Accent5 5 6 3 2" xfId="9089"/>
    <cellStyle name="20% - Accent5 5 6 3 3" xfId="9090"/>
    <cellStyle name="20% - Accent5 5 6 3 4" xfId="9091"/>
    <cellStyle name="20% - Accent5 5 6 3 5" xfId="9092"/>
    <cellStyle name="20% - Accent5 5 6 3 6" xfId="9093"/>
    <cellStyle name="20% - Accent5 5 6 4" xfId="9094"/>
    <cellStyle name="20% - Accent5 5 6 5" xfId="9095"/>
    <cellStyle name="20% - Accent5 5 6 6" xfId="9096"/>
    <cellStyle name="20% - Accent5 5 6 7" xfId="9097"/>
    <cellStyle name="20% - Accent5 5 6 8" xfId="9098"/>
    <cellStyle name="20% - Accent5 5 6 9" xfId="9099"/>
    <cellStyle name="20% - Accent5 5 7" xfId="9100"/>
    <cellStyle name="20% - Accent5 5 7 2" xfId="9101"/>
    <cellStyle name="20% - Accent5 5 7 2 2" xfId="9102"/>
    <cellStyle name="20% - Accent5 5 7 2 3" xfId="9103"/>
    <cellStyle name="20% - Accent5 5 7 2 4" xfId="9104"/>
    <cellStyle name="20% - Accent5 5 7 2 5" xfId="9105"/>
    <cellStyle name="20% - Accent5 5 7 2 6" xfId="9106"/>
    <cellStyle name="20% - Accent5 5 7 2 7" xfId="9107"/>
    <cellStyle name="20% - Accent5 5 7 3" xfId="9108"/>
    <cellStyle name="20% - Accent5 5 7 3 2" xfId="9109"/>
    <cellStyle name="20% - Accent5 5 7 3 3" xfId="9110"/>
    <cellStyle name="20% - Accent5 5 7 3 4" xfId="9111"/>
    <cellStyle name="20% - Accent5 5 7 3 5" xfId="9112"/>
    <cellStyle name="20% - Accent5 5 7 3 6" xfId="9113"/>
    <cellStyle name="20% - Accent5 5 7 4" xfId="9114"/>
    <cellStyle name="20% - Accent5 5 7 5" xfId="9115"/>
    <cellStyle name="20% - Accent5 5 7 6" xfId="9116"/>
    <cellStyle name="20% - Accent5 5 7 7" xfId="9117"/>
    <cellStyle name="20% - Accent5 5 7 8" xfId="9118"/>
    <cellStyle name="20% - Accent5 5 7 9" xfId="9119"/>
    <cellStyle name="20% - Accent5 5 8" xfId="9120"/>
    <cellStyle name="20% - Accent5 5 8 2" xfId="9121"/>
    <cellStyle name="20% - Accent5 5 8 2 2" xfId="9122"/>
    <cellStyle name="20% - Accent5 5 8 2 3" xfId="9123"/>
    <cellStyle name="20% - Accent5 5 8 2 4" xfId="9124"/>
    <cellStyle name="20% - Accent5 5 8 2 5" xfId="9125"/>
    <cellStyle name="20% - Accent5 5 8 2 6" xfId="9126"/>
    <cellStyle name="20% - Accent5 5 8 2 7" xfId="9127"/>
    <cellStyle name="20% - Accent5 5 8 3" xfId="9128"/>
    <cellStyle name="20% - Accent5 5 8 3 2" xfId="9129"/>
    <cellStyle name="20% - Accent5 5 8 3 3" xfId="9130"/>
    <cellStyle name="20% - Accent5 5 8 3 4" xfId="9131"/>
    <cellStyle name="20% - Accent5 5 8 3 5" xfId="9132"/>
    <cellStyle name="20% - Accent5 5 8 3 6" xfId="9133"/>
    <cellStyle name="20% - Accent5 5 8 4" xfId="9134"/>
    <cellStyle name="20% - Accent5 5 8 5" xfId="9135"/>
    <cellStyle name="20% - Accent5 5 8 6" xfId="9136"/>
    <cellStyle name="20% - Accent5 5 8 7" xfId="9137"/>
    <cellStyle name="20% - Accent5 5 8 8" xfId="9138"/>
    <cellStyle name="20% - Accent5 5 8 9" xfId="9139"/>
    <cellStyle name="20% - Accent5 5 9" xfId="9140"/>
    <cellStyle name="20% - Accent5 5 9 2" xfId="9141"/>
    <cellStyle name="20% - Accent5 5 9 2 2" xfId="9142"/>
    <cellStyle name="20% - Accent5 5 9 2 3" xfId="9143"/>
    <cellStyle name="20% - Accent5 5 9 2 4" xfId="9144"/>
    <cellStyle name="20% - Accent5 5 9 2 5" xfId="9145"/>
    <cellStyle name="20% - Accent5 5 9 2 6" xfId="9146"/>
    <cellStyle name="20% - Accent5 5 9 3" xfId="9147"/>
    <cellStyle name="20% - Accent5 5 9 4" xfId="9148"/>
    <cellStyle name="20% - Accent5 5 9 5" xfId="9149"/>
    <cellStyle name="20% - Accent5 5 9 6" xfId="9150"/>
    <cellStyle name="20% - Accent5 5 9 7" xfId="9151"/>
    <cellStyle name="20% - Accent5 5 9 8" xfId="9152"/>
    <cellStyle name="20% - Accent5 6" xfId="9153"/>
    <cellStyle name="20% - Accent5 6 10" xfId="9154"/>
    <cellStyle name="20% - Accent5 6 10 2" xfId="9155"/>
    <cellStyle name="20% - Accent5 6 10 3" xfId="9156"/>
    <cellStyle name="20% - Accent5 6 10 4" xfId="9157"/>
    <cellStyle name="20% - Accent5 6 10 5" xfId="9158"/>
    <cellStyle name="20% - Accent5 6 10 6" xfId="9159"/>
    <cellStyle name="20% - Accent5 6 10 7" xfId="9160"/>
    <cellStyle name="20% - Accent5 6 11" xfId="9161"/>
    <cellStyle name="20% - Accent5 6 11 2" xfId="9162"/>
    <cellStyle name="20% - Accent5 6 11 3" xfId="9163"/>
    <cellStyle name="20% - Accent5 6 11 4" xfId="9164"/>
    <cellStyle name="20% - Accent5 6 11 5" xfId="9165"/>
    <cellStyle name="20% - Accent5 6 11 6" xfId="9166"/>
    <cellStyle name="20% - Accent5 6 12" xfId="9167"/>
    <cellStyle name="20% - Accent5 6 12 2" xfId="9168"/>
    <cellStyle name="20% - Accent5 6 13" xfId="9169"/>
    <cellStyle name="20% - Accent5 6 14" xfId="9170"/>
    <cellStyle name="20% - Accent5 6 15" xfId="9171"/>
    <cellStyle name="20% - Accent5 6 16" xfId="9172"/>
    <cellStyle name="20% - Accent5 6 17" xfId="9173"/>
    <cellStyle name="20% - Accent5 6 2" xfId="9174"/>
    <cellStyle name="20% - Accent5 6 2 2" xfId="9175"/>
    <cellStyle name="20% - Accent5 6 2 2 2" xfId="9176"/>
    <cellStyle name="20% - Accent5 6 2 2 3" xfId="9177"/>
    <cellStyle name="20% - Accent5 6 2 2 4" xfId="9178"/>
    <cellStyle name="20% - Accent5 6 2 2 5" xfId="9179"/>
    <cellStyle name="20% - Accent5 6 2 2 6" xfId="9180"/>
    <cellStyle name="20% - Accent5 6 2 2 7" xfId="9181"/>
    <cellStyle name="20% - Accent5 6 2 3" xfId="9182"/>
    <cellStyle name="20% - Accent5 6 2 3 2" xfId="9183"/>
    <cellStyle name="20% - Accent5 6 2 3 3" xfId="9184"/>
    <cellStyle name="20% - Accent5 6 2 3 4" xfId="9185"/>
    <cellStyle name="20% - Accent5 6 2 3 5" xfId="9186"/>
    <cellStyle name="20% - Accent5 6 2 3 6" xfId="9187"/>
    <cellStyle name="20% - Accent5 6 2 4" xfId="9188"/>
    <cellStyle name="20% - Accent5 6 2 4 2" xfId="9189"/>
    <cellStyle name="20% - Accent5 6 2 5" xfId="9190"/>
    <cellStyle name="20% - Accent5 6 2 6" xfId="9191"/>
    <cellStyle name="20% - Accent5 6 2 7" xfId="9192"/>
    <cellStyle name="20% - Accent5 6 2 8" xfId="9193"/>
    <cellStyle name="20% - Accent5 6 2 9" xfId="9194"/>
    <cellStyle name="20% - Accent5 6 3" xfId="9195"/>
    <cellStyle name="20% - Accent5 6 3 2" xfId="9196"/>
    <cellStyle name="20% - Accent5 6 3 2 2" xfId="9197"/>
    <cellStyle name="20% - Accent5 6 3 2 3" xfId="9198"/>
    <cellStyle name="20% - Accent5 6 3 2 4" xfId="9199"/>
    <cellStyle name="20% - Accent5 6 3 2 5" xfId="9200"/>
    <cellStyle name="20% - Accent5 6 3 2 6" xfId="9201"/>
    <cellStyle name="20% - Accent5 6 3 2 7" xfId="9202"/>
    <cellStyle name="20% - Accent5 6 3 3" xfId="9203"/>
    <cellStyle name="20% - Accent5 6 3 3 2" xfId="9204"/>
    <cellStyle name="20% - Accent5 6 3 3 3" xfId="9205"/>
    <cellStyle name="20% - Accent5 6 3 3 4" xfId="9206"/>
    <cellStyle name="20% - Accent5 6 3 3 5" xfId="9207"/>
    <cellStyle name="20% - Accent5 6 3 3 6" xfId="9208"/>
    <cellStyle name="20% - Accent5 6 3 4" xfId="9209"/>
    <cellStyle name="20% - Accent5 6 3 4 2" xfId="9210"/>
    <cellStyle name="20% - Accent5 6 3 5" xfId="9211"/>
    <cellStyle name="20% - Accent5 6 3 6" xfId="9212"/>
    <cellStyle name="20% - Accent5 6 3 7" xfId="9213"/>
    <cellStyle name="20% - Accent5 6 3 8" xfId="9214"/>
    <cellStyle name="20% - Accent5 6 3 9" xfId="9215"/>
    <cellStyle name="20% - Accent5 6 4" xfId="9216"/>
    <cellStyle name="20% - Accent5 6 4 2" xfId="9217"/>
    <cellStyle name="20% - Accent5 6 4 2 2" xfId="9218"/>
    <cellStyle name="20% - Accent5 6 4 2 3" xfId="9219"/>
    <cellStyle name="20% - Accent5 6 4 2 4" xfId="9220"/>
    <cellStyle name="20% - Accent5 6 4 2 5" xfId="9221"/>
    <cellStyle name="20% - Accent5 6 4 2 6" xfId="9222"/>
    <cellStyle name="20% - Accent5 6 4 2 7" xfId="9223"/>
    <cellStyle name="20% - Accent5 6 4 3" xfId="9224"/>
    <cellStyle name="20% - Accent5 6 4 3 2" xfId="9225"/>
    <cellStyle name="20% - Accent5 6 4 3 3" xfId="9226"/>
    <cellStyle name="20% - Accent5 6 4 3 4" xfId="9227"/>
    <cellStyle name="20% - Accent5 6 4 3 5" xfId="9228"/>
    <cellStyle name="20% - Accent5 6 4 3 6" xfId="9229"/>
    <cellStyle name="20% - Accent5 6 4 4" xfId="9230"/>
    <cellStyle name="20% - Accent5 6 4 5" xfId="9231"/>
    <cellStyle name="20% - Accent5 6 4 6" xfId="9232"/>
    <cellStyle name="20% - Accent5 6 4 7" xfId="9233"/>
    <cellStyle name="20% - Accent5 6 4 8" xfId="9234"/>
    <cellStyle name="20% - Accent5 6 4 9" xfId="9235"/>
    <cellStyle name="20% - Accent5 6 5" xfId="9236"/>
    <cellStyle name="20% - Accent5 6 5 2" xfId="9237"/>
    <cellStyle name="20% - Accent5 6 5 2 2" xfId="9238"/>
    <cellStyle name="20% - Accent5 6 5 2 3" xfId="9239"/>
    <cellStyle name="20% - Accent5 6 5 2 4" xfId="9240"/>
    <cellStyle name="20% - Accent5 6 5 2 5" xfId="9241"/>
    <cellStyle name="20% - Accent5 6 5 2 6" xfId="9242"/>
    <cellStyle name="20% - Accent5 6 5 2 7" xfId="9243"/>
    <cellStyle name="20% - Accent5 6 5 3" xfId="9244"/>
    <cellStyle name="20% - Accent5 6 5 3 2" xfId="9245"/>
    <cellStyle name="20% - Accent5 6 5 3 3" xfId="9246"/>
    <cellStyle name="20% - Accent5 6 5 3 4" xfId="9247"/>
    <cellStyle name="20% - Accent5 6 5 3 5" xfId="9248"/>
    <cellStyle name="20% - Accent5 6 5 3 6" xfId="9249"/>
    <cellStyle name="20% - Accent5 6 5 4" xfId="9250"/>
    <cellStyle name="20% - Accent5 6 5 5" xfId="9251"/>
    <cellStyle name="20% - Accent5 6 5 6" xfId="9252"/>
    <cellStyle name="20% - Accent5 6 5 7" xfId="9253"/>
    <cellStyle name="20% - Accent5 6 5 8" xfId="9254"/>
    <cellStyle name="20% - Accent5 6 5 9" xfId="9255"/>
    <cellStyle name="20% - Accent5 6 6" xfId="9256"/>
    <cellStyle name="20% - Accent5 6 6 2" xfId="9257"/>
    <cellStyle name="20% - Accent5 6 6 2 2" xfId="9258"/>
    <cellStyle name="20% - Accent5 6 6 2 3" xfId="9259"/>
    <cellStyle name="20% - Accent5 6 6 2 4" xfId="9260"/>
    <cellStyle name="20% - Accent5 6 6 2 5" xfId="9261"/>
    <cellStyle name="20% - Accent5 6 6 2 6" xfId="9262"/>
    <cellStyle name="20% - Accent5 6 6 2 7" xfId="9263"/>
    <cellStyle name="20% - Accent5 6 6 3" xfId="9264"/>
    <cellStyle name="20% - Accent5 6 6 3 2" xfId="9265"/>
    <cellStyle name="20% - Accent5 6 6 3 3" xfId="9266"/>
    <cellStyle name="20% - Accent5 6 6 3 4" xfId="9267"/>
    <cellStyle name="20% - Accent5 6 6 3 5" xfId="9268"/>
    <cellStyle name="20% - Accent5 6 6 3 6" xfId="9269"/>
    <cellStyle name="20% - Accent5 6 6 4" xfId="9270"/>
    <cellStyle name="20% - Accent5 6 6 5" xfId="9271"/>
    <cellStyle name="20% - Accent5 6 6 6" xfId="9272"/>
    <cellStyle name="20% - Accent5 6 6 7" xfId="9273"/>
    <cellStyle name="20% - Accent5 6 6 8" xfId="9274"/>
    <cellStyle name="20% - Accent5 6 6 9" xfId="9275"/>
    <cellStyle name="20% - Accent5 6 7" xfId="9276"/>
    <cellStyle name="20% - Accent5 6 7 2" xfId="9277"/>
    <cellStyle name="20% - Accent5 6 7 2 2" xfId="9278"/>
    <cellStyle name="20% - Accent5 6 7 2 3" xfId="9279"/>
    <cellStyle name="20% - Accent5 6 7 2 4" xfId="9280"/>
    <cellStyle name="20% - Accent5 6 7 2 5" xfId="9281"/>
    <cellStyle name="20% - Accent5 6 7 2 6" xfId="9282"/>
    <cellStyle name="20% - Accent5 6 7 2 7" xfId="9283"/>
    <cellStyle name="20% - Accent5 6 7 3" xfId="9284"/>
    <cellStyle name="20% - Accent5 6 7 3 2" xfId="9285"/>
    <cellStyle name="20% - Accent5 6 7 3 3" xfId="9286"/>
    <cellStyle name="20% - Accent5 6 7 3 4" xfId="9287"/>
    <cellStyle name="20% - Accent5 6 7 3 5" xfId="9288"/>
    <cellStyle name="20% - Accent5 6 7 3 6" xfId="9289"/>
    <cellStyle name="20% - Accent5 6 7 4" xfId="9290"/>
    <cellStyle name="20% - Accent5 6 7 5" xfId="9291"/>
    <cellStyle name="20% - Accent5 6 7 6" xfId="9292"/>
    <cellStyle name="20% - Accent5 6 7 7" xfId="9293"/>
    <cellStyle name="20% - Accent5 6 7 8" xfId="9294"/>
    <cellStyle name="20% - Accent5 6 7 9" xfId="9295"/>
    <cellStyle name="20% - Accent5 6 8" xfId="9296"/>
    <cellStyle name="20% - Accent5 6 8 2" xfId="9297"/>
    <cellStyle name="20% - Accent5 6 8 2 2" xfId="9298"/>
    <cellStyle name="20% - Accent5 6 8 2 3" xfId="9299"/>
    <cellStyle name="20% - Accent5 6 8 2 4" xfId="9300"/>
    <cellStyle name="20% - Accent5 6 8 2 5" xfId="9301"/>
    <cellStyle name="20% - Accent5 6 8 2 6" xfId="9302"/>
    <cellStyle name="20% - Accent5 6 8 2 7" xfId="9303"/>
    <cellStyle name="20% - Accent5 6 8 3" xfId="9304"/>
    <cellStyle name="20% - Accent5 6 8 3 2" xfId="9305"/>
    <cellStyle name="20% - Accent5 6 8 3 3" xfId="9306"/>
    <cellStyle name="20% - Accent5 6 8 3 4" xfId="9307"/>
    <cellStyle name="20% - Accent5 6 8 3 5" xfId="9308"/>
    <cellStyle name="20% - Accent5 6 8 3 6" xfId="9309"/>
    <cellStyle name="20% - Accent5 6 8 4" xfId="9310"/>
    <cellStyle name="20% - Accent5 6 8 5" xfId="9311"/>
    <cellStyle name="20% - Accent5 6 8 6" xfId="9312"/>
    <cellStyle name="20% - Accent5 6 8 7" xfId="9313"/>
    <cellStyle name="20% - Accent5 6 8 8" xfId="9314"/>
    <cellStyle name="20% - Accent5 6 8 9" xfId="9315"/>
    <cellStyle name="20% - Accent5 6 9" xfId="9316"/>
    <cellStyle name="20% - Accent5 6 9 2" xfId="9317"/>
    <cellStyle name="20% - Accent5 6 9 2 2" xfId="9318"/>
    <cellStyle name="20% - Accent5 6 9 2 3" xfId="9319"/>
    <cellStyle name="20% - Accent5 6 9 2 4" xfId="9320"/>
    <cellStyle name="20% - Accent5 6 9 2 5" xfId="9321"/>
    <cellStyle name="20% - Accent5 6 9 2 6" xfId="9322"/>
    <cellStyle name="20% - Accent5 6 9 3" xfId="9323"/>
    <cellStyle name="20% - Accent5 6 9 4" xfId="9324"/>
    <cellStyle name="20% - Accent5 6 9 5" xfId="9325"/>
    <cellStyle name="20% - Accent5 6 9 6" xfId="9326"/>
    <cellStyle name="20% - Accent5 6 9 7" xfId="9327"/>
    <cellStyle name="20% - Accent5 6 9 8" xfId="9328"/>
    <cellStyle name="20% - Accent5 7" xfId="9329"/>
    <cellStyle name="20% - Accent5 7 10" xfId="9330"/>
    <cellStyle name="20% - Accent5 7 10 2" xfId="9331"/>
    <cellStyle name="20% - Accent5 7 10 3" xfId="9332"/>
    <cellStyle name="20% - Accent5 7 10 4" xfId="9333"/>
    <cellStyle name="20% - Accent5 7 10 5" xfId="9334"/>
    <cellStyle name="20% - Accent5 7 10 6" xfId="9335"/>
    <cellStyle name="20% - Accent5 7 10 7" xfId="9336"/>
    <cellStyle name="20% - Accent5 7 11" xfId="9337"/>
    <cellStyle name="20% - Accent5 7 11 2" xfId="9338"/>
    <cellStyle name="20% - Accent5 7 11 3" xfId="9339"/>
    <cellStyle name="20% - Accent5 7 11 4" xfId="9340"/>
    <cellStyle name="20% - Accent5 7 11 5" xfId="9341"/>
    <cellStyle name="20% - Accent5 7 11 6" xfId="9342"/>
    <cellStyle name="20% - Accent5 7 12" xfId="9343"/>
    <cellStyle name="20% - Accent5 7 12 2" xfId="9344"/>
    <cellStyle name="20% - Accent5 7 13" xfId="9345"/>
    <cellStyle name="20% - Accent5 7 14" xfId="9346"/>
    <cellStyle name="20% - Accent5 7 15" xfId="9347"/>
    <cellStyle name="20% - Accent5 7 16" xfId="9348"/>
    <cellStyle name="20% - Accent5 7 17" xfId="9349"/>
    <cellStyle name="20% - Accent5 7 2" xfId="9350"/>
    <cellStyle name="20% - Accent5 7 2 2" xfId="9351"/>
    <cellStyle name="20% - Accent5 7 2 2 2" xfId="9352"/>
    <cellStyle name="20% - Accent5 7 2 2 3" xfId="9353"/>
    <cellStyle name="20% - Accent5 7 2 2 4" xfId="9354"/>
    <cellStyle name="20% - Accent5 7 2 2 5" xfId="9355"/>
    <cellStyle name="20% - Accent5 7 2 2 6" xfId="9356"/>
    <cellStyle name="20% - Accent5 7 2 2 7" xfId="9357"/>
    <cellStyle name="20% - Accent5 7 2 3" xfId="9358"/>
    <cellStyle name="20% - Accent5 7 2 3 2" xfId="9359"/>
    <cellStyle name="20% - Accent5 7 2 3 3" xfId="9360"/>
    <cellStyle name="20% - Accent5 7 2 3 4" xfId="9361"/>
    <cellStyle name="20% - Accent5 7 2 3 5" xfId="9362"/>
    <cellStyle name="20% - Accent5 7 2 3 6" xfId="9363"/>
    <cellStyle name="20% - Accent5 7 2 4" xfId="9364"/>
    <cellStyle name="20% - Accent5 7 2 4 2" xfId="9365"/>
    <cellStyle name="20% - Accent5 7 2 5" xfId="9366"/>
    <cellStyle name="20% - Accent5 7 2 6" xfId="9367"/>
    <cellStyle name="20% - Accent5 7 2 7" xfId="9368"/>
    <cellStyle name="20% - Accent5 7 2 8" xfId="9369"/>
    <cellStyle name="20% - Accent5 7 2 9" xfId="9370"/>
    <cellStyle name="20% - Accent5 7 3" xfId="9371"/>
    <cellStyle name="20% - Accent5 7 3 2" xfId="9372"/>
    <cellStyle name="20% - Accent5 7 3 2 2" xfId="9373"/>
    <cellStyle name="20% - Accent5 7 3 2 3" xfId="9374"/>
    <cellStyle name="20% - Accent5 7 3 2 4" xfId="9375"/>
    <cellStyle name="20% - Accent5 7 3 2 5" xfId="9376"/>
    <cellStyle name="20% - Accent5 7 3 2 6" xfId="9377"/>
    <cellStyle name="20% - Accent5 7 3 2 7" xfId="9378"/>
    <cellStyle name="20% - Accent5 7 3 3" xfId="9379"/>
    <cellStyle name="20% - Accent5 7 3 3 2" xfId="9380"/>
    <cellStyle name="20% - Accent5 7 3 3 3" xfId="9381"/>
    <cellStyle name="20% - Accent5 7 3 3 4" xfId="9382"/>
    <cellStyle name="20% - Accent5 7 3 3 5" xfId="9383"/>
    <cellStyle name="20% - Accent5 7 3 3 6" xfId="9384"/>
    <cellStyle name="20% - Accent5 7 3 4" xfId="9385"/>
    <cellStyle name="20% - Accent5 7 3 4 2" xfId="9386"/>
    <cellStyle name="20% - Accent5 7 3 5" xfId="9387"/>
    <cellStyle name="20% - Accent5 7 3 6" xfId="9388"/>
    <cellStyle name="20% - Accent5 7 3 7" xfId="9389"/>
    <cellStyle name="20% - Accent5 7 3 8" xfId="9390"/>
    <cellStyle name="20% - Accent5 7 3 9" xfId="9391"/>
    <cellStyle name="20% - Accent5 7 4" xfId="9392"/>
    <cellStyle name="20% - Accent5 7 4 2" xfId="9393"/>
    <cellStyle name="20% - Accent5 7 4 2 2" xfId="9394"/>
    <cellStyle name="20% - Accent5 7 4 2 3" xfId="9395"/>
    <cellStyle name="20% - Accent5 7 4 2 4" xfId="9396"/>
    <cellStyle name="20% - Accent5 7 4 2 5" xfId="9397"/>
    <cellStyle name="20% - Accent5 7 4 2 6" xfId="9398"/>
    <cellStyle name="20% - Accent5 7 4 2 7" xfId="9399"/>
    <cellStyle name="20% - Accent5 7 4 3" xfId="9400"/>
    <cellStyle name="20% - Accent5 7 4 3 2" xfId="9401"/>
    <cellStyle name="20% - Accent5 7 4 3 3" xfId="9402"/>
    <cellStyle name="20% - Accent5 7 4 3 4" xfId="9403"/>
    <cellStyle name="20% - Accent5 7 4 3 5" xfId="9404"/>
    <cellStyle name="20% - Accent5 7 4 3 6" xfId="9405"/>
    <cellStyle name="20% - Accent5 7 4 4" xfId="9406"/>
    <cellStyle name="20% - Accent5 7 4 5" xfId="9407"/>
    <cellStyle name="20% - Accent5 7 4 6" xfId="9408"/>
    <cellStyle name="20% - Accent5 7 4 7" xfId="9409"/>
    <cellStyle name="20% - Accent5 7 4 8" xfId="9410"/>
    <cellStyle name="20% - Accent5 7 4 9" xfId="9411"/>
    <cellStyle name="20% - Accent5 7 5" xfId="9412"/>
    <cellStyle name="20% - Accent5 7 5 2" xfId="9413"/>
    <cellStyle name="20% - Accent5 7 5 2 2" xfId="9414"/>
    <cellStyle name="20% - Accent5 7 5 2 3" xfId="9415"/>
    <cellStyle name="20% - Accent5 7 5 2 4" xfId="9416"/>
    <cellStyle name="20% - Accent5 7 5 2 5" xfId="9417"/>
    <cellStyle name="20% - Accent5 7 5 2 6" xfId="9418"/>
    <cellStyle name="20% - Accent5 7 5 2 7" xfId="9419"/>
    <cellStyle name="20% - Accent5 7 5 3" xfId="9420"/>
    <cellStyle name="20% - Accent5 7 5 3 2" xfId="9421"/>
    <cellStyle name="20% - Accent5 7 5 3 3" xfId="9422"/>
    <cellStyle name="20% - Accent5 7 5 3 4" xfId="9423"/>
    <cellStyle name="20% - Accent5 7 5 3 5" xfId="9424"/>
    <cellStyle name="20% - Accent5 7 5 3 6" xfId="9425"/>
    <cellStyle name="20% - Accent5 7 5 4" xfId="9426"/>
    <cellStyle name="20% - Accent5 7 5 5" xfId="9427"/>
    <cellStyle name="20% - Accent5 7 5 6" xfId="9428"/>
    <cellStyle name="20% - Accent5 7 5 7" xfId="9429"/>
    <cellStyle name="20% - Accent5 7 5 8" xfId="9430"/>
    <cellStyle name="20% - Accent5 7 5 9" xfId="9431"/>
    <cellStyle name="20% - Accent5 7 6" xfId="9432"/>
    <cellStyle name="20% - Accent5 7 6 2" xfId="9433"/>
    <cellStyle name="20% - Accent5 7 6 2 2" xfId="9434"/>
    <cellStyle name="20% - Accent5 7 6 2 3" xfId="9435"/>
    <cellStyle name="20% - Accent5 7 6 2 4" xfId="9436"/>
    <cellStyle name="20% - Accent5 7 6 2 5" xfId="9437"/>
    <cellStyle name="20% - Accent5 7 6 2 6" xfId="9438"/>
    <cellStyle name="20% - Accent5 7 6 2 7" xfId="9439"/>
    <cellStyle name="20% - Accent5 7 6 3" xfId="9440"/>
    <cellStyle name="20% - Accent5 7 6 3 2" xfId="9441"/>
    <cellStyle name="20% - Accent5 7 6 3 3" xfId="9442"/>
    <cellStyle name="20% - Accent5 7 6 3 4" xfId="9443"/>
    <cellStyle name="20% - Accent5 7 6 3 5" xfId="9444"/>
    <cellStyle name="20% - Accent5 7 6 3 6" xfId="9445"/>
    <cellStyle name="20% - Accent5 7 6 4" xfId="9446"/>
    <cellStyle name="20% - Accent5 7 6 5" xfId="9447"/>
    <cellStyle name="20% - Accent5 7 6 6" xfId="9448"/>
    <cellStyle name="20% - Accent5 7 6 7" xfId="9449"/>
    <cellStyle name="20% - Accent5 7 6 8" xfId="9450"/>
    <cellStyle name="20% - Accent5 7 6 9" xfId="9451"/>
    <cellStyle name="20% - Accent5 7 7" xfId="9452"/>
    <cellStyle name="20% - Accent5 7 7 2" xfId="9453"/>
    <cellStyle name="20% - Accent5 7 7 2 2" xfId="9454"/>
    <cellStyle name="20% - Accent5 7 7 2 3" xfId="9455"/>
    <cellStyle name="20% - Accent5 7 7 2 4" xfId="9456"/>
    <cellStyle name="20% - Accent5 7 7 2 5" xfId="9457"/>
    <cellStyle name="20% - Accent5 7 7 2 6" xfId="9458"/>
    <cellStyle name="20% - Accent5 7 7 2 7" xfId="9459"/>
    <cellStyle name="20% - Accent5 7 7 3" xfId="9460"/>
    <cellStyle name="20% - Accent5 7 7 3 2" xfId="9461"/>
    <cellStyle name="20% - Accent5 7 7 3 3" xfId="9462"/>
    <cellStyle name="20% - Accent5 7 7 3 4" xfId="9463"/>
    <cellStyle name="20% - Accent5 7 7 3 5" xfId="9464"/>
    <cellStyle name="20% - Accent5 7 7 3 6" xfId="9465"/>
    <cellStyle name="20% - Accent5 7 7 4" xfId="9466"/>
    <cellStyle name="20% - Accent5 7 7 5" xfId="9467"/>
    <cellStyle name="20% - Accent5 7 7 6" xfId="9468"/>
    <cellStyle name="20% - Accent5 7 7 7" xfId="9469"/>
    <cellStyle name="20% - Accent5 7 7 8" xfId="9470"/>
    <cellStyle name="20% - Accent5 7 7 9" xfId="9471"/>
    <cellStyle name="20% - Accent5 7 8" xfId="9472"/>
    <cellStyle name="20% - Accent5 7 8 2" xfId="9473"/>
    <cellStyle name="20% - Accent5 7 8 2 2" xfId="9474"/>
    <cellStyle name="20% - Accent5 7 8 2 3" xfId="9475"/>
    <cellStyle name="20% - Accent5 7 8 2 4" xfId="9476"/>
    <cellStyle name="20% - Accent5 7 8 2 5" xfId="9477"/>
    <cellStyle name="20% - Accent5 7 8 2 6" xfId="9478"/>
    <cellStyle name="20% - Accent5 7 8 2 7" xfId="9479"/>
    <cellStyle name="20% - Accent5 7 8 3" xfId="9480"/>
    <cellStyle name="20% - Accent5 7 8 3 2" xfId="9481"/>
    <cellStyle name="20% - Accent5 7 8 3 3" xfId="9482"/>
    <cellStyle name="20% - Accent5 7 8 3 4" xfId="9483"/>
    <cellStyle name="20% - Accent5 7 8 3 5" xfId="9484"/>
    <cellStyle name="20% - Accent5 7 8 3 6" xfId="9485"/>
    <cellStyle name="20% - Accent5 7 8 4" xfId="9486"/>
    <cellStyle name="20% - Accent5 7 8 5" xfId="9487"/>
    <cellStyle name="20% - Accent5 7 8 6" xfId="9488"/>
    <cellStyle name="20% - Accent5 7 8 7" xfId="9489"/>
    <cellStyle name="20% - Accent5 7 8 8" xfId="9490"/>
    <cellStyle name="20% - Accent5 7 8 9" xfId="9491"/>
    <cellStyle name="20% - Accent5 7 9" xfId="9492"/>
    <cellStyle name="20% - Accent5 7 9 2" xfId="9493"/>
    <cellStyle name="20% - Accent5 7 9 2 2" xfId="9494"/>
    <cellStyle name="20% - Accent5 7 9 2 3" xfId="9495"/>
    <cellStyle name="20% - Accent5 7 9 2 4" xfId="9496"/>
    <cellStyle name="20% - Accent5 7 9 2 5" xfId="9497"/>
    <cellStyle name="20% - Accent5 7 9 2 6" xfId="9498"/>
    <cellStyle name="20% - Accent5 7 9 3" xfId="9499"/>
    <cellStyle name="20% - Accent5 7 9 4" xfId="9500"/>
    <cellStyle name="20% - Accent5 7 9 5" xfId="9501"/>
    <cellStyle name="20% - Accent5 7 9 6" xfId="9502"/>
    <cellStyle name="20% - Accent5 7 9 7" xfId="9503"/>
    <cellStyle name="20% - Accent5 7 9 8" xfId="9504"/>
    <cellStyle name="20% - Accent5 8" xfId="9505"/>
    <cellStyle name="20% - Accent5 8 10" xfId="9506"/>
    <cellStyle name="20% - Accent5 8 10 2" xfId="9507"/>
    <cellStyle name="20% - Accent5 8 10 3" xfId="9508"/>
    <cellStyle name="20% - Accent5 8 10 4" xfId="9509"/>
    <cellStyle name="20% - Accent5 8 10 5" xfId="9510"/>
    <cellStyle name="20% - Accent5 8 10 6" xfId="9511"/>
    <cellStyle name="20% - Accent5 8 10 7" xfId="9512"/>
    <cellStyle name="20% - Accent5 8 11" xfId="9513"/>
    <cellStyle name="20% - Accent5 8 11 2" xfId="9514"/>
    <cellStyle name="20% - Accent5 8 11 3" xfId="9515"/>
    <cellStyle name="20% - Accent5 8 11 4" xfId="9516"/>
    <cellStyle name="20% - Accent5 8 11 5" xfId="9517"/>
    <cellStyle name="20% - Accent5 8 11 6" xfId="9518"/>
    <cellStyle name="20% - Accent5 8 12" xfId="9519"/>
    <cellStyle name="20% - Accent5 8 12 2" xfId="9520"/>
    <cellStyle name="20% - Accent5 8 13" xfId="9521"/>
    <cellStyle name="20% - Accent5 8 14" xfId="9522"/>
    <cellStyle name="20% - Accent5 8 15" xfId="9523"/>
    <cellStyle name="20% - Accent5 8 16" xfId="9524"/>
    <cellStyle name="20% - Accent5 8 17" xfId="9525"/>
    <cellStyle name="20% - Accent5 8 2" xfId="9526"/>
    <cellStyle name="20% - Accent5 8 2 2" xfId="9527"/>
    <cellStyle name="20% - Accent5 8 2 2 2" xfId="9528"/>
    <cellStyle name="20% - Accent5 8 2 2 3" xfId="9529"/>
    <cellStyle name="20% - Accent5 8 2 2 4" xfId="9530"/>
    <cellStyle name="20% - Accent5 8 2 2 5" xfId="9531"/>
    <cellStyle name="20% - Accent5 8 2 2 6" xfId="9532"/>
    <cellStyle name="20% - Accent5 8 2 2 7" xfId="9533"/>
    <cellStyle name="20% - Accent5 8 2 3" xfId="9534"/>
    <cellStyle name="20% - Accent5 8 2 3 2" xfId="9535"/>
    <cellStyle name="20% - Accent5 8 2 3 3" xfId="9536"/>
    <cellStyle name="20% - Accent5 8 2 3 4" xfId="9537"/>
    <cellStyle name="20% - Accent5 8 2 3 5" xfId="9538"/>
    <cellStyle name="20% - Accent5 8 2 3 6" xfId="9539"/>
    <cellStyle name="20% - Accent5 8 2 4" xfId="9540"/>
    <cellStyle name="20% - Accent5 8 2 4 2" xfId="9541"/>
    <cellStyle name="20% - Accent5 8 2 5" xfId="9542"/>
    <cellStyle name="20% - Accent5 8 2 6" xfId="9543"/>
    <cellStyle name="20% - Accent5 8 2 7" xfId="9544"/>
    <cellStyle name="20% - Accent5 8 2 8" xfId="9545"/>
    <cellStyle name="20% - Accent5 8 2 9" xfId="9546"/>
    <cellStyle name="20% - Accent5 8 3" xfId="9547"/>
    <cellStyle name="20% - Accent5 8 3 2" xfId="9548"/>
    <cellStyle name="20% - Accent5 8 3 2 2" xfId="9549"/>
    <cellStyle name="20% - Accent5 8 3 2 3" xfId="9550"/>
    <cellStyle name="20% - Accent5 8 3 2 4" xfId="9551"/>
    <cellStyle name="20% - Accent5 8 3 2 5" xfId="9552"/>
    <cellStyle name="20% - Accent5 8 3 2 6" xfId="9553"/>
    <cellStyle name="20% - Accent5 8 3 2 7" xfId="9554"/>
    <cellStyle name="20% - Accent5 8 3 3" xfId="9555"/>
    <cellStyle name="20% - Accent5 8 3 3 2" xfId="9556"/>
    <cellStyle name="20% - Accent5 8 3 3 3" xfId="9557"/>
    <cellStyle name="20% - Accent5 8 3 3 4" xfId="9558"/>
    <cellStyle name="20% - Accent5 8 3 3 5" xfId="9559"/>
    <cellStyle name="20% - Accent5 8 3 3 6" xfId="9560"/>
    <cellStyle name="20% - Accent5 8 3 4" xfId="9561"/>
    <cellStyle name="20% - Accent5 8 3 4 2" xfId="9562"/>
    <cellStyle name="20% - Accent5 8 3 5" xfId="9563"/>
    <cellStyle name="20% - Accent5 8 3 6" xfId="9564"/>
    <cellStyle name="20% - Accent5 8 3 7" xfId="9565"/>
    <cellStyle name="20% - Accent5 8 3 8" xfId="9566"/>
    <cellStyle name="20% - Accent5 8 3 9" xfId="9567"/>
    <cellStyle name="20% - Accent5 8 4" xfId="9568"/>
    <cellStyle name="20% - Accent5 8 4 2" xfId="9569"/>
    <cellStyle name="20% - Accent5 8 4 2 2" xfId="9570"/>
    <cellStyle name="20% - Accent5 8 4 2 3" xfId="9571"/>
    <cellStyle name="20% - Accent5 8 4 2 4" xfId="9572"/>
    <cellStyle name="20% - Accent5 8 4 2 5" xfId="9573"/>
    <cellStyle name="20% - Accent5 8 4 2 6" xfId="9574"/>
    <cellStyle name="20% - Accent5 8 4 2 7" xfId="9575"/>
    <cellStyle name="20% - Accent5 8 4 3" xfId="9576"/>
    <cellStyle name="20% - Accent5 8 4 3 2" xfId="9577"/>
    <cellStyle name="20% - Accent5 8 4 3 3" xfId="9578"/>
    <cellStyle name="20% - Accent5 8 4 3 4" xfId="9579"/>
    <cellStyle name="20% - Accent5 8 4 3 5" xfId="9580"/>
    <cellStyle name="20% - Accent5 8 4 3 6" xfId="9581"/>
    <cellStyle name="20% - Accent5 8 4 4" xfId="9582"/>
    <cellStyle name="20% - Accent5 8 4 5" xfId="9583"/>
    <cellStyle name="20% - Accent5 8 4 6" xfId="9584"/>
    <cellStyle name="20% - Accent5 8 4 7" xfId="9585"/>
    <cellStyle name="20% - Accent5 8 4 8" xfId="9586"/>
    <cellStyle name="20% - Accent5 8 4 9" xfId="9587"/>
    <cellStyle name="20% - Accent5 8 5" xfId="9588"/>
    <cellStyle name="20% - Accent5 8 5 2" xfId="9589"/>
    <cellStyle name="20% - Accent5 8 5 2 2" xfId="9590"/>
    <cellStyle name="20% - Accent5 8 5 2 3" xfId="9591"/>
    <cellStyle name="20% - Accent5 8 5 2 4" xfId="9592"/>
    <cellStyle name="20% - Accent5 8 5 2 5" xfId="9593"/>
    <cellStyle name="20% - Accent5 8 5 2 6" xfId="9594"/>
    <cellStyle name="20% - Accent5 8 5 2 7" xfId="9595"/>
    <cellStyle name="20% - Accent5 8 5 3" xfId="9596"/>
    <cellStyle name="20% - Accent5 8 5 3 2" xfId="9597"/>
    <cellStyle name="20% - Accent5 8 5 3 3" xfId="9598"/>
    <cellStyle name="20% - Accent5 8 5 3 4" xfId="9599"/>
    <cellStyle name="20% - Accent5 8 5 3 5" xfId="9600"/>
    <cellStyle name="20% - Accent5 8 5 3 6" xfId="9601"/>
    <cellStyle name="20% - Accent5 8 5 4" xfId="9602"/>
    <cellStyle name="20% - Accent5 8 5 5" xfId="9603"/>
    <cellStyle name="20% - Accent5 8 5 6" xfId="9604"/>
    <cellStyle name="20% - Accent5 8 5 7" xfId="9605"/>
    <cellStyle name="20% - Accent5 8 5 8" xfId="9606"/>
    <cellStyle name="20% - Accent5 8 5 9" xfId="9607"/>
    <cellStyle name="20% - Accent5 8 6" xfId="9608"/>
    <cellStyle name="20% - Accent5 8 6 2" xfId="9609"/>
    <cellStyle name="20% - Accent5 8 6 2 2" xfId="9610"/>
    <cellStyle name="20% - Accent5 8 6 2 3" xfId="9611"/>
    <cellStyle name="20% - Accent5 8 6 2 4" xfId="9612"/>
    <cellStyle name="20% - Accent5 8 6 2 5" xfId="9613"/>
    <cellStyle name="20% - Accent5 8 6 2 6" xfId="9614"/>
    <cellStyle name="20% - Accent5 8 6 2 7" xfId="9615"/>
    <cellStyle name="20% - Accent5 8 6 3" xfId="9616"/>
    <cellStyle name="20% - Accent5 8 6 3 2" xfId="9617"/>
    <cellStyle name="20% - Accent5 8 6 3 3" xfId="9618"/>
    <cellStyle name="20% - Accent5 8 6 3 4" xfId="9619"/>
    <cellStyle name="20% - Accent5 8 6 3 5" xfId="9620"/>
    <cellStyle name="20% - Accent5 8 6 3 6" xfId="9621"/>
    <cellStyle name="20% - Accent5 8 6 4" xfId="9622"/>
    <cellStyle name="20% - Accent5 8 6 5" xfId="9623"/>
    <cellStyle name="20% - Accent5 8 6 6" xfId="9624"/>
    <cellStyle name="20% - Accent5 8 6 7" xfId="9625"/>
    <cellStyle name="20% - Accent5 8 6 8" xfId="9626"/>
    <cellStyle name="20% - Accent5 8 6 9" xfId="9627"/>
    <cellStyle name="20% - Accent5 8 7" xfId="9628"/>
    <cellStyle name="20% - Accent5 8 7 2" xfId="9629"/>
    <cellStyle name="20% - Accent5 8 7 2 2" xfId="9630"/>
    <cellStyle name="20% - Accent5 8 7 2 3" xfId="9631"/>
    <cellStyle name="20% - Accent5 8 7 2 4" xfId="9632"/>
    <cellStyle name="20% - Accent5 8 7 2 5" xfId="9633"/>
    <cellStyle name="20% - Accent5 8 7 2 6" xfId="9634"/>
    <cellStyle name="20% - Accent5 8 7 2 7" xfId="9635"/>
    <cellStyle name="20% - Accent5 8 7 3" xfId="9636"/>
    <cellStyle name="20% - Accent5 8 7 3 2" xfId="9637"/>
    <cellStyle name="20% - Accent5 8 7 3 3" xfId="9638"/>
    <cellStyle name="20% - Accent5 8 7 3 4" xfId="9639"/>
    <cellStyle name="20% - Accent5 8 7 3 5" xfId="9640"/>
    <cellStyle name="20% - Accent5 8 7 3 6" xfId="9641"/>
    <cellStyle name="20% - Accent5 8 7 4" xfId="9642"/>
    <cellStyle name="20% - Accent5 8 7 5" xfId="9643"/>
    <cellStyle name="20% - Accent5 8 7 6" xfId="9644"/>
    <cellStyle name="20% - Accent5 8 7 7" xfId="9645"/>
    <cellStyle name="20% - Accent5 8 7 8" xfId="9646"/>
    <cellStyle name="20% - Accent5 8 7 9" xfId="9647"/>
    <cellStyle name="20% - Accent5 8 8" xfId="9648"/>
    <cellStyle name="20% - Accent5 8 8 2" xfId="9649"/>
    <cellStyle name="20% - Accent5 8 8 2 2" xfId="9650"/>
    <cellStyle name="20% - Accent5 8 8 2 3" xfId="9651"/>
    <cellStyle name="20% - Accent5 8 8 2 4" xfId="9652"/>
    <cellStyle name="20% - Accent5 8 8 2 5" xfId="9653"/>
    <cellStyle name="20% - Accent5 8 8 2 6" xfId="9654"/>
    <cellStyle name="20% - Accent5 8 8 2 7" xfId="9655"/>
    <cellStyle name="20% - Accent5 8 8 3" xfId="9656"/>
    <cellStyle name="20% - Accent5 8 8 3 2" xfId="9657"/>
    <cellStyle name="20% - Accent5 8 8 3 3" xfId="9658"/>
    <cellStyle name="20% - Accent5 8 8 3 4" xfId="9659"/>
    <cellStyle name="20% - Accent5 8 8 3 5" xfId="9660"/>
    <cellStyle name="20% - Accent5 8 8 3 6" xfId="9661"/>
    <cellStyle name="20% - Accent5 8 8 4" xfId="9662"/>
    <cellStyle name="20% - Accent5 8 8 5" xfId="9663"/>
    <cellStyle name="20% - Accent5 8 8 6" xfId="9664"/>
    <cellStyle name="20% - Accent5 8 8 7" xfId="9665"/>
    <cellStyle name="20% - Accent5 8 8 8" xfId="9666"/>
    <cellStyle name="20% - Accent5 8 8 9" xfId="9667"/>
    <cellStyle name="20% - Accent5 8 9" xfId="9668"/>
    <cellStyle name="20% - Accent5 8 9 2" xfId="9669"/>
    <cellStyle name="20% - Accent5 8 9 2 2" xfId="9670"/>
    <cellStyle name="20% - Accent5 8 9 2 3" xfId="9671"/>
    <cellStyle name="20% - Accent5 8 9 2 4" xfId="9672"/>
    <cellStyle name="20% - Accent5 8 9 2 5" xfId="9673"/>
    <cellStyle name="20% - Accent5 8 9 2 6" xfId="9674"/>
    <cellStyle name="20% - Accent5 8 9 3" xfId="9675"/>
    <cellStyle name="20% - Accent5 8 9 4" xfId="9676"/>
    <cellStyle name="20% - Accent5 8 9 5" xfId="9677"/>
    <cellStyle name="20% - Accent5 8 9 6" xfId="9678"/>
    <cellStyle name="20% - Accent5 8 9 7" xfId="9679"/>
    <cellStyle name="20% - Accent5 8 9 8" xfId="9680"/>
    <cellStyle name="20% - Accent5 9" xfId="9681"/>
    <cellStyle name="20% - Accent5 9 2" xfId="9682"/>
    <cellStyle name="20% - Accent5 9 3" xfId="9683"/>
    <cellStyle name="20% - Accent5 9 4" xfId="9684"/>
    <cellStyle name="20% - Accent6" xfId="6" builtinId="50" customBuiltin="1"/>
    <cellStyle name="20% - Accent6 10" xfId="9685"/>
    <cellStyle name="20% - Accent6 10 2" xfId="9686"/>
    <cellStyle name="20% - Accent6 10 2 2" xfId="9687"/>
    <cellStyle name="20% - Accent6 10 2 2 2" xfId="9688"/>
    <cellStyle name="20% - Accent6 10 2 3" xfId="9689"/>
    <cellStyle name="20% - Accent6 10 2 4" xfId="9690"/>
    <cellStyle name="20% - Accent6 10 2 5" xfId="9691"/>
    <cellStyle name="20% - Accent6 10 2 6" xfId="9692"/>
    <cellStyle name="20% - Accent6 10 2 7" xfId="9693"/>
    <cellStyle name="20% - Accent6 10 3" xfId="9694"/>
    <cellStyle name="20% - Accent6 10 3 2" xfId="9695"/>
    <cellStyle name="20% - Accent6 10 3 2 2" xfId="9696"/>
    <cellStyle name="20% - Accent6 10 3 3" xfId="9697"/>
    <cellStyle name="20% - Accent6 10 3 4" xfId="9698"/>
    <cellStyle name="20% - Accent6 10 3 5" xfId="9699"/>
    <cellStyle name="20% - Accent6 10 3 6" xfId="9700"/>
    <cellStyle name="20% - Accent6 10 4" xfId="9701"/>
    <cellStyle name="20% - Accent6 10 4 2" xfId="9702"/>
    <cellStyle name="20% - Accent6 10 5" xfId="9703"/>
    <cellStyle name="20% - Accent6 10 6" xfId="9704"/>
    <cellStyle name="20% - Accent6 10 7" xfId="9705"/>
    <cellStyle name="20% - Accent6 10 8" xfId="9706"/>
    <cellStyle name="20% - Accent6 10 9" xfId="9707"/>
    <cellStyle name="20% - Accent6 11" xfId="9708"/>
    <cellStyle name="20% - Accent6 11 2" xfId="9709"/>
    <cellStyle name="20% - Accent6 11 2 2" xfId="9710"/>
    <cellStyle name="20% - Accent6 11 2 2 2" xfId="9711"/>
    <cellStyle name="20% - Accent6 11 2 3" xfId="9712"/>
    <cellStyle name="20% - Accent6 11 2 4" xfId="9713"/>
    <cellStyle name="20% - Accent6 11 2 5" xfId="9714"/>
    <cellStyle name="20% - Accent6 11 2 6" xfId="9715"/>
    <cellStyle name="20% - Accent6 11 2 7" xfId="9716"/>
    <cellStyle name="20% - Accent6 11 3" xfId="9717"/>
    <cellStyle name="20% - Accent6 11 3 2" xfId="9718"/>
    <cellStyle name="20% - Accent6 11 3 2 2" xfId="9719"/>
    <cellStyle name="20% - Accent6 11 3 3" xfId="9720"/>
    <cellStyle name="20% - Accent6 11 3 4" xfId="9721"/>
    <cellStyle name="20% - Accent6 11 3 5" xfId="9722"/>
    <cellStyle name="20% - Accent6 11 3 6" xfId="9723"/>
    <cellStyle name="20% - Accent6 11 4" xfId="9724"/>
    <cellStyle name="20% - Accent6 11 4 2" xfId="9725"/>
    <cellStyle name="20% - Accent6 11 5" xfId="9726"/>
    <cellStyle name="20% - Accent6 11 6" xfId="9727"/>
    <cellStyle name="20% - Accent6 11 7" xfId="9728"/>
    <cellStyle name="20% - Accent6 11 8" xfId="9729"/>
    <cellStyle name="20% - Accent6 11 9" xfId="9730"/>
    <cellStyle name="20% - Accent6 12" xfId="9731"/>
    <cellStyle name="20% - Accent6 12 2" xfId="9732"/>
    <cellStyle name="20% - Accent6 12 2 2" xfId="9733"/>
    <cellStyle name="20% - Accent6 12 2 2 2" xfId="9734"/>
    <cellStyle name="20% - Accent6 12 2 3" xfId="9735"/>
    <cellStyle name="20% - Accent6 12 2 4" xfId="9736"/>
    <cellStyle name="20% - Accent6 12 2 5" xfId="9737"/>
    <cellStyle name="20% - Accent6 12 2 6" xfId="9738"/>
    <cellStyle name="20% - Accent6 12 2 7" xfId="9739"/>
    <cellStyle name="20% - Accent6 12 3" xfId="9740"/>
    <cellStyle name="20% - Accent6 12 3 2" xfId="9741"/>
    <cellStyle name="20% - Accent6 12 3 2 2" xfId="9742"/>
    <cellStyle name="20% - Accent6 12 3 3" xfId="9743"/>
    <cellStyle name="20% - Accent6 12 3 4" xfId="9744"/>
    <cellStyle name="20% - Accent6 12 3 5" xfId="9745"/>
    <cellStyle name="20% - Accent6 12 3 6" xfId="9746"/>
    <cellStyle name="20% - Accent6 12 4" xfId="9747"/>
    <cellStyle name="20% - Accent6 12 4 2" xfId="9748"/>
    <cellStyle name="20% - Accent6 12 5" xfId="9749"/>
    <cellStyle name="20% - Accent6 12 6" xfId="9750"/>
    <cellStyle name="20% - Accent6 12 7" xfId="9751"/>
    <cellStyle name="20% - Accent6 12 8" xfId="9752"/>
    <cellStyle name="20% - Accent6 12 9" xfId="9753"/>
    <cellStyle name="20% - Accent6 13" xfId="9754"/>
    <cellStyle name="20% - Accent6 13 2" xfId="9755"/>
    <cellStyle name="20% - Accent6 13 2 2" xfId="9756"/>
    <cellStyle name="20% - Accent6 13 2 2 2" xfId="9757"/>
    <cellStyle name="20% - Accent6 13 2 3" xfId="9758"/>
    <cellStyle name="20% - Accent6 13 2 4" xfId="9759"/>
    <cellStyle name="20% - Accent6 13 2 5" xfId="9760"/>
    <cellStyle name="20% - Accent6 13 2 6" xfId="9761"/>
    <cellStyle name="20% - Accent6 13 2 7" xfId="9762"/>
    <cellStyle name="20% - Accent6 13 3" xfId="9763"/>
    <cellStyle name="20% - Accent6 13 3 2" xfId="9764"/>
    <cellStyle name="20% - Accent6 13 3 2 2" xfId="9765"/>
    <cellStyle name="20% - Accent6 13 3 3" xfId="9766"/>
    <cellStyle name="20% - Accent6 13 3 4" xfId="9767"/>
    <cellStyle name="20% - Accent6 13 3 5" xfId="9768"/>
    <cellStyle name="20% - Accent6 13 3 6" xfId="9769"/>
    <cellStyle name="20% - Accent6 13 4" xfId="9770"/>
    <cellStyle name="20% - Accent6 13 4 2" xfId="9771"/>
    <cellStyle name="20% - Accent6 13 5" xfId="9772"/>
    <cellStyle name="20% - Accent6 13 6" xfId="9773"/>
    <cellStyle name="20% - Accent6 13 7" xfId="9774"/>
    <cellStyle name="20% - Accent6 13 8" xfId="9775"/>
    <cellStyle name="20% - Accent6 13 9" xfId="9776"/>
    <cellStyle name="20% - Accent6 14" xfId="9777"/>
    <cellStyle name="20% - Accent6 14 2" xfId="9778"/>
    <cellStyle name="20% - Accent6 14 2 2" xfId="9779"/>
    <cellStyle name="20% - Accent6 14 2 2 2" xfId="9780"/>
    <cellStyle name="20% - Accent6 14 2 3" xfId="9781"/>
    <cellStyle name="20% - Accent6 14 2 4" xfId="9782"/>
    <cellStyle name="20% - Accent6 14 2 5" xfId="9783"/>
    <cellStyle name="20% - Accent6 14 2 6" xfId="9784"/>
    <cellStyle name="20% - Accent6 14 2 7" xfId="9785"/>
    <cellStyle name="20% - Accent6 14 3" xfId="9786"/>
    <cellStyle name="20% - Accent6 14 3 2" xfId="9787"/>
    <cellStyle name="20% - Accent6 14 3 2 2" xfId="9788"/>
    <cellStyle name="20% - Accent6 14 3 3" xfId="9789"/>
    <cellStyle name="20% - Accent6 14 3 4" xfId="9790"/>
    <cellStyle name="20% - Accent6 14 3 5" xfId="9791"/>
    <cellStyle name="20% - Accent6 14 3 6" xfId="9792"/>
    <cellStyle name="20% - Accent6 14 4" xfId="9793"/>
    <cellStyle name="20% - Accent6 14 4 2" xfId="9794"/>
    <cellStyle name="20% - Accent6 14 5" xfId="9795"/>
    <cellStyle name="20% - Accent6 14 6" xfId="9796"/>
    <cellStyle name="20% - Accent6 14 7" xfId="9797"/>
    <cellStyle name="20% - Accent6 14 8" xfId="9798"/>
    <cellStyle name="20% - Accent6 14 9" xfId="9799"/>
    <cellStyle name="20% - Accent6 15" xfId="9800"/>
    <cellStyle name="20% - Accent6 15 2" xfId="9801"/>
    <cellStyle name="20% - Accent6 15 2 2" xfId="9802"/>
    <cellStyle name="20% - Accent6 15 2 2 2" xfId="9803"/>
    <cellStyle name="20% - Accent6 15 2 3" xfId="9804"/>
    <cellStyle name="20% - Accent6 15 2 4" xfId="9805"/>
    <cellStyle name="20% - Accent6 15 2 5" xfId="9806"/>
    <cellStyle name="20% - Accent6 15 2 6" xfId="9807"/>
    <cellStyle name="20% - Accent6 15 2 7" xfId="9808"/>
    <cellStyle name="20% - Accent6 15 3" xfId="9809"/>
    <cellStyle name="20% - Accent6 15 3 2" xfId="9810"/>
    <cellStyle name="20% - Accent6 15 3 2 2" xfId="9811"/>
    <cellStyle name="20% - Accent6 15 3 3" xfId="9812"/>
    <cellStyle name="20% - Accent6 15 3 4" xfId="9813"/>
    <cellStyle name="20% - Accent6 15 3 5" xfId="9814"/>
    <cellStyle name="20% - Accent6 15 3 6" xfId="9815"/>
    <cellStyle name="20% - Accent6 15 4" xfId="9816"/>
    <cellStyle name="20% - Accent6 15 4 2" xfId="9817"/>
    <cellStyle name="20% - Accent6 15 5" xfId="9818"/>
    <cellStyle name="20% - Accent6 15 6" xfId="9819"/>
    <cellStyle name="20% - Accent6 15 7" xfId="9820"/>
    <cellStyle name="20% - Accent6 15 8" xfId="9821"/>
    <cellStyle name="20% - Accent6 15 9" xfId="9822"/>
    <cellStyle name="20% - Accent6 16" xfId="9823"/>
    <cellStyle name="20% - Accent6 16 2" xfId="9824"/>
    <cellStyle name="20% - Accent6 16 2 2" xfId="9825"/>
    <cellStyle name="20% - Accent6 16 2 2 2" xfId="9826"/>
    <cellStyle name="20% - Accent6 16 2 3" xfId="9827"/>
    <cellStyle name="20% - Accent6 16 2 4" xfId="9828"/>
    <cellStyle name="20% - Accent6 16 2 5" xfId="9829"/>
    <cellStyle name="20% - Accent6 16 2 6" xfId="9830"/>
    <cellStyle name="20% - Accent6 16 2 7" xfId="9831"/>
    <cellStyle name="20% - Accent6 16 3" xfId="9832"/>
    <cellStyle name="20% - Accent6 16 3 2" xfId="9833"/>
    <cellStyle name="20% - Accent6 16 3 2 2" xfId="9834"/>
    <cellStyle name="20% - Accent6 16 3 3" xfId="9835"/>
    <cellStyle name="20% - Accent6 16 3 4" xfId="9836"/>
    <cellStyle name="20% - Accent6 16 3 5" xfId="9837"/>
    <cellStyle name="20% - Accent6 16 3 6" xfId="9838"/>
    <cellStyle name="20% - Accent6 16 4" xfId="9839"/>
    <cellStyle name="20% - Accent6 16 4 2" xfId="9840"/>
    <cellStyle name="20% - Accent6 16 5" xfId="9841"/>
    <cellStyle name="20% - Accent6 16 6" xfId="9842"/>
    <cellStyle name="20% - Accent6 16 7" xfId="9843"/>
    <cellStyle name="20% - Accent6 16 8" xfId="9844"/>
    <cellStyle name="20% - Accent6 16 9" xfId="9845"/>
    <cellStyle name="20% - Accent6 17" xfId="9846"/>
    <cellStyle name="20% - Accent6 17 2" xfId="9847"/>
    <cellStyle name="20% - Accent6 17 2 2" xfId="9848"/>
    <cellStyle name="20% - Accent6 17 2 2 2" xfId="9849"/>
    <cellStyle name="20% - Accent6 17 2 3" xfId="9850"/>
    <cellStyle name="20% - Accent6 17 2 4" xfId="9851"/>
    <cellStyle name="20% - Accent6 17 2 5" xfId="9852"/>
    <cellStyle name="20% - Accent6 17 2 6" xfId="9853"/>
    <cellStyle name="20% - Accent6 17 3" xfId="9854"/>
    <cellStyle name="20% - Accent6 17 3 2" xfId="9855"/>
    <cellStyle name="20% - Accent6 17 4" xfId="9856"/>
    <cellStyle name="20% - Accent6 17 4 2" xfId="9857"/>
    <cellStyle name="20% - Accent6 17 5" xfId="9858"/>
    <cellStyle name="20% - Accent6 17 6" xfId="9859"/>
    <cellStyle name="20% - Accent6 17 7" xfId="9860"/>
    <cellStyle name="20% - Accent6 17 8" xfId="9861"/>
    <cellStyle name="20% - Accent6 18" xfId="9862"/>
    <cellStyle name="20% - Accent6 18 2" xfId="9863"/>
    <cellStyle name="20% - Accent6 18 2 2" xfId="9864"/>
    <cellStyle name="20% - Accent6 18 3" xfId="9865"/>
    <cellStyle name="20% - Accent6 18 3 2" xfId="9866"/>
    <cellStyle name="20% - Accent6 18 4" xfId="9867"/>
    <cellStyle name="20% - Accent6 18 4 2" xfId="9868"/>
    <cellStyle name="20% - Accent6 18 5" xfId="9869"/>
    <cellStyle name="20% - Accent6 18 6" xfId="9870"/>
    <cellStyle name="20% - Accent6 18 7" xfId="9871"/>
    <cellStyle name="20% - Accent6 19" xfId="9872"/>
    <cellStyle name="20% - Accent6 19 2" xfId="9873"/>
    <cellStyle name="20% - Accent6 19 2 2" xfId="9874"/>
    <cellStyle name="20% - Accent6 19 3" xfId="9875"/>
    <cellStyle name="20% - Accent6 19 3 2" xfId="9876"/>
    <cellStyle name="20% - Accent6 19 4" xfId="9877"/>
    <cellStyle name="20% - Accent6 19 4 2" xfId="9878"/>
    <cellStyle name="20% - Accent6 19 5" xfId="9879"/>
    <cellStyle name="20% - Accent6 19 6" xfId="9880"/>
    <cellStyle name="20% - Accent6 2" xfId="379"/>
    <cellStyle name="20% - Accent6 2 10" xfId="9881"/>
    <cellStyle name="20% - Accent6 2 10 2" xfId="9882"/>
    <cellStyle name="20% - Accent6 2 10 2 2" xfId="9883"/>
    <cellStyle name="20% - Accent6 2 10 2 3" xfId="9884"/>
    <cellStyle name="20% - Accent6 2 10 2 4" xfId="9885"/>
    <cellStyle name="20% - Accent6 2 10 2 5" xfId="9886"/>
    <cellStyle name="20% - Accent6 2 10 2 6" xfId="9887"/>
    <cellStyle name="20% - Accent6 2 10 3" xfId="9888"/>
    <cellStyle name="20% - Accent6 2 10 3 2" xfId="9889"/>
    <cellStyle name="20% - Accent6 2 10 4" xfId="9890"/>
    <cellStyle name="20% - Accent6 2 10 5" xfId="9891"/>
    <cellStyle name="20% - Accent6 2 10 6" xfId="9892"/>
    <cellStyle name="20% - Accent6 2 10 7" xfId="9893"/>
    <cellStyle name="20% - Accent6 2 10 8" xfId="9894"/>
    <cellStyle name="20% - Accent6 2 11" xfId="9895"/>
    <cellStyle name="20% - Accent6 2 11 2" xfId="9896"/>
    <cellStyle name="20% - Accent6 2 11 2 2" xfId="9897"/>
    <cellStyle name="20% - Accent6 2 11 3" xfId="9898"/>
    <cellStyle name="20% - Accent6 2 11 4" xfId="9899"/>
    <cellStyle name="20% - Accent6 2 11 5" xfId="9900"/>
    <cellStyle name="20% - Accent6 2 11 6" xfId="9901"/>
    <cellStyle name="20% - Accent6 2 11 7" xfId="9902"/>
    <cellStyle name="20% - Accent6 2 12" xfId="9903"/>
    <cellStyle name="20% - Accent6 2 12 2" xfId="9904"/>
    <cellStyle name="20% - Accent6 2 12 2 2" xfId="9905"/>
    <cellStyle name="20% - Accent6 2 12 3" xfId="9906"/>
    <cellStyle name="20% - Accent6 2 12 4" xfId="9907"/>
    <cellStyle name="20% - Accent6 2 12 5" xfId="9908"/>
    <cellStyle name="20% - Accent6 2 12 6" xfId="9909"/>
    <cellStyle name="20% - Accent6 2 13" xfId="9910"/>
    <cellStyle name="20% - Accent6 2 13 2" xfId="9911"/>
    <cellStyle name="20% - Accent6 2 14" xfId="9912"/>
    <cellStyle name="20% - Accent6 2 14 2" xfId="9913"/>
    <cellStyle name="20% - Accent6 2 15" xfId="9914"/>
    <cellStyle name="20% - Accent6 2 15 2" xfId="9915"/>
    <cellStyle name="20% - Accent6 2 16" xfId="9916"/>
    <cellStyle name="20% - Accent6 2 16 2" xfId="9917"/>
    <cellStyle name="20% - Accent6 2 17" xfId="9918"/>
    <cellStyle name="20% - Accent6 2 17 2" xfId="9919"/>
    <cellStyle name="20% - Accent6 2 18" xfId="9920"/>
    <cellStyle name="20% - Accent6 2 19" xfId="9921"/>
    <cellStyle name="20% - Accent6 2 2" xfId="1470"/>
    <cellStyle name="20% - Accent6 2 2 2" xfId="1471"/>
    <cellStyle name="20% - Accent6 2 2 2 2" xfId="9922"/>
    <cellStyle name="20% - Accent6 2 2 2 3" xfId="9923"/>
    <cellStyle name="20% - Accent6 2 2 3" xfId="9924"/>
    <cellStyle name="20% - Accent6 2 2 4" xfId="9925"/>
    <cellStyle name="20% - Accent6 2 20" xfId="9926"/>
    <cellStyle name="20% - Accent6 2 21" xfId="9927"/>
    <cellStyle name="20% - Accent6 2 22" xfId="9928"/>
    <cellStyle name="20% - Accent6 2 23" xfId="9929"/>
    <cellStyle name="20% - Accent6 2 24" xfId="9930"/>
    <cellStyle name="20% - Accent6 2 25" xfId="9931"/>
    <cellStyle name="20% - Accent6 2 26" xfId="9932"/>
    <cellStyle name="20% - Accent6 2 27" xfId="9933"/>
    <cellStyle name="20% - Accent6 2 28" xfId="9934"/>
    <cellStyle name="20% - Accent6 2 29" xfId="9935"/>
    <cellStyle name="20% - Accent6 2 3" xfId="1472"/>
    <cellStyle name="20% - Accent6 2 3 10" xfId="9936"/>
    <cellStyle name="20% - Accent6 2 3 11" xfId="9937"/>
    <cellStyle name="20% - Accent6 2 3 2" xfId="1473"/>
    <cellStyle name="20% - Accent6 2 3 2 2" xfId="9938"/>
    <cellStyle name="20% - Accent6 2 3 2 3" xfId="9939"/>
    <cellStyle name="20% - Accent6 2 3 2 4" xfId="9940"/>
    <cellStyle name="20% - Accent6 2 3 2 5" xfId="9941"/>
    <cellStyle name="20% - Accent6 2 3 2 6" xfId="9942"/>
    <cellStyle name="20% - Accent6 2 3 2 7" xfId="9943"/>
    <cellStyle name="20% - Accent6 2 3 2 8" xfId="9944"/>
    <cellStyle name="20% - Accent6 2 3 2 9" xfId="9945"/>
    <cellStyle name="20% - Accent6 2 3 3" xfId="9946"/>
    <cellStyle name="20% - Accent6 2 3 3 2" xfId="9947"/>
    <cellStyle name="20% - Accent6 2 3 3 3" xfId="9948"/>
    <cellStyle name="20% - Accent6 2 3 3 4" xfId="9949"/>
    <cellStyle name="20% - Accent6 2 3 3 5" xfId="9950"/>
    <cellStyle name="20% - Accent6 2 3 3 6" xfId="9951"/>
    <cellStyle name="20% - Accent6 2 3 4" xfId="9952"/>
    <cellStyle name="20% - Accent6 2 3 4 2" xfId="9953"/>
    <cellStyle name="20% - Accent6 2 3 5" xfId="9954"/>
    <cellStyle name="20% - Accent6 2 3 6" xfId="9955"/>
    <cellStyle name="20% - Accent6 2 3 7" xfId="9956"/>
    <cellStyle name="20% - Accent6 2 3 8" xfId="9957"/>
    <cellStyle name="20% - Accent6 2 3 9" xfId="9958"/>
    <cellStyle name="20% - Accent6 2 30" xfId="9959"/>
    <cellStyle name="20% - Accent6 2 31" xfId="9960"/>
    <cellStyle name="20% - Accent6 2 32" xfId="9961"/>
    <cellStyle name="20% - Accent6 2 33" xfId="9962"/>
    <cellStyle name="20% - Accent6 2 34" xfId="9963"/>
    <cellStyle name="20% - Accent6 2 35" xfId="9964"/>
    <cellStyle name="20% - Accent6 2 4" xfId="1474"/>
    <cellStyle name="20% - Accent6 2 4 10" xfId="9965"/>
    <cellStyle name="20% - Accent6 2 4 11" xfId="9966"/>
    <cellStyle name="20% - Accent6 2 4 2" xfId="9967"/>
    <cellStyle name="20% - Accent6 2 4 2 2" xfId="9968"/>
    <cellStyle name="20% - Accent6 2 4 2 3" xfId="9969"/>
    <cellStyle name="20% - Accent6 2 4 2 4" xfId="9970"/>
    <cellStyle name="20% - Accent6 2 4 2 5" xfId="9971"/>
    <cellStyle name="20% - Accent6 2 4 2 6" xfId="9972"/>
    <cellStyle name="20% - Accent6 2 4 2 7" xfId="9973"/>
    <cellStyle name="20% - Accent6 2 4 3" xfId="9974"/>
    <cellStyle name="20% - Accent6 2 4 3 2" xfId="9975"/>
    <cellStyle name="20% - Accent6 2 4 3 3" xfId="9976"/>
    <cellStyle name="20% - Accent6 2 4 3 4" xfId="9977"/>
    <cellStyle name="20% - Accent6 2 4 3 5" xfId="9978"/>
    <cellStyle name="20% - Accent6 2 4 3 6" xfId="9979"/>
    <cellStyle name="20% - Accent6 2 4 4" xfId="9980"/>
    <cellStyle name="20% - Accent6 2 4 4 2" xfId="9981"/>
    <cellStyle name="20% - Accent6 2 4 5" xfId="9982"/>
    <cellStyle name="20% - Accent6 2 4 6" xfId="9983"/>
    <cellStyle name="20% - Accent6 2 4 7" xfId="9984"/>
    <cellStyle name="20% - Accent6 2 4 8" xfId="9985"/>
    <cellStyle name="20% - Accent6 2 4 9" xfId="9986"/>
    <cellStyle name="20% - Accent6 2 5" xfId="1475"/>
    <cellStyle name="20% - Accent6 2 5 10" xfId="9987"/>
    <cellStyle name="20% - Accent6 2 5 11" xfId="9988"/>
    <cellStyle name="20% - Accent6 2 5 2" xfId="9989"/>
    <cellStyle name="20% - Accent6 2 5 2 2" xfId="9990"/>
    <cellStyle name="20% - Accent6 2 5 2 3" xfId="9991"/>
    <cellStyle name="20% - Accent6 2 5 2 4" xfId="9992"/>
    <cellStyle name="20% - Accent6 2 5 2 5" xfId="9993"/>
    <cellStyle name="20% - Accent6 2 5 2 6" xfId="9994"/>
    <cellStyle name="20% - Accent6 2 5 2 7" xfId="9995"/>
    <cellStyle name="20% - Accent6 2 5 3" xfId="9996"/>
    <cellStyle name="20% - Accent6 2 5 3 2" xfId="9997"/>
    <cellStyle name="20% - Accent6 2 5 3 3" xfId="9998"/>
    <cellStyle name="20% - Accent6 2 5 3 4" xfId="9999"/>
    <cellStyle name="20% - Accent6 2 5 3 5" xfId="10000"/>
    <cellStyle name="20% - Accent6 2 5 3 6" xfId="10001"/>
    <cellStyle name="20% - Accent6 2 5 4" xfId="10002"/>
    <cellStyle name="20% - Accent6 2 5 4 2" xfId="10003"/>
    <cellStyle name="20% - Accent6 2 5 5" xfId="10004"/>
    <cellStyle name="20% - Accent6 2 5 6" xfId="10005"/>
    <cellStyle name="20% - Accent6 2 5 7" xfId="10006"/>
    <cellStyle name="20% - Accent6 2 5 8" xfId="10007"/>
    <cellStyle name="20% - Accent6 2 5 9" xfId="10008"/>
    <cellStyle name="20% - Accent6 2 6" xfId="1476"/>
    <cellStyle name="20% - Accent6 2 6 10" xfId="10009"/>
    <cellStyle name="20% - Accent6 2 6 11" xfId="10010"/>
    <cellStyle name="20% - Accent6 2 6 2" xfId="10011"/>
    <cellStyle name="20% - Accent6 2 6 2 2" xfId="10012"/>
    <cellStyle name="20% - Accent6 2 6 2 3" xfId="10013"/>
    <cellStyle name="20% - Accent6 2 6 2 4" xfId="10014"/>
    <cellStyle name="20% - Accent6 2 6 2 5" xfId="10015"/>
    <cellStyle name="20% - Accent6 2 6 2 6" xfId="10016"/>
    <cellStyle name="20% - Accent6 2 6 2 7" xfId="10017"/>
    <cellStyle name="20% - Accent6 2 6 3" xfId="10018"/>
    <cellStyle name="20% - Accent6 2 6 3 2" xfId="10019"/>
    <cellStyle name="20% - Accent6 2 6 3 3" xfId="10020"/>
    <cellStyle name="20% - Accent6 2 6 3 4" xfId="10021"/>
    <cellStyle name="20% - Accent6 2 6 3 5" xfId="10022"/>
    <cellStyle name="20% - Accent6 2 6 3 6" xfId="10023"/>
    <cellStyle name="20% - Accent6 2 6 4" xfId="10024"/>
    <cellStyle name="20% - Accent6 2 6 4 2" xfId="10025"/>
    <cellStyle name="20% - Accent6 2 6 5" xfId="10026"/>
    <cellStyle name="20% - Accent6 2 6 6" xfId="10027"/>
    <cellStyle name="20% - Accent6 2 6 7" xfId="10028"/>
    <cellStyle name="20% - Accent6 2 6 8" xfId="10029"/>
    <cellStyle name="20% - Accent6 2 6 9" xfId="10030"/>
    <cellStyle name="20% - Accent6 2 7" xfId="1469"/>
    <cellStyle name="20% - Accent6 2 7 10" xfId="10031"/>
    <cellStyle name="20% - Accent6 2 7 2" xfId="10032"/>
    <cellStyle name="20% - Accent6 2 7 2 2" xfId="10033"/>
    <cellStyle name="20% - Accent6 2 7 2 3" xfId="10034"/>
    <cellStyle name="20% - Accent6 2 7 2 4" xfId="10035"/>
    <cellStyle name="20% - Accent6 2 7 2 5" xfId="10036"/>
    <cellStyle name="20% - Accent6 2 7 2 6" xfId="10037"/>
    <cellStyle name="20% - Accent6 2 7 2 7" xfId="10038"/>
    <cellStyle name="20% - Accent6 2 7 3" xfId="10039"/>
    <cellStyle name="20% - Accent6 2 7 3 2" xfId="10040"/>
    <cellStyle name="20% - Accent6 2 7 3 3" xfId="10041"/>
    <cellStyle name="20% - Accent6 2 7 3 4" xfId="10042"/>
    <cellStyle name="20% - Accent6 2 7 3 5" xfId="10043"/>
    <cellStyle name="20% - Accent6 2 7 3 6" xfId="10044"/>
    <cellStyle name="20% - Accent6 2 7 4" xfId="10045"/>
    <cellStyle name="20% - Accent6 2 7 4 2" xfId="10046"/>
    <cellStyle name="20% - Accent6 2 7 5" xfId="10047"/>
    <cellStyle name="20% - Accent6 2 7 6" xfId="10048"/>
    <cellStyle name="20% - Accent6 2 7 7" xfId="10049"/>
    <cellStyle name="20% - Accent6 2 7 8" xfId="10050"/>
    <cellStyle name="20% - Accent6 2 7 9" xfId="10051"/>
    <cellStyle name="20% - Accent6 2 8" xfId="10052"/>
    <cellStyle name="20% - Accent6 2 8 2" xfId="10053"/>
    <cellStyle name="20% - Accent6 2 8 2 2" xfId="10054"/>
    <cellStyle name="20% - Accent6 2 8 2 3" xfId="10055"/>
    <cellStyle name="20% - Accent6 2 8 2 4" xfId="10056"/>
    <cellStyle name="20% - Accent6 2 8 2 5" xfId="10057"/>
    <cellStyle name="20% - Accent6 2 8 2 6" xfId="10058"/>
    <cellStyle name="20% - Accent6 2 8 2 7" xfId="10059"/>
    <cellStyle name="20% - Accent6 2 8 3" xfId="10060"/>
    <cellStyle name="20% - Accent6 2 8 3 2" xfId="10061"/>
    <cellStyle name="20% - Accent6 2 8 3 3" xfId="10062"/>
    <cellStyle name="20% - Accent6 2 8 3 4" xfId="10063"/>
    <cellStyle name="20% - Accent6 2 8 3 5" xfId="10064"/>
    <cellStyle name="20% - Accent6 2 8 3 6" xfId="10065"/>
    <cellStyle name="20% - Accent6 2 8 4" xfId="10066"/>
    <cellStyle name="20% - Accent6 2 8 4 2" xfId="10067"/>
    <cellStyle name="20% - Accent6 2 8 5" xfId="10068"/>
    <cellStyle name="20% - Accent6 2 8 6" xfId="10069"/>
    <cellStyle name="20% - Accent6 2 8 7" xfId="10070"/>
    <cellStyle name="20% - Accent6 2 8 8" xfId="10071"/>
    <cellStyle name="20% - Accent6 2 8 9" xfId="10072"/>
    <cellStyle name="20% - Accent6 2 9" xfId="10073"/>
    <cellStyle name="20% - Accent6 2 9 2" xfId="10074"/>
    <cellStyle name="20% - Accent6 2 9 2 2" xfId="10075"/>
    <cellStyle name="20% - Accent6 2 9 2 3" xfId="10076"/>
    <cellStyle name="20% - Accent6 2 9 2 4" xfId="10077"/>
    <cellStyle name="20% - Accent6 2 9 2 5" xfId="10078"/>
    <cellStyle name="20% - Accent6 2 9 2 6" xfId="10079"/>
    <cellStyle name="20% - Accent6 2 9 2 7" xfId="10080"/>
    <cellStyle name="20% - Accent6 2 9 3" xfId="10081"/>
    <cellStyle name="20% - Accent6 2 9 3 2" xfId="10082"/>
    <cellStyle name="20% - Accent6 2 9 3 3" xfId="10083"/>
    <cellStyle name="20% - Accent6 2 9 3 4" xfId="10084"/>
    <cellStyle name="20% - Accent6 2 9 3 5" xfId="10085"/>
    <cellStyle name="20% - Accent6 2 9 3 6" xfId="10086"/>
    <cellStyle name="20% - Accent6 2 9 4" xfId="10087"/>
    <cellStyle name="20% - Accent6 2 9 4 2" xfId="10088"/>
    <cellStyle name="20% - Accent6 2 9 5" xfId="10089"/>
    <cellStyle name="20% - Accent6 2 9 6" xfId="10090"/>
    <cellStyle name="20% - Accent6 2 9 7" xfId="10091"/>
    <cellStyle name="20% - Accent6 2 9 8" xfId="10092"/>
    <cellStyle name="20% - Accent6 2 9 9" xfId="10093"/>
    <cellStyle name="20% - Accent6 20" xfId="10094"/>
    <cellStyle name="20% - Accent6 20 2" xfId="10095"/>
    <cellStyle name="20% - Accent6 20 3" xfId="10096"/>
    <cellStyle name="20% - Accent6 20 4" xfId="10097"/>
    <cellStyle name="20% - Accent6 21" xfId="10098"/>
    <cellStyle name="20% - Accent6 21 2" xfId="10099"/>
    <cellStyle name="20% - Accent6 21 3" xfId="10100"/>
    <cellStyle name="20% - Accent6 21 4" xfId="10101"/>
    <cellStyle name="20% - Accent6 22" xfId="10102"/>
    <cellStyle name="20% - Accent6 22 2" xfId="10103"/>
    <cellStyle name="20% - Accent6 22 3" xfId="10104"/>
    <cellStyle name="20% - Accent6 22 4" xfId="10105"/>
    <cellStyle name="20% - Accent6 23" xfId="10106"/>
    <cellStyle name="20% - Accent6 23 2" xfId="10107"/>
    <cellStyle name="20% - Accent6 23 3" xfId="10108"/>
    <cellStyle name="20% - Accent6 23 4" xfId="10109"/>
    <cellStyle name="20% - Accent6 24" xfId="10110"/>
    <cellStyle name="20% - Accent6 24 2" xfId="10111"/>
    <cellStyle name="20% - Accent6 24 3" xfId="10112"/>
    <cellStyle name="20% - Accent6 24 4" xfId="10113"/>
    <cellStyle name="20% - Accent6 25" xfId="10114"/>
    <cellStyle name="20% - Accent6 25 2" xfId="10115"/>
    <cellStyle name="20% - Accent6 25 3" xfId="10116"/>
    <cellStyle name="20% - Accent6 26" xfId="10117"/>
    <cellStyle name="20% - Accent6 26 2" xfId="10118"/>
    <cellStyle name="20% - Accent6 26 3" xfId="10119"/>
    <cellStyle name="20% - Accent6 27" xfId="10120"/>
    <cellStyle name="20% - Accent6 27 2" xfId="10121"/>
    <cellStyle name="20% - Accent6 27 3" xfId="10122"/>
    <cellStyle name="20% - Accent6 28" xfId="10123"/>
    <cellStyle name="20% - Accent6 28 2" xfId="10124"/>
    <cellStyle name="20% - Accent6 28 3" xfId="10125"/>
    <cellStyle name="20% - Accent6 29" xfId="10126"/>
    <cellStyle name="20% - Accent6 29 2" xfId="10127"/>
    <cellStyle name="20% - Accent6 29 3" xfId="10128"/>
    <cellStyle name="20% - Accent6 3" xfId="1477"/>
    <cellStyle name="20% - Accent6 3 10" xfId="10129"/>
    <cellStyle name="20% - Accent6 3 10 2" xfId="10130"/>
    <cellStyle name="20% - Accent6 3 10 3" xfId="10131"/>
    <cellStyle name="20% - Accent6 3 10 4" xfId="10132"/>
    <cellStyle name="20% - Accent6 3 10 5" xfId="10133"/>
    <cellStyle name="20% - Accent6 3 10 6" xfId="10134"/>
    <cellStyle name="20% - Accent6 3 10 7" xfId="10135"/>
    <cellStyle name="20% - Accent6 3 11" xfId="10136"/>
    <cellStyle name="20% - Accent6 3 11 2" xfId="10137"/>
    <cellStyle name="20% - Accent6 3 11 3" xfId="10138"/>
    <cellStyle name="20% - Accent6 3 11 4" xfId="10139"/>
    <cellStyle name="20% - Accent6 3 11 5" xfId="10140"/>
    <cellStyle name="20% - Accent6 3 11 6" xfId="10141"/>
    <cellStyle name="20% - Accent6 3 12" xfId="10142"/>
    <cellStyle name="20% - Accent6 3 12 2" xfId="10143"/>
    <cellStyle name="20% - Accent6 3 13" xfId="10144"/>
    <cellStyle name="20% - Accent6 3 14" xfId="10145"/>
    <cellStyle name="20% - Accent6 3 15" xfId="10146"/>
    <cellStyle name="20% - Accent6 3 16" xfId="10147"/>
    <cellStyle name="20% - Accent6 3 17" xfId="10148"/>
    <cellStyle name="20% - Accent6 3 18" xfId="10149"/>
    <cellStyle name="20% - Accent6 3 2" xfId="10150"/>
    <cellStyle name="20% - Accent6 3 2 2" xfId="10151"/>
    <cellStyle name="20% - Accent6 3 2 2 2" xfId="10152"/>
    <cellStyle name="20% - Accent6 3 2 2 3" xfId="10153"/>
    <cellStyle name="20% - Accent6 3 2 2 4" xfId="10154"/>
    <cellStyle name="20% - Accent6 3 2 2 5" xfId="10155"/>
    <cellStyle name="20% - Accent6 3 2 2 6" xfId="10156"/>
    <cellStyle name="20% - Accent6 3 2 2 7" xfId="10157"/>
    <cellStyle name="20% - Accent6 3 2 3" xfId="10158"/>
    <cellStyle name="20% - Accent6 3 2 3 2" xfId="10159"/>
    <cellStyle name="20% - Accent6 3 2 3 3" xfId="10160"/>
    <cellStyle name="20% - Accent6 3 2 3 4" xfId="10161"/>
    <cellStyle name="20% - Accent6 3 2 3 5" xfId="10162"/>
    <cellStyle name="20% - Accent6 3 2 3 6" xfId="10163"/>
    <cellStyle name="20% - Accent6 3 2 4" xfId="10164"/>
    <cellStyle name="20% - Accent6 3 2 5" xfId="10165"/>
    <cellStyle name="20% - Accent6 3 2 6" xfId="10166"/>
    <cellStyle name="20% - Accent6 3 2 7" xfId="10167"/>
    <cellStyle name="20% - Accent6 3 2 8" xfId="10168"/>
    <cellStyle name="20% - Accent6 3 2 9" xfId="10169"/>
    <cellStyle name="20% - Accent6 3 3" xfId="10170"/>
    <cellStyle name="20% - Accent6 3 3 2" xfId="10171"/>
    <cellStyle name="20% - Accent6 3 3 2 2" xfId="10172"/>
    <cellStyle name="20% - Accent6 3 3 2 3" xfId="10173"/>
    <cellStyle name="20% - Accent6 3 3 2 4" xfId="10174"/>
    <cellStyle name="20% - Accent6 3 3 2 5" xfId="10175"/>
    <cellStyle name="20% - Accent6 3 3 2 6" xfId="10176"/>
    <cellStyle name="20% - Accent6 3 3 2 7" xfId="10177"/>
    <cellStyle name="20% - Accent6 3 3 3" xfId="10178"/>
    <cellStyle name="20% - Accent6 3 3 3 2" xfId="10179"/>
    <cellStyle name="20% - Accent6 3 3 3 3" xfId="10180"/>
    <cellStyle name="20% - Accent6 3 3 3 4" xfId="10181"/>
    <cellStyle name="20% - Accent6 3 3 3 5" xfId="10182"/>
    <cellStyle name="20% - Accent6 3 3 3 6" xfId="10183"/>
    <cellStyle name="20% - Accent6 3 3 4" xfId="10184"/>
    <cellStyle name="20% - Accent6 3 3 5" xfId="10185"/>
    <cellStyle name="20% - Accent6 3 3 6" xfId="10186"/>
    <cellStyle name="20% - Accent6 3 3 7" xfId="10187"/>
    <cellStyle name="20% - Accent6 3 3 8" xfId="10188"/>
    <cellStyle name="20% - Accent6 3 3 9" xfId="10189"/>
    <cellStyle name="20% - Accent6 3 4" xfId="10190"/>
    <cellStyle name="20% - Accent6 3 4 2" xfId="10191"/>
    <cellStyle name="20% - Accent6 3 4 2 2" xfId="10192"/>
    <cellStyle name="20% - Accent6 3 4 2 3" xfId="10193"/>
    <cellStyle name="20% - Accent6 3 4 2 4" xfId="10194"/>
    <cellStyle name="20% - Accent6 3 4 2 5" xfId="10195"/>
    <cellStyle name="20% - Accent6 3 4 2 6" xfId="10196"/>
    <cellStyle name="20% - Accent6 3 4 2 7" xfId="10197"/>
    <cellStyle name="20% - Accent6 3 4 3" xfId="10198"/>
    <cellStyle name="20% - Accent6 3 4 3 2" xfId="10199"/>
    <cellStyle name="20% - Accent6 3 4 3 3" xfId="10200"/>
    <cellStyle name="20% - Accent6 3 4 3 4" xfId="10201"/>
    <cellStyle name="20% - Accent6 3 4 3 5" xfId="10202"/>
    <cellStyle name="20% - Accent6 3 4 3 6" xfId="10203"/>
    <cellStyle name="20% - Accent6 3 4 4" xfId="10204"/>
    <cellStyle name="20% - Accent6 3 4 5" xfId="10205"/>
    <cellStyle name="20% - Accent6 3 4 6" xfId="10206"/>
    <cellStyle name="20% - Accent6 3 4 7" xfId="10207"/>
    <cellStyle name="20% - Accent6 3 4 8" xfId="10208"/>
    <cellStyle name="20% - Accent6 3 4 9" xfId="10209"/>
    <cellStyle name="20% - Accent6 3 5" xfId="10210"/>
    <cellStyle name="20% - Accent6 3 5 2" xfId="10211"/>
    <cellStyle name="20% - Accent6 3 5 2 2" xfId="10212"/>
    <cellStyle name="20% - Accent6 3 5 2 3" xfId="10213"/>
    <cellStyle name="20% - Accent6 3 5 2 4" xfId="10214"/>
    <cellStyle name="20% - Accent6 3 5 2 5" xfId="10215"/>
    <cellStyle name="20% - Accent6 3 5 2 6" xfId="10216"/>
    <cellStyle name="20% - Accent6 3 5 2 7" xfId="10217"/>
    <cellStyle name="20% - Accent6 3 5 3" xfId="10218"/>
    <cellStyle name="20% - Accent6 3 5 3 2" xfId="10219"/>
    <cellStyle name="20% - Accent6 3 5 3 3" xfId="10220"/>
    <cellStyle name="20% - Accent6 3 5 3 4" xfId="10221"/>
    <cellStyle name="20% - Accent6 3 5 3 5" xfId="10222"/>
    <cellStyle name="20% - Accent6 3 5 3 6" xfId="10223"/>
    <cellStyle name="20% - Accent6 3 5 4" xfId="10224"/>
    <cellStyle name="20% - Accent6 3 5 5" xfId="10225"/>
    <cellStyle name="20% - Accent6 3 5 6" xfId="10226"/>
    <cellStyle name="20% - Accent6 3 5 7" xfId="10227"/>
    <cellStyle name="20% - Accent6 3 5 8" xfId="10228"/>
    <cellStyle name="20% - Accent6 3 5 9" xfId="10229"/>
    <cellStyle name="20% - Accent6 3 6" xfId="10230"/>
    <cellStyle name="20% - Accent6 3 6 2" xfId="10231"/>
    <cellStyle name="20% - Accent6 3 6 2 2" xfId="10232"/>
    <cellStyle name="20% - Accent6 3 6 2 3" xfId="10233"/>
    <cellStyle name="20% - Accent6 3 6 2 4" xfId="10234"/>
    <cellStyle name="20% - Accent6 3 6 2 5" xfId="10235"/>
    <cellStyle name="20% - Accent6 3 6 2 6" xfId="10236"/>
    <cellStyle name="20% - Accent6 3 6 2 7" xfId="10237"/>
    <cellStyle name="20% - Accent6 3 6 3" xfId="10238"/>
    <cellStyle name="20% - Accent6 3 6 3 2" xfId="10239"/>
    <cellStyle name="20% - Accent6 3 6 3 3" xfId="10240"/>
    <cellStyle name="20% - Accent6 3 6 3 4" xfId="10241"/>
    <cellStyle name="20% - Accent6 3 6 3 5" xfId="10242"/>
    <cellStyle name="20% - Accent6 3 6 3 6" xfId="10243"/>
    <cellStyle name="20% - Accent6 3 6 4" xfId="10244"/>
    <cellStyle name="20% - Accent6 3 6 5" xfId="10245"/>
    <cellStyle name="20% - Accent6 3 6 6" xfId="10246"/>
    <cellStyle name="20% - Accent6 3 6 7" xfId="10247"/>
    <cellStyle name="20% - Accent6 3 6 8" xfId="10248"/>
    <cellStyle name="20% - Accent6 3 6 9" xfId="10249"/>
    <cellStyle name="20% - Accent6 3 7" xfId="10250"/>
    <cellStyle name="20% - Accent6 3 7 2" xfId="10251"/>
    <cellStyle name="20% - Accent6 3 7 2 2" xfId="10252"/>
    <cellStyle name="20% - Accent6 3 7 2 3" xfId="10253"/>
    <cellStyle name="20% - Accent6 3 7 2 4" xfId="10254"/>
    <cellStyle name="20% - Accent6 3 7 2 5" xfId="10255"/>
    <cellStyle name="20% - Accent6 3 7 2 6" xfId="10256"/>
    <cellStyle name="20% - Accent6 3 7 2 7" xfId="10257"/>
    <cellStyle name="20% - Accent6 3 7 3" xfId="10258"/>
    <cellStyle name="20% - Accent6 3 7 3 2" xfId="10259"/>
    <cellStyle name="20% - Accent6 3 7 3 3" xfId="10260"/>
    <cellStyle name="20% - Accent6 3 7 3 4" xfId="10261"/>
    <cellStyle name="20% - Accent6 3 7 3 5" xfId="10262"/>
    <cellStyle name="20% - Accent6 3 7 3 6" xfId="10263"/>
    <cellStyle name="20% - Accent6 3 7 4" xfId="10264"/>
    <cellStyle name="20% - Accent6 3 7 5" xfId="10265"/>
    <cellStyle name="20% - Accent6 3 7 6" xfId="10266"/>
    <cellStyle name="20% - Accent6 3 7 7" xfId="10267"/>
    <cellStyle name="20% - Accent6 3 7 8" xfId="10268"/>
    <cellStyle name="20% - Accent6 3 7 9" xfId="10269"/>
    <cellStyle name="20% - Accent6 3 8" xfId="10270"/>
    <cellStyle name="20% - Accent6 3 8 2" xfId="10271"/>
    <cellStyle name="20% - Accent6 3 8 2 2" xfId="10272"/>
    <cellStyle name="20% - Accent6 3 8 2 3" xfId="10273"/>
    <cellStyle name="20% - Accent6 3 8 2 4" xfId="10274"/>
    <cellStyle name="20% - Accent6 3 8 2 5" xfId="10275"/>
    <cellStyle name="20% - Accent6 3 8 2 6" xfId="10276"/>
    <cellStyle name="20% - Accent6 3 8 2 7" xfId="10277"/>
    <cellStyle name="20% - Accent6 3 8 3" xfId="10278"/>
    <cellStyle name="20% - Accent6 3 8 3 2" xfId="10279"/>
    <cellStyle name="20% - Accent6 3 8 3 3" xfId="10280"/>
    <cellStyle name="20% - Accent6 3 8 3 4" xfId="10281"/>
    <cellStyle name="20% - Accent6 3 8 3 5" xfId="10282"/>
    <cellStyle name="20% - Accent6 3 8 3 6" xfId="10283"/>
    <cellStyle name="20% - Accent6 3 8 4" xfId="10284"/>
    <cellStyle name="20% - Accent6 3 8 5" xfId="10285"/>
    <cellStyle name="20% - Accent6 3 8 6" xfId="10286"/>
    <cellStyle name="20% - Accent6 3 8 7" xfId="10287"/>
    <cellStyle name="20% - Accent6 3 8 8" xfId="10288"/>
    <cellStyle name="20% - Accent6 3 8 9" xfId="10289"/>
    <cellStyle name="20% - Accent6 3 9" xfId="10290"/>
    <cellStyle name="20% - Accent6 3 9 2" xfId="10291"/>
    <cellStyle name="20% - Accent6 3 9 2 2" xfId="10292"/>
    <cellStyle name="20% - Accent6 3 9 2 3" xfId="10293"/>
    <cellStyle name="20% - Accent6 3 9 2 4" xfId="10294"/>
    <cellStyle name="20% - Accent6 3 9 2 5" xfId="10295"/>
    <cellStyle name="20% - Accent6 3 9 2 6" xfId="10296"/>
    <cellStyle name="20% - Accent6 3 9 3" xfId="10297"/>
    <cellStyle name="20% - Accent6 3 9 4" xfId="10298"/>
    <cellStyle name="20% - Accent6 3 9 5" xfId="10299"/>
    <cellStyle name="20% - Accent6 3 9 6" xfId="10300"/>
    <cellStyle name="20% - Accent6 3 9 7" xfId="10301"/>
    <cellStyle name="20% - Accent6 3 9 8" xfId="10302"/>
    <cellStyle name="20% - Accent6 30" xfId="10303"/>
    <cellStyle name="20% - Accent6 30 2" xfId="10304"/>
    <cellStyle name="20% - Accent6 31" xfId="10305"/>
    <cellStyle name="20% - Accent6 32" xfId="10306"/>
    <cellStyle name="20% - Accent6 33" xfId="10307"/>
    <cellStyle name="20% - Accent6 4" xfId="10308"/>
    <cellStyle name="20% - Accent6 4 10" xfId="10309"/>
    <cellStyle name="20% - Accent6 4 10 2" xfId="10310"/>
    <cellStyle name="20% - Accent6 4 10 3" xfId="10311"/>
    <cellStyle name="20% - Accent6 4 10 4" xfId="10312"/>
    <cellStyle name="20% - Accent6 4 10 5" xfId="10313"/>
    <cellStyle name="20% - Accent6 4 10 6" xfId="10314"/>
    <cellStyle name="20% - Accent6 4 10 7" xfId="10315"/>
    <cellStyle name="20% - Accent6 4 11" xfId="10316"/>
    <cellStyle name="20% - Accent6 4 11 2" xfId="10317"/>
    <cellStyle name="20% - Accent6 4 11 3" xfId="10318"/>
    <cellStyle name="20% - Accent6 4 11 4" xfId="10319"/>
    <cellStyle name="20% - Accent6 4 11 5" xfId="10320"/>
    <cellStyle name="20% - Accent6 4 11 6" xfId="10321"/>
    <cellStyle name="20% - Accent6 4 12" xfId="10322"/>
    <cellStyle name="20% - Accent6 4 12 2" xfId="10323"/>
    <cellStyle name="20% - Accent6 4 13" xfId="10324"/>
    <cellStyle name="20% - Accent6 4 14" xfId="10325"/>
    <cellStyle name="20% - Accent6 4 15" xfId="10326"/>
    <cellStyle name="20% - Accent6 4 16" xfId="10327"/>
    <cellStyle name="20% - Accent6 4 17" xfId="10328"/>
    <cellStyle name="20% - Accent6 4 2" xfId="10329"/>
    <cellStyle name="20% - Accent6 4 2 2" xfId="10330"/>
    <cellStyle name="20% - Accent6 4 2 2 2" xfId="10331"/>
    <cellStyle name="20% - Accent6 4 2 2 3" xfId="10332"/>
    <cellStyle name="20% - Accent6 4 2 2 4" xfId="10333"/>
    <cellStyle name="20% - Accent6 4 2 2 5" xfId="10334"/>
    <cellStyle name="20% - Accent6 4 2 2 6" xfId="10335"/>
    <cellStyle name="20% - Accent6 4 2 2 7" xfId="10336"/>
    <cellStyle name="20% - Accent6 4 2 3" xfId="10337"/>
    <cellStyle name="20% - Accent6 4 2 3 2" xfId="10338"/>
    <cellStyle name="20% - Accent6 4 2 3 3" xfId="10339"/>
    <cellStyle name="20% - Accent6 4 2 3 4" xfId="10340"/>
    <cellStyle name="20% - Accent6 4 2 3 5" xfId="10341"/>
    <cellStyle name="20% - Accent6 4 2 3 6" xfId="10342"/>
    <cellStyle name="20% - Accent6 4 2 4" xfId="10343"/>
    <cellStyle name="20% - Accent6 4 2 4 2" xfId="10344"/>
    <cellStyle name="20% - Accent6 4 2 5" xfId="10345"/>
    <cellStyle name="20% - Accent6 4 2 6" xfId="10346"/>
    <cellStyle name="20% - Accent6 4 2 7" xfId="10347"/>
    <cellStyle name="20% - Accent6 4 2 8" xfId="10348"/>
    <cellStyle name="20% - Accent6 4 2 9" xfId="10349"/>
    <cellStyle name="20% - Accent6 4 3" xfId="10350"/>
    <cellStyle name="20% - Accent6 4 3 2" xfId="10351"/>
    <cellStyle name="20% - Accent6 4 3 2 2" xfId="10352"/>
    <cellStyle name="20% - Accent6 4 3 2 3" xfId="10353"/>
    <cellStyle name="20% - Accent6 4 3 2 4" xfId="10354"/>
    <cellStyle name="20% - Accent6 4 3 2 5" xfId="10355"/>
    <cellStyle name="20% - Accent6 4 3 2 6" xfId="10356"/>
    <cellStyle name="20% - Accent6 4 3 2 7" xfId="10357"/>
    <cellStyle name="20% - Accent6 4 3 3" xfId="10358"/>
    <cellStyle name="20% - Accent6 4 3 3 2" xfId="10359"/>
    <cellStyle name="20% - Accent6 4 3 3 3" xfId="10360"/>
    <cellStyle name="20% - Accent6 4 3 3 4" xfId="10361"/>
    <cellStyle name="20% - Accent6 4 3 3 5" xfId="10362"/>
    <cellStyle name="20% - Accent6 4 3 3 6" xfId="10363"/>
    <cellStyle name="20% - Accent6 4 3 4" xfId="10364"/>
    <cellStyle name="20% - Accent6 4 3 4 2" xfId="10365"/>
    <cellStyle name="20% - Accent6 4 3 5" xfId="10366"/>
    <cellStyle name="20% - Accent6 4 3 6" xfId="10367"/>
    <cellStyle name="20% - Accent6 4 3 7" xfId="10368"/>
    <cellStyle name="20% - Accent6 4 3 8" xfId="10369"/>
    <cellStyle name="20% - Accent6 4 3 9" xfId="10370"/>
    <cellStyle name="20% - Accent6 4 4" xfId="10371"/>
    <cellStyle name="20% - Accent6 4 4 2" xfId="10372"/>
    <cellStyle name="20% - Accent6 4 4 2 2" xfId="10373"/>
    <cellStyle name="20% - Accent6 4 4 2 3" xfId="10374"/>
    <cellStyle name="20% - Accent6 4 4 2 4" xfId="10375"/>
    <cellStyle name="20% - Accent6 4 4 2 5" xfId="10376"/>
    <cellStyle name="20% - Accent6 4 4 2 6" xfId="10377"/>
    <cellStyle name="20% - Accent6 4 4 2 7" xfId="10378"/>
    <cellStyle name="20% - Accent6 4 4 3" xfId="10379"/>
    <cellStyle name="20% - Accent6 4 4 3 2" xfId="10380"/>
    <cellStyle name="20% - Accent6 4 4 3 3" xfId="10381"/>
    <cellStyle name="20% - Accent6 4 4 3 4" xfId="10382"/>
    <cellStyle name="20% - Accent6 4 4 3 5" xfId="10383"/>
    <cellStyle name="20% - Accent6 4 4 3 6" xfId="10384"/>
    <cellStyle name="20% - Accent6 4 4 4" xfId="10385"/>
    <cellStyle name="20% - Accent6 4 4 5" xfId="10386"/>
    <cellStyle name="20% - Accent6 4 4 6" xfId="10387"/>
    <cellStyle name="20% - Accent6 4 4 7" xfId="10388"/>
    <cellStyle name="20% - Accent6 4 4 8" xfId="10389"/>
    <cellStyle name="20% - Accent6 4 4 9" xfId="10390"/>
    <cellStyle name="20% - Accent6 4 5" xfId="10391"/>
    <cellStyle name="20% - Accent6 4 5 2" xfId="10392"/>
    <cellStyle name="20% - Accent6 4 5 2 2" xfId="10393"/>
    <cellStyle name="20% - Accent6 4 5 2 3" xfId="10394"/>
    <cellStyle name="20% - Accent6 4 5 2 4" xfId="10395"/>
    <cellStyle name="20% - Accent6 4 5 2 5" xfId="10396"/>
    <cellStyle name="20% - Accent6 4 5 2 6" xfId="10397"/>
    <cellStyle name="20% - Accent6 4 5 2 7" xfId="10398"/>
    <cellStyle name="20% - Accent6 4 5 3" xfId="10399"/>
    <cellStyle name="20% - Accent6 4 5 3 2" xfId="10400"/>
    <cellStyle name="20% - Accent6 4 5 3 3" xfId="10401"/>
    <cellStyle name="20% - Accent6 4 5 3 4" xfId="10402"/>
    <cellStyle name="20% - Accent6 4 5 3 5" xfId="10403"/>
    <cellStyle name="20% - Accent6 4 5 3 6" xfId="10404"/>
    <cellStyle name="20% - Accent6 4 5 4" xfId="10405"/>
    <cellStyle name="20% - Accent6 4 5 5" xfId="10406"/>
    <cellStyle name="20% - Accent6 4 5 6" xfId="10407"/>
    <cellStyle name="20% - Accent6 4 5 7" xfId="10408"/>
    <cellStyle name="20% - Accent6 4 5 8" xfId="10409"/>
    <cellStyle name="20% - Accent6 4 5 9" xfId="10410"/>
    <cellStyle name="20% - Accent6 4 6" xfId="10411"/>
    <cellStyle name="20% - Accent6 4 6 2" xfId="10412"/>
    <cellStyle name="20% - Accent6 4 6 2 2" xfId="10413"/>
    <cellStyle name="20% - Accent6 4 6 2 3" xfId="10414"/>
    <cellStyle name="20% - Accent6 4 6 2 4" xfId="10415"/>
    <cellStyle name="20% - Accent6 4 6 2 5" xfId="10416"/>
    <cellStyle name="20% - Accent6 4 6 2 6" xfId="10417"/>
    <cellStyle name="20% - Accent6 4 6 2 7" xfId="10418"/>
    <cellStyle name="20% - Accent6 4 6 3" xfId="10419"/>
    <cellStyle name="20% - Accent6 4 6 3 2" xfId="10420"/>
    <cellStyle name="20% - Accent6 4 6 3 3" xfId="10421"/>
    <cellStyle name="20% - Accent6 4 6 3 4" xfId="10422"/>
    <cellStyle name="20% - Accent6 4 6 3 5" xfId="10423"/>
    <cellStyle name="20% - Accent6 4 6 3 6" xfId="10424"/>
    <cellStyle name="20% - Accent6 4 6 4" xfId="10425"/>
    <cellStyle name="20% - Accent6 4 6 5" xfId="10426"/>
    <cellStyle name="20% - Accent6 4 6 6" xfId="10427"/>
    <cellStyle name="20% - Accent6 4 6 7" xfId="10428"/>
    <cellStyle name="20% - Accent6 4 6 8" xfId="10429"/>
    <cellStyle name="20% - Accent6 4 6 9" xfId="10430"/>
    <cellStyle name="20% - Accent6 4 7" xfId="10431"/>
    <cellStyle name="20% - Accent6 4 7 2" xfId="10432"/>
    <cellStyle name="20% - Accent6 4 7 2 2" xfId="10433"/>
    <cellStyle name="20% - Accent6 4 7 2 3" xfId="10434"/>
    <cellStyle name="20% - Accent6 4 7 2 4" xfId="10435"/>
    <cellStyle name="20% - Accent6 4 7 2 5" xfId="10436"/>
    <cellStyle name="20% - Accent6 4 7 2 6" xfId="10437"/>
    <cellStyle name="20% - Accent6 4 7 2 7" xfId="10438"/>
    <cellStyle name="20% - Accent6 4 7 3" xfId="10439"/>
    <cellStyle name="20% - Accent6 4 7 3 2" xfId="10440"/>
    <cellStyle name="20% - Accent6 4 7 3 3" xfId="10441"/>
    <cellStyle name="20% - Accent6 4 7 3 4" xfId="10442"/>
    <cellStyle name="20% - Accent6 4 7 3 5" xfId="10443"/>
    <cellStyle name="20% - Accent6 4 7 3 6" xfId="10444"/>
    <cellStyle name="20% - Accent6 4 7 4" xfId="10445"/>
    <cellStyle name="20% - Accent6 4 7 5" xfId="10446"/>
    <cellStyle name="20% - Accent6 4 7 6" xfId="10447"/>
    <cellStyle name="20% - Accent6 4 7 7" xfId="10448"/>
    <cellStyle name="20% - Accent6 4 7 8" xfId="10449"/>
    <cellStyle name="20% - Accent6 4 7 9" xfId="10450"/>
    <cellStyle name="20% - Accent6 4 8" xfId="10451"/>
    <cellStyle name="20% - Accent6 4 8 2" xfId="10452"/>
    <cellStyle name="20% - Accent6 4 8 2 2" xfId="10453"/>
    <cellStyle name="20% - Accent6 4 8 2 3" xfId="10454"/>
    <cellStyle name="20% - Accent6 4 8 2 4" xfId="10455"/>
    <cellStyle name="20% - Accent6 4 8 2 5" xfId="10456"/>
    <cellStyle name="20% - Accent6 4 8 2 6" xfId="10457"/>
    <cellStyle name="20% - Accent6 4 8 2 7" xfId="10458"/>
    <cellStyle name="20% - Accent6 4 8 3" xfId="10459"/>
    <cellStyle name="20% - Accent6 4 8 3 2" xfId="10460"/>
    <cellStyle name="20% - Accent6 4 8 3 3" xfId="10461"/>
    <cellStyle name="20% - Accent6 4 8 3 4" xfId="10462"/>
    <cellStyle name="20% - Accent6 4 8 3 5" xfId="10463"/>
    <cellStyle name="20% - Accent6 4 8 3 6" xfId="10464"/>
    <cellStyle name="20% - Accent6 4 8 4" xfId="10465"/>
    <cellStyle name="20% - Accent6 4 8 5" xfId="10466"/>
    <cellStyle name="20% - Accent6 4 8 6" xfId="10467"/>
    <cellStyle name="20% - Accent6 4 8 7" xfId="10468"/>
    <cellStyle name="20% - Accent6 4 8 8" xfId="10469"/>
    <cellStyle name="20% - Accent6 4 8 9" xfId="10470"/>
    <cellStyle name="20% - Accent6 4 9" xfId="10471"/>
    <cellStyle name="20% - Accent6 4 9 2" xfId="10472"/>
    <cellStyle name="20% - Accent6 4 9 2 2" xfId="10473"/>
    <cellStyle name="20% - Accent6 4 9 2 3" xfId="10474"/>
    <cellStyle name="20% - Accent6 4 9 2 4" xfId="10475"/>
    <cellStyle name="20% - Accent6 4 9 2 5" xfId="10476"/>
    <cellStyle name="20% - Accent6 4 9 2 6" xfId="10477"/>
    <cellStyle name="20% - Accent6 4 9 3" xfId="10478"/>
    <cellStyle name="20% - Accent6 4 9 4" xfId="10479"/>
    <cellStyle name="20% - Accent6 4 9 5" xfId="10480"/>
    <cellStyle name="20% - Accent6 4 9 6" xfId="10481"/>
    <cellStyle name="20% - Accent6 4 9 7" xfId="10482"/>
    <cellStyle name="20% - Accent6 4 9 8" xfId="10483"/>
    <cellStyle name="20% - Accent6 5" xfId="10484"/>
    <cellStyle name="20% - Accent6 5 10" xfId="10485"/>
    <cellStyle name="20% - Accent6 5 10 2" xfId="10486"/>
    <cellStyle name="20% - Accent6 5 10 3" xfId="10487"/>
    <cellStyle name="20% - Accent6 5 10 4" xfId="10488"/>
    <cellStyle name="20% - Accent6 5 10 5" xfId="10489"/>
    <cellStyle name="20% - Accent6 5 10 6" xfId="10490"/>
    <cellStyle name="20% - Accent6 5 10 7" xfId="10491"/>
    <cellStyle name="20% - Accent6 5 11" xfId="10492"/>
    <cellStyle name="20% - Accent6 5 11 2" xfId="10493"/>
    <cellStyle name="20% - Accent6 5 11 3" xfId="10494"/>
    <cellStyle name="20% - Accent6 5 11 4" xfId="10495"/>
    <cellStyle name="20% - Accent6 5 11 5" xfId="10496"/>
    <cellStyle name="20% - Accent6 5 11 6" xfId="10497"/>
    <cellStyle name="20% - Accent6 5 12" xfId="10498"/>
    <cellStyle name="20% - Accent6 5 12 2" xfId="10499"/>
    <cellStyle name="20% - Accent6 5 13" xfId="10500"/>
    <cellStyle name="20% - Accent6 5 14" xfId="10501"/>
    <cellStyle name="20% - Accent6 5 15" xfId="10502"/>
    <cellStyle name="20% - Accent6 5 16" xfId="10503"/>
    <cellStyle name="20% - Accent6 5 17" xfId="10504"/>
    <cellStyle name="20% - Accent6 5 2" xfId="10505"/>
    <cellStyle name="20% - Accent6 5 2 2" xfId="10506"/>
    <cellStyle name="20% - Accent6 5 2 2 2" xfId="10507"/>
    <cellStyle name="20% - Accent6 5 2 2 3" xfId="10508"/>
    <cellStyle name="20% - Accent6 5 2 2 4" xfId="10509"/>
    <cellStyle name="20% - Accent6 5 2 2 5" xfId="10510"/>
    <cellStyle name="20% - Accent6 5 2 2 6" xfId="10511"/>
    <cellStyle name="20% - Accent6 5 2 2 7" xfId="10512"/>
    <cellStyle name="20% - Accent6 5 2 3" xfId="10513"/>
    <cellStyle name="20% - Accent6 5 2 3 2" xfId="10514"/>
    <cellStyle name="20% - Accent6 5 2 3 3" xfId="10515"/>
    <cellStyle name="20% - Accent6 5 2 3 4" xfId="10516"/>
    <cellStyle name="20% - Accent6 5 2 3 5" xfId="10517"/>
    <cellStyle name="20% - Accent6 5 2 3 6" xfId="10518"/>
    <cellStyle name="20% - Accent6 5 2 4" xfId="10519"/>
    <cellStyle name="20% - Accent6 5 2 4 2" xfId="10520"/>
    <cellStyle name="20% - Accent6 5 2 5" xfId="10521"/>
    <cellStyle name="20% - Accent6 5 2 6" xfId="10522"/>
    <cellStyle name="20% - Accent6 5 2 7" xfId="10523"/>
    <cellStyle name="20% - Accent6 5 2 8" xfId="10524"/>
    <cellStyle name="20% - Accent6 5 2 9" xfId="10525"/>
    <cellStyle name="20% - Accent6 5 3" xfId="10526"/>
    <cellStyle name="20% - Accent6 5 3 2" xfId="10527"/>
    <cellStyle name="20% - Accent6 5 3 2 2" xfId="10528"/>
    <cellStyle name="20% - Accent6 5 3 2 3" xfId="10529"/>
    <cellStyle name="20% - Accent6 5 3 2 4" xfId="10530"/>
    <cellStyle name="20% - Accent6 5 3 2 5" xfId="10531"/>
    <cellStyle name="20% - Accent6 5 3 2 6" xfId="10532"/>
    <cellStyle name="20% - Accent6 5 3 2 7" xfId="10533"/>
    <cellStyle name="20% - Accent6 5 3 3" xfId="10534"/>
    <cellStyle name="20% - Accent6 5 3 3 2" xfId="10535"/>
    <cellStyle name="20% - Accent6 5 3 3 3" xfId="10536"/>
    <cellStyle name="20% - Accent6 5 3 3 4" xfId="10537"/>
    <cellStyle name="20% - Accent6 5 3 3 5" xfId="10538"/>
    <cellStyle name="20% - Accent6 5 3 3 6" xfId="10539"/>
    <cellStyle name="20% - Accent6 5 3 4" xfId="10540"/>
    <cellStyle name="20% - Accent6 5 3 4 2" xfId="10541"/>
    <cellStyle name="20% - Accent6 5 3 5" xfId="10542"/>
    <cellStyle name="20% - Accent6 5 3 6" xfId="10543"/>
    <cellStyle name="20% - Accent6 5 3 7" xfId="10544"/>
    <cellStyle name="20% - Accent6 5 3 8" xfId="10545"/>
    <cellStyle name="20% - Accent6 5 3 9" xfId="10546"/>
    <cellStyle name="20% - Accent6 5 4" xfId="10547"/>
    <cellStyle name="20% - Accent6 5 4 2" xfId="10548"/>
    <cellStyle name="20% - Accent6 5 4 2 2" xfId="10549"/>
    <cellStyle name="20% - Accent6 5 4 2 3" xfId="10550"/>
    <cellStyle name="20% - Accent6 5 4 2 4" xfId="10551"/>
    <cellStyle name="20% - Accent6 5 4 2 5" xfId="10552"/>
    <cellStyle name="20% - Accent6 5 4 2 6" xfId="10553"/>
    <cellStyle name="20% - Accent6 5 4 2 7" xfId="10554"/>
    <cellStyle name="20% - Accent6 5 4 3" xfId="10555"/>
    <cellStyle name="20% - Accent6 5 4 3 2" xfId="10556"/>
    <cellStyle name="20% - Accent6 5 4 3 3" xfId="10557"/>
    <cellStyle name="20% - Accent6 5 4 3 4" xfId="10558"/>
    <cellStyle name="20% - Accent6 5 4 3 5" xfId="10559"/>
    <cellStyle name="20% - Accent6 5 4 3 6" xfId="10560"/>
    <cellStyle name="20% - Accent6 5 4 4" xfId="10561"/>
    <cellStyle name="20% - Accent6 5 4 5" xfId="10562"/>
    <cellStyle name="20% - Accent6 5 4 6" xfId="10563"/>
    <cellStyle name="20% - Accent6 5 4 7" xfId="10564"/>
    <cellStyle name="20% - Accent6 5 4 8" xfId="10565"/>
    <cellStyle name="20% - Accent6 5 4 9" xfId="10566"/>
    <cellStyle name="20% - Accent6 5 5" xfId="10567"/>
    <cellStyle name="20% - Accent6 5 5 2" xfId="10568"/>
    <cellStyle name="20% - Accent6 5 5 2 2" xfId="10569"/>
    <cellStyle name="20% - Accent6 5 5 2 3" xfId="10570"/>
    <cellStyle name="20% - Accent6 5 5 2 4" xfId="10571"/>
    <cellStyle name="20% - Accent6 5 5 2 5" xfId="10572"/>
    <cellStyle name="20% - Accent6 5 5 2 6" xfId="10573"/>
    <cellStyle name="20% - Accent6 5 5 2 7" xfId="10574"/>
    <cellStyle name="20% - Accent6 5 5 3" xfId="10575"/>
    <cellStyle name="20% - Accent6 5 5 3 2" xfId="10576"/>
    <cellStyle name="20% - Accent6 5 5 3 3" xfId="10577"/>
    <cellStyle name="20% - Accent6 5 5 3 4" xfId="10578"/>
    <cellStyle name="20% - Accent6 5 5 3 5" xfId="10579"/>
    <cellStyle name="20% - Accent6 5 5 3 6" xfId="10580"/>
    <cellStyle name="20% - Accent6 5 5 4" xfId="10581"/>
    <cellStyle name="20% - Accent6 5 5 5" xfId="10582"/>
    <cellStyle name="20% - Accent6 5 5 6" xfId="10583"/>
    <cellStyle name="20% - Accent6 5 5 7" xfId="10584"/>
    <cellStyle name="20% - Accent6 5 5 8" xfId="10585"/>
    <cellStyle name="20% - Accent6 5 5 9" xfId="10586"/>
    <cellStyle name="20% - Accent6 5 6" xfId="10587"/>
    <cellStyle name="20% - Accent6 5 6 2" xfId="10588"/>
    <cellStyle name="20% - Accent6 5 6 2 2" xfId="10589"/>
    <cellStyle name="20% - Accent6 5 6 2 3" xfId="10590"/>
    <cellStyle name="20% - Accent6 5 6 2 4" xfId="10591"/>
    <cellStyle name="20% - Accent6 5 6 2 5" xfId="10592"/>
    <cellStyle name="20% - Accent6 5 6 2 6" xfId="10593"/>
    <cellStyle name="20% - Accent6 5 6 2 7" xfId="10594"/>
    <cellStyle name="20% - Accent6 5 6 3" xfId="10595"/>
    <cellStyle name="20% - Accent6 5 6 3 2" xfId="10596"/>
    <cellStyle name="20% - Accent6 5 6 3 3" xfId="10597"/>
    <cellStyle name="20% - Accent6 5 6 3 4" xfId="10598"/>
    <cellStyle name="20% - Accent6 5 6 3 5" xfId="10599"/>
    <cellStyle name="20% - Accent6 5 6 3 6" xfId="10600"/>
    <cellStyle name="20% - Accent6 5 6 4" xfId="10601"/>
    <cellStyle name="20% - Accent6 5 6 5" xfId="10602"/>
    <cellStyle name="20% - Accent6 5 6 6" xfId="10603"/>
    <cellStyle name="20% - Accent6 5 6 7" xfId="10604"/>
    <cellStyle name="20% - Accent6 5 6 8" xfId="10605"/>
    <cellStyle name="20% - Accent6 5 6 9" xfId="10606"/>
    <cellStyle name="20% - Accent6 5 7" xfId="10607"/>
    <cellStyle name="20% - Accent6 5 7 2" xfId="10608"/>
    <cellStyle name="20% - Accent6 5 7 2 2" xfId="10609"/>
    <cellStyle name="20% - Accent6 5 7 2 3" xfId="10610"/>
    <cellStyle name="20% - Accent6 5 7 2 4" xfId="10611"/>
    <cellStyle name="20% - Accent6 5 7 2 5" xfId="10612"/>
    <cellStyle name="20% - Accent6 5 7 2 6" xfId="10613"/>
    <cellStyle name="20% - Accent6 5 7 2 7" xfId="10614"/>
    <cellStyle name="20% - Accent6 5 7 3" xfId="10615"/>
    <cellStyle name="20% - Accent6 5 7 3 2" xfId="10616"/>
    <cellStyle name="20% - Accent6 5 7 3 3" xfId="10617"/>
    <cellStyle name="20% - Accent6 5 7 3 4" xfId="10618"/>
    <cellStyle name="20% - Accent6 5 7 3 5" xfId="10619"/>
    <cellStyle name="20% - Accent6 5 7 3 6" xfId="10620"/>
    <cellStyle name="20% - Accent6 5 7 4" xfId="10621"/>
    <cellStyle name="20% - Accent6 5 7 5" xfId="10622"/>
    <cellStyle name="20% - Accent6 5 7 6" xfId="10623"/>
    <cellStyle name="20% - Accent6 5 7 7" xfId="10624"/>
    <cellStyle name="20% - Accent6 5 7 8" xfId="10625"/>
    <cellStyle name="20% - Accent6 5 7 9" xfId="10626"/>
    <cellStyle name="20% - Accent6 5 8" xfId="10627"/>
    <cellStyle name="20% - Accent6 5 8 2" xfId="10628"/>
    <cellStyle name="20% - Accent6 5 8 2 2" xfId="10629"/>
    <cellStyle name="20% - Accent6 5 8 2 3" xfId="10630"/>
    <cellStyle name="20% - Accent6 5 8 2 4" xfId="10631"/>
    <cellStyle name="20% - Accent6 5 8 2 5" xfId="10632"/>
    <cellStyle name="20% - Accent6 5 8 2 6" xfId="10633"/>
    <cellStyle name="20% - Accent6 5 8 2 7" xfId="10634"/>
    <cellStyle name="20% - Accent6 5 8 3" xfId="10635"/>
    <cellStyle name="20% - Accent6 5 8 3 2" xfId="10636"/>
    <cellStyle name="20% - Accent6 5 8 3 3" xfId="10637"/>
    <cellStyle name="20% - Accent6 5 8 3 4" xfId="10638"/>
    <cellStyle name="20% - Accent6 5 8 3 5" xfId="10639"/>
    <cellStyle name="20% - Accent6 5 8 3 6" xfId="10640"/>
    <cellStyle name="20% - Accent6 5 8 4" xfId="10641"/>
    <cellStyle name="20% - Accent6 5 8 5" xfId="10642"/>
    <cellStyle name="20% - Accent6 5 8 6" xfId="10643"/>
    <cellStyle name="20% - Accent6 5 8 7" xfId="10644"/>
    <cellStyle name="20% - Accent6 5 8 8" xfId="10645"/>
    <cellStyle name="20% - Accent6 5 8 9" xfId="10646"/>
    <cellStyle name="20% - Accent6 5 9" xfId="10647"/>
    <cellStyle name="20% - Accent6 5 9 2" xfId="10648"/>
    <cellStyle name="20% - Accent6 5 9 2 2" xfId="10649"/>
    <cellStyle name="20% - Accent6 5 9 2 3" xfId="10650"/>
    <cellStyle name="20% - Accent6 5 9 2 4" xfId="10651"/>
    <cellStyle name="20% - Accent6 5 9 2 5" xfId="10652"/>
    <cellStyle name="20% - Accent6 5 9 2 6" xfId="10653"/>
    <cellStyle name="20% - Accent6 5 9 3" xfId="10654"/>
    <cellStyle name="20% - Accent6 5 9 4" xfId="10655"/>
    <cellStyle name="20% - Accent6 5 9 5" xfId="10656"/>
    <cellStyle name="20% - Accent6 5 9 6" xfId="10657"/>
    <cellStyle name="20% - Accent6 5 9 7" xfId="10658"/>
    <cellStyle name="20% - Accent6 5 9 8" xfId="10659"/>
    <cellStyle name="20% - Accent6 6" xfId="10660"/>
    <cellStyle name="20% - Accent6 6 10" xfId="10661"/>
    <cellStyle name="20% - Accent6 6 10 2" xfId="10662"/>
    <cellStyle name="20% - Accent6 6 10 3" xfId="10663"/>
    <cellStyle name="20% - Accent6 6 10 4" xfId="10664"/>
    <cellStyle name="20% - Accent6 6 10 5" xfId="10665"/>
    <cellStyle name="20% - Accent6 6 10 6" xfId="10666"/>
    <cellStyle name="20% - Accent6 6 10 7" xfId="10667"/>
    <cellStyle name="20% - Accent6 6 11" xfId="10668"/>
    <cellStyle name="20% - Accent6 6 11 2" xfId="10669"/>
    <cellStyle name="20% - Accent6 6 11 3" xfId="10670"/>
    <cellStyle name="20% - Accent6 6 11 4" xfId="10671"/>
    <cellStyle name="20% - Accent6 6 11 5" xfId="10672"/>
    <cellStyle name="20% - Accent6 6 11 6" xfId="10673"/>
    <cellStyle name="20% - Accent6 6 12" xfId="10674"/>
    <cellStyle name="20% - Accent6 6 12 2" xfId="10675"/>
    <cellStyle name="20% - Accent6 6 13" xfId="10676"/>
    <cellStyle name="20% - Accent6 6 14" xfId="10677"/>
    <cellStyle name="20% - Accent6 6 15" xfId="10678"/>
    <cellStyle name="20% - Accent6 6 16" xfId="10679"/>
    <cellStyle name="20% - Accent6 6 17" xfId="10680"/>
    <cellStyle name="20% - Accent6 6 2" xfId="10681"/>
    <cellStyle name="20% - Accent6 6 2 2" xfId="10682"/>
    <cellStyle name="20% - Accent6 6 2 2 2" xfId="10683"/>
    <cellStyle name="20% - Accent6 6 2 2 3" xfId="10684"/>
    <cellStyle name="20% - Accent6 6 2 2 4" xfId="10685"/>
    <cellStyle name="20% - Accent6 6 2 2 5" xfId="10686"/>
    <cellStyle name="20% - Accent6 6 2 2 6" xfId="10687"/>
    <cellStyle name="20% - Accent6 6 2 2 7" xfId="10688"/>
    <cellStyle name="20% - Accent6 6 2 3" xfId="10689"/>
    <cellStyle name="20% - Accent6 6 2 3 2" xfId="10690"/>
    <cellStyle name="20% - Accent6 6 2 3 3" xfId="10691"/>
    <cellStyle name="20% - Accent6 6 2 3 4" xfId="10692"/>
    <cellStyle name="20% - Accent6 6 2 3 5" xfId="10693"/>
    <cellStyle name="20% - Accent6 6 2 3 6" xfId="10694"/>
    <cellStyle name="20% - Accent6 6 2 4" xfId="10695"/>
    <cellStyle name="20% - Accent6 6 2 4 2" xfId="10696"/>
    <cellStyle name="20% - Accent6 6 2 5" xfId="10697"/>
    <cellStyle name="20% - Accent6 6 2 6" xfId="10698"/>
    <cellStyle name="20% - Accent6 6 2 7" xfId="10699"/>
    <cellStyle name="20% - Accent6 6 2 8" xfId="10700"/>
    <cellStyle name="20% - Accent6 6 2 9" xfId="10701"/>
    <cellStyle name="20% - Accent6 6 3" xfId="10702"/>
    <cellStyle name="20% - Accent6 6 3 2" xfId="10703"/>
    <cellStyle name="20% - Accent6 6 3 2 2" xfId="10704"/>
    <cellStyle name="20% - Accent6 6 3 2 3" xfId="10705"/>
    <cellStyle name="20% - Accent6 6 3 2 4" xfId="10706"/>
    <cellStyle name="20% - Accent6 6 3 2 5" xfId="10707"/>
    <cellStyle name="20% - Accent6 6 3 2 6" xfId="10708"/>
    <cellStyle name="20% - Accent6 6 3 2 7" xfId="10709"/>
    <cellStyle name="20% - Accent6 6 3 3" xfId="10710"/>
    <cellStyle name="20% - Accent6 6 3 3 2" xfId="10711"/>
    <cellStyle name="20% - Accent6 6 3 3 3" xfId="10712"/>
    <cellStyle name="20% - Accent6 6 3 3 4" xfId="10713"/>
    <cellStyle name="20% - Accent6 6 3 3 5" xfId="10714"/>
    <cellStyle name="20% - Accent6 6 3 3 6" xfId="10715"/>
    <cellStyle name="20% - Accent6 6 3 4" xfId="10716"/>
    <cellStyle name="20% - Accent6 6 3 4 2" xfId="10717"/>
    <cellStyle name="20% - Accent6 6 3 5" xfId="10718"/>
    <cellStyle name="20% - Accent6 6 3 6" xfId="10719"/>
    <cellStyle name="20% - Accent6 6 3 7" xfId="10720"/>
    <cellStyle name="20% - Accent6 6 3 8" xfId="10721"/>
    <cellStyle name="20% - Accent6 6 3 9" xfId="10722"/>
    <cellStyle name="20% - Accent6 6 4" xfId="10723"/>
    <cellStyle name="20% - Accent6 6 4 2" xfId="10724"/>
    <cellStyle name="20% - Accent6 6 4 2 2" xfId="10725"/>
    <cellStyle name="20% - Accent6 6 4 2 3" xfId="10726"/>
    <cellStyle name="20% - Accent6 6 4 2 4" xfId="10727"/>
    <cellStyle name="20% - Accent6 6 4 2 5" xfId="10728"/>
    <cellStyle name="20% - Accent6 6 4 2 6" xfId="10729"/>
    <cellStyle name="20% - Accent6 6 4 2 7" xfId="10730"/>
    <cellStyle name="20% - Accent6 6 4 3" xfId="10731"/>
    <cellStyle name="20% - Accent6 6 4 3 2" xfId="10732"/>
    <cellStyle name="20% - Accent6 6 4 3 3" xfId="10733"/>
    <cellStyle name="20% - Accent6 6 4 3 4" xfId="10734"/>
    <cellStyle name="20% - Accent6 6 4 3 5" xfId="10735"/>
    <cellStyle name="20% - Accent6 6 4 3 6" xfId="10736"/>
    <cellStyle name="20% - Accent6 6 4 4" xfId="10737"/>
    <cellStyle name="20% - Accent6 6 4 5" xfId="10738"/>
    <cellStyle name="20% - Accent6 6 4 6" xfId="10739"/>
    <cellStyle name="20% - Accent6 6 4 7" xfId="10740"/>
    <cellStyle name="20% - Accent6 6 4 8" xfId="10741"/>
    <cellStyle name="20% - Accent6 6 4 9" xfId="10742"/>
    <cellStyle name="20% - Accent6 6 5" xfId="10743"/>
    <cellStyle name="20% - Accent6 6 5 2" xfId="10744"/>
    <cellStyle name="20% - Accent6 6 5 2 2" xfId="10745"/>
    <cellStyle name="20% - Accent6 6 5 2 3" xfId="10746"/>
    <cellStyle name="20% - Accent6 6 5 2 4" xfId="10747"/>
    <cellStyle name="20% - Accent6 6 5 2 5" xfId="10748"/>
    <cellStyle name="20% - Accent6 6 5 2 6" xfId="10749"/>
    <cellStyle name="20% - Accent6 6 5 2 7" xfId="10750"/>
    <cellStyle name="20% - Accent6 6 5 3" xfId="10751"/>
    <cellStyle name="20% - Accent6 6 5 3 2" xfId="10752"/>
    <cellStyle name="20% - Accent6 6 5 3 3" xfId="10753"/>
    <cellStyle name="20% - Accent6 6 5 3 4" xfId="10754"/>
    <cellStyle name="20% - Accent6 6 5 3 5" xfId="10755"/>
    <cellStyle name="20% - Accent6 6 5 3 6" xfId="10756"/>
    <cellStyle name="20% - Accent6 6 5 4" xfId="10757"/>
    <cellStyle name="20% - Accent6 6 5 5" xfId="10758"/>
    <cellStyle name="20% - Accent6 6 5 6" xfId="10759"/>
    <cellStyle name="20% - Accent6 6 5 7" xfId="10760"/>
    <cellStyle name="20% - Accent6 6 5 8" xfId="10761"/>
    <cellStyle name="20% - Accent6 6 5 9" xfId="10762"/>
    <cellStyle name="20% - Accent6 6 6" xfId="10763"/>
    <cellStyle name="20% - Accent6 6 6 2" xfId="10764"/>
    <cellStyle name="20% - Accent6 6 6 2 2" xfId="10765"/>
    <cellStyle name="20% - Accent6 6 6 2 3" xfId="10766"/>
    <cellStyle name="20% - Accent6 6 6 2 4" xfId="10767"/>
    <cellStyle name="20% - Accent6 6 6 2 5" xfId="10768"/>
    <cellStyle name="20% - Accent6 6 6 2 6" xfId="10769"/>
    <cellStyle name="20% - Accent6 6 6 2 7" xfId="10770"/>
    <cellStyle name="20% - Accent6 6 6 3" xfId="10771"/>
    <cellStyle name="20% - Accent6 6 6 3 2" xfId="10772"/>
    <cellStyle name="20% - Accent6 6 6 3 3" xfId="10773"/>
    <cellStyle name="20% - Accent6 6 6 3 4" xfId="10774"/>
    <cellStyle name="20% - Accent6 6 6 3 5" xfId="10775"/>
    <cellStyle name="20% - Accent6 6 6 3 6" xfId="10776"/>
    <cellStyle name="20% - Accent6 6 6 4" xfId="10777"/>
    <cellStyle name="20% - Accent6 6 6 5" xfId="10778"/>
    <cellStyle name="20% - Accent6 6 6 6" xfId="10779"/>
    <cellStyle name="20% - Accent6 6 6 7" xfId="10780"/>
    <cellStyle name="20% - Accent6 6 6 8" xfId="10781"/>
    <cellStyle name="20% - Accent6 6 6 9" xfId="10782"/>
    <cellStyle name="20% - Accent6 6 7" xfId="10783"/>
    <cellStyle name="20% - Accent6 6 7 2" xfId="10784"/>
    <cellStyle name="20% - Accent6 6 7 2 2" xfId="10785"/>
    <cellStyle name="20% - Accent6 6 7 2 3" xfId="10786"/>
    <cellStyle name="20% - Accent6 6 7 2 4" xfId="10787"/>
    <cellStyle name="20% - Accent6 6 7 2 5" xfId="10788"/>
    <cellStyle name="20% - Accent6 6 7 2 6" xfId="10789"/>
    <cellStyle name="20% - Accent6 6 7 2 7" xfId="10790"/>
    <cellStyle name="20% - Accent6 6 7 3" xfId="10791"/>
    <cellStyle name="20% - Accent6 6 7 3 2" xfId="10792"/>
    <cellStyle name="20% - Accent6 6 7 3 3" xfId="10793"/>
    <cellStyle name="20% - Accent6 6 7 3 4" xfId="10794"/>
    <cellStyle name="20% - Accent6 6 7 3 5" xfId="10795"/>
    <cellStyle name="20% - Accent6 6 7 3 6" xfId="10796"/>
    <cellStyle name="20% - Accent6 6 7 4" xfId="10797"/>
    <cellStyle name="20% - Accent6 6 7 5" xfId="10798"/>
    <cellStyle name="20% - Accent6 6 7 6" xfId="10799"/>
    <cellStyle name="20% - Accent6 6 7 7" xfId="10800"/>
    <cellStyle name="20% - Accent6 6 7 8" xfId="10801"/>
    <cellStyle name="20% - Accent6 6 7 9" xfId="10802"/>
    <cellStyle name="20% - Accent6 6 8" xfId="10803"/>
    <cellStyle name="20% - Accent6 6 8 2" xfId="10804"/>
    <cellStyle name="20% - Accent6 6 8 2 2" xfId="10805"/>
    <cellStyle name="20% - Accent6 6 8 2 3" xfId="10806"/>
    <cellStyle name="20% - Accent6 6 8 2 4" xfId="10807"/>
    <cellStyle name="20% - Accent6 6 8 2 5" xfId="10808"/>
    <cellStyle name="20% - Accent6 6 8 2 6" xfId="10809"/>
    <cellStyle name="20% - Accent6 6 8 2 7" xfId="10810"/>
    <cellStyle name="20% - Accent6 6 8 3" xfId="10811"/>
    <cellStyle name="20% - Accent6 6 8 3 2" xfId="10812"/>
    <cellStyle name="20% - Accent6 6 8 3 3" xfId="10813"/>
    <cellStyle name="20% - Accent6 6 8 3 4" xfId="10814"/>
    <cellStyle name="20% - Accent6 6 8 3 5" xfId="10815"/>
    <cellStyle name="20% - Accent6 6 8 3 6" xfId="10816"/>
    <cellStyle name="20% - Accent6 6 8 4" xfId="10817"/>
    <cellStyle name="20% - Accent6 6 8 5" xfId="10818"/>
    <cellStyle name="20% - Accent6 6 8 6" xfId="10819"/>
    <cellStyle name="20% - Accent6 6 8 7" xfId="10820"/>
    <cellStyle name="20% - Accent6 6 8 8" xfId="10821"/>
    <cellStyle name="20% - Accent6 6 8 9" xfId="10822"/>
    <cellStyle name="20% - Accent6 6 9" xfId="10823"/>
    <cellStyle name="20% - Accent6 6 9 2" xfId="10824"/>
    <cellStyle name="20% - Accent6 6 9 2 2" xfId="10825"/>
    <cellStyle name="20% - Accent6 6 9 2 3" xfId="10826"/>
    <cellStyle name="20% - Accent6 6 9 2 4" xfId="10827"/>
    <cellStyle name="20% - Accent6 6 9 2 5" xfId="10828"/>
    <cellStyle name="20% - Accent6 6 9 2 6" xfId="10829"/>
    <cellStyle name="20% - Accent6 6 9 3" xfId="10830"/>
    <cellStyle name="20% - Accent6 6 9 4" xfId="10831"/>
    <cellStyle name="20% - Accent6 6 9 5" xfId="10832"/>
    <cellStyle name="20% - Accent6 6 9 6" xfId="10833"/>
    <cellStyle name="20% - Accent6 6 9 7" xfId="10834"/>
    <cellStyle name="20% - Accent6 6 9 8" xfId="10835"/>
    <cellStyle name="20% - Accent6 7" xfId="10836"/>
    <cellStyle name="20% - Accent6 7 10" xfId="10837"/>
    <cellStyle name="20% - Accent6 7 10 2" xfId="10838"/>
    <cellStyle name="20% - Accent6 7 10 3" xfId="10839"/>
    <cellStyle name="20% - Accent6 7 10 4" xfId="10840"/>
    <cellStyle name="20% - Accent6 7 10 5" xfId="10841"/>
    <cellStyle name="20% - Accent6 7 10 6" xfId="10842"/>
    <cellStyle name="20% - Accent6 7 10 7" xfId="10843"/>
    <cellStyle name="20% - Accent6 7 11" xfId="10844"/>
    <cellStyle name="20% - Accent6 7 11 2" xfId="10845"/>
    <cellStyle name="20% - Accent6 7 11 3" xfId="10846"/>
    <cellStyle name="20% - Accent6 7 11 4" xfId="10847"/>
    <cellStyle name="20% - Accent6 7 11 5" xfId="10848"/>
    <cellStyle name="20% - Accent6 7 11 6" xfId="10849"/>
    <cellStyle name="20% - Accent6 7 12" xfId="10850"/>
    <cellStyle name="20% - Accent6 7 12 2" xfId="10851"/>
    <cellStyle name="20% - Accent6 7 13" xfId="10852"/>
    <cellStyle name="20% - Accent6 7 14" xfId="10853"/>
    <cellStyle name="20% - Accent6 7 15" xfId="10854"/>
    <cellStyle name="20% - Accent6 7 16" xfId="10855"/>
    <cellStyle name="20% - Accent6 7 17" xfId="10856"/>
    <cellStyle name="20% - Accent6 7 2" xfId="10857"/>
    <cellStyle name="20% - Accent6 7 2 2" xfId="10858"/>
    <cellStyle name="20% - Accent6 7 2 2 2" xfId="10859"/>
    <cellStyle name="20% - Accent6 7 2 2 3" xfId="10860"/>
    <cellStyle name="20% - Accent6 7 2 2 4" xfId="10861"/>
    <cellStyle name="20% - Accent6 7 2 2 5" xfId="10862"/>
    <cellStyle name="20% - Accent6 7 2 2 6" xfId="10863"/>
    <cellStyle name="20% - Accent6 7 2 2 7" xfId="10864"/>
    <cellStyle name="20% - Accent6 7 2 3" xfId="10865"/>
    <cellStyle name="20% - Accent6 7 2 3 2" xfId="10866"/>
    <cellStyle name="20% - Accent6 7 2 3 3" xfId="10867"/>
    <cellStyle name="20% - Accent6 7 2 3 4" xfId="10868"/>
    <cellStyle name="20% - Accent6 7 2 3 5" xfId="10869"/>
    <cellStyle name="20% - Accent6 7 2 3 6" xfId="10870"/>
    <cellStyle name="20% - Accent6 7 2 4" xfId="10871"/>
    <cellStyle name="20% - Accent6 7 2 4 2" xfId="10872"/>
    <cellStyle name="20% - Accent6 7 2 5" xfId="10873"/>
    <cellStyle name="20% - Accent6 7 2 6" xfId="10874"/>
    <cellStyle name="20% - Accent6 7 2 7" xfId="10875"/>
    <cellStyle name="20% - Accent6 7 2 8" xfId="10876"/>
    <cellStyle name="20% - Accent6 7 2 9" xfId="10877"/>
    <cellStyle name="20% - Accent6 7 3" xfId="10878"/>
    <cellStyle name="20% - Accent6 7 3 2" xfId="10879"/>
    <cellStyle name="20% - Accent6 7 3 2 2" xfId="10880"/>
    <cellStyle name="20% - Accent6 7 3 2 3" xfId="10881"/>
    <cellStyle name="20% - Accent6 7 3 2 4" xfId="10882"/>
    <cellStyle name="20% - Accent6 7 3 2 5" xfId="10883"/>
    <cellStyle name="20% - Accent6 7 3 2 6" xfId="10884"/>
    <cellStyle name="20% - Accent6 7 3 2 7" xfId="10885"/>
    <cellStyle name="20% - Accent6 7 3 3" xfId="10886"/>
    <cellStyle name="20% - Accent6 7 3 3 2" xfId="10887"/>
    <cellStyle name="20% - Accent6 7 3 3 3" xfId="10888"/>
    <cellStyle name="20% - Accent6 7 3 3 4" xfId="10889"/>
    <cellStyle name="20% - Accent6 7 3 3 5" xfId="10890"/>
    <cellStyle name="20% - Accent6 7 3 3 6" xfId="10891"/>
    <cellStyle name="20% - Accent6 7 3 4" xfId="10892"/>
    <cellStyle name="20% - Accent6 7 3 4 2" xfId="10893"/>
    <cellStyle name="20% - Accent6 7 3 5" xfId="10894"/>
    <cellStyle name="20% - Accent6 7 3 6" xfId="10895"/>
    <cellStyle name="20% - Accent6 7 3 7" xfId="10896"/>
    <cellStyle name="20% - Accent6 7 3 8" xfId="10897"/>
    <cellStyle name="20% - Accent6 7 3 9" xfId="10898"/>
    <cellStyle name="20% - Accent6 7 4" xfId="10899"/>
    <cellStyle name="20% - Accent6 7 4 2" xfId="10900"/>
    <cellStyle name="20% - Accent6 7 4 2 2" xfId="10901"/>
    <cellStyle name="20% - Accent6 7 4 2 3" xfId="10902"/>
    <cellStyle name="20% - Accent6 7 4 2 4" xfId="10903"/>
    <cellStyle name="20% - Accent6 7 4 2 5" xfId="10904"/>
    <cellStyle name="20% - Accent6 7 4 2 6" xfId="10905"/>
    <cellStyle name="20% - Accent6 7 4 2 7" xfId="10906"/>
    <cellStyle name="20% - Accent6 7 4 3" xfId="10907"/>
    <cellStyle name="20% - Accent6 7 4 3 2" xfId="10908"/>
    <cellStyle name="20% - Accent6 7 4 3 3" xfId="10909"/>
    <cellStyle name="20% - Accent6 7 4 3 4" xfId="10910"/>
    <cellStyle name="20% - Accent6 7 4 3 5" xfId="10911"/>
    <cellStyle name="20% - Accent6 7 4 3 6" xfId="10912"/>
    <cellStyle name="20% - Accent6 7 4 4" xfId="10913"/>
    <cellStyle name="20% - Accent6 7 4 5" xfId="10914"/>
    <cellStyle name="20% - Accent6 7 4 6" xfId="10915"/>
    <cellStyle name="20% - Accent6 7 4 7" xfId="10916"/>
    <cellStyle name="20% - Accent6 7 4 8" xfId="10917"/>
    <cellStyle name="20% - Accent6 7 4 9" xfId="10918"/>
    <cellStyle name="20% - Accent6 7 5" xfId="10919"/>
    <cellStyle name="20% - Accent6 7 5 2" xfId="10920"/>
    <cellStyle name="20% - Accent6 7 5 2 2" xfId="10921"/>
    <cellStyle name="20% - Accent6 7 5 2 3" xfId="10922"/>
    <cellStyle name="20% - Accent6 7 5 2 4" xfId="10923"/>
    <cellStyle name="20% - Accent6 7 5 2 5" xfId="10924"/>
    <cellStyle name="20% - Accent6 7 5 2 6" xfId="10925"/>
    <cellStyle name="20% - Accent6 7 5 2 7" xfId="10926"/>
    <cellStyle name="20% - Accent6 7 5 3" xfId="10927"/>
    <cellStyle name="20% - Accent6 7 5 3 2" xfId="10928"/>
    <cellStyle name="20% - Accent6 7 5 3 3" xfId="10929"/>
    <cellStyle name="20% - Accent6 7 5 3 4" xfId="10930"/>
    <cellStyle name="20% - Accent6 7 5 3 5" xfId="10931"/>
    <cellStyle name="20% - Accent6 7 5 3 6" xfId="10932"/>
    <cellStyle name="20% - Accent6 7 5 4" xfId="10933"/>
    <cellStyle name="20% - Accent6 7 5 5" xfId="10934"/>
    <cellStyle name="20% - Accent6 7 5 6" xfId="10935"/>
    <cellStyle name="20% - Accent6 7 5 7" xfId="10936"/>
    <cellStyle name="20% - Accent6 7 5 8" xfId="10937"/>
    <cellStyle name="20% - Accent6 7 5 9" xfId="10938"/>
    <cellStyle name="20% - Accent6 7 6" xfId="10939"/>
    <cellStyle name="20% - Accent6 7 6 2" xfId="10940"/>
    <cellStyle name="20% - Accent6 7 6 2 2" xfId="10941"/>
    <cellStyle name="20% - Accent6 7 6 2 3" xfId="10942"/>
    <cellStyle name="20% - Accent6 7 6 2 4" xfId="10943"/>
    <cellStyle name="20% - Accent6 7 6 2 5" xfId="10944"/>
    <cellStyle name="20% - Accent6 7 6 2 6" xfId="10945"/>
    <cellStyle name="20% - Accent6 7 6 2 7" xfId="10946"/>
    <cellStyle name="20% - Accent6 7 6 3" xfId="10947"/>
    <cellStyle name="20% - Accent6 7 6 3 2" xfId="10948"/>
    <cellStyle name="20% - Accent6 7 6 3 3" xfId="10949"/>
    <cellStyle name="20% - Accent6 7 6 3 4" xfId="10950"/>
    <cellStyle name="20% - Accent6 7 6 3 5" xfId="10951"/>
    <cellStyle name="20% - Accent6 7 6 3 6" xfId="10952"/>
    <cellStyle name="20% - Accent6 7 6 4" xfId="10953"/>
    <cellStyle name="20% - Accent6 7 6 5" xfId="10954"/>
    <cellStyle name="20% - Accent6 7 6 6" xfId="10955"/>
    <cellStyle name="20% - Accent6 7 6 7" xfId="10956"/>
    <cellStyle name="20% - Accent6 7 6 8" xfId="10957"/>
    <cellStyle name="20% - Accent6 7 6 9" xfId="10958"/>
    <cellStyle name="20% - Accent6 7 7" xfId="10959"/>
    <cellStyle name="20% - Accent6 7 7 2" xfId="10960"/>
    <cellStyle name="20% - Accent6 7 7 2 2" xfId="10961"/>
    <cellStyle name="20% - Accent6 7 7 2 3" xfId="10962"/>
    <cellStyle name="20% - Accent6 7 7 2 4" xfId="10963"/>
    <cellStyle name="20% - Accent6 7 7 2 5" xfId="10964"/>
    <cellStyle name="20% - Accent6 7 7 2 6" xfId="10965"/>
    <cellStyle name="20% - Accent6 7 7 2 7" xfId="10966"/>
    <cellStyle name="20% - Accent6 7 7 3" xfId="10967"/>
    <cellStyle name="20% - Accent6 7 7 3 2" xfId="10968"/>
    <cellStyle name="20% - Accent6 7 7 3 3" xfId="10969"/>
    <cellStyle name="20% - Accent6 7 7 3 4" xfId="10970"/>
    <cellStyle name="20% - Accent6 7 7 3 5" xfId="10971"/>
    <cellStyle name="20% - Accent6 7 7 3 6" xfId="10972"/>
    <cellStyle name="20% - Accent6 7 7 4" xfId="10973"/>
    <cellStyle name="20% - Accent6 7 7 5" xfId="10974"/>
    <cellStyle name="20% - Accent6 7 7 6" xfId="10975"/>
    <cellStyle name="20% - Accent6 7 7 7" xfId="10976"/>
    <cellStyle name="20% - Accent6 7 7 8" xfId="10977"/>
    <cellStyle name="20% - Accent6 7 7 9" xfId="10978"/>
    <cellStyle name="20% - Accent6 7 8" xfId="10979"/>
    <cellStyle name="20% - Accent6 7 8 2" xfId="10980"/>
    <cellStyle name="20% - Accent6 7 8 2 2" xfId="10981"/>
    <cellStyle name="20% - Accent6 7 8 2 3" xfId="10982"/>
    <cellStyle name="20% - Accent6 7 8 2 4" xfId="10983"/>
    <cellStyle name="20% - Accent6 7 8 2 5" xfId="10984"/>
    <cellStyle name="20% - Accent6 7 8 2 6" xfId="10985"/>
    <cellStyle name="20% - Accent6 7 8 2 7" xfId="10986"/>
    <cellStyle name="20% - Accent6 7 8 3" xfId="10987"/>
    <cellStyle name="20% - Accent6 7 8 3 2" xfId="10988"/>
    <cellStyle name="20% - Accent6 7 8 3 3" xfId="10989"/>
    <cellStyle name="20% - Accent6 7 8 3 4" xfId="10990"/>
    <cellStyle name="20% - Accent6 7 8 3 5" xfId="10991"/>
    <cellStyle name="20% - Accent6 7 8 3 6" xfId="10992"/>
    <cellStyle name="20% - Accent6 7 8 4" xfId="10993"/>
    <cellStyle name="20% - Accent6 7 8 5" xfId="10994"/>
    <cellStyle name="20% - Accent6 7 8 6" xfId="10995"/>
    <cellStyle name="20% - Accent6 7 8 7" xfId="10996"/>
    <cellStyle name="20% - Accent6 7 8 8" xfId="10997"/>
    <cellStyle name="20% - Accent6 7 8 9" xfId="10998"/>
    <cellStyle name="20% - Accent6 7 9" xfId="10999"/>
    <cellStyle name="20% - Accent6 7 9 2" xfId="11000"/>
    <cellStyle name="20% - Accent6 7 9 2 2" xfId="11001"/>
    <cellStyle name="20% - Accent6 7 9 2 3" xfId="11002"/>
    <cellStyle name="20% - Accent6 7 9 2 4" xfId="11003"/>
    <cellStyle name="20% - Accent6 7 9 2 5" xfId="11004"/>
    <cellStyle name="20% - Accent6 7 9 2 6" xfId="11005"/>
    <cellStyle name="20% - Accent6 7 9 3" xfId="11006"/>
    <cellStyle name="20% - Accent6 7 9 4" xfId="11007"/>
    <cellStyle name="20% - Accent6 7 9 5" xfId="11008"/>
    <cellStyle name="20% - Accent6 7 9 6" xfId="11009"/>
    <cellStyle name="20% - Accent6 7 9 7" xfId="11010"/>
    <cellStyle name="20% - Accent6 7 9 8" xfId="11011"/>
    <cellStyle name="20% - Accent6 8" xfId="11012"/>
    <cellStyle name="20% - Accent6 8 10" xfId="11013"/>
    <cellStyle name="20% - Accent6 8 10 2" xfId="11014"/>
    <cellStyle name="20% - Accent6 8 10 3" xfId="11015"/>
    <cellStyle name="20% - Accent6 8 10 4" xfId="11016"/>
    <cellStyle name="20% - Accent6 8 10 5" xfId="11017"/>
    <cellStyle name="20% - Accent6 8 10 6" xfId="11018"/>
    <cellStyle name="20% - Accent6 8 10 7" xfId="11019"/>
    <cellStyle name="20% - Accent6 8 11" xfId="11020"/>
    <cellStyle name="20% - Accent6 8 11 2" xfId="11021"/>
    <cellStyle name="20% - Accent6 8 11 3" xfId="11022"/>
    <cellStyle name="20% - Accent6 8 11 4" xfId="11023"/>
    <cellStyle name="20% - Accent6 8 11 5" xfId="11024"/>
    <cellStyle name="20% - Accent6 8 11 6" xfId="11025"/>
    <cellStyle name="20% - Accent6 8 12" xfId="11026"/>
    <cellStyle name="20% - Accent6 8 12 2" xfId="11027"/>
    <cellStyle name="20% - Accent6 8 13" xfId="11028"/>
    <cellStyle name="20% - Accent6 8 14" xfId="11029"/>
    <cellStyle name="20% - Accent6 8 15" xfId="11030"/>
    <cellStyle name="20% - Accent6 8 16" xfId="11031"/>
    <cellStyle name="20% - Accent6 8 17" xfId="11032"/>
    <cellStyle name="20% - Accent6 8 2" xfId="11033"/>
    <cellStyle name="20% - Accent6 8 2 2" xfId="11034"/>
    <cellStyle name="20% - Accent6 8 2 2 2" xfId="11035"/>
    <cellStyle name="20% - Accent6 8 2 2 3" xfId="11036"/>
    <cellStyle name="20% - Accent6 8 2 2 4" xfId="11037"/>
    <cellStyle name="20% - Accent6 8 2 2 5" xfId="11038"/>
    <cellStyle name="20% - Accent6 8 2 2 6" xfId="11039"/>
    <cellStyle name="20% - Accent6 8 2 2 7" xfId="11040"/>
    <cellStyle name="20% - Accent6 8 2 3" xfId="11041"/>
    <cellStyle name="20% - Accent6 8 2 3 2" xfId="11042"/>
    <cellStyle name="20% - Accent6 8 2 3 3" xfId="11043"/>
    <cellStyle name="20% - Accent6 8 2 3 4" xfId="11044"/>
    <cellStyle name="20% - Accent6 8 2 3 5" xfId="11045"/>
    <cellStyle name="20% - Accent6 8 2 3 6" xfId="11046"/>
    <cellStyle name="20% - Accent6 8 2 4" xfId="11047"/>
    <cellStyle name="20% - Accent6 8 2 4 2" xfId="11048"/>
    <cellStyle name="20% - Accent6 8 2 5" xfId="11049"/>
    <cellStyle name="20% - Accent6 8 2 6" xfId="11050"/>
    <cellStyle name="20% - Accent6 8 2 7" xfId="11051"/>
    <cellStyle name="20% - Accent6 8 2 8" xfId="11052"/>
    <cellStyle name="20% - Accent6 8 2 9" xfId="11053"/>
    <cellStyle name="20% - Accent6 8 3" xfId="11054"/>
    <cellStyle name="20% - Accent6 8 3 2" xfId="11055"/>
    <cellStyle name="20% - Accent6 8 3 2 2" xfId="11056"/>
    <cellStyle name="20% - Accent6 8 3 2 3" xfId="11057"/>
    <cellStyle name="20% - Accent6 8 3 2 4" xfId="11058"/>
    <cellStyle name="20% - Accent6 8 3 2 5" xfId="11059"/>
    <cellStyle name="20% - Accent6 8 3 2 6" xfId="11060"/>
    <cellStyle name="20% - Accent6 8 3 2 7" xfId="11061"/>
    <cellStyle name="20% - Accent6 8 3 3" xfId="11062"/>
    <cellStyle name="20% - Accent6 8 3 3 2" xfId="11063"/>
    <cellStyle name="20% - Accent6 8 3 3 3" xfId="11064"/>
    <cellStyle name="20% - Accent6 8 3 3 4" xfId="11065"/>
    <cellStyle name="20% - Accent6 8 3 3 5" xfId="11066"/>
    <cellStyle name="20% - Accent6 8 3 3 6" xfId="11067"/>
    <cellStyle name="20% - Accent6 8 3 4" xfId="11068"/>
    <cellStyle name="20% - Accent6 8 3 4 2" xfId="11069"/>
    <cellStyle name="20% - Accent6 8 3 5" xfId="11070"/>
    <cellStyle name="20% - Accent6 8 3 6" xfId="11071"/>
    <cellStyle name="20% - Accent6 8 3 7" xfId="11072"/>
    <cellStyle name="20% - Accent6 8 3 8" xfId="11073"/>
    <cellStyle name="20% - Accent6 8 3 9" xfId="11074"/>
    <cellStyle name="20% - Accent6 8 4" xfId="11075"/>
    <cellStyle name="20% - Accent6 8 4 2" xfId="11076"/>
    <cellStyle name="20% - Accent6 8 4 2 2" xfId="11077"/>
    <cellStyle name="20% - Accent6 8 4 2 3" xfId="11078"/>
    <cellStyle name="20% - Accent6 8 4 2 4" xfId="11079"/>
    <cellStyle name="20% - Accent6 8 4 2 5" xfId="11080"/>
    <cellStyle name="20% - Accent6 8 4 2 6" xfId="11081"/>
    <cellStyle name="20% - Accent6 8 4 2 7" xfId="11082"/>
    <cellStyle name="20% - Accent6 8 4 3" xfId="11083"/>
    <cellStyle name="20% - Accent6 8 4 3 2" xfId="11084"/>
    <cellStyle name="20% - Accent6 8 4 3 3" xfId="11085"/>
    <cellStyle name="20% - Accent6 8 4 3 4" xfId="11086"/>
    <cellStyle name="20% - Accent6 8 4 3 5" xfId="11087"/>
    <cellStyle name="20% - Accent6 8 4 3 6" xfId="11088"/>
    <cellStyle name="20% - Accent6 8 4 4" xfId="11089"/>
    <cellStyle name="20% - Accent6 8 4 5" xfId="11090"/>
    <cellStyle name="20% - Accent6 8 4 6" xfId="11091"/>
    <cellStyle name="20% - Accent6 8 4 7" xfId="11092"/>
    <cellStyle name="20% - Accent6 8 4 8" xfId="11093"/>
    <cellStyle name="20% - Accent6 8 4 9" xfId="11094"/>
    <cellStyle name="20% - Accent6 8 5" xfId="11095"/>
    <cellStyle name="20% - Accent6 8 5 2" xfId="11096"/>
    <cellStyle name="20% - Accent6 8 5 2 2" xfId="11097"/>
    <cellStyle name="20% - Accent6 8 5 2 3" xfId="11098"/>
    <cellStyle name="20% - Accent6 8 5 2 4" xfId="11099"/>
    <cellStyle name="20% - Accent6 8 5 2 5" xfId="11100"/>
    <cellStyle name="20% - Accent6 8 5 2 6" xfId="11101"/>
    <cellStyle name="20% - Accent6 8 5 2 7" xfId="11102"/>
    <cellStyle name="20% - Accent6 8 5 3" xfId="11103"/>
    <cellStyle name="20% - Accent6 8 5 3 2" xfId="11104"/>
    <cellStyle name="20% - Accent6 8 5 3 3" xfId="11105"/>
    <cellStyle name="20% - Accent6 8 5 3 4" xfId="11106"/>
    <cellStyle name="20% - Accent6 8 5 3 5" xfId="11107"/>
    <cellStyle name="20% - Accent6 8 5 3 6" xfId="11108"/>
    <cellStyle name="20% - Accent6 8 5 4" xfId="11109"/>
    <cellStyle name="20% - Accent6 8 5 5" xfId="11110"/>
    <cellStyle name="20% - Accent6 8 5 6" xfId="11111"/>
    <cellStyle name="20% - Accent6 8 5 7" xfId="11112"/>
    <cellStyle name="20% - Accent6 8 5 8" xfId="11113"/>
    <cellStyle name="20% - Accent6 8 5 9" xfId="11114"/>
    <cellStyle name="20% - Accent6 8 6" xfId="11115"/>
    <cellStyle name="20% - Accent6 8 6 2" xfId="11116"/>
    <cellStyle name="20% - Accent6 8 6 2 2" xfId="11117"/>
    <cellStyle name="20% - Accent6 8 6 2 3" xfId="11118"/>
    <cellStyle name="20% - Accent6 8 6 2 4" xfId="11119"/>
    <cellStyle name="20% - Accent6 8 6 2 5" xfId="11120"/>
    <cellStyle name="20% - Accent6 8 6 2 6" xfId="11121"/>
    <cellStyle name="20% - Accent6 8 6 2 7" xfId="11122"/>
    <cellStyle name="20% - Accent6 8 6 3" xfId="11123"/>
    <cellStyle name="20% - Accent6 8 6 3 2" xfId="11124"/>
    <cellStyle name="20% - Accent6 8 6 3 3" xfId="11125"/>
    <cellStyle name="20% - Accent6 8 6 3 4" xfId="11126"/>
    <cellStyle name="20% - Accent6 8 6 3 5" xfId="11127"/>
    <cellStyle name="20% - Accent6 8 6 3 6" xfId="11128"/>
    <cellStyle name="20% - Accent6 8 6 4" xfId="11129"/>
    <cellStyle name="20% - Accent6 8 6 5" xfId="11130"/>
    <cellStyle name="20% - Accent6 8 6 6" xfId="11131"/>
    <cellStyle name="20% - Accent6 8 6 7" xfId="11132"/>
    <cellStyle name="20% - Accent6 8 6 8" xfId="11133"/>
    <cellStyle name="20% - Accent6 8 6 9" xfId="11134"/>
    <cellStyle name="20% - Accent6 8 7" xfId="11135"/>
    <cellStyle name="20% - Accent6 8 7 2" xfId="11136"/>
    <cellStyle name="20% - Accent6 8 7 2 2" xfId="11137"/>
    <cellStyle name="20% - Accent6 8 7 2 3" xfId="11138"/>
    <cellStyle name="20% - Accent6 8 7 2 4" xfId="11139"/>
    <cellStyle name="20% - Accent6 8 7 2 5" xfId="11140"/>
    <cellStyle name="20% - Accent6 8 7 2 6" xfId="11141"/>
    <cellStyle name="20% - Accent6 8 7 2 7" xfId="11142"/>
    <cellStyle name="20% - Accent6 8 7 3" xfId="11143"/>
    <cellStyle name="20% - Accent6 8 7 3 2" xfId="11144"/>
    <cellStyle name="20% - Accent6 8 7 3 3" xfId="11145"/>
    <cellStyle name="20% - Accent6 8 7 3 4" xfId="11146"/>
    <cellStyle name="20% - Accent6 8 7 3 5" xfId="11147"/>
    <cellStyle name="20% - Accent6 8 7 3 6" xfId="11148"/>
    <cellStyle name="20% - Accent6 8 7 4" xfId="11149"/>
    <cellStyle name="20% - Accent6 8 7 5" xfId="11150"/>
    <cellStyle name="20% - Accent6 8 7 6" xfId="11151"/>
    <cellStyle name="20% - Accent6 8 7 7" xfId="11152"/>
    <cellStyle name="20% - Accent6 8 7 8" xfId="11153"/>
    <cellStyle name="20% - Accent6 8 7 9" xfId="11154"/>
    <cellStyle name="20% - Accent6 8 8" xfId="11155"/>
    <cellStyle name="20% - Accent6 8 8 2" xfId="11156"/>
    <cellStyle name="20% - Accent6 8 8 2 2" xfId="11157"/>
    <cellStyle name="20% - Accent6 8 8 2 3" xfId="11158"/>
    <cellStyle name="20% - Accent6 8 8 2 4" xfId="11159"/>
    <cellStyle name="20% - Accent6 8 8 2 5" xfId="11160"/>
    <cellStyle name="20% - Accent6 8 8 2 6" xfId="11161"/>
    <cellStyle name="20% - Accent6 8 8 2 7" xfId="11162"/>
    <cellStyle name="20% - Accent6 8 8 3" xfId="11163"/>
    <cellStyle name="20% - Accent6 8 8 3 2" xfId="11164"/>
    <cellStyle name="20% - Accent6 8 8 3 3" xfId="11165"/>
    <cellStyle name="20% - Accent6 8 8 3 4" xfId="11166"/>
    <cellStyle name="20% - Accent6 8 8 3 5" xfId="11167"/>
    <cellStyle name="20% - Accent6 8 8 3 6" xfId="11168"/>
    <cellStyle name="20% - Accent6 8 8 4" xfId="11169"/>
    <cellStyle name="20% - Accent6 8 8 5" xfId="11170"/>
    <cellStyle name="20% - Accent6 8 8 6" xfId="11171"/>
    <cellStyle name="20% - Accent6 8 8 7" xfId="11172"/>
    <cellStyle name="20% - Accent6 8 8 8" xfId="11173"/>
    <cellStyle name="20% - Accent6 8 8 9" xfId="11174"/>
    <cellStyle name="20% - Accent6 8 9" xfId="11175"/>
    <cellStyle name="20% - Accent6 8 9 2" xfId="11176"/>
    <cellStyle name="20% - Accent6 8 9 2 2" xfId="11177"/>
    <cellStyle name="20% - Accent6 8 9 2 3" xfId="11178"/>
    <cellStyle name="20% - Accent6 8 9 2 4" xfId="11179"/>
    <cellStyle name="20% - Accent6 8 9 2 5" xfId="11180"/>
    <cellStyle name="20% - Accent6 8 9 2 6" xfId="11181"/>
    <cellStyle name="20% - Accent6 8 9 3" xfId="11182"/>
    <cellStyle name="20% - Accent6 8 9 4" xfId="11183"/>
    <cellStyle name="20% - Accent6 8 9 5" xfId="11184"/>
    <cellStyle name="20% - Accent6 8 9 6" xfId="11185"/>
    <cellStyle name="20% - Accent6 8 9 7" xfId="11186"/>
    <cellStyle name="20% - Accent6 8 9 8" xfId="11187"/>
    <cellStyle name="20% - Accent6 9" xfId="11188"/>
    <cellStyle name="20% - Accent6 9 2" xfId="11189"/>
    <cellStyle name="20% - Accent6 9 3" xfId="11190"/>
    <cellStyle name="20% - Accent6 9 4" xfId="1119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92"/>
    <cellStyle name="40% - Accent1 10 2" xfId="11193"/>
    <cellStyle name="40% - Accent1 10 2 2" xfId="11194"/>
    <cellStyle name="40% - Accent1 10 2 2 2" xfId="11195"/>
    <cellStyle name="40% - Accent1 10 2 3" xfId="11196"/>
    <cellStyle name="40% - Accent1 10 2 4" xfId="11197"/>
    <cellStyle name="40% - Accent1 10 2 5" xfId="11198"/>
    <cellStyle name="40% - Accent1 10 2 6" xfId="11199"/>
    <cellStyle name="40% - Accent1 10 2 7" xfId="11200"/>
    <cellStyle name="40% - Accent1 10 3" xfId="11201"/>
    <cellStyle name="40% - Accent1 10 3 2" xfId="11202"/>
    <cellStyle name="40% - Accent1 10 3 2 2" xfId="11203"/>
    <cellStyle name="40% - Accent1 10 3 3" xfId="11204"/>
    <cellStyle name="40% - Accent1 10 3 4" xfId="11205"/>
    <cellStyle name="40% - Accent1 10 3 5" xfId="11206"/>
    <cellStyle name="40% - Accent1 10 3 6" xfId="11207"/>
    <cellStyle name="40% - Accent1 10 4" xfId="11208"/>
    <cellStyle name="40% - Accent1 10 4 2" xfId="11209"/>
    <cellStyle name="40% - Accent1 10 5" xfId="11210"/>
    <cellStyle name="40% - Accent1 10 6" xfId="11211"/>
    <cellStyle name="40% - Accent1 10 7" xfId="11212"/>
    <cellStyle name="40% - Accent1 10 8" xfId="11213"/>
    <cellStyle name="40% - Accent1 10 9" xfId="11214"/>
    <cellStyle name="40% - Accent1 11" xfId="11215"/>
    <cellStyle name="40% - Accent1 11 2" xfId="11216"/>
    <cellStyle name="40% - Accent1 11 2 2" xfId="11217"/>
    <cellStyle name="40% - Accent1 11 2 2 2" xfId="11218"/>
    <cellStyle name="40% - Accent1 11 2 3" xfId="11219"/>
    <cellStyle name="40% - Accent1 11 2 4" xfId="11220"/>
    <cellStyle name="40% - Accent1 11 2 5" xfId="11221"/>
    <cellStyle name="40% - Accent1 11 2 6" xfId="11222"/>
    <cellStyle name="40% - Accent1 11 2 7" xfId="11223"/>
    <cellStyle name="40% - Accent1 11 3" xfId="11224"/>
    <cellStyle name="40% - Accent1 11 3 2" xfId="11225"/>
    <cellStyle name="40% - Accent1 11 3 2 2" xfId="11226"/>
    <cellStyle name="40% - Accent1 11 3 3" xfId="11227"/>
    <cellStyle name="40% - Accent1 11 3 4" xfId="11228"/>
    <cellStyle name="40% - Accent1 11 3 5" xfId="11229"/>
    <cellStyle name="40% - Accent1 11 3 6" xfId="11230"/>
    <cellStyle name="40% - Accent1 11 4" xfId="11231"/>
    <cellStyle name="40% - Accent1 11 4 2" xfId="11232"/>
    <cellStyle name="40% - Accent1 11 5" xfId="11233"/>
    <cellStyle name="40% - Accent1 11 6" xfId="11234"/>
    <cellStyle name="40% - Accent1 11 7" xfId="11235"/>
    <cellStyle name="40% - Accent1 11 8" xfId="11236"/>
    <cellStyle name="40% - Accent1 11 9" xfId="11237"/>
    <cellStyle name="40% - Accent1 12" xfId="11238"/>
    <cellStyle name="40% - Accent1 12 2" xfId="11239"/>
    <cellStyle name="40% - Accent1 12 2 2" xfId="11240"/>
    <cellStyle name="40% - Accent1 12 2 2 2" xfId="11241"/>
    <cellStyle name="40% - Accent1 12 2 3" xfId="11242"/>
    <cellStyle name="40% - Accent1 12 2 4" xfId="11243"/>
    <cellStyle name="40% - Accent1 12 2 5" xfId="11244"/>
    <cellStyle name="40% - Accent1 12 2 6" xfId="11245"/>
    <cellStyle name="40% - Accent1 12 2 7" xfId="11246"/>
    <cellStyle name="40% - Accent1 12 3" xfId="11247"/>
    <cellStyle name="40% - Accent1 12 3 2" xfId="11248"/>
    <cellStyle name="40% - Accent1 12 3 2 2" xfId="11249"/>
    <cellStyle name="40% - Accent1 12 3 3" xfId="11250"/>
    <cellStyle name="40% - Accent1 12 3 4" xfId="11251"/>
    <cellStyle name="40% - Accent1 12 3 5" xfId="11252"/>
    <cellStyle name="40% - Accent1 12 3 6" xfId="11253"/>
    <cellStyle name="40% - Accent1 12 4" xfId="11254"/>
    <cellStyle name="40% - Accent1 12 4 2" xfId="11255"/>
    <cellStyle name="40% - Accent1 12 5" xfId="11256"/>
    <cellStyle name="40% - Accent1 12 6" xfId="11257"/>
    <cellStyle name="40% - Accent1 12 7" xfId="11258"/>
    <cellStyle name="40% - Accent1 12 8" xfId="11259"/>
    <cellStyle name="40% - Accent1 12 9" xfId="11260"/>
    <cellStyle name="40% - Accent1 13" xfId="11261"/>
    <cellStyle name="40% - Accent1 13 2" xfId="11262"/>
    <cellStyle name="40% - Accent1 13 2 2" xfId="11263"/>
    <cellStyle name="40% - Accent1 13 2 2 2" xfId="11264"/>
    <cellStyle name="40% - Accent1 13 2 3" xfId="11265"/>
    <cellStyle name="40% - Accent1 13 2 4" xfId="11266"/>
    <cellStyle name="40% - Accent1 13 2 5" xfId="11267"/>
    <cellStyle name="40% - Accent1 13 2 6" xfId="11268"/>
    <cellStyle name="40% - Accent1 13 2 7" xfId="11269"/>
    <cellStyle name="40% - Accent1 13 3" xfId="11270"/>
    <cellStyle name="40% - Accent1 13 3 2" xfId="11271"/>
    <cellStyle name="40% - Accent1 13 3 2 2" xfId="11272"/>
    <cellStyle name="40% - Accent1 13 3 3" xfId="11273"/>
    <cellStyle name="40% - Accent1 13 3 4" xfId="11274"/>
    <cellStyle name="40% - Accent1 13 3 5" xfId="11275"/>
    <cellStyle name="40% - Accent1 13 3 6" xfId="11276"/>
    <cellStyle name="40% - Accent1 13 4" xfId="11277"/>
    <cellStyle name="40% - Accent1 13 4 2" xfId="11278"/>
    <cellStyle name="40% - Accent1 13 5" xfId="11279"/>
    <cellStyle name="40% - Accent1 13 6" xfId="11280"/>
    <cellStyle name="40% - Accent1 13 7" xfId="11281"/>
    <cellStyle name="40% - Accent1 13 8" xfId="11282"/>
    <cellStyle name="40% - Accent1 13 9" xfId="11283"/>
    <cellStyle name="40% - Accent1 14" xfId="11284"/>
    <cellStyle name="40% - Accent1 14 2" xfId="11285"/>
    <cellStyle name="40% - Accent1 14 2 2" xfId="11286"/>
    <cellStyle name="40% - Accent1 14 2 2 2" xfId="11287"/>
    <cellStyle name="40% - Accent1 14 2 3" xfId="11288"/>
    <cellStyle name="40% - Accent1 14 2 4" xfId="11289"/>
    <cellStyle name="40% - Accent1 14 2 5" xfId="11290"/>
    <cellStyle name="40% - Accent1 14 2 6" xfId="11291"/>
    <cellStyle name="40% - Accent1 14 2 7" xfId="11292"/>
    <cellStyle name="40% - Accent1 14 3" xfId="11293"/>
    <cellStyle name="40% - Accent1 14 3 2" xfId="11294"/>
    <cellStyle name="40% - Accent1 14 3 2 2" xfId="11295"/>
    <cellStyle name="40% - Accent1 14 3 3" xfId="11296"/>
    <cellStyle name="40% - Accent1 14 3 4" xfId="11297"/>
    <cellStyle name="40% - Accent1 14 3 5" xfId="11298"/>
    <cellStyle name="40% - Accent1 14 3 6" xfId="11299"/>
    <cellStyle name="40% - Accent1 14 4" xfId="11300"/>
    <cellStyle name="40% - Accent1 14 4 2" xfId="11301"/>
    <cellStyle name="40% - Accent1 14 5" xfId="11302"/>
    <cellStyle name="40% - Accent1 14 6" xfId="11303"/>
    <cellStyle name="40% - Accent1 14 7" xfId="11304"/>
    <cellStyle name="40% - Accent1 14 8" xfId="11305"/>
    <cellStyle name="40% - Accent1 14 9" xfId="11306"/>
    <cellStyle name="40% - Accent1 15" xfId="11307"/>
    <cellStyle name="40% - Accent1 15 2" xfId="11308"/>
    <cellStyle name="40% - Accent1 15 2 2" xfId="11309"/>
    <cellStyle name="40% - Accent1 15 2 2 2" xfId="11310"/>
    <cellStyle name="40% - Accent1 15 2 3" xfId="11311"/>
    <cellStyle name="40% - Accent1 15 2 4" xfId="11312"/>
    <cellStyle name="40% - Accent1 15 2 5" xfId="11313"/>
    <cellStyle name="40% - Accent1 15 2 6" xfId="11314"/>
    <cellStyle name="40% - Accent1 15 2 7" xfId="11315"/>
    <cellStyle name="40% - Accent1 15 3" xfId="11316"/>
    <cellStyle name="40% - Accent1 15 3 2" xfId="11317"/>
    <cellStyle name="40% - Accent1 15 3 2 2" xfId="11318"/>
    <cellStyle name="40% - Accent1 15 3 3" xfId="11319"/>
    <cellStyle name="40% - Accent1 15 3 4" xfId="11320"/>
    <cellStyle name="40% - Accent1 15 3 5" xfId="11321"/>
    <cellStyle name="40% - Accent1 15 3 6" xfId="11322"/>
    <cellStyle name="40% - Accent1 15 4" xfId="11323"/>
    <cellStyle name="40% - Accent1 15 4 2" xfId="11324"/>
    <cellStyle name="40% - Accent1 15 5" xfId="11325"/>
    <cellStyle name="40% - Accent1 15 6" xfId="11326"/>
    <cellStyle name="40% - Accent1 15 7" xfId="11327"/>
    <cellStyle name="40% - Accent1 15 8" xfId="11328"/>
    <cellStyle name="40% - Accent1 15 9" xfId="11329"/>
    <cellStyle name="40% - Accent1 16" xfId="11330"/>
    <cellStyle name="40% - Accent1 16 2" xfId="11331"/>
    <cellStyle name="40% - Accent1 16 2 2" xfId="11332"/>
    <cellStyle name="40% - Accent1 16 2 2 2" xfId="11333"/>
    <cellStyle name="40% - Accent1 16 2 3" xfId="11334"/>
    <cellStyle name="40% - Accent1 16 2 4" xfId="11335"/>
    <cellStyle name="40% - Accent1 16 2 5" xfId="11336"/>
    <cellStyle name="40% - Accent1 16 2 6" xfId="11337"/>
    <cellStyle name="40% - Accent1 16 2 7" xfId="11338"/>
    <cellStyle name="40% - Accent1 16 3" xfId="11339"/>
    <cellStyle name="40% - Accent1 16 3 2" xfId="11340"/>
    <cellStyle name="40% - Accent1 16 3 2 2" xfId="11341"/>
    <cellStyle name="40% - Accent1 16 3 3" xfId="11342"/>
    <cellStyle name="40% - Accent1 16 3 4" xfId="11343"/>
    <cellStyle name="40% - Accent1 16 3 5" xfId="11344"/>
    <cellStyle name="40% - Accent1 16 3 6" xfId="11345"/>
    <cellStyle name="40% - Accent1 16 4" xfId="11346"/>
    <cellStyle name="40% - Accent1 16 4 2" xfId="11347"/>
    <cellStyle name="40% - Accent1 16 5" xfId="11348"/>
    <cellStyle name="40% - Accent1 16 6" xfId="11349"/>
    <cellStyle name="40% - Accent1 16 7" xfId="11350"/>
    <cellStyle name="40% - Accent1 16 8" xfId="11351"/>
    <cellStyle name="40% - Accent1 16 9" xfId="11352"/>
    <cellStyle name="40% - Accent1 17" xfId="11353"/>
    <cellStyle name="40% - Accent1 17 2" xfId="11354"/>
    <cellStyle name="40% - Accent1 17 2 2" xfId="11355"/>
    <cellStyle name="40% - Accent1 17 2 2 2" xfId="11356"/>
    <cellStyle name="40% - Accent1 17 2 3" xfId="11357"/>
    <cellStyle name="40% - Accent1 17 2 4" xfId="11358"/>
    <cellStyle name="40% - Accent1 17 2 5" xfId="11359"/>
    <cellStyle name="40% - Accent1 17 2 6" xfId="11360"/>
    <cellStyle name="40% - Accent1 17 3" xfId="11361"/>
    <cellStyle name="40% - Accent1 17 3 2" xfId="11362"/>
    <cellStyle name="40% - Accent1 17 4" xfId="11363"/>
    <cellStyle name="40% - Accent1 17 4 2" xfId="11364"/>
    <cellStyle name="40% - Accent1 17 5" xfId="11365"/>
    <cellStyle name="40% - Accent1 17 6" xfId="11366"/>
    <cellStyle name="40% - Accent1 17 7" xfId="11367"/>
    <cellStyle name="40% - Accent1 17 8" xfId="11368"/>
    <cellStyle name="40% - Accent1 18" xfId="11369"/>
    <cellStyle name="40% - Accent1 18 2" xfId="11370"/>
    <cellStyle name="40% - Accent1 18 2 2" xfId="11371"/>
    <cellStyle name="40% - Accent1 18 3" xfId="11372"/>
    <cellStyle name="40% - Accent1 18 3 2" xfId="11373"/>
    <cellStyle name="40% - Accent1 18 4" xfId="11374"/>
    <cellStyle name="40% - Accent1 18 4 2" xfId="11375"/>
    <cellStyle name="40% - Accent1 18 5" xfId="11376"/>
    <cellStyle name="40% - Accent1 18 6" xfId="11377"/>
    <cellStyle name="40% - Accent1 18 7" xfId="11378"/>
    <cellStyle name="40% - Accent1 19" xfId="11379"/>
    <cellStyle name="40% - Accent1 19 2" xfId="11380"/>
    <cellStyle name="40% - Accent1 19 2 2" xfId="11381"/>
    <cellStyle name="40% - Accent1 19 3" xfId="11382"/>
    <cellStyle name="40% - Accent1 19 3 2" xfId="11383"/>
    <cellStyle name="40% - Accent1 19 4" xfId="11384"/>
    <cellStyle name="40% - Accent1 19 4 2" xfId="11385"/>
    <cellStyle name="40% - Accent1 19 5" xfId="11386"/>
    <cellStyle name="40% - Accent1 19 6" xfId="11387"/>
    <cellStyle name="40% - Accent1 2" xfId="380"/>
    <cellStyle name="40% - Accent1 2 10" xfId="11388"/>
    <cellStyle name="40% - Accent1 2 10 2" xfId="11389"/>
    <cellStyle name="40% - Accent1 2 10 2 2" xfId="11390"/>
    <cellStyle name="40% - Accent1 2 10 2 3" xfId="11391"/>
    <cellStyle name="40% - Accent1 2 10 2 4" xfId="11392"/>
    <cellStyle name="40% - Accent1 2 10 2 5" xfId="11393"/>
    <cellStyle name="40% - Accent1 2 10 2 6" xfId="11394"/>
    <cellStyle name="40% - Accent1 2 10 3" xfId="11395"/>
    <cellStyle name="40% - Accent1 2 10 3 2" xfId="11396"/>
    <cellStyle name="40% - Accent1 2 10 4" xfId="11397"/>
    <cellStyle name="40% - Accent1 2 10 5" xfId="11398"/>
    <cellStyle name="40% - Accent1 2 10 6" xfId="11399"/>
    <cellStyle name="40% - Accent1 2 10 7" xfId="11400"/>
    <cellStyle name="40% - Accent1 2 10 8" xfId="11401"/>
    <cellStyle name="40% - Accent1 2 11" xfId="11402"/>
    <cellStyle name="40% - Accent1 2 11 2" xfId="11403"/>
    <cellStyle name="40% - Accent1 2 11 2 2" xfId="11404"/>
    <cellStyle name="40% - Accent1 2 11 3" xfId="11405"/>
    <cellStyle name="40% - Accent1 2 11 4" xfId="11406"/>
    <cellStyle name="40% - Accent1 2 11 5" xfId="11407"/>
    <cellStyle name="40% - Accent1 2 11 6" xfId="11408"/>
    <cellStyle name="40% - Accent1 2 11 7" xfId="11409"/>
    <cellStyle name="40% - Accent1 2 12" xfId="11410"/>
    <cellStyle name="40% - Accent1 2 12 2" xfId="11411"/>
    <cellStyle name="40% - Accent1 2 12 2 2" xfId="11412"/>
    <cellStyle name="40% - Accent1 2 12 3" xfId="11413"/>
    <cellStyle name="40% - Accent1 2 12 4" xfId="11414"/>
    <cellStyle name="40% - Accent1 2 12 5" xfId="11415"/>
    <cellStyle name="40% - Accent1 2 12 6" xfId="11416"/>
    <cellStyle name="40% - Accent1 2 13" xfId="11417"/>
    <cellStyle name="40% - Accent1 2 13 2" xfId="11418"/>
    <cellStyle name="40% - Accent1 2 14" xfId="11419"/>
    <cellStyle name="40% - Accent1 2 14 2" xfId="11420"/>
    <cellStyle name="40% - Accent1 2 15" xfId="11421"/>
    <cellStyle name="40% - Accent1 2 15 2" xfId="11422"/>
    <cellStyle name="40% - Accent1 2 16" xfId="11423"/>
    <cellStyle name="40% - Accent1 2 16 2" xfId="11424"/>
    <cellStyle name="40% - Accent1 2 17" xfId="11425"/>
    <cellStyle name="40% - Accent1 2 17 2" xfId="11426"/>
    <cellStyle name="40% - Accent1 2 18" xfId="11427"/>
    <cellStyle name="40% - Accent1 2 19" xfId="11428"/>
    <cellStyle name="40% - Accent1 2 2" xfId="1479"/>
    <cellStyle name="40% - Accent1 2 2 2" xfId="1480"/>
    <cellStyle name="40% - Accent1 2 2 2 2" xfId="11429"/>
    <cellStyle name="40% - Accent1 2 2 2 3" xfId="11430"/>
    <cellStyle name="40% - Accent1 2 2 3" xfId="11431"/>
    <cellStyle name="40% - Accent1 2 2 4" xfId="11432"/>
    <cellStyle name="40% - Accent1 2 20" xfId="11433"/>
    <cellStyle name="40% - Accent1 2 21" xfId="11434"/>
    <cellStyle name="40% - Accent1 2 22" xfId="11435"/>
    <cellStyle name="40% - Accent1 2 23" xfId="11436"/>
    <cellStyle name="40% - Accent1 2 24" xfId="11437"/>
    <cellStyle name="40% - Accent1 2 25" xfId="11438"/>
    <cellStyle name="40% - Accent1 2 26" xfId="11439"/>
    <cellStyle name="40% - Accent1 2 27" xfId="11440"/>
    <cellStyle name="40% - Accent1 2 28" xfId="11441"/>
    <cellStyle name="40% - Accent1 2 29" xfId="11442"/>
    <cellStyle name="40% - Accent1 2 3" xfId="1481"/>
    <cellStyle name="40% - Accent1 2 3 10" xfId="11443"/>
    <cellStyle name="40% - Accent1 2 3 11" xfId="11444"/>
    <cellStyle name="40% - Accent1 2 3 2" xfId="1482"/>
    <cellStyle name="40% - Accent1 2 3 2 2" xfId="11445"/>
    <cellStyle name="40% - Accent1 2 3 2 3" xfId="11446"/>
    <cellStyle name="40% - Accent1 2 3 2 4" xfId="11447"/>
    <cellStyle name="40% - Accent1 2 3 2 5" xfId="11448"/>
    <cellStyle name="40% - Accent1 2 3 2 6" xfId="11449"/>
    <cellStyle name="40% - Accent1 2 3 2 7" xfId="11450"/>
    <cellStyle name="40% - Accent1 2 3 2 8" xfId="11451"/>
    <cellStyle name="40% - Accent1 2 3 2 9" xfId="11452"/>
    <cellStyle name="40% - Accent1 2 3 3" xfId="11453"/>
    <cellStyle name="40% - Accent1 2 3 3 2" xfId="11454"/>
    <cellStyle name="40% - Accent1 2 3 3 3" xfId="11455"/>
    <cellStyle name="40% - Accent1 2 3 3 4" xfId="11456"/>
    <cellStyle name="40% - Accent1 2 3 3 5" xfId="11457"/>
    <cellStyle name="40% - Accent1 2 3 3 6" xfId="11458"/>
    <cellStyle name="40% - Accent1 2 3 4" xfId="11459"/>
    <cellStyle name="40% - Accent1 2 3 4 2" xfId="11460"/>
    <cellStyle name="40% - Accent1 2 3 5" xfId="11461"/>
    <cellStyle name="40% - Accent1 2 3 6" xfId="11462"/>
    <cellStyle name="40% - Accent1 2 3 7" xfId="11463"/>
    <cellStyle name="40% - Accent1 2 3 8" xfId="11464"/>
    <cellStyle name="40% - Accent1 2 3 9" xfId="11465"/>
    <cellStyle name="40% - Accent1 2 30" xfId="11466"/>
    <cellStyle name="40% - Accent1 2 31" xfId="11467"/>
    <cellStyle name="40% - Accent1 2 32" xfId="11468"/>
    <cellStyle name="40% - Accent1 2 33" xfId="11469"/>
    <cellStyle name="40% - Accent1 2 34" xfId="11470"/>
    <cellStyle name="40% - Accent1 2 35" xfId="11471"/>
    <cellStyle name="40% - Accent1 2 4" xfId="1483"/>
    <cellStyle name="40% - Accent1 2 4 10" xfId="11472"/>
    <cellStyle name="40% - Accent1 2 4 11" xfId="11473"/>
    <cellStyle name="40% - Accent1 2 4 2" xfId="11474"/>
    <cellStyle name="40% - Accent1 2 4 2 2" xfId="11475"/>
    <cellStyle name="40% - Accent1 2 4 2 3" xfId="11476"/>
    <cellStyle name="40% - Accent1 2 4 2 4" xfId="11477"/>
    <cellStyle name="40% - Accent1 2 4 2 5" xfId="11478"/>
    <cellStyle name="40% - Accent1 2 4 2 6" xfId="11479"/>
    <cellStyle name="40% - Accent1 2 4 2 7" xfId="11480"/>
    <cellStyle name="40% - Accent1 2 4 3" xfId="11481"/>
    <cellStyle name="40% - Accent1 2 4 3 2" xfId="11482"/>
    <cellStyle name="40% - Accent1 2 4 3 3" xfId="11483"/>
    <cellStyle name="40% - Accent1 2 4 3 4" xfId="11484"/>
    <cellStyle name="40% - Accent1 2 4 3 5" xfId="11485"/>
    <cellStyle name="40% - Accent1 2 4 3 6" xfId="11486"/>
    <cellStyle name="40% - Accent1 2 4 4" xfId="11487"/>
    <cellStyle name="40% - Accent1 2 4 4 2" xfId="11488"/>
    <cellStyle name="40% - Accent1 2 4 5" xfId="11489"/>
    <cellStyle name="40% - Accent1 2 4 6" xfId="11490"/>
    <cellStyle name="40% - Accent1 2 4 7" xfId="11491"/>
    <cellStyle name="40% - Accent1 2 4 8" xfId="11492"/>
    <cellStyle name="40% - Accent1 2 4 9" xfId="11493"/>
    <cellStyle name="40% - Accent1 2 5" xfId="1484"/>
    <cellStyle name="40% - Accent1 2 5 10" xfId="11494"/>
    <cellStyle name="40% - Accent1 2 5 11" xfId="11495"/>
    <cellStyle name="40% - Accent1 2 5 2" xfId="11496"/>
    <cellStyle name="40% - Accent1 2 5 2 2" xfId="11497"/>
    <cellStyle name="40% - Accent1 2 5 2 3" xfId="11498"/>
    <cellStyle name="40% - Accent1 2 5 2 4" xfId="11499"/>
    <cellStyle name="40% - Accent1 2 5 2 5" xfId="11500"/>
    <cellStyle name="40% - Accent1 2 5 2 6" xfId="11501"/>
    <cellStyle name="40% - Accent1 2 5 2 7" xfId="11502"/>
    <cellStyle name="40% - Accent1 2 5 3" xfId="11503"/>
    <cellStyle name="40% - Accent1 2 5 3 2" xfId="11504"/>
    <cellStyle name="40% - Accent1 2 5 3 3" xfId="11505"/>
    <cellStyle name="40% - Accent1 2 5 3 4" xfId="11506"/>
    <cellStyle name="40% - Accent1 2 5 3 5" xfId="11507"/>
    <cellStyle name="40% - Accent1 2 5 3 6" xfId="11508"/>
    <cellStyle name="40% - Accent1 2 5 4" xfId="11509"/>
    <cellStyle name="40% - Accent1 2 5 4 2" xfId="11510"/>
    <cellStyle name="40% - Accent1 2 5 5" xfId="11511"/>
    <cellStyle name="40% - Accent1 2 5 6" xfId="11512"/>
    <cellStyle name="40% - Accent1 2 5 7" xfId="11513"/>
    <cellStyle name="40% - Accent1 2 5 8" xfId="11514"/>
    <cellStyle name="40% - Accent1 2 5 9" xfId="11515"/>
    <cellStyle name="40% - Accent1 2 6" xfId="1485"/>
    <cellStyle name="40% - Accent1 2 6 10" xfId="11516"/>
    <cellStyle name="40% - Accent1 2 6 11" xfId="11517"/>
    <cellStyle name="40% - Accent1 2 6 2" xfId="11518"/>
    <cellStyle name="40% - Accent1 2 6 2 2" xfId="11519"/>
    <cellStyle name="40% - Accent1 2 6 2 3" xfId="11520"/>
    <cellStyle name="40% - Accent1 2 6 2 4" xfId="11521"/>
    <cellStyle name="40% - Accent1 2 6 2 5" xfId="11522"/>
    <cellStyle name="40% - Accent1 2 6 2 6" xfId="11523"/>
    <cellStyle name="40% - Accent1 2 6 2 7" xfId="11524"/>
    <cellStyle name="40% - Accent1 2 6 3" xfId="11525"/>
    <cellStyle name="40% - Accent1 2 6 3 2" xfId="11526"/>
    <cellStyle name="40% - Accent1 2 6 3 3" xfId="11527"/>
    <cellStyle name="40% - Accent1 2 6 3 4" xfId="11528"/>
    <cellStyle name="40% - Accent1 2 6 3 5" xfId="11529"/>
    <cellStyle name="40% - Accent1 2 6 3 6" xfId="11530"/>
    <cellStyle name="40% - Accent1 2 6 4" xfId="11531"/>
    <cellStyle name="40% - Accent1 2 6 4 2" xfId="11532"/>
    <cellStyle name="40% - Accent1 2 6 5" xfId="11533"/>
    <cellStyle name="40% - Accent1 2 6 6" xfId="11534"/>
    <cellStyle name="40% - Accent1 2 6 7" xfId="11535"/>
    <cellStyle name="40% - Accent1 2 6 8" xfId="11536"/>
    <cellStyle name="40% - Accent1 2 6 9" xfId="11537"/>
    <cellStyle name="40% - Accent1 2 7" xfId="1478"/>
    <cellStyle name="40% - Accent1 2 7 10" xfId="11538"/>
    <cellStyle name="40% - Accent1 2 7 2" xfId="11539"/>
    <cellStyle name="40% - Accent1 2 7 2 2" xfId="11540"/>
    <cellStyle name="40% - Accent1 2 7 2 3" xfId="11541"/>
    <cellStyle name="40% - Accent1 2 7 2 4" xfId="11542"/>
    <cellStyle name="40% - Accent1 2 7 2 5" xfId="11543"/>
    <cellStyle name="40% - Accent1 2 7 2 6" xfId="11544"/>
    <cellStyle name="40% - Accent1 2 7 2 7" xfId="11545"/>
    <cellStyle name="40% - Accent1 2 7 3" xfId="11546"/>
    <cellStyle name="40% - Accent1 2 7 3 2" xfId="11547"/>
    <cellStyle name="40% - Accent1 2 7 3 3" xfId="11548"/>
    <cellStyle name="40% - Accent1 2 7 3 4" xfId="11549"/>
    <cellStyle name="40% - Accent1 2 7 3 5" xfId="11550"/>
    <cellStyle name="40% - Accent1 2 7 3 6" xfId="11551"/>
    <cellStyle name="40% - Accent1 2 7 4" xfId="11552"/>
    <cellStyle name="40% - Accent1 2 7 4 2" xfId="11553"/>
    <cellStyle name="40% - Accent1 2 7 5" xfId="11554"/>
    <cellStyle name="40% - Accent1 2 7 6" xfId="11555"/>
    <cellStyle name="40% - Accent1 2 7 7" xfId="11556"/>
    <cellStyle name="40% - Accent1 2 7 8" xfId="11557"/>
    <cellStyle name="40% - Accent1 2 7 9" xfId="11558"/>
    <cellStyle name="40% - Accent1 2 8" xfId="11559"/>
    <cellStyle name="40% - Accent1 2 8 2" xfId="11560"/>
    <cellStyle name="40% - Accent1 2 8 2 2" xfId="11561"/>
    <cellStyle name="40% - Accent1 2 8 2 3" xfId="11562"/>
    <cellStyle name="40% - Accent1 2 8 2 4" xfId="11563"/>
    <cellStyle name="40% - Accent1 2 8 2 5" xfId="11564"/>
    <cellStyle name="40% - Accent1 2 8 2 6" xfId="11565"/>
    <cellStyle name="40% - Accent1 2 8 2 7" xfId="11566"/>
    <cellStyle name="40% - Accent1 2 8 3" xfId="11567"/>
    <cellStyle name="40% - Accent1 2 8 3 2" xfId="11568"/>
    <cellStyle name="40% - Accent1 2 8 3 3" xfId="11569"/>
    <cellStyle name="40% - Accent1 2 8 3 4" xfId="11570"/>
    <cellStyle name="40% - Accent1 2 8 3 5" xfId="11571"/>
    <cellStyle name="40% - Accent1 2 8 3 6" xfId="11572"/>
    <cellStyle name="40% - Accent1 2 8 4" xfId="11573"/>
    <cellStyle name="40% - Accent1 2 8 4 2" xfId="11574"/>
    <cellStyle name="40% - Accent1 2 8 5" xfId="11575"/>
    <cellStyle name="40% - Accent1 2 8 6" xfId="11576"/>
    <cellStyle name="40% - Accent1 2 8 7" xfId="11577"/>
    <cellStyle name="40% - Accent1 2 8 8" xfId="11578"/>
    <cellStyle name="40% - Accent1 2 8 9" xfId="11579"/>
    <cellStyle name="40% - Accent1 2 9" xfId="11580"/>
    <cellStyle name="40% - Accent1 2 9 2" xfId="11581"/>
    <cellStyle name="40% - Accent1 2 9 2 2" xfId="11582"/>
    <cellStyle name="40% - Accent1 2 9 2 3" xfId="11583"/>
    <cellStyle name="40% - Accent1 2 9 2 4" xfId="11584"/>
    <cellStyle name="40% - Accent1 2 9 2 5" xfId="11585"/>
    <cellStyle name="40% - Accent1 2 9 2 6" xfId="11586"/>
    <cellStyle name="40% - Accent1 2 9 2 7" xfId="11587"/>
    <cellStyle name="40% - Accent1 2 9 3" xfId="11588"/>
    <cellStyle name="40% - Accent1 2 9 3 2" xfId="11589"/>
    <cellStyle name="40% - Accent1 2 9 3 3" xfId="11590"/>
    <cellStyle name="40% - Accent1 2 9 3 4" xfId="11591"/>
    <cellStyle name="40% - Accent1 2 9 3 5" xfId="11592"/>
    <cellStyle name="40% - Accent1 2 9 3 6" xfId="11593"/>
    <cellStyle name="40% - Accent1 2 9 4" xfId="11594"/>
    <cellStyle name="40% - Accent1 2 9 4 2" xfId="11595"/>
    <cellStyle name="40% - Accent1 2 9 5" xfId="11596"/>
    <cellStyle name="40% - Accent1 2 9 6" xfId="11597"/>
    <cellStyle name="40% - Accent1 2 9 7" xfId="11598"/>
    <cellStyle name="40% - Accent1 2 9 8" xfId="11599"/>
    <cellStyle name="40% - Accent1 2 9 9" xfId="11600"/>
    <cellStyle name="40% - Accent1 20" xfId="11601"/>
    <cellStyle name="40% - Accent1 20 2" xfId="11602"/>
    <cellStyle name="40% - Accent1 20 3" xfId="11603"/>
    <cellStyle name="40% - Accent1 20 4" xfId="11604"/>
    <cellStyle name="40% - Accent1 21" xfId="11605"/>
    <cellStyle name="40% - Accent1 21 2" xfId="11606"/>
    <cellStyle name="40% - Accent1 21 3" xfId="11607"/>
    <cellStyle name="40% - Accent1 21 4" xfId="11608"/>
    <cellStyle name="40% - Accent1 22" xfId="11609"/>
    <cellStyle name="40% - Accent1 22 2" xfId="11610"/>
    <cellStyle name="40% - Accent1 22 3" xfId="11611"/>
    <cellStyle name="40% - Accent1 22 4" xfId="11612"/>
    <cellStyle name="40% - Accent1 23" xfId="11613"/>
    <cellStyle name="40% - Accent1 23 2" xfId="11614"/>
    <cellStyle name="40% - Accent1 23 3" xfId="11615"/>
    <cellStyle name="40% - Accent1 23 4" xfId="11616"/>
    <cellStyle name="40% - Accent1 24" xfId="11617"/>
    <cellStyle name="40% - Accent1 24 2" xfId="11618"/>
    <cellStyle name="40% - Accent1 24 3" xfId="11619"/>
    <cellStyle name="40% - Accent1 24 4" xfId="11620"/>
    <cellStyle name="40% - Accent1 25" xfId="11621"/>
    <cellStyle name="40% - Accent1 25 2" xfId="11622"/>
    <cellStyle name="40% - Accent1 25 3" xfId="11623"/>
    <cellStyle name="40% - Accent1 26" xfId="11624"/>
    <cellStyle name="40% - Accent1 26 2" xfId="11625"/>
    <cellStyle name="40% - Accent1 26 3" xfId="11626"/>
    <cellStyle name="40% - Accent1 27" xfId="11627"/>
    <cellStyle name="40% - Accent1 27 2" xfId="11628"/>
    <cellStyle name="40% - Accent1 27 3" xfId="11629"/>
    <cellStyle name="40% - Accent1 28" xfId="11630"/>
    <cellStyle name="40% - Accent1 28 2" xfId="11631"/>
    <cellStyle name="40% - Accent1 28 3" xfId="11632"/>
    <cellStyle name="40% - Accent1 29" xfId="11633"/>
    <cellStyle name="40% - Accent1 29 2" xfId="11634"/>
    <cellStyle name="40% - Accent1 29 3" xfId="11635"/>
    <cellStyle name="40% - Accent1 3" xfId="1486"/>
    <cellStyle name="40% - Accent1 3 10" xfId="11636"/>
    <cellStyle name="40% - Accent1 3 10 2" xfId="11637"/>
    <cellStyle name="40% - Accent1 3 10 3" xfId="11638"/>
    <cellStyle name="40% - Accent1 3 10 4" xfId="11639"/>
    <cellStyle name="40% - Accent1 3 10 5" xfId="11640"/>
    <cellStyle name="40% - Accent1 3 10 6" xfId="11641"/>
    <cellStyle name="40% - Accent1 3 10 7" xfId="11642"/>
    <cellStyle name="40% - Accent1 3 11" xfId="11643"/>
    <cellStyle name="40% - Accent1 3 11 2" xfId="11644"/>
    <cellStyle name="40% - Accent1 3 11 3" xfId="11645"/>
    <cellStyle name="40% - Accent1 3 11 4" xfId="11646"/>
    <cellStyle name="40% - Accent1 3 11 5" xfId="11647"/>
    <cellStyle name="40% - Accent1 3 11 6" xfId="11648"/>
    <cellStyle name="40% - Accent1 3 12" xfId="11649"/>
    <cellStyle name="40% - Accent1 3 12 2" xfId="11650"/>
    <cellStyle name="40% - Accent1 3 13" xfId="11651"/>
    <cellStyle name="40% - Accent1 3 14" xfId="11652"/>
    <cellStyle name="40% - Accent1 3 15" xfId="11653"/>
    <cellStyle name="40% - Accent1 3 16" xfId="11654"/>
    <cellStyle name="40% - Accent1 3 17" xfId="11655"/>
    <cellStyle name="40% - Accent1 3 18" xfId="11656"/>
    <cellStyle name="40% - Accent1 3 2" xfId="11657"/>
    <cellStyle name="40% - Accent1 3 2 2" xfId="11658"/>
    <cellStyle name="40% - Accent1 3 2 2 2" xfId="11659"/>
    <cellStyle name="40% - Accent1 3 2 2 3" xfId="11660"/>
    <cellStyle name="40% - Accent1 3 2 2 4" xfId="11661"/>
    <cellStyle name="40% - Accent1 3 2 2 5" xfId="11662"/>
    <cellStyle name="40% - Accent1 3 2 2 6" xfId="11663"/>
    <cellStyle name="40% - Accent1 3 2 2 7" xfId="11664"/>
    <cellStyle name="40% - Accent1 3 2 3" xfId="11665"/>
    <cellStyle name="40% - Accent1 3 2 3 2" xfId="11666"/>
    <cellStyle name="40% - Accent1 3 2 3 3" xfId="11667"/>
    <cellStyle name="40% - Accent1 3 2 3 4" xfId="11668"/>
    <cellStyle name="40% - Accent1 3 2 3 5" xfId="11669"/>
    <cellStyle name="40% - Accent1 3 2 3 6" xfId="11670"/>
    <cellStyle name="40% - Accent1 3 2 4" xfId="11671"/>
    <cellStyle name="40% - Accent1 3 2 5" xfId="11672"/>
    <cellStyle name="40% - Accent1 3 2 6" xfId="11673"/>
    <cellStyle name="40% - Accent1 3 2 7" xfId="11674"/>
    <cellStyle name="40% - Accent1 3 2 8" xfId="11675"/>
    <cellStyle name="40% - Accent1 3 2 9" xfId="11676"/>
    <cellStyle name="40% - Accent1 3 3" xfId="11677"/>
    <cellStyle name="40% - Accent1 3 3 2" xfId="11678"/>
    <cellStyle name="40% - Accent1 3 3 2 2" xfId="11679"/>
    <cellStyle name="40% - Accent1 3 3 2 3" xfId="11680"/>
    <cellStyle name="40% - Accent1 3 3 2 4" xfId="11681"/>
    <cellStyle name="40% - Accent1 3 3 2 5" xfId="11682"/>
    <cellStyle name="40% - Accent1 3 3 2 6" xfId="11683"/>
    <cellStyle name="40% - Accent1 3 3 2 7" xfId="11684"/>
    <cellStyle name="40% - Accent1 3 3 3" xfId="11685"/>
    <cellStyle name="40% - Accent1 3 3 3 2" xfId="11686"/>
    <cellStyle name="40% - Accent1 3 3 3 3" xfId="11687"/>
    <cellStyle name="40% - Accent1 3 3 3 4" xfId="11688"/>
    <cellStyle name="40% - Accent1 3 3 3 5" xfId="11689"/>
    <cellStyle name="40% - Accent1 3 3 3 6" xfId="11690"/>
    <cellStyle name="40% - Accent1 3 3 4" xfId="11691"/>
    <cellStyle name="40% - Accent1 3 3 5" xfId="11692"/>
    <cellStyle name="40% - Accent1 3 3 6" xfId="11693"/>
    <cellStyle name="40% - Accent1 3 3 7" xfId="11694"/>
    <cellStyle name="40% - Accent1 3 3 8" xfId="11695"/>
    <cellStyle name="40% - Accent1 3 3 9" xfId="11696"/>
    <cellStyle name="40% - Accent1 3 4" xfId="11697"/>
    <cellStyle name="40% - Accent1 3 4 2" xfId="11698"/>
    <cellStyle name="40% - Accent1 3 4 2 2" xfId="11699"/>
    <cellStyle name="40% - Accent1 3 4 2 3" xfId="11700"/>
    <cellStyle name="40% - Accent1 3 4 2 4" xfId="11701"/>
    <cellStyle name="40% - Accent1 3 4 2 5" xfId="11702"/>
    <cellStyle name="40% - Accent1 3 4 2 6" xfId="11703"/>
    <cellStyle name="40% - Accent1 3 4 2 7" xfId="11704"/>
    <cellStyle name="40% - Accent1 3 4 3" xfId="11705"/>
    <cellStyle name="40% - Accent1 3 4 3 2" xfId="11706"/>
    <cellStyle name="40% - Accent1 3 4 3 3" xfId="11707"/>
    <cellStyle name="40% - Accent1 3 4 3 4" xfId="11708"/>
    <cellStyle name="40% - Accent1 3 4 3 5" xfId="11709"/>
    <cellStyle name="40% - Accent1 3 4 3 6" xfId="11710"/>
    <cellStyle name="40% - Accent1 3 4 4" xfId="11711"/>
    <cellStyle name="40% - Accent1 3 4 5" xfId="11712"/>
    <cellStyle name="40% - Accent1 3 4 6" xfId="11713"/>
    <cellStyle name="40% - Accent1 3 4 7" xfId="11714"/>
    <cellStyle name="40% - Accent1 3 4 8" xfId="11715"/>
    <cellStyle name="40% - Accent1 3 4 9" xfId="11716"/>
    <cellStyle name="40% - Accent1 3 5" xfId="11717"/>
    <cellStyle name="40% - Accent1 3 5 2" xfId="11718"/>
    <cellStyle name="40% - Accent1 3 5 2 2" xfId="11719"/>
    <cellStyle name="40% - Accent1 3 5 2 3" xfId="11720"/>
    <cellStyle name="40% - Accent1 3 5 2 4" xfId="11721"/>
    <cellStyle name="40% - Accent1 3 5 2 5" xfId="11722"/>
    <cellStyle name="40% - Accent1 3 5 2 6" xfId="11723"/>
    <cellStyle name="40% - Accent1 3 5 2 7" xfId="11724"/>
    <cellStyle name="40% - Accent1 3 5 3" xfId="11725"/>
    <cellStyle name="40% - Accent1 3 5 3 2" xfId="11726"/>
    <cellStyle name="40% - Accent1 3 5 3 3" xfId="11727"/>
    <cellStyle name="40% - Accent1 3 5 3 4" xfId="11728"/>
    <cellStyle name="40% - Accent1 3 5 3 5" xfId="11729"/>
    <cellStyle name="40% - Accent1 3 5 3 6" xfId="11730"/>
    <cellStyle name="40% - Accent1 3 5 4" xfId="11731"/>
    <cellStyle name="40% - Accent1 3 5 5" xfId="11732"/>
    <cellStyle name="40% - Accent1 3 5 6" xfId="11733"/>
    <cellStyle name="40% - Accent1 3 5 7" xfId="11734"/>
    <cellStyle name="40% - Accent1 3 5 8" xfId="11735"/>
    <cellStyle name="40% - Accent1 3 5 9" xfId="11736"/>
    <cellStyle name="40% - Accent1 3 6" xfId="11737"/>
    <cellStyle name="40% - Accent1 3 6 2" xfId="11738"/>
    <cellStyle name="40% - Accent1 3 6 2 2" xfId="11739"/>
    <cellStyle name="40% - Accent1 3 6 2 3" xfId="11740"/>
    <cellStyle name="40% - Accent1 3 6 2 4" xfId="11741"/>
    <cellStyle name="40% - Accent1 3 6 2 5" xfId="11742"/>
    <cellStyle name="40% - Accent1 3 6 2 6" xfId="11743"/>
    <cellStyle name="40% - Accent1 3 6 2 7" xfId="11744"/>
    <cellStyle name="40% - Accent1 3 6 3" xfId="11745"/>
    <cellStyle name="40% - Accent1 3 6 3 2" xfId="11746"/>
    <cellStyle name="40% - Accent1 3 6 3 3" xfId="11747"/>
    <cellStyle name="40% - Accent1 3 6 3 4" xfId="11748"/>
    <cellStyle name="40% - Accent1 3 6 3 5" xfId="11749"/>
    <cellStyle name="40% - Accent1 3 6 3 6" xfId="11750"/>
    <cellStyle name="40% - Accent1 3 6 4" xfId="11751"/>
    <cellStyle name="40% - Accent1 3 6 5" xfId="11752"/>
    <cellStyle name="40% - Accent1 3 6 6" xfId="11753"/>
    <cellStyle name="40% - Accent1 3 6 7" xfId="11754"/>
    <cellStyle name="40% - Accent1 3 6 8" xfId="11755"/>
    <cellStyle name="40% - Accent1 3 6 9" xfId="11756"/>
    <cellStyle name="40% - Accent1 3 7" xfId="11757"/>
    <cellStyle name="40% - Accent1 3 7 2" xfId="11758"/>
    <cellStyle name="40% - Accent1 3 7 2 2" xfId="11759"/>
    <cellStyle name="40% - Accent1 3 7 2 3" xfId="11760"/>
    <cellStyle name="40% - Accent1 3 7 2 4" xfId="11761"/>
    <cellStyle name="40% - Accent1 3 7 2 5" xfId="11762"/>
    <cellStyle name="40% - Accent1 3 7 2 6" xfId="11763"/>
    <cellStyle name="40% - Accent1 3 7 2 7" xfId="11764"/>
    <cellStyle name="40% - Accent1 3 7 3" xfId="11765"/>
    <cellStyle name="40% - Accent1 3 7 3 2" xfId="11766"/>
    <cellStyle name="40% - Accent1 3 7 3 3" xfId="11767"/>
    <cellStyle name="40% - Accent1 3 7 3 4" xfId="11768"/>
    <cellStyle name="40% - Accent1 3 7 3 5" xfId="11769"/>
    <cellStyle name="40% - Accent1 3 7 3 6" xfId="11770"/>
    <cellStyle name="40% - Accent1 3 7 4" xfId="11771"/>
    <cellStyle name="40% - Accent1 3 7 5" xfId="11772"/>
    <cellStyle name="40% - Accent1 3 7 6" xfId="11773"/>
    <cellStyle name="40% - Accent1 3 7 7" xfId="11774"/>
    <cellStyle name="40% - Accent1 3 7 8" xfId="11775"/>
    <cellStyle name="40% - Accent1 3 7 9" xfId="11776"/>
    <cellStyle name="40% - Accent1 3 8" xfId="11777"/>
    <cellStyle name="40% - Accent1 3 8 2" xfId="11778"/>
    <cellStyle name="40% - Accent1 3 8 2 2" xfId="11779"/>
    <cellStyle name="40% - Accent1 3 8 2 3" xfId="11780"/>
    <cellStyle name="40% - Accent1 3 8 2 4" xfId="11781"/>
    <cellStyle name="40% - Accent1 3 8 2 5" xfId="11782"/>
    <cellStyle name="40% - Accent1 3 8 2 6" xfId="11783"/>
    <cellStyle name="40% - Accent1 3 8 2 7" xfId="11784"/>
    <cellStyle name="40% - Accent1 3 8 3" xfId="11785"/>
    <cellStyle name="40% - Accent1 3 8 3 2" xfId="11786"/>
    <cellStyle name="40% - Accent1 3 8 3 3" xfId="11787"/>
    <cellStyle name="40% - Accent1 3 8 3 4" xfId="11788"/>
    <cellStyle name="40% - Accent1 3 8 3 5" xfId="11789"/>
    <cellStyle name="40% - Accent1 3 8 3 6" xfId="11790"/>
    <cellStyle name="40% - Accent1 3 8 4" xfId="11791"/>
    <cellStyle name="40% - Accent1 3 8 5" xfId="11792"/>
    <cellStyle name="40% - Accent1 3 8 6" xfId="11793"/>
    <cellStyle name="40% - Accent1 3 8 7" xfId="11794"/>
    <cellStyle name="40% - Accent1 3 8 8" xfId="11795"/>
    <cellStyle name="40% - Accent1 3 8 9" xfId="11796"/>
    <cellStyle name="40% - Accent1 3 9" xfId="11797"/>
    <cellStyle name="40% - Accent1 3 9 2" xfId="11798"/>
    <cellStyle name="40% - Accent1 3 9 2 2" xfId="11799"/>
    <cellStyle name="40% - Accent1 3 9 2 3" xfId="11800"/>
    <cellStyle name="40% - Accent1 3 9 2 4" xfId="11801"/>
    <cellStyle name="40% - Accent1 3 9 2 5" xfId="11802"/>
    <cellStyle name="40% - Accent1 3 9 2 6" xfId="11803"/>
    <cellStyle name="40% - Accent1 3 9 3" xfId="11804"/>
    <cellStyle name="40% - Accent1 3 9 4" xfId="11805"/>
    <cellStyle name="40% - Accent1 3 9 5" xfId="11806"/>
    <cellStyle name="40% - Accent1 3 9 6" xfId="11807"/>
    <cellStyle name="40% - Accent1 3 9 7" xfId="11808"/>
    <cellStyle name="40% - Accent1 3 9 8" xfId="11809"/>
    <cellStyle name="40% - Accent1 30" xfId="11810"/>
    <cellStyle name="40% - Accent1 30 2" xfId="11811"/>
    <cellStyle name="40% - Accent1 31" xfId="11812"/>
    <cellStyle name="40% - Accent1 32" xfId="11813"/>
    <cellStyle name="40% - Accent1 33" xfId="11814"/>
    <cellStyle name="40% - Accent1 34" xfId="11815"/>
    <cellStyle name="40% - Accent1 4" xfId="11816"/>
    <cellStyle name="40% - Accent1 4 10" xfId="11817"/>
    <cellStyle name="40% - Accent1 4 10 2" xfId="11818"/>
    <cellStyle name="40% - Accent1 4 10 3" xfId="11819"/>
    <cellStyle name="40% - Accent1 4 10 4" xfId="11820"/>
    <cellStyle name="40% - Accent1 4 10 5" xfId="11821"/>
    <cellStyle name="40% - Accent1 4 10 6" xfId="11822"/>
    <cellStyle name="40% - Accent1 4 10 7" xfId="11823"/>
    <cellStyle name="40% - Accent1 4 11" xfId="11824"/>
    <cellStyle name="40% - Accent1 4 11 2" xfId="11825"/>
    <cellStyle name="40% - Accent1 4 11 3" xfId="11826"/>
    <cellStyle name="40% - Accent1 4 11 4" xfId="11827"/>
    <cellStyle name="40% - Accent1 4 11 5" xfId="11828"/>
    <cellStyle name="40% - Accent1 4 11 6" xfId="11829"/>
    <cellStyle name="40% - Accent1 4 12" xfId="11830"/>
    <cellStyle name="40% - Accent1 4 12 2" xfId="11831"/>
    <cellStyle name="40% - Accent1 4 13" xfId="11832"/>
    <cellStyle name="40% - Accent1 4 14" xfId="11833"/>
    <cellStyle name="40% - Accent1 4 15" xfId="11834"/>
    <cellStyle name="40% - Accent1 4 16" xfId="11835"/>
    <cellStyle name="40% - Accent1 4 17" xfId="11836"/>
    <cellStyle name="40% - Accent1 4 2" xfId="11837"/>
    <cellStyle name="40% - Accent1 4 2 2" xfId="11838"/>
    <cellStyle name="40% - Accent1 4 2 2 2" xfId="11839"/>
    <cellStyle name="40% - Accent1 4 2 2 3" xfId="11840"/>
    <cellStyle name="40% - Accent1 4 2 2 4" xfId="11841"/>
    <cellStyle name="40% - Accent1 4 2 2 5" xfId="11842"/>
    <cellStyle name="40% - Accent1 4 2 2 6" xfId="11843"/>
    <cellStyle name="40% - Accent1 4 2 2 7" xfId="11844"/>
    <cellStyle name="40% - Accent1 4 2 3" xfId="11845"/>
    <cellStyle name="40% - Accent1 4 2 3 2" xfId="11846"/>
    <cellStyle name="40% - Accent1 4 2 3 3" xfId="11847"/>
    <cellStyle name="40% - Accent1 4 2 3 4" xfId="11848"/>
    <cellStyle name="40% - Accent1 4 2 3 5" xfId="11849"/>
    <cellStyle name="40% - Accent1 4 2 3 6" xfId="11850"/>
    <cellStyle name="40% - Accent1 4 2 4" xfId="11851"/>
    <cellStyle name="40% - Accent1 4 2 4 2" xfId="11852"/>
    <cellStyle name="40% - Accent1 4 2 5" xfId="11853"/>
    <cellStyle name="40% - Accent1 4 2 6" xfId="11854"/>
    <cellStyle name="40% - Accent1 4 2 7" xfId="11855"/>
    <cellStyle name="40% - Accent1 4 2 8" xfId="11856"/>
    <cellStyle name="40% - Accent1 4 2 9" xfId="11857"/>
    <cellStyle name="40% - Accent1 4 3" xfId="11858"/>
    <cellStyle name="40% - Accent1 4 3 2" xfId="11859"/>
    <cellStyle name="40% - Accent1 4 3 2 2" xfId="11860"/>
    <cellStyle name="40% - Accent1 4 3 2 3" xfId="11861"/>
    <cellStyle name="40% - Accent1 4 3 2 4" xfId="11862"/>
    <cellStyle name="40% - Accent1 4 3 2 5" xfId="11863"/>
    <cellStyle name="40% - Accent1 4 3 2 6" xfId="11864"/>
    <cellStyle name="40% - Accent1 4 3 2 7" xfId="11865"/>
    <cellStyle name="40% - Accent1 4 3 3" xfId="11866"/>
    <cellStyle name="40% - Accent1 4 3 3 2" xfId="11867"/>
    <cellStyle name="40% - Accent1 4 3 3 3" xfId="11868"/>
    <cellStyle name="40% - Accent1 4 3 3 4" xfId="11869"/>
    <cellStyle name="40% - Accent1 4 3 3 5" xfId="11870"/>
    <cellStyle name="40% - Accent1 4 3 3 6" xfId="11871"/>
    <cellStyle name="40% - Accent1 4 3 4" xfId="11872"/>
    <cellStyle name="40% - Accent1 4 3 4 2" xfId="11873"/>
    <cellStyle name="40% - Accent1 4 3 5" xfId="11874"/>
    <cellStyle name="40% - Accent1 4 3 6" xfId="11875"/>
    <cellStyle name="40% - Accent1 4 3 7" xfId="11876"/>
    <cellStyle name="40% - Accent1 4 3 8" xfId="11877"/>
    <cellStyle name="40% - Accent1 4 3 9" xfId="11878"/>
    <cellStyle name="40% - Accent1 4 4" xfId="11879"/>
    <cellStyle name="40% - Accent1 4 4 2" xfId="11880"/>
    <cellStyle name="40% - Accent1 4 4 2 2" xfId="11881"/>
    <cellStyle name="40% - Accent1 4 4 2 3" xfId="11882"/>
    <cellStyle name="40% - Accent1 4 4 2 4" xfId="11883"/>
    <cellStyle name="40% - Accent1 4 4 2 5" xfId="11884"/>
    <cellStyle name="40% - Accent1 4 4 2 6" xfId="11885"/>
    <cellStyle name="40% - Accent1 4 4 2 7" xfId="11886"/>
    <cellStyle name="40% - Accent1 4 4 3" xfId="11887"/>
    <cellStyle name="40% - Accent1 4 4 3 2" xfId="11888"/>
    <cellStyle name="40% - Accent1 4 4 3 3" xfId="11889"/>
    <cellStyle name="40% - Accent1 4 4 3 4" xfId="11890"/>
    <cellStyle name="40% - Accent1 4 4 3 5" xfId="11891"/>
    <cellStyle name="40% - Accent1 4 4 3 6" xfId="11892"/>
    <cellStyle name="40% - Accent1 4 4 4" xfId="11893"/>
    <cellStyle name="40% - Accent1 4 4 5" xfId="11894"/>
    <cellStyle name="40% - Accent1 4 4 6" xfId="11895"/>
    <cellStyle name="40% - Accent1 4 4 7" xfId="11896"/>
    <cellStyle name="40% - Accent1 4 4 8" xfId="11897"/>
    <cellStyle name="40% - Accent1 4 4 9" xfId="11898"/>
    <cellStyle name="40% - Accent1 4 5" xfId="11899"/>
    <cellStyle name="40% - Accent1 4 5 2" xfId="11900"/>
    <cellStyle name="40% - Accent1 4 5 2 2" xfId="11901"/>
    <cellStyle name="40% - Accent1 4 5 2 3" xfId="11902"/>
    <cellStyle name="40% - Accent1 4 5 2 4" xfId="11903"/>
    <cellStyle name="40% - Accent1 4 5 2 5" xfId="11904"/>
    <cellStyle name="40% - Accent1 4 5 2 6" xfId="11905"/>
    <cellStyle name="40% - Accent1 4 5 2 7" xfId="11906"/>
    <cellStyle name="40% - Accent1 4 5 3" xfId="11907"/>
    <cellStyle name="40% - Accent1 4 5 3 2" xfId="11908"/>
    <cellStyle name="40% - Accent1 4 5 3 3" xfId="11909"/>
    <cellStyle name="40% - Accent1 4 5 3 4" xfId="11910"/>
    <cellStyle name="40% - Accent1 4 5 3 5" xfId="11911"/>
    <cellStyle name="40% - Accent1 4 5 3 6" xfId="11912"/>
    <cellStyle name="40% - Accent1 4 5 4" xfId="11913"/>
    <cellStyle name="40% - Accent1 4 5 5" xfId="11914"/>
    <cellStyle name="40% - Accent1 4 5 6" xfId="11915"/>
    <cellStyle name="40% - Accent1 4 5 7" xfId="11916"/>
    <cellStyle name="40% - Accent1 4 5 8" xfId="11917"/>
    <cellStyle name="40% - Accent1 4 5 9" xfId="11918"/>
    <cellStyle name="40% - Accent1 4 6" xfId="11919"/>
    <cellStyle name="40% - Accent1 4 6 2" xfId="11920"/>
    <cellStyle name="40% - Accent1 4 6 2 2" xfId="11921"/>
    <cellStyle name="40% - Accent1 4 6 2 3" xfId="11922"/>
    <cellStyle name="40% - Accent1 4 6 2 4" xfId="11923"/>
    <cellStyle name="40% - Accent1 4 6 2 5" xfId="11924"/>
    <cellStyle name="40% - Accent1 4 6 2 6" xfId="11925"/>
    <cellStyle name="40% - Accent1 4 6 2 7" xfId="11926"/>
    <cellStyle name="40% - Accent1 4 6 3" xfId="11927"/>
    <cellStyle name="40% - Accent1 4 6 3 2" xfId="11928"/>
    <cellStyle name="40% - Accent1 4 6 3 3" xfId="11929"/>
    <cellStyle name="40% - Accent1 4 6 3 4" xfId="11930"/>
    <cellStyle name="40% - Accent1 4 6 3 5" xfId="11931"/>
    <cellStyle name="40% - Accent1 4 6 3 6" xfId="11932"/>
    <cellStyle name="40% - Accent1 4 6 4" xfId="11933"/>
    <cellStyle name="40% - Accent1 4 6 5" xfId="11934"/>
    <cellStyle name="40% - Accent1 4 6 6" xfId="11935"/>
    <cellStyle name="40% - Accent1 4 6 7" xfId="11936"/>
    <cellStyle name="40% - Accent1 4 6 8" xfId="11937"/>
    <cellStyle name="40% - Accent1 4 6 9" xfId="11938"/>
    <cellStyle name="40% - Accent1 4 7" xfId="11939"/>
    <cellStyle name="40% - Accent1 4 7 2" xfId="11940"/>
    <cellStyle name="40% - Accent1 4 7 2 2" xfId="11941"/>
    <cellStyle name="40% - Accent1 4 7 2 3" xfId="11942"/>
    <cellStyle name="40% - Accent1 4 7 2 4" xfId="11943"/>
    <cellStyle name="40% - Accent1 4 7 2 5" xfId="11944"/>
    <cellStyle name="40% - Accent1 4 7 2 6" xfId="11945"/>
    <cellStyle name="40% - Accent1 4 7 2 7" xfId="11946"/>
    <cellStyle name="40% - Accent1 4 7 3" xfId="11947"/>
    <cellStyle name="40% - Accent1 4 7 3 2" xfId="11948"/>
    <cellStyle name="40% - Accent1 4 7 3 3" xfId="11949"/>
    <cellStyle name="40% - Accent1 4 7 3 4" xfId="11950"/>
    <cellStyle name="40% - Accent1 4 7 3 5" xfId="11951"/>
    <cellStyle name="40% - Accent1 4 7 3 6" xfId="11952"/>
    <cellStyle name="40% - Accent1 4 7 4" xfId="11953"/>
    <cellStyle name="40% - Accent1 4 7 5" xfId="11954"/>
    <cellStyle name="40% - Accent1 4 7 6" xfId="11955"/>
    <cellStyle name="40% - Accent1 4 7 7" xfId="11956"/>
    <cellStyle name="40% - Accent1 4 7 8" xfId="11957"/>
    <cellStyle name="40% - Accent1 4 7 9" xfId="11958"/>
    <cellStyle name="40% - Accent1 4 8" xfId="11959"/>
    <cellStyle name="40% - Accent1 4 8 2" xfId="11960"/>
    <cellStyle name="40% - Accent1 4 8 2 2" xfId="11961"/>
    <cellStyle name="40% - Accent1 4 8 2 3" xfId="11962"/>
    <cellStyle name="40% - Accent1 4 8 2 4" xfId="11963"/>
    <cellStyle name="40% - Accent1 4 8 2 5" xfId="11964"/>
    <cellStyle name="40% - Accent1 4 8 2 6" xfId="11965"/>
    <cellStyle name="40% - Accent1 4 8 2 7" xfId="11966"/>
    <cellStyle name="40% - Accent1 4 8 3" xfId="11967"/>
    <cellStyle name="40% - Accent1 4 8 3 2" xfId="11968"/>
    <cellStyle name="40% - Accent1 4 8 3 3" xfId="11969"/>
    <cellStyle name="40% - Accent1 4 8 3 4" xfId="11970"/>
    <cellStyle name="40% - Accent1 4 8 3 5" xfId="11971"/>
    <cellStyle name="40% - Accent1 4 8 3 6" xfId="11972"/>
    <cellStyle name="40% - Accent1 4 8 4" xfId="11973"/>
    <cellStyle name="40% - Accent1 4 8 5" xfId="11974"/>
    <cellStyle name="40% - Accent1 4 8 6" xfId="11975"/>
    <cellStyle name="40% - Accent1 4 8 7" xfId="11976"/>
    <cellStyle name="40% - Accent1 4 8 8" xfId="11977"/>
    <cellStyle name="40% - Accent1 4 8 9" xfId="11978"/>
    <cellStyle name="40% - Accent1 4 9" xfId="11979"/>
    <cellStyle name="40% - Accent1 4 9 2" xfId="11980"/>
    <cellStyle name="40% - Accent1 4 9 2 2" xfId="11981"/>
    <cellStyle name="40% - Accent1 4 9 2 3" xfId="11982"/>
    <cellStyle name="40% - Accent1 4 9 2 4" xfId="11983"/>
    <cellStyle name="40% - Accent1 4 9 2 5" xfId="11984"/>
    <cellStyle name="40% - Accent1 4 9 2 6" xfId="11985"/>
    <cellStyle name="40% - Accent1 4 9 3" xfId="11986"/>
    <cellStyle name="40% - Accent1 4 9 4" xfId="11987"/>
    <cellStyle name="40% - Accent1 4 9 5" xfId="11988"/>
    <cellStyle name="40% - Accent1 4 9 6" xfId="11989"/>
    <cellStyle name="40% - Accent1 4 9 7" xfId="11990"/>
    <cellStyle name="40% - Accent1 4 9 8" xfId="11991"/>
    <cellStyle name="40% - Accent1 5" xfId="11992"/>
    <cellStyle name="40% - Accent1 5 10" xfId="11993"/>
    <cellStyle name="40% - Accent1 5 10 2" xfId="11994"/>
    <cellStyle name="40% - Accent1 5 10 3" xfId="11995"/>
    <cellStyle name="40% - Accent1 5 10 4" xfId="11996"/>
    <cellStyle name="40% - Accent1 5 10 5" xfId="11997"/>
    <cellStyle name="40% - Accent1 5 10 6" xfId="11998"/>
    <cellStyle name="40% - Accent1 5 10 7" xfId="11999"/>
    <cellStyle name="40% - Accent1 5 11" xfId="12000"/>
    <cellStyle name="40% - Accent1 5 11 2" xfId="12001"/>
    <cellStyle name="40% - Accent1 5 11 3" xfId="12002"/>
    <cellStyle name="40% - Accent1 5 11 4" xfId="12003"/>
    <cellStyle name="40% - Accent1 5 11 5" xfId="12004"/>
    <cellStyle name="40% - Accent1 5 11 6" xfId="12005"/>
    <cellStyle name="40% - Accent1 5 12" xfId="12006"/>
    <cellStyle name="40% - Accent1 5 12 2" xfId="12007"/>
    <cellStyle name="40% - Accent1 5 13" xfId="12008"/>
    <cellStyle name="40% - Accent1 5 14" xfId="12009"/>
    <cellStyle name="40% - Accent1 5 15" xfId="12010"/>
    <cellStyle name="40% - Accent1 5 16" xfId="12011"/>
    <cellStyle name="40% - Accent1 5 17" xfId="12012"/>
    <cellStyle name="40% - Accent1 5 2" xfId="12013"/>
    <cellStyle name="40% - Accent1 5 2 2" xfId="12014"/>
    <cellStyle name="40% - Accent1 5 2 2 2" xfId="12015"/>
    <cellStyle name="40% - Accent1 5 2 2 3" xfId="12016"/>
    <cellStyle name="40% - Accent1 5 2 2 4" xfId="12017"/>
    <cellStyle name="40% - Accent1 5 2 2 5" xfId="12018"/>
    <cellStyle name="40% - Accent1 5 2 2 6" xfId="12019"/>
    <cellStyle name="40% - Accent1 5 2 2 7" xfId="12020"/>
    <cellStyle name="40% - Accent1 5 2 3" xfId="12021"/>
    <cellStyle name="40% - Accent1 5 2 3 2" xfId="12022"/>
    <cellStyle name="40% - Accent1 5 2 3 3" xfId="12023"/>
    <cellStyle name="40% - Accent1 5 2 3 4" xfId="12024"/>
    <cellStyle name="40% - Accent1 5 2 3 5" xfId="12025"/>
    <cellStyle name="40% - Accent1 5 2 3 6" xfId="12026"/>
    <cellStyle name="40% - Accent1 5 2 4" xfId="12027"/>
    <cellStyle name="40% - Accent1 5 2 4 2" xfId="12028"/>
    <cellStyle name="40% - Accent1 5 2 5" xfId="12029"/>
    <cellStyle name="40% - Accent1 5 2 6" xfId="12030"/>
    <cellStyle name="40% - Accent1 5 2 7" xfId="12031"/>
    <cellStyle name="40% - Accent1 5 2 8" xfId="12032"/>
    <cellStyle name="40% - Accent1 5 2 9" xfId="12033"/>
    <cellStyle name="40% - Accent1 5 3" xfId="12034"/>
    <cellStyle name="40% - Accent1 5 3 2" xfId="12035"/>
    <cellStyle name="40% - Accent1 5 3 2 2" xfId="12036"/>
    <cellStyle name="40% - Accent1 5 3 2 3" xfId="12037"/>
    <cellStyle name="40% - Accent1 5 3 2 4" xfId="12038"/>
    <cellStyle name="40% - Accent1 5 3 2 5" xfId="12039"/>
    <cellStyle name="40% - Accent1 5 3 2 6" xfId="12040"/>
    <cellStyle name="40% - Accent1 5 3 2 7" xfId="12041"/>
    <cellStyle name="40% - Accent1 5 3 3" xfId="12042"/>
    <cellStyle name="40% - Accent1 5 3 3 2" xfId="12043"/>
    <cellStyle name="40% - Accent1 5 3 3 3" xfId="12044"/>
    <cellStyle name="40% - Accent1 5 3 3 4" xfId="12045"/>
    <cellStyle name="40% - Accent1 5 3 3 5" xfId="12046"/>
    <cellStyle name="40% - Accent1 5 3 3 6" xfId="12047"/>
    <cellStyle name="40% - Accent1 5 3 4" xfId="12048"/>
    <cellStyle name="40% - Accent1 5 3 4 2" xfId="12049"/>
    <cellStyle name="40% - Accent1 5 3 5" xfId="12050"/>
    <cellStyle name="40% - Accent1 5 3 6" xfId="12051"/>
    <cellStyle name="40% - Accent1 5 3 7" xfId="12052"/>
    <cellStyle name="40% - Accent1 5 3 8" xfId="12053"/>
    <cellStyle name="40% - Accent1 5 3 9" xfId="12054"/>
    <cellStyle name="40% - Accent1 5 4" xfId="12055"/>
    <cellStyle name="40% - Accent1 5 4 2" xfId="12056"/>
    <cellStyle name="40% - Accent1 5 4 2 2" xfId="12057"/>
    <cellStyle name="40% - Accent1 5 4 2 3" xfId="12058"/>
    <cellStyle name="40% - Accent1 5 4 2 4" xfId="12059"/>
    <cellStyle name="40% - Accent1 5 4 2 5" xfId="12060"/>
    <cellStyle name="40% - Accent1 5 4 2 6" xfId="12061"/>
    <cellStyle name="40% - Accent1 5 4 2 7" xfId="12062"/>
    <cellStyle name="40% - Accent1 5 4 3" xfId="12063"/>
    <cellStyle name="40% - Accent1 5 4 3 2" xfId="12064"/>
    <cellStyle name="40% - Accent1 5 4 3 3" xfId="12065"/>
    <cellStyle name="40% - Accent1 5 4 3 4" xfId="12066"/>
    <cellStyle name="40% - Accent1 5 4 3 5" xfId="12067"/>
    <cellStyle name="40% - Accent1 5 4 3 6" xfId="12068"/>
    <cellStyle name="40% - Accent1 5 4 4" xfId="12069"/>
    <cellStyle name="40% - Accent1 5 4 5" xfId="12070"/>
    <cellStyle name="40% - Accent1 5 4 6" xfId="12071"/>
    <cellStyle name="40% - Accent1 5 4 7" xfId="12072"/>
    <cellStyle name="40% - Accent1 5 4 8" xfId="12073"/>
    <cellStyle name="40% - Accent1 5 4 9" xfId="12074"/>
    <cellStyle name="40% - Accent1 5 5" xfId="12075"/>
    <cellStyle name="40% - Accent1 5 5 2" xfId="12076"/>
    <cellStyle name="40% - Accent1 5 5 2 2" xfId="12077"/>
    <cellStyle name="40% - Accent1 5 5 2 3" xfId="12078"/>
    <cellStyle name="40% - Accent1 5 5 2 4" xfId="12079"/>
    <cellStyle name="40% - Accent1 5 5 2 5" xfId="12080"/>
    <cellStyle name="40% - Accent1 5 5 2 6" xfId="12081"/>
    <cellStyle name="40% - Accent1 5 5 2 7" xfId="12082"/>
    <cellStyle name="40% - Accent1 5 5 3" xfId="12083"/>
    <cellStyle name="40% - Accent1 5 5 3 2" xfId="12084"/>
    <cellStyle name="40% - Accent1 5 5 3 3" xfId="12085"/>
    <cellStyle name="40% - Accent1 5 5 3 4" xfId="12086"/>
    <cellStyle name="40% - Accent1 5 5 3 5" xfId="12087"/>
    <cellStyle name="40% - Accent1 5 5 3 6" xfId="12088"/>
    <cellStyle name="40% - Accent1 5 5 4" xfId="12089"/>
    <cellStyle name="40% - Accent1 5 5 5" xfId="12090"/>
    <cellStyle name="40% - Accent1 5 5 6" xfId="12091"/>
    <cellStyle name="40% - Accent1 5 5 7" xfId="12092"/>
    <cellStyle name="40% - Accent1 5 5 8" xfId="12093"/>
    <cellStyle name="40% - Accent1 5 5 9" xfId="12094"/>
    <cellStyle name="40% - Accent1 5 6" xfId="12095"/>
    <cellStyle name="40% - Accent1 5 6 2" xfId="12096"/>
    <cellStyle name="40% - Accent1 5 6 2 2" xfId="12097"/>
    <cellStyle name="40% - Accent1 5 6 2 3" xfId="12098"/>
    <cellStyle name="40% - Accent1 5 6 2 4" xfId="12099"/>
    <cellStyle name="40% - Accent1 5 6 2 5" xfId="12100"/>
    <cellStyle name="40% - Accent1 5 6 2 6" xfId="12101"/>
    <cellStyle name="40% - Accent1 5 6 2 7" xfId="12102"/>
    <cellStyle name="40% - Accent1 5 6 3" xfId="12103"/>
    <cellStyle name="40% - Accent1 5 6 3 2" xfId="12104"/>
    <cellStyle name="40% - Accent1 5 6 3 3" xfId="12105"/>
    <cellStyle name="40% - Accent1 5 6 3 4" xfId="12106"/>
    <cellStyle name="40% - Accent1 5 6 3 5" xfId="12107"/>
    <cellStyle name="40% - Accent1 5 6 3 6" xfId="12108"/>
    <cellStyle name="40% - Accent1 5 6 4" xfId="12109"/>
    <cellStyle name="40% - Accent1 5 6 5" xfId="12110"/>
    <cellStyle name="40% - Accent1 5 6 6" xfId="12111"/>
    <cellStyle name="40% - Accent1 5 6 7" xfId="12112"/>
    <cellStyle name="40% - Accent1 5 6 8" xfId="12113"/>
    <cellStyle name="40% - Accent1 5 6 9" xfId="12114"/>
    <cellStyle name="40% - Accent1 5 7" xfId="12115"/>
    <cellStyle name="40% - Accent1 5 7 2" xfId="12116"/>
    <cellStyle name="40% - Accent1 5 7 2 2" xfId="12117"/>
    <cellStyle name="40% - Accent1 5 7 2 3" xfId="12118"/>
    <cellStyle name="40% - Accent1 5 7 2 4" xfId="12119"/>
    <cellStyle name="40% - Accent1 5 7 2 5" xfId="12120"/>
    <cellStyle name="40% - Accent1 5 7 2 6" xfId="12121"/>
    <cellStyle name="40% - Accent1 5 7 2 7" xfId="12122"/>
    <cellStyle name="40% - Accent1 5 7 3" xfId="12123"/>
    <cellStyle name="40% - Accent1 5 7 3 2" xfId="12124"/>
    <cellStyle name="40% - Accent1 5 7 3 3" xfId="12125"/>
    <cellStyle name="40% - Accent1 5 7 3 4" xfId="12126"/>
    <cellStyle name="40% - Accent1 5 7 3 5" xfId="12127"/>
    <cellStyle name="40% - Accent1 5 7 3 6" xfId="12128"/>
    <cellStyle name="40% - Accent1 5 7 4" xfId="12129"/>
    <cellStyle name="40% - Accent1 5 7 5" xfId="12130"/>
    <cellStyle name="40% - Accent1 5 7 6" xfId="12131"/>
    <cellStyle name="40% - Accent1 5 7 7" xfId="12132"/>
    <cellStyle name="40% - Accent1 5 7 8" xfId="12133"/>
    <cellStyle name="40% - Accent1 5 7 9" xfId="12134"/>
    <cellStyle name="40% - Accent1 5 8" xfId="12135"/>
    <cellStyle name="40% - Accent1 5 8 2" xfId="12136"/>
    <cellStyle name="40% - Accent1 5 8 2 2" xfId="12137"/>
    <cellStyle name="40% - Accent1 5 8 2 3" xfId="12138"/>
    <cellStyle name="40% - Accent1 5 8 2 4" xfId="12139"/>
    <cellStyle name="40% - Accent1 5 8 2 5" xfId="12140"/>
    <cellStyle name="40% - Accent1 5 8 2 6" xfId="12141"/>
    <cellStyle name="40% - Accent1 5 8 2 7" xfId="12142"/>
    <cellStyle name="40% - Accent1 5 8 3" xfId="12143"/>
    <cellStyle name="40% - Accent1 5 8 3 2" xfId="12144"/>
    <cellStyle name="40% - Accent1 5 8 3 3" xfId="12145"/>
    <cellStyle name="40% - Accent1 5 8 3 4" xfId="12146"/>
    <cellStyle name="40% - Accent1 5 8 3 5" xfId="12147"/>
    <cellStyle name="40% - Accent1 5 8 3 6" xfId="12148"/>
    <cellStyle name="40% - Accent1 5 8 4" xfId="12149"/>
    <cellStyle name="40% - Accent1 5 8 5" xfId="12150"/>
    <cellStyle name="40% - Accent1 5 8 6" xfId="12151"/>
    <cellStyle name="40% - Accent1 5 8 7" xfId="12152"/>
    <cellStyle name="40% - Accent1 5 8 8" xfId="12153"/>
    <cellStyle name="40% - Accent1 5 8 9" xfId="12154"/>
    <cellStyle name="40% - Accent1 5 9" xfId="12155"/>
    <cellStyle name="40% - Accent1 5 9 2" xfId="12156"/>
    <cellStyle name="40% - Accent1 5 9 2 2" xfId="12157"/>
    <cellStyle name="40% - Accent1 5 9 2 3" xfId="12158"/>
    <cellStyle name="40% - Accent1 5 9 2 4" xfId="12159"/>
    <cellStyle name="40% - Accent1 5 9 2 5" xfId="12160"/>
    <cellStyle name="40% - Accent1 5 9 2 6" xfId="12161"/>
    <cellStyle name="40% - Accent1 5 9 3" xfId="12162"/>
    <cellStyle name="40% - Accent1 5 9 4" xfId="12163"/>
    <cellStyle name="40% - Accent1 5 9 5" xfId="12164"/>
    <cellStyle name="40% - Accent1 5 9 6" xfId="12165"/>
    <cellStyle name="40% - Accent1 5 9 7" xfId="12166"/>
    <cellStyle name="40% - Accent1 5 9 8" xfId="12167"/>
    <cellStyle name="40% - Accent1 6" xfId="12168"/>
    <cellStyle name="40% - Accent1 6 10" xfId="12169"/>
    <cellStyle name="40% - Accent1 6 10 2" xfId="12170"/>
    <cellStyle name="40% - Accent1 6 10 3" xfId="12171"/>
    <cellStyle name="40% - Accent1 6 10 4" xfId="12172"/>
    <cellStyle name="40% - Accent1 6 10 5" xfId="12173"/>
    <cellStyle name="40% - Accent1 6 10 6" xfId="12174"/>
    <cellStyle name="40% - Accent1 6 10 7" xfId="12175"/>
    <cellStyle name="40% - Accent1 6 11" xfId="12176"/>
    <cellStyle name="40% - Accent1 6 11 2" xfId="12177"/>
    <cellStyle name="40% - Accent1 6 11 3" xfId="12178"/>
    <cellStyle name="40% - Accent1 6 11 4" xfId="12179"/>
    <cellStyle name="40% - Accent1 6 11 5" xfId="12180"/>
    <cellStyle name="40% - Accent1 6 11 6" xfId="12181"/>
    <cellStyle name="40% - Accent1 6 12" xfId="12182"/>
    <cellStyle name="40% - Accent1 6 12 2" xfId="12183"/>
    <cellStyle name="40% - Accent1 6 13" xfId="12184"/>
    <cellStyle name="40% - Accent1 6 14" xfId="12185"/>
    <cellStyle name="40% - Accent1 6 15" xfId="12186"/>
    <cellStyle name="40% - Accent1 6 16" xfId="12187"/>
    <cellStyle name="40% - Accent1 6 17" xfId="12188"/>
    <cellStyle name="40% - Accent1 6 2" xfId="12189"/>
    <cellStyle name="40% - Accent1 6 2 2" xfId="12190"/>
    <cellStyle name="40% - Accent1 6 2 2 2" xfId="12191"/>
    <cellStyle name="40% - Accent1 6 2 2 3" xfId="12192"/>
    <cellStyle name="40% - Accent1 6 2 2 4" xfId="12193"/>
    <cellStyle name="40% - Accent1 6 2 2 5" xfId="12194"/>
    <cellStyle name="40% - Accent1 6 2 2 6" xfId="12195"/>
    <cellStyle name="40% - Accent1 6 2 2 7" xfId="12196"/>
    <cellStyle name="40% - Accent1 6 2 3" xfId="12197"/>
    <cellStyle name="40% - Accent1 6 2 3 2" xfId="12198"/>
    <cellStyle name="40% - Accent1 6 2 3 3" xfId="12199"/>
    <cellStyle name="40% - Accent1 6 2 3 4" xfId="12200"/>
    <cellStyle name="40% - Accent1 6 2 3 5" xfId="12201"/>
    <cellStyle name="40% - Accent1 6 2 3 6" xfId="12202"/>
    <cellStyle name="40% - Accent1 6 2 4" xfId="12203"/>
    <cellStyle name="40% - Accent1 6 2 4 2" xfId="12204"/>
    <cellStyle name="40% - Accent1 6 2 5" xfId="12205"/>
    <cellStyle name="40% - Accent1 6 2 6" xfId="12206"/>
    <cellStyle name="40% - Accent1 6 2 7" xfId="12207"/>
    <cellStyle name="40% - Accent1 6 2 8" xfId="12208"/>
    <cellStyle name="40% - Accent1 6 2 9" xfId="12209"/>
    <cellStyle name="40% - Accent1 6 3" xfId="12210"/>
    <cellStyle name="40% - Accent1 6 3 2" xfId="12211"/>
    <cellStyle name="40% - Accent1 6 3 2 2" xfId="12212"/>
    <cellStyle name="40% - Accent1 6 3 2 3" xfId="12213"/>
    <cellStyle name="40% - Accent1 6 3 2 4" xfId="12214"/>
    <cellStyle name="40% - Accent1 6 3 2 5" xfId="12215"/>
    <cellStyle name="40% - Accent1 6 3 2 6" xfId="12216"/>
    <cellStyle name="40% - Accent1 6 3 2 7" xfId="12217"/>
    <cellStyle name="40% - Accent1 6 3 3" xfId="12218"/>
    <cellStyle name="40% - Accent1 6 3 3 2" xfId="12219"/>
    <cellStyle name="40% - Accent1 6 3 3 3" xfId="12220"/>
    <cellStyle name="40% - Accent1 6 3 3 4" xfId="12221"/>
    <cellStyle name="40% - Accent1 6 3 3 5" xfId="12222"/>
    <cellStyle name="40% - Accent1 6 3 3 6" xfId="12223"/>
    <cellStyle name="40% - Accent1 6 3 4" xfId="12224"/>
    <cellStyle name="40% - Accent1 6 3 4 2" xfId="12225"/>
    <cellStyle name="40% - Accent1 6 3 5" xfId="12226"/>
    <cellStyle name="40% - Accent1 6 3 6" xfId="12227"/>
    <cellStyle name="40% - Accent1 6 3 7" xfId="12228"/>
    <cellStyle name="40% - Accent1 6 3 8" xfId="12229"/>
    <cellStyle name="40% - Accent1 6 3 9" xfId="12230"/>
    <cellStyle name="40% - Accent1 6 4" xfId="12231"/>
    <cellStyle name="40% - Accent1 6 4 2" xfId="12232"/>
    <cellStyle name="40% - Accent1 6 4 2 2" xfId="12233"/>
    <cellStyle name="40% - Accent1 6 4 2 3" xfId="12234"/>
    <cellStyle name="40% - Accent1 6 4 2 4" xfId="12235"/>
    <cellStyle name="40% - Accent1 6 4 2 5" xfId="12236"/>
    <cellStyle name="40% - Accent1 6 4 2 6" xfId="12237"/>
    <cellStyle name="40% - Accent1 6 4 2 7" xfId="12238"/>
    <cellStyle name="40% - Accent1 6 4 3" xfId="12239"/>
    <cellStyle name="40% - Accent1 6 4 3 2" xfId="12240"/>
    <cellStyle name="40% - Accent1 6 4 3 3" xfId="12241"/>
    <cellStyle name="40% - Accent1 6 4 3 4" xfId="12242"/>
    <cellStyle name="40% - Accent1 6 4 3 5" xfId="12243"/>
    <cellStyle name="40% - Accent1 6 4 3 6" xfId="12244"/>
    <cellStyle name="40% - Accent1 6 4 4" xfId="12245"/>
    <cellStyle name="40% - Accent1 6 4 5" xfId="12246"/>
    <cellStyle name="40% - Accent1 6 4 6" xfId="12247"/>
    <cellStyle name="40% - Accent1 6 4 7" xfId="12248"/>
    <cellStyle name="40% - Accent1 6 4 8" xfId="12249"/>
    <cellStyle name="40% - Accent1 6 4 9" xfId="12250"/>
    <cellStyle name="40% - Accent1 6 5" xfId="12251"/>
    <cellStyle name="40% - Accent1 6 5 2" xfId="12252"/>
    <cellStyle name="40% - Accent1 6 5 2 2" xfId="12253"/>
    <cellStyle name="40% - Accent1 6 5 2 3" xfId="12254"/>
    <cellStyle name="40% - Accent1 6 5 2 4" xfId="12255"/>
    <cellStyle name="40% - Accent1 6 5 2 5" xfId="12256"/>
    <cellStyle name="40% - Accent1 6 5 2 6" xfId="12257"/>
    <cellStyle name="40% - Accent1 6 5 2 7" xfId="12258"/>
    <cellStyle name="40% - Accent1 6 5 3" xfId="12259"/>
    <cellStyle name="40% - Accent1 6 5 3 2" xfId="12260"/>
    <cellStyle name="40% - Accent1 6 5 3 3" xfId="12261"/>
    <cellStyle name="40% - Accent1 6 5 3 4" xfId="12262"/>
    <cellStyle name="40% - Accent1 6 5 3 5" xfId="12263"/>
    <cellStyle name="40% - Accent1 6 5 3 6" xfId="12264"/>
    <cellStyle name="40% - Accent1 6 5 4" xfId="12265"/>
    <cellStyle name="40% - Accent1 6 5 5" xfId="12266"/>
    <cellStyle name="40% - Accent1 6 5 6" xfId="12267"/>
    <cellStyle name="40% - Accent1 6 5 7" xfId="12268"/>
    <cellStyle name="40% - Accent1 6 5 8" xfId="12269"/>
    <cellStyle name="40% - Accent1 6 5 9" xfId="12270"/>
    <cellStyle name="40% - Accent1 6 6" xfId="12271"/>
    <cellStyle name="40% - Accent1 6 6 2" xfId="12272"/>
    <cellStyle name="40% - Accent1 6 6 2 2" xfId="12273"/>
    <cellStyle name="40% - Accent1 6 6 2 3" xfId="12274"/>
    <cellStyle name="40% - Accent1 6 6 2 4" xfId="12275"/>
    <cellStyle name="40% - Accent1 6 6 2 5" xfId="12276"/>
    <cellStyle name="40% - Accent1 6 6 2 6" xfId="12277"/>
    <cellStyle name="40% - Accent1 6 6 2 7" xfId="12278"/>
    <cellStyle name="40% - Accent1 6 6 3" xfId="12279"/>
    <cellStyle name="40% - Accent1 6 6 3 2" xfId="12280"/>
    <cellStyle name="40% - Accent1 6 6 3 3" xfId="12281"/>
    <cellStyle name="40% - Accent1 6 6 3 4" xfId="12282"/>
    <cellStyle name="40% - Accent1 6 6 3 5" xfId="12283"/>
    <cellStyle name="40% - Accent1 6 6 3 6" xfId="12284"/>
    <cellStyle name="40% - Accent1 6 6 4" xfId="12285"/>
    <cellStyle name="40% - Accent1 6 6 5" xfId="12286"/>
    <cellStyle name="40% - Accent1 6 6 6" xfId="12287"/>
    <cellStyle name="40% - Accent1 6 6 7" xfId="12288"/>
    <cellStyle name="40% - Accent1 6 6 8" xfId="12289"/>
    <cellStyle name="40% - Accent1 6 6 9" xfId="12290"/>
    <cellStyle name="40% - Accent1 6 7" xfId="12291"/>
    <cellStyle name="40% - Accent1 6 7 2" xfId="12292"/>
    <cellStyle name="40% - Accent1 6 7 2 2" xfId="12293"/>
    <cellStyle name="40% - Accent1 6 7 2 3" xfId="12294"/>
    <cellStyle name="40% - Accent1 6 7 2 4" xfId="12295"/>
    <cellStyle name="40% - Accent1 6 7 2 5" xfId="12296"/>
    <cellStyle name="40% - Accent1 6 7 2 6" xfId="12297"/>
    <cellStyle name="40% - Accent1 6 7 2 7" xfId="12298"/>
    <cellStyle name="40% - Accent1 6 7 3" xfId="12299"/>
    <cellStyle name="40% - Accent1 6 7 3 2" xfId="12300"/>
    <cellStyle name="40% - Accent1 6 7 3 3" xfId="12301"/>
    <cellStyle name="40% - Accent1 6 7 3 4" xfId="12302"/>
    <cellStyle name="40% - Accent1 6 7 3 5" xfId="12303"/>
    <cellStyle name="40% - Accent1 6 7 3 6" xfId="12304"/>
    <cellStyle name="40% - Accent1 6 7 4" xfId="12305"/>
    <cellStyle name="40% - Accent1 6 7 5" xfId="12306"/>
    <cellStyle name="40% - Accent1 6 7 6" xfId="12307"/>
    <cellStyle name="40% - Accent1 6 7 7" xfId="12308"/>
    <cellStyle name="40% - Accent1 6 7 8" xfId="12309"/>
    <cellStyle name="40% - Accent1 6 7 9" xfId="12310"/>
    <cellStyle name="40% - Accent1 6 8" xfId="12311"/>
    <cellStyle name="40% - Accent1 6 8 2" xfId="12312"/>
    <cellStyle name="40% - Accent1 6 8 2 2" xfId="12313"/>
    <cellStyle name="40% - Accent1 6 8 2 3" xfId="12314"/>
    <cellStyle name="40% - Accent1 6 8 2 4" xfId="12315"/>
    <cellStyle name="40% - Accent1 6 8 2 5" xfId="12316"/>
    <cellStyle name="40% - Accent1 6 8 2 6" xfId="12317"/>
    <cellStyle name="40% - Accent1 6 8 2 7" xfId="12318"/>
    <cellStyle name="40% - Accent1 6 8 3" xfId="12319"/>
    <cellStyle name="40% - Accent1 6 8 3 2" xfId="12320"/>
    <cellStyle name="40% - Accent1 6 8 3 3" xfId="12321"/>
    <cellStyle name="40% - Accent1 6 8 3 4" xfId="12322"/>
    <cellStyle name="40% - Accent1 6 8 3 5" xfId="12323"/>
    <cellStyle name="40% - Accent1 6 8 3 6" xfId="12324"/>
    <cellStyle name="40% - Accent1 6 8 4" xfId="12325"/>
    <cellStyle name="40% - Accent1 6 8 5" xfId="12326"/>
    <cellStyle name="40% - Accent1 6 8 6" xfId="12327"/>
    <cellStyle name="40% - Accent1 6 8 7" xfId="12328"/>
    <cellStyle name="40% - Accent1 6 8 8" xfId="12329"/>
    <cellStyle name="40% - Accent1 6 8 9" xfId="12330"/>
    <cellStyle name="40% - Accent1 6 9" xfId="12331"/>
    <cellStyle name="40% - Accent1 6 9 2" xfId="12332"/>
    <cellStyle name="40% - Accent1 6 9 2 2" xfId="12333"/>
    <cellStyle name="40% - Accent1 6 9 2 3" xfId="12334"/>
    <cellStyle name="40% - Accent1 6 9 2 4" xfId="12335"/>
    <cellStyle name="40% - Accent1 6 9 2 5" xfId="12336"/>
    <cellStyle name="40% - Accent1 6 9 2 6" xfId="12337"/>
    <cellStyle name="40% - Accent1 6 9 3" xfId="12338"/>
    <cellStyle name="40% - Accent1 6 9 4" xfId="12339"/>
    <cellStyle name="40% - Accent1 6 9 5" xfId="12340"/>
    <cellStyle name="40% - Accent1 6 9 6" xfId="12341"/>
    <cellStyle name="40% - Accent1 6 9 7" xfId="12342"/>
    <cellStyle name="40% - Accent1 6 9 8" xfId="12343"/>
    <cellStyle name="40% - Accent1 7" xfId="12344"/>
    <cellStyle name="40% - Accent1 7 10" xfId="12345"/>
    <cellStyle name="40% - Accent1 7 10 2" xfId="12346"/>
    <cellStyle name="40% - Accent1 7 10 3" xfId="12347"/>
    <cellStyle name="40% - Accent1 7 10 4" xfId="12348"/>
    <cellStyle name="40% - Accent1 7 10 5" xfId="12349"/>
    <cellStyle name="40% - Accent1 7 10 6" xfId="12350"/>
    <cellStyle name="40% - Accent1 7 10 7" xfId="12351"/>
    <cellStyle name="40% - Accent1 7 11" xfId="12352"/>
    <cellStyle name="40% - Accent1 7 11 2" xfId="12353"/>
    <cellStyle name="40% - Accent1 7 11 3" xfId="12354"/>
    <cellStyle name="40% - Accent1 7 11 4" xfId="12355"/>
    <cellStyle name="40% - Accent1 7 11 5" xfId="12356"/>
    <cellStyle name="40% - Accent1 7 11 6" xfId="12357"/>
    <cellStyle name="40% - Accent1 7 12" xfId="12358"/>
    <cellStyle name="40% - Accent1 7 12 2" xfId="12359"/>
    <cellStyle name="40% - Accent1 7 13" xfId="12360"/>
    <cellStyle name="40% - Accent1 7 14" xfId="12361"/>
    <cellStyle name="40% - Accent1 7 15" xfId="12362"/>
    <cellStyle name="40% - Accent1 7 16" xfId="12363"/>
    <cellStyle name="40% - Accent1 7 17" xfId="12364"/>
    <cellStyle name="40% - Accent1 7 2" xfId="12365"/>
    <cellStyle name="40% - Accent1 7 2 2" xfId="12366"/>
    <cellStyle name="40% - Accent1 7 2 2 2" xfId="12367"/>
    <cellStyle name="40% - Accent1 7 2 2 3" xfId="12368"/>
    <cellStyle name="40% - Accent1 7 2 2 4" xfId="12369"/>
    <cellStyle name="40% - Accent1 7 2 2 5" xfId="12370"/>
    <cellStyle name="40% - Accent1 7 2 2 6" xfId="12371"/>
    <cellStyle name="40% - Accent1 7 2 2 7" xfId="12372"/>
    <cellStyle name="40% - Accent1 7 2 3" xfId="12373"/>
    <cellStyle name="40% - Accent1 7 2 3 2" xfId="12374"/>
    <cellStyle name="40% - Accent1 7 2 3 3" xfId="12375"/>
    <cellStyle name="40% - Accent1 7 2 3 4" xfId="12376"/>
    <cellStyle name="40% - Accent1 7 2 3 5" xfId="12377"/>
    <cellStyle name="40% - Accent1 7 2 3 6" xfId="12378"/>
    <cellStyle name="40% - Accent1 7 2 4" xfId="12379"/>
    <cellStyle name="40% - Accent1 7 2 4 2" xfId="12380"/>
    <cellStyle name="40% - Accent1 7 2 5" xfId="12381"/>
    <cellStyle name="40% - Accent1 7 2 6" xfId="12382"/>
    <cellStyle name="40% - Accent1 7 2 7" xfId="12383"/>
    <cellStyle name="40% - Accent1 7 2 8" xfId="12384"/>
    <cellStyle name="40% - Accent1 7 2 9" xfId="12385"/>
    <cellStyle name="40% - Accent1 7 3" xfId="12386"/>
    <cellStyle name="40% - Accent1 7 3 2" xfId="12387"/>
    <cellStyle name="40% - Accent1 7 3 2 2" xfId="12388"/>
    <cellStyle name="40% - Accent1 7 3 2 3" xfId="12389"/>
    <cellStyle name="40% - Accent1 7 3 2 4" xfId="12390"/>
    <cellStyle name="40% - Accent1 7 3 2 5" xfId="12391"/>
    <cellStyle name="40% - Accent1 7 3 2 6" xfId="12392"/>
    <cellStyle name="40% - Accent1 7 3 2 7" xfId="12393"/>
    <cellStyle name="40% - Accent1 7 3 3" xfId="12394"/>
    <cellStyle name="40% - Accent1 7 3 3 2" xfId="12395"/>
    <cellStyle name="40% - Accent1 7 3 3 3" xfId="12396"/>
    <cellStyle name="40% - Accent1 7 3 3 4" xfId="12397"/>
    <cellStyle name="40% - Accent1 7 3 3 5" xfId="12398"/>
    <cellStyle name="40% - Accent1 7 3 3 6" xfId="12399"/>
    <cellStyle name="40% - Accent1 7 3 4" xfId="12400"/>
    <cellStyle name="40% - Accent1 7 3 4 2" xfId="12401"/>
    <cellStyle name="40% - Accent1 7 3 5" xfId="12402"/>
    <cellStyle name="40% - Accent1 7 3 6" xfId="12403"/>
    <cellStyle name="40% - Accent1 7 3 7" xfId="12404"/>
    <cellStyle name="40% - Accent1 7 3 8" xfId="12405"/>
    <cellStyle name="40% - Accent1 7 3 9" xfId="12406"/>
    <cellStyle name="40% - Accent1 7 4" xfId="12407"/>
    <cellStyle name="40% - Accent1 7 4 2" xfId="12408"/>
    <cellStyle name="40% - Accent1 7 4 2 2" xfId="12409"/>
    <cellStyle name="40% - Accent1 7 4 2 3" xfId="12410"/>
    <cellStyle name="40% - Accent1 7 4 2 4" xfId="12411"/>
    <cellStyle name="40% - Accent1 7 4 2 5" xfId="12412"/>
    <cellStyle name="40% - Accent1 7 4 2 6" xfId="12413"/>
    <cellStyle name="40% - Accent1 7 4 2 7" xfId="12414"/>
    <cellStyle name="40% - Accent1 7 4 3" xfId="12415"/>
    <cellStyle name="40% - Accent1 7 4 3 2" xfId="12416"/>
    <cellStyle name="40% - Accent1 7 4 3 3" xfId="12417"/>
    <cellStyle name="40% - Accent1 7 4 3 4" xfId="12418"/>
    <cellStyle name="40% - Accent1 7 4 3 5" xfId="12419"/>
    <cellStyle name="40% - Accent1 7 4 3 6" xfId="12420"/>
    <cellStyle name="40% - Accent1 7 4 4" xfId="12421"/>
    <cellStyle name="40% - Accent1 7 4 5" xfId="12422"/>
    <cellStyle name="40% - Accent1 7 4 6" xfId="12423"/>
    <cellStyle name="40% - Accent1 7 4 7" xfId="12424"/>
    <cellStyle name="40% - Accent1 7 4 8" xfId="12425"/>
    <cellStyle name="40% - Accent1 7 4 9" xfId="12426"/>
    <cellStyle name="40% - Accent1 7 5" xfId="12427"/>
    <cellStyle name="40% - Accent1 7 5 2" xfId="12428"/>
    <cellStyle name="40% - Accent1 7 5 2 2" xfId="12429"/>
    <cellStyle name="40% - Accent1 7 5 2 3" xfId="12430"/>
    <cellStyle name="40% - Accent1 7 5 2 4" xfId="12431"/>
    <cellStyle name="40% - Accent1 7 5 2 5" xfId="12432"/>
    <cellStyle name="40% - Accent1 7 5 2 6" xfId="12433"/>
    <cellStyle name="40% - Accent1 7 5 2 7" xfId="12434"/>
    <cellStyle name="40% - Accent1 7 5 3" xfId="12435"/>
    <cellStyle name="40% - Accent1 7 5 3 2" xfId="12436"/>
    <cellStyle name="40% - Accent1 7 5 3 3" xfId="12437"/>
    <cellStyle name="40% - Accent1 7 5 3 4" xfId="12438"/>
    <cellStyle name="40% - Accent1 7 5 3 5" xfId="12439"/>
    <cellStyle name="40% - Accent1 7 5 3 6" xfId="12440"/>
    <cellStyle name="40% - Accent1 7 5 4" xfId="12441"/>
    <cellStyle name="40% - Accent1 7 5 5" xfId="12442"/>
    <cellStyle name="40% - Accent1 7 5 6" xfId="12443"/>
    <cellStyle name="40% - Accent1 7 5 7" xfId="12444"/>
    <cellStyle name="40% - Accent1 7 5 8" xfId="12445"/>
    <cellStyle name="40% - Accent1 7 5 9" xfId="12446"/>
    <cellStyle name="40% - Accent1 7 6" xfId="12447"/>
    <cellStyle name="40% - Accent1 7 6 2" xfId="12448"/>
    <cellStyle name="40% - Accent1 7 6 2 2" xfId="12449"/>
    <cellStyle name="40% - Accent1 7 6 2 3" xfId="12450"/>
    <cellStyle name="40% - Accent1 7 6 2 4" xfId="12451"/>
    <cellStyle name="40% - Accent1 7 6 2 5" xfId="12452"/>
    <cellStyle name="40% - Accent1 7 6 2 6" xfId="12453"/>
    <cellStyle name="40% - Accent1 7 6 2 7" xfId="12454"/>
    <cellStyle name="40% - Accent1 7 6 3" xfId="12455"/>
    <cellStyle name="40% - Accent1 7 6 3 2" xfId="12456"/>
    <cellStyle name="40% - Accent1 7 6 3 3" xfId="12457"/>
    <cellStyle name="40% - Accent1 7 6 3 4" xfId="12458"/>
    <cellStyle name="40% - Accent1 7 6 3 5" xfId="12459"/>
    <cellStyle name="40% - Accent1 7 6 3 6" xfId="12460"/>
    <cellStyle name="40% - Accent1 7 6 4" xfId="12461"/>
    <cellStyle name="40% - Accent1 7 6 5" xfId="12462"/>
    <cellStyle name="40% - Accent1 7 6 6" xfId="12463"/>
    <cellStyle name="40% - Accent1 7 6 7" xfId="12464"/>
    <cellStyle name="40% - Accent1 7 6 8" xfId="12465"/>
    <cellStyle name="40% - Accent1 7 6 9" xfId="12466"/>
    <cellStyle name="40% - Accent1 7 7" xfId="12467"/>
    <cellStyle name="40% - Accent1 7 7 2" xfId="12468"/>
    <cellStyle name="40% - Accent1 7 7 2 2" xfId="12469"/>
    <cellStyle name="40% - Accent1 7 7 2 3" xfId="12470"/>
    <cellStyle name="40% - Accent1 7 7 2 4" xfId="12471"/>
    <cellStyle name="40% - Accent1 7 7 2 5" xfId="12472"/>
    <cellStyle name="40% - Accent1 7 7 2 6" xfId="12473"/>
    <cellStyle name="40% - Accent1 7 7 2 7" xfId="12474"/>
    <cellStyle name="40% - Accent1 7 7 3" xfId="12475"/>
    <cellStyle name="40% - Accent1 7 7 3 2" xfId="12476"/>
    <cellStyle name="40% - Accent1 7 7 3 3" xfId="12477"/>
    <cellStyle name="40% - Accent1 7 7 3 4" xfId="12478"/>
    <cellStyle name="40% - Accent1 7 7 3 5" xfId="12479"/>
    <cellStyle name="40% - Accent1 7 7 3 6" xfId="12480"/>
    <cellStyle name="40% - Accent1 7 7 4" xfId="12481"/>
    <cellStyle name="40% - Accent1 7 7 5" xfId="12482"/>
    <cellStyle name="40% - Accent1 7 7 6" xfId="12483"/>
    <cellStyle name="40% - Accent1 7 7 7" xfId="12484"/>
    <cellStyle name="40% - Accent1 7 7 8" xfId="12485"/>
    <cellStyle name="40% - Accent1 7 7 9" xfId="12486"/>
    <cellStyle name="40% - Accent1 7 8" xfId="12487"/>
    <cellStyle name="40% - Accent1 7 8 2" xfId="12488"/>
    <cellStyle name="40% - Accent1 7 8 2 2" xfId="12489"/>
    <cellStyle name="40% - Accent1 7 8 2 3" xfId="12490"/>
    <cellStyle name="40% - Accent1 7 8 2 4" xfId="12491"/>
    <cellStyle name="40% - Accent1 7 8 2 5" xfId="12492"/>
    <cellStyle name="40% - Accent1 7 8 2 6" xfId="12493"/>
    <cellStyle name="40% - Accent1 7 8 2 7" xfId="12494"/>
    <cellStyle name="40% - Accent1 7 8 3" xfId="12495"/>
    <cellStyle name="40% - Accent1 7 8 3 2" xfId="12496"/>
    <cellStyle name="40% - Accent1 7 8 3 3" xfId="12497"/>
    <cellStyle name="40% - Accent1 7 8 3 4" xfId="12498"/>
    <cellStyle name="40% - Accent1 7 8 3 5" xfId="12499"/>
    <cellStyle name="40% - Accent1 7 8 3 6" xfId="12500"/>
    <cellStyle name="40% - Accent1 7 8 4" xfId="12501"/>
    <cellStyle name="40% - Accent1 7 8 5" xfId="12502"/>
    <cellStyle name="40% - Accent1 7 8 6" xfId="12503"/>
    <cellStyle name="40% - Accent1 7 8 7" xfId="12504"/>
    <cellStyle name="40% - Accent1 7 8 8" xfId="12505"/>
    <cellStyle name="40% - Accent1 7 8 9" xfId="12506"/>
    <cellStyle name="40% - Accent1 7 9" xfId="12507"/>
    <cellStyle name="40% - Accent1 7 9 2" xfId="12508"/>
    <cellStyle name="40% - Accent1 7 9 2 2" xfId="12509"/>
    <cellStyle name="40% - Accent1 7 9 2 3" xfId="12510"/>
    <cellStyle name="40% - Accent1 7 9 2 4" xfId="12511"/>
    <cellStyle name="40% - Accent1 7 9 2 5" xfId="12512"/>
    <cellStyle name="40% - Accent1 7 9 2 6" xfId="12513"/>
    <cellStyle name="40% - Accent1 7 9 3" xfId="12514"/>
    <cellStyle name="40% - Accent1 7 9 4" xfId="12515"/>
    <cellStyle name="40% - Accent1 7 9 5" xfId="12516"/>
    <cellStyle name="40% - Accent1 7 9 6" xfId="12517"/>
    <cellStyle name="40% - Accent1 7 9 7" xfId="12518"/>
    <cellStyle name="40% - Accent1 7 9 8" xfId="12519"/>
    <cellStyle name="40% - Accent1 8" xfId="12520"/>
    <cellStyle name="40% - Accent1 8 10" xfId="12521"/>
    <cellStyle name="40% - Accent1 8 10 2" xfId="12522"/>
    <cellStyle name="40% - Accent1 8 10 3" xfId="12523"/>
    <cellStyle name="40% - Accent1 8 10 4" xfId="12524"/>
    <cellStyle name="40% - Accent1 8 10 5" xfId="12525"/>
    <cellStyle name="40% - Accent1 8 10 6" xfId="12526"/>
    <cellStyle name="40% - Accent1 8 10 7" xfId="12527"/>
    <cellStyle name="40% - Accent1 8 11" xfId="12528"/>
    <cellStyle name="40% - Accent1 8 11 2" xfId="12529"/>
    <cellStyle name="40% - Accent1 8 11 3" xfId="12530"/>
    <cellStyle name="40% - Accent1 8 11 4" xfId="12531"/>
    <cellStyle name="40% - Accent1 8 11 5" xfId="12532"/>
    <cellStyle name="40% - Accent1 8 11 6" xfId="12533"/>
    <cellStyle name="40% - Accent1 8 12" xfId="12534"/>
    <cellStyle name="40% - Accent1 8 12 2" xfId="12535"/>
    <cellStyle name="40% - Accent1 8 13" xfId="12536"/>
    <cellStyle name="40% - Accent1 8 14" xfId="12537"/>
    <cellStyle name="40% - Accent1 8 15" xfId="12538"/>
    <cellStyle name="40% - Accent1 8 16" xfId="12539"/>
    <cellStyle name="40% - Accent1 8 17" xfId="12540"/>
    <cellStyle name="40% - Accent1 8 2" xfId="12541"/>
    <cellStyle name="40% - Accent1 8 2 2" xfId="12542"/>
    <cellStyle name="40% - Accent1 8 2 2 2" xfId="12543"/>
    <cellStyle name="40% - Accent1 8 2 2 3" xfId="12544"/>
    <cellStyle name="40% - Accent1 8 2 2 4" xfId="12545"/>
    <cellStyle name="40% - Accent1 8 2 2 5" xfId="12546"/>
    <cellStyle name="40% - Accent1 8 2 2 6" xfId="12547"/>
    <cellStyle name="40% - Accent1 8 2 2 7" xfId="12548"/>
    <cellStyle name="40% - Accent1 8 2 3" xfId="12549"/>
    <cellStyle name="40% - Accent1 8 2 3 2" xfId="12550"/>
    <cellStyle name="40% - Accent1 8 2 3 3" xfId="12551"/>
    <cellStyle name="40% - Accent1 8 2 3 4" xfId="12552"/>
    <cellStyle name="40% - Accent1 8 2 3 5" xfId="12553"/>
    <cellStyle name="40% - Accent1 8 2 3 6" xfId="12554"/>
    <cellStyle name="40% - Accent1 8 2 4" xfId="12555"/>
    <cellStyle name="40% - Accent1 8 2 4 2" xfId="12556"/>
    <cellStyle name="40% - Accent1 8 2 5" xfId="12557"/>
    <cellStyle name="40% - Accent1 8 2 6" xfId="12558"/>
    <cellStyle name="40% - Accent1 8 2 7" xfId="12559"/>
    <cellStyle name="40% - Accent1 8 2 8" xfId="12560"/>
    <cellStyle name="40% - Accent1 8 2 9" xfId="12561"/>
    <cellStyle name="40% - Accent1 8 3" xfId="12562"/>
    <cellStyle name="40% - Accent1 8 3 2" xfId="12563"/>
    <cellStyle name="40% - Accent1 8 3 2 2" xfId="12564"/>
    <cellStyle name="40% - Accent1 8 3 2 3" xfId="12565"/>
    <cellStyle name="40% - Accent1 8 3 2 4" xfId="12566"/>
    <cellStyle name="40% - Accent1 8 3 2 5" xfId="12567"/>
    <cellStyle name="40% - Accent1 8 3 2 6" xfId="12568"/>
    <cellStyle name="40% - Accent1 8 3 2 7" xfId="12569"/>
    <cellStyle name="40% - Accent1 8 3 3" xfId="12570"/>
    <cellStyle name="40% - Accent1 8 3 3 2" xfId="12571"/>
    <cellStyle name="40% - Accent1 8 3 3 3" xfId="12572"/>
    <cellStyle name="40% - Accent1 8 3 3 4" xfId="12573"/>
    <cellStyle name="40% - Accent1 8 3 3 5" xfId="12574"/>
    <cellStyle name="40% - Accent1 8 3 3 6" xfId="12575"/>
    <cellStyle name="40% - Accent1 8 3 4" xfId="12576"/>
    <cellStyle name="40% - Accent1 8 3 4 2" xfId="12577"/>
    <cellStyle name="40% - Accent1 8 3 5" xfId="12578"/>
    <cellStyle name="40% - Accent1 8 3 6" xfId="12579"/>
    <cellStyle name="40% - Accent1 8 3 7" xfId="12580"/>
    <cellStyle name="40% - Accent1 8 3 8" xfId="12581"/>
    <cellStyle name="40% - Accent1 8 3 9" xfId="12582"/>
    <cellStyle name="40% - Accent1 8 4" xfId="12583"/>
    <cellStyle name="40% - Accent1 8 4 2" xfId="12584"/>
    <cellStyle name="40% - Accent1 8 4 2 2" xfId="12585"/>
    <cellStyle name="40% - Accent1 8 4 2 3" xfId="12586"/>
    <cellStyle name="40% - Accent1 8 4 2 4" xfId="12587"/>
    <cellStyle name="40% - Accent1 8 4 2 5" xfId="12588"/>
    <cellStyle name="40% - Accent1 8 4 2 6" xfId="12589"/>
    <cellStyle name="40% - Accent1 8 4 2 7" xfId="12590"/>
    <cellStyle name="40% - Accent1 8 4 3" xfId="12591"/>
    <cellStyle name="40% - Accent1 8 4 3 2" xfId="12592"/>
    <cellStyle name="40% - Accent1 8 4 3 3" xfId="12593"/>
    <cellStyle name="40% - Accent1 8 4 3 4" xfId="12594"/>
    <cellStyle name="40% - Accent1 8 4 3 5" xfId="12595"/>
    <cellStyle name="40% - Accent1 8 4 3 6" xfId="12596"/>
    <cellStyle name="40% - Accent1 8 4 4" xfId="12597"/>
    <cellStyle name="40% - Accent1 8 4 5" xfId="12598"/>
    <cellStyle name="40% - Accent1 8 4 6" xfId="12599"/>
    <cellStyle name="40% - Accent1 8 4 7" xfId="12600"/>
    <cellStyle name="40% - Accent1 8 4 8" xfId="12601"/>
    <cellStyle name="40% - Accent1 8 4 9" xfId="12602"/>
    <cellStyle name="40% - Accent1 8 5" xfId="12603"/>
    <cellStyle name="40% - Accent1 8 5 2" xfId="12604"/>
    <cellStyle name="40% - Accent1 8 5 2 2" xfId="12605"/>
    <cellStyle name="40% - Accent1 8 5 2 3" xfId="12606"/>
    <cellStyle name="40% - Accent1 8 5 2 4" xfId="12607"/>
    <cellStyle name="40% - Accent1 8 5 2 5" xfId="12608"/>
    <cellStyle name="40% - Accent1 8 5 2 6" xfId="12609"/>
    <cellStyle name="40% - Accent1 8 5 2 7" xfId="12610"/>
    <cellStyle name="40% - Accent1 8 5 3" xfId="12611"/>
    <cellStyle name="40% - Accent1 8 5 3 2" xfId="12612"/>
    <cellStyle name="40% - Accent1 8 5 3 3" xfId="12613"/>
    <cellStyle name="40% - Accent1 8 5 3 4" xfId="12614"/>
    <cellStyle name="40% - Accent1 8 5 3 5" xfId="12615"/>
    <cellStyle name="40% - Accent1 8 5 3 6" xfId="12616"/>
    <cellStyle name="40% - Accent1 8 5 4" xfId="12617"/>
    <cellStyle name="40% - Accent1 8 5 5" xfId="12618"/>
    <cellStyle name="40% - Accent1 8 5 6" xfId="12619"/>
    <cellStyle name="40% - Accent1 8 5 7" xfId="12620"/>
    <cellStyle name="40% - Accent1 8 5 8" xfId="12621"/>
    <cellStyle name="40% - Accent1 8 5 9" xfId="12622"/>
    <cellStyle name="40% - Accent1 8 6" xfId="12623"/>
    <cellStyle name="40% - Accent1 8 6 2" xfId="12624"/>
    <cellStyle name="40% - Accent1 8 6 2 2" xfId="12625"/>
    <cellStyle name="40% - Accent1 8 6 2 3" xfId="12626"/>
    <cellStyle name="40% - Accent1 8 6 2 4" xfId="12627"/>
    <cellStyle name="40% - Accent1 8 6 2 5" xfId="12628"/>
    <cellStyle name="40% - Accent1 8 6 2 6" xfId="12629"/>
    <cellStyle name="40% - Accent1 8 6 2 7" xfId="12630"/>
    <cellStyle name="40% - Accent1 8 6 3" xfId="12631"/>
    <cellStyle name="40% - Accent1 8 6 3 2" xfId="12632"/>
    <cellStyle name="40% - Accent1 8 6 3 3" xfId="12633"/>
    <cellStyle name="40% - Accent1 8 6 3 4" xfId="12634"/>
    <cellStyle name="40% - Accent1 8 6 3 5" xfId="12635"/>
    <cellStyle name="40% - Accent1 8 6 3 6" xfId="12636"/>
    <cellStyle name="40% - Accent1 8 6 4" xfId="12637"/>
    <cellStyle name="40% - Accent1 8 6 5" xfId="12638"/>
    <cellStyle name="40% - Accent1 8 6 6" xfId="12639"/>
    <cellStyle name="40% - Accent1 8 6 7" xfId="12640"/>
    <cellStyle name="40% - Accent1 8 6 8" xfId="12641"/>
    <cellStyle name="40% - Accent1 8 6 9" xfId="12642"/>
    <cellStyle name="40% - Accent1 8 7" xfId="12643"/>
    <cellStyle name="40% - Accent1 8 7 2" xfId="12644"/>
    <cellStyle name="40% - Accent1 8 7 2 2" xfId="12645"/>
    <cellStyle name="40% - Accent1 8 7 2 3" xfId="12646"/>
    <cellStyle name="40% - Accent1 8 7 2 4" xfId="12647"/>
    <cellStyle name="40% - Accent1 8 7 2 5" xfId="12648"/>
    <cellStyle name="40% - Accent1 8 7 2 6" xfId="12649"/>
    <cellStyle name="40% - Accent1 8 7 2 7" xfId="12650"/>
    <cellStyle name="40% - Accent1 8 7 3" xfId="12651"/>
    <cellStyle name="40% - Accent1 8 7 3 2" xfId="12652"/>
    <cellStyle name="40% - Accent1 8 7 3 3" xfId="12653"/>
    <cellStyle name="40% - Accent1 8 7 3 4" xfId="12654"/>
    <cellStyle name="40% - Accent1 8 7 3 5" xfId="12655"/>
    <cellStyle name="40% - Accent1 8 7 3 6" xfId="12656"/>
    <cellStyle name="40% - Accent1 8 7 4" xfId="12657"/>
    <cellStyle name="40% - Accent1 8 7 5" xfId="12658"/>
    <cellStyle name="40% - Accent1 8 7 6" xfId="12659"/>
    <cellStyle name="40% - Accent1 8 7 7" xfId="12660"/>
    <cellStyle name="40% - Accent1 8 7 8" xfId="12661"/>
    <cellStyle name="40% - Accent1 8 7 9" xfId="12662"/>
    <cellStyle name="40% - Accent1 8 8" xfId="12663"/>
    <cellStyle name="40% - Accent1 8 8 2" xfId="12664"/>
    <cellStyle name="40% - Accent1 8 8 2 2" xfId="12665"/>
    <cellStyle name="40% - Accent1 8 8 2 3" xfId="12666"/>
    <cellStyle name="40% - Accent1 8 8 2 4" xfId="12667"/>
    <cellStyle name="40% - Accent1 8 8 2 5" xfId="12668"/>
    <cellStyle name="40% - Accent1 8 8 2 6" xfId="12669"/>
    <cellStyle name="40% - Accent1 8 8 2 7" xfId="12670"/>
    <cellStyle name="40% - Accent1 8 8 3" xfId="12671"/>
    <cellStyle name="40% - Accent1 8 8 3 2" xfId="12672"/>
    <cellStyle name="40% - Accent1 8 8 3 3" xfId="12673"/>
    <cellStyle name="40% - Accent1 8 8 3 4" xfId="12674"/>
    <cellStyle name="40% - Accent1 8 8 3 5" xfId="12675"/>
    <cellStyle name="40% - Accent1 8 8 3 6" xfId="12676"/>
    <cellStyle name="40% - Accent1 8 8 4" xfId="12677"/>
    <cellStyle name="40% - Accent1 8 8 5" xfId="12678"/>
    <cellStyle name="40% - Accent1 8 8 6" xfId="12679"/>
    <cellStyle name="40% - Accent1 8 8 7" xfId="12680"/>
    <cellStyle name="40% - Accent1 8 8 8" xfId="12681"/>
    <cellStyle name="40% - Accent1 8 8 9" xfId="12682"/>
    <cellStyle name="40% - Accent1 8 9" xfId="12683"/>
    <cellStyle name="40% - Accent1 8 9 2" xfId="12684"/>
    <cellStyle name="40% - Accent1 8 9 2 2" xfId="12685"/>
    <cellStyle name="40% - Accent1 8 9 2 3" xfId="12686"/>
    <cellStyle name="40% - Accent1 8 9 2 4" xfId="12687"/>
    <cellStyle name="40% - Accent1 8 9 2 5" xfId="12688"/>
    <cellStyle name="40% - Accent1 8 9 2 6" xfId="12689"/>
    <cellStyle name="40% - Accent1 8 9 3" xfId="12690"/>
    <cellStyle name="40% - Accent1 8 9 4" xfId="12691"/>
    <cellStyle name="40% - Accent1 8 9 5" xfId="12692"/>
    <cellStyle name="40% - Accent1 8 9 6" xfId="12693"/>
    <cellStyle name="40% - Accent1 8 9 7" xfId="12694"/>
    <cellStyle name="40% - Accent1 8 9 8" xfId="12695"/>
    <cellStyle name="40% - Accent1 9" xfId="12696"/>
    <cellStyle name="40% - Accent1 9 2" xfId="12697"/>
    <cellStyle name="40% - Accent1 9 3" xfId="12698"/>
    <cellStyle name="40% - Accent1 9 4" xfId="12699"/>
    <cellStyle name="40% - Accent2" xfId="14" builtinId="35" customBuiltin="1"/>
    <cellStyle name="40% - Accent2 10" xfId="12700"/>
    <cellStyle name="40% - Accent2 10 2" xfId="12701"/>
    <cellStyle name="40% - Accent2 10 2 2" xfId="12702"/>
    <cellStyle name="40% - Accent2 10 2 2 2" xfId="12703"/>
    <cellStyle name="40% - Accent2 10 2 3" xfId="12704"/>
    <cellStyle name="40% - Accent2 10 2 4" xfId="12705"/>
    <cellStyle name="40% - Accent2 10 2 5" xfId="12706"/>
    <cellStyle name="40% - Accent2 10 2 6" xfId="12707"/>
    <cellStyle name="40% - Accent2 10 2 7" xfId="12708"/>
    <cellStyle name="40% - Accent2 10 3" xfId="12709"/>
    <cellStyle name="40% - Accent2 10 3 2" xfId="12710"/>
    <cellStyle name="40% - Accent2 10 3 2 2" xfId="12711"/>
    <cellStyle name="40% - Accent2 10 3 3" xfId="12712"/>
    <cellStyle name="40% - Accent2 10 3 4" xfId="12713"/>
    <cellStyle name="40% - Accent2 10 3 5" xfId="12714"/>
    <cellStyle name="40% - Accent2 10 3 6" xfId="12715"/>
    <cellStyle name="40% - Accent2 10 4" xfId="12716"/>
    <cellStyle name="40% - Accent2 10 4 2" xfId="12717"/>
    <cellStyle name="40% - Accent2 10 5" xfId="12718"/>
    <cellStyle name="40% - Accent2 10 6" xfId="12719"/>
    <cellStyle name="40% - Accent2 10 7" xfId="12720"/>
    <cellStyle name="40% - Accent2 10 8" xfId="12721"/>
    <cellStyle name="40% - Accent2 10 9" xfId="12722"/>
    <cellStyle name="40% - Accent2 11" xfId="12723"/>
    <cellStyle name="40% - Accent2 11 2" xfId="12724"/>
    <cellStyle name="40% - Accent2 11 2 2" xfId="12725"/>
    <cellStyle name="40% - Accent2 11 2 2 2" xfId="12726"/>
    <cellStyle name="40% - Accent2 11 2 3" xfId="12727"/>
    <cellStyle name="40% - Accent2 11 2 4" xfId="12728"/>
    <cellStyle name="40% - Accent2 11 2 5" xfId="12729"/>
    <cellStyle name="40% - Accent2 11 2 6" xfId="12730"/>
    <cellStyle name="40% - Accent2 11 2 7" xfId="12731"/>
    <cellStyle name="40% - Accent2 11 3" xfId="12732"/>
    <cellStyle name="40% - Accent2 11 3 2" xfId="12733"/>
    <cellStyle name="40% - Accent2 11 3 2 2" xfId="12734"/>
    <cellStyle name="40% - Accent2 11 3 3" xfId="12735"/>
    <cellStyle name="40% - Accent2 11 3 4" xfId="12736"/>
    <cellStyle name="40% - Accent2 11 3 5" xfId="12737"/>
    <cellStyle name="40% - Accent2 11 3 6" xfId="12738"/>
    <cellStyle name="40% - Accent2 11 4" xfId="12739"/>
    <cellStyle name="40% - Accent2 11 4 2" xfId="12740"/>
    <cellStyle name="40% - Accent2 11 5" xfId="12741"/>
    <cellStyle name="40% - Accent2 11 6" xfId="12742"/>
    <cellStyle name="40% - Accent2 11 7" xfId="12743"/>
    <cellStyle name="40% - Accent2 11 8" xfId="12744"/>
    <cellStyle name="40% - Accent2 11 9" xfId="12745"/>
    <cellStyle name="40% - Accent2 12" xfId="12746"/>
    <cellStyle name="40% - Accent2 12 2" xfId="12747"/>
    <cellStyle name="40% - Accent2 12 2 2" xfId="12748"/>
    <cellStyle name="40% - Accent2 12 2 2 2" xfId="12749"/>
    <cellStyle name="40% - Accent2 12 2 3" xfId="12750"/>
    <cellStyle name="40% - Accent2 12 2 4" xfId="12751"/>
    <cellStyle name="40% - Accent2 12 2 5" xfId="12752"/>
    <cellStyle name="40% - Accent2 12 2 6" xfId="12753"/>
    <cellStyle name="40% - Accent2 12 2 7" xfId="12754"/>
    <cellStyle name="40% - Accent2 12 3" xfId="12755"/>
    <cellStyle name="40% - Accent2 12 3 2" xfId="12756"/>
    <cellStyle name="40% - Accent2 12 3 3" xfId="12757"/>
    <cellStyle name="40% - Accent2 12 3 4" xfId="12758"/>
    <cellStyle name="40% - Accent2 12 3 5" xfId="12759"/>
    <cellStyle name="40% - Accent2 12 3 6" xfId="12760"/>
    <cellStyle name="40% - Accent2 12 4" xfId="12761"/>
    <cellStyle name="40% - Accent2 12 4 2" xfId="12762"/>
    <cellStyle name="40% - Accent2 12 5" xfId="12763"/>
    <cellStyle name="40% - Accent2 12 6" xfId="12764"/>
    <cellStyle name="40% - Accent2 12 7" xfId="12765"/>
    <cellStyle name="40% - Accent2 12 8" xfId="12766"/>
    <cellStyle name="40% - Accent2 12 9" xfId="12767"/>
    <cellStyle name="40% - Accent2 13" xfId="12768"/>
    <cellStyle name="40% - Accent2 13 2" xfId="12769"/>
    <cellStyle name="40% - Accent2 13 2 2" xfId="12770"/>
    <cellStyle name="40% - Accent2 13 2 2 2" xfId="12771"/>
    <cellStyle name="40% - Accent2 13 2 3" xfId="12772"/>
    <cellStyle name="40% - Accent2 13 2 4" xfId="12773"/>
    <cellStyle name="40% - Accent2 13 2 5" xfId="12774"/>
    <cellStyle name="40% - Accent2 13 2 6" xfId="12775"/>
    <cellStyle name="40% - Accent2 13 2 7" xfId="12776"/>
    <cellStyle name="40% - Accent2 13 3" xfId="12777"/>
    <cellStyle name="40% - Accent2 13 3 2" xfId="12778"/>
    <cellStyle name="40% - Accent2 13 3 2 2" xfId="12779"/>
    <cellStyle name="40% - Accent2 13 3 3" xfId="12780"/>
    <cellStyle name="40% - Accent2 13 3 4" xfId="12781"/>
    <cellStyle name="40% - Accent2 13 3 5" xfId="12782"/>
    <cellStyle name="40% - Accent2 13 3 6" xfId="12783"/>
    <cellStyle name="40% - Accent2 13 4" xfId="12784"/>
    <cellStyle name="40% - Accent2 13 5" xfId="12785"/>
    <cellStyle name="40% - Accent2 13 6" xfId="12786"/>
    <cellStyle name="40% - Accent2 13 7" xfId="12787"/>
    <cellStyle name="40% - Accent2 13 8" xfId="12788"/>
    <cellStyle name="40% - Accent2 13 9" xfId="12789"/>
    <cellStyle name="40% - Accent2 14" xfId="12790"/>
    <cellStyle name="40% - Accent2 14 2" xfId="12791"/>
    <cellStyle name="40% - Accent2 14 2 2" xfId="12792"/>
    <cellStyle name="40% - Accent2 14 2 2 2" xfId="12793"/>
    <cellStyle name="40% - Accent2 14 2 3" xfId="12794"/>
    <cellStyle name="40% - Accent2 14 2 4" xfId="12795"/>
    <cellStyle name="40% - Accent2 14 2 5" xfId="12796"/>
    <cellStyle name="40% - Accent2 14 2 6" xfId="12797"/>
    <cellStyle name="40% - Accent2 14 2 7" xfId="12798"/>
    <cellStyle name="40% - Accent2 14 3" xfId="12799"/>
    <cellStyle name="40% - Accent2 14 3 2" xfId="12800"/>
    <cellStyle name="40% - Accent2 14 3 2 2" xfId="12801"/>
    <cellStyle name="40% - Accent2 14 3 3" xfId="12802"/>
    <cellStyle name="40% - Accent2 14 3 4" xfId="12803"/>
    <cellStyle name="40% - Accent2 14 3 5" xfId="12804"/>
    <cellStyle name="40% - Accent2 14 3 6" xfId="12805"/>
    <cellStyle name="40% - Accent2 14 4" xfId="12806"/>
    <cellStyle name="40% - Accent2 14 4 2" xfId="12807"/>
    <cellStyle name="40% - Accent2 14 5" xfId="12808"/>
    <cellStyle name="40% - Accent2 14 6" xfId="12809"/>
    <cellStyle name="40% - Accent2 14 7" xfId="12810"/>
    <cellStyle name="40% - Accent2 14 8" xfId="12811"/>
    <cellStyle name="40% - Accent2 14 9" xfId="12812"/>
    <cellStyle name="40% - Accent2 15" xfId="12813"/>
    <cellStyle name="40% - Accent2 15 2" xfId="12814"/>
    <cellStyle name="40% - Accent2 15 2 2" xfId="12815"/>
    <cellStyle name="40% - Accent2 15 2 2 2" xfId="12816"/>
    <cellStyle name="40% - Accent2 15 2 3" xfId="12817"/>
    <cellStyle name="40% - Accent2 15 2 4" xfId="12818"/>
    <cellStyle name="40% - Accent2 15 2 5" xfId="12819"/>
    <cellStyle name="40% - Accent2 15 2 6" xfId="12820"/>
    <cellStyle name="40% - Accent2 15 2 7" xfId="12821"/>
    <cellStyle name="40% - Accent2 15 3" xfId="12822"/>
    <cellStyle name="40% - Accent2 15 3 2" xfId="12823"/>
    <cellStyle name="40% - Accent2 15 3 2 2" xfId="12824"/>
    <cellStyle name="40% - Accent2 15 3 3" xfId="12825"/>
    <cellStyle name="40% - Accent2 15 3 4" xfId="12826"/>
    <cellStyle name="40% - Accent2 15 3 5" xfId="12827"/>
    <cellStyle name="40% - Accent2 15 3 6" xfId="12828"/>
    <cellStyle name="40% - Accent2 15 4" xfId="12829"/>
    <cellStyle name="40% - Accent2 15 4 2" xfId="12830"/>
    <cellStyle name="40% - Accent2 15 5" xfId="12831"/>
    <cellStyle name="40% - Accent2 15 6" xfId="12832"/>
    <cellStyle name="40% - Accent2 15 7" xfId="12833"/>
    <cellStyle name="40% - Accent2 15 8" xfId="12834"/>
    <cellStyle name="40% - Accent2 15 9" xfId="12835"/>
    <cellStyle name="40% - Accent2 16" xfId="12836"/>
    <cellStyle name="40% - Accent2 16 2" xfId="12837"/>
    <cellStyle name="40% - Accent2 16 2 2" xfId="12838"/>
    <cellStyle name="40% - Accent2 16 2 2 2" xfId="12839"/>
    <cellStyle name="40% - Accent2 16 2 3" xfId="12840"/>
    <cellStyle name="40% - Accent2 16 2 4" xfId="12841"/>
    <cellStyle name="40% - Accent2 16 2 5" xfId="12842"/>
    <cellStyle name="40% - Accent2 16 2 6" xfId="12843"/>
    <cellStyle name="40% - Accent2 16 2 7" xfId="12844"/>
    <cellStyle name="40% - Accent2 16 3" xfId="12845"/>
    <cellStyle name="40% - Accent2 16 3 2" xfId="12846"/>
    <cellStyle name="40% - Accent2 16 3 2 2" xfId="12847"/>
    <cellStyle name="40% - Accent2 16 3 3" xfId="12848"/>
    <cellStyle name="40% - Accent2 16 3 4" xfId="12849"/>
    <cellStyle name="40% - Accent2 16 3 5" xfId="12850"/>
    <cellStyle name="40% - Accent2 16 3 6" xfId="12851"/>
    <cellStyle name="40% - Accent2 16 4" xfId="12852"/>
    <cellStyle name="40% - Accent2 16 4 2" xfId="12853"/>
    <cellStyle name="40% - Accent2 16 5" xfId="12854"/>
    <cellStyle name="40% - Accent2 16 6" xfId="12855"/>
    <cellStyle name="40% - Accent2 16 7" xfId="12856"/>
    <cellStyle name="40% - Accent2 16 8" xfId="12857"/>
    <cellStyle name="40% - Accent2 16 9" xfId="12858"/>
    <cellStyle name="40% - Accent2 17" xfId="12859"/>
    <cellStyle name="40% - Accent2 17 2" xfId="12860"/>
    <cellStyle name="40% - Accent2 17 2 2" xfId="12861"/>
    <cellStyle name="40% - Accent2 17 2 2 2" xfId="12862"/>
    <cellStyle name="40% - Accent2 17 2 3" xfId="12863"/>
    <cellStyle name="40% - Accent2 17 2 4" xfId="12864"/>
    <cellStyle name="40% - Accent2 17 2 5" xfId="12865"/>
    <cellStyle name="40% - Accent2 17 2 6" xfId="12866"/>
    <cellStyle name="40% - Accent2 17 3" xfId="12867"/>
    <cellStyle name="40% - Accent2 17 3 2" xfId="12868"/>
    <cellStyle name="40% - Accent2 17 4" xfId="12869"/>
    <cellStyle name="40% - Accent2 17 4 2" xfId="12870"/>
    <cellStyle name="40% - Accent2 17 5" xfId="12871"/>
    <cellStyle name="40% - Accent2 17 6" xfId="12872"/>
    <cellStyle name="40% - Accent2 17 7" xfId="12873"/>
    <cellStyle name="40% - Accent2 17 8" xfId="12874"/>
    <cellStyle name="40% - Accent2 18" xfId="12875"/>
    <cellStyle name="40% - Accent2 18 2" xfId="12876"/>
    <cellStyle name="40% - Accent2 18 2 2" xfId="12877"/>
    <cellStyle name="40% - Accent2 18 3" xfId="12878"/>
    <cellStyle name="40% - Accent2 18 3 2" xfId="12879"/>
    <cellStyle name="40% - Accent2 18 4" xfId="12880"/>
    <cellStyle name="40% - Accent2 18 4 2" xfId="12881"/>
    <cellStyle name="40% - Accent2 18 5" xfId="12882"/>
    <cellStyle name="40% - Accent2 18 6" xfId="12883"/>
    <cellStyle name="40% - Accent2 18 7" xfId="12884"/>
    <cellStyle name="40% - Accent2 19" xfId="12885"/>
    <cellStyle name="40% - Accent2 19 2" xfId="12886"/>
    <cellStyle name="40% - Accent2 19 2 2" xfId="12887"/>
    <cellStyle name="40% - Accent2 19 3" xfId="12888"/>
    <cellStyle name="40% - Accent2 19 3 2" xfId="12889"/>
    <cellStyle name="40% - Accent2 19 4" xfId="12890"/>
    <cellStyle name="40% - Accent2 19 4 2" xfId="12891"/>
    <cellStyle name="40% - Accent2 19 5" xfId="12892"/>
    <cellStyle name="40% - Accent2 19 6" xfId="12893"/>
    <cellStyle name="40% - Accent2 2" xfId="381"/>
    <cellStyle name="40% - Accent2 2 10" xfId="12894"/>
    <cellStyle name="40% - Accent2 2 10 2" xfId="12895"/>
    <cellStyle name="40% - Accent2 2 10 2 2" xfId="12896"/>
    <cellStyle name="40% - Accent2 2 10 2 3" xfId="12897"/>
    <cellStyle name="40% - Accent2 2 10 2 4" xfId="12898"/>
    <cellStyle name="40% - Accent2 2 10 2 5" xfId="12899"/>
    <cellStyle name="40% - Accent2 2 10 2 6" xfId="12900"/>
    <cellStyle name="40% - Accent2 2 10 3" xfId="12901"/>
    <cellStyle name="40% - Accent2 2 10 3 2" xfId="12902"/>
    <cellStyle name="40% - Accent2 2 10 4" xfId="12903"/>
    <cellStyle name="40% - Accent2 2 10 5" xfId="12904"/>
    <cellStyle name="40% - Accent2 2 10 6" xfId="12905"/>
    <cellStyle name="40% - Accent2 2 10 7" xfId="12906"/>
    <cellStyle name="40% - Accent2 2 10 8" xfId="12907"/>
    <cellStyle name="40% - Accent2 2 11" xfId="12908"/>
    <cellStyle name="40% - Accent2 2 11 2" xfId="12909"/>
    <cellStyle name="40% - Accent2 2 11 2 2" xfId="12910"/>
    <cellStyle name="40% - Accent2 2 11 3" xfId="12911"/>
    <cellStyle name="40% - Accent2 2 11 4" xfId="12912"/>
    <cellStyle name="40% - Accent2 2 11 5" xfId="12913"/>
    <cellStyle name="40% - Accent2 2 11 6" xfId="12914"/>
    <cellStyle name="40% - Accent2 2 11 7" xfId="12915"/>
    <cellStyle name="40% - Accent2 2 12" xfId="12916"/>
    <cellStyle name="40% - Accent2 2 12 2" xfId="12917"/>
    <cellStyle name="40% - Accent2 2 12 2 2" xfId="12918"/>
    <cellStyle name="40% - Accent2 2 12 3" xfId="12919"/>
    <cellStyle name="40% - Accent2 2 12 4" xfId="12920"/>
    <cellStyle name="40% - Accent2 2 12 5" xfId="12921"/>
    <cellStyle name="40% - Accent2 2 12 6" xfId="12922"/>
    <cellStyle name="40% - Accent2 2 13" xfId="12923"/>
    <cellStyle name="40% - Accent2 2 13 2" xfId="12924"/>
    <cellStyle name="40% - Accent2 2 14" xfId="12925"/>
    <cellStyle name="40% - Accent2 2 14 2" xfId="12926"/>
    <cellStyle name="40% - Accent2 2 15" xfId="12927"/>
    <cellStyle name="40% - Accent2 2 15 2" xfId="12928"/>
    <cellStyle name="40% - Accent2 2 16" xfId="12929"/>
    <cellStyle name="40% - Accent2 2 16 2" xfId="12930"/>
    <cellStyle name="40% - Accent2 2 17" xfId="12931"/>
    <cellStyle name="40% - Accent2 2 17 2" xfId="12932"/>
    <cellStyle name="40% - Accent2 2 18" xfId="12933"/>
    <cellStyle name="40% - Accent2 2 19" xfId="12934"/>
    <cellStyle name="40% - Accent2 2 2" xfId="1488"/>
    <cellStyle name="40% - Accent2 2 2 2" xfId="1489"/>
    <cellStyle name="40% - Accent2 2 2 2 2" xfId="12935"/>
    <cellStyle name="40% - Accent2 2 2 2 3" xfId="12936"/>
    <cellStyle name="40% - Accent2 2 2 3" xfId="12937"/>
    <cellStyle name="40% - Accent2 2 2 4" xfId="12938"/>
    <cellStyle name="40% - Accent2 2 20" xfId="12939"/>
    <cellStyle name="40% - Accent2 2 21" xfId="12940"/>
    <cellStyle name="40% - Accent2 2 22" xfId="12941"/>
    <cellStyle name="40% - Accent2 2 23" xfId="12942"/>
    <cellStyle name="40% - Accent2 2 24" xfId="12943"/>
    <cellStyle name="40% - Accent2 2 25" xfId="12944"/>
    <cellStyle name="40% - Accent2 2 26" xfId="12945"/>
    <cellStyle name="40% - Accent2 2 27" xfId="12946"/>
    <cellStyle name="40% - Accent2 2 28" xfId="12947"/>
    <cellStyle name="40% - Accent2 2 29" xfId="12948"/>
    <cellStyle name="40% - Accent2 2 3" xfId="1490"/>
    <cellStyle name="40% - Accent2 2 3 10" xfId="12949"/>
    <cellStyle name="40% - Accent2 2 3 11" xfId="12950"/>
    <cellStyle name="40% - Accent2 2 3 2" xfId="1491"/>
    <cellStyle name="40% - Accent2 2 3 2 2" xfId="12951"/>
    <cellStyle name="40% - Accent2 2 3 2 3" xfId="12952"/>
    <cellStyle name="40% - Accent2 2 3 2 4" xfId="12953"/>
    <cellStyle name="40% - Accent2 2 3 2 5" xfId="12954"/>
    <cellStyle name="40% - Accent2 2 3 2 6" xfId="12955"/>
    <cellStyle name="40% - Accent2 2 3 2 7" xfId="12956"/>
    <cellStyle name="40% - Accent2 2 3 2 8" xfId="12957"/>
    <cellStyle name="40% - Accent2 2 3 2 9" xfId="12958"/>
    <cellStyle name="40% - Accent2 2 3 3" xfId="12959"/>
    <cellStyle name="40% - Accent2 2 3 3 2" xfId="12960"/>
    <cellStyle name="40% - Accent2 2 3 3 3" xfId="12961"/>
    <cellStyle name="40% - Accent2 2 3 3 4" xfId="12962"/>
    <cellStyle name="40% - Accent2 2 3 3 5" xfId="12963"/>
    <cellStyle name="40% - Accent2 2 3 3 6" xfId="12964"/>
    <cellStyle name="40% - Accent2 2 3 4" xfId="12965"/>
    <cellStyle name="40% - Accent2 2 3 4 2" xfId="12966"/>
    <cellStyle name="40% - Accent2 2 3 5" xfId="12967"/>
    <cellStyle name="40% - Accent2 2 3 6" xfId="12968"/>
    <cellStyle name="40% - Accent2 2 3 7" xfId="12969"/>
    <cellStyle name="40% - Accent2 2 3 8" xfId="12970"/>
    <cellStyle name="40% - Accent2 2 3 9" xfId="12971"/>
    <cellStyle name="40% - Accent2 2 30" xfId="12972"/>
    <cellStyle name="40% - Accent2 2 31" xfId="12973"/>
    <cellStyle name="40% - Accent2 2 32" xfId="12974"/>
    <cellStyle name="40% - Accent2 2 33" xfId="12975"/>
    <cellStyle name="40% - Accent2 2 34" xfId="12976"/>
    <cellStyle name="40% - Accent2 2 35" xfId="12977"/>
    <cellStyle name="40% - Accent2 2 4" xfId="1492"/>
    <cellStyle name="40% - Accent2 2 4 10" xfId="12978"/>
    <cellStyle name="40% - Accent2 2 4 11" xfId="12979"/>
    <cellStyle name="40% - Accent2 2 4 2" xfId="12980"/>
    <cellStyle name="40% - Accent2 2 4 2 2" xfId="12981"/>
    <cellStyle name="40% - Accent2 2 4 2 3" xfId="12982"/>
    <cellStyle name="40% - Accent2 2 4 2 4" xfId="12983"/>
    <cellStyle name="40% - Accent2 2 4 2 5" xfId="12984"/>
    <cellStyle name="40% - Accent2 2 4 2 6" xfId="12985"/>
    <cellStyle name="40% - Accent2 2 4 2 7" xfId="12986"/>
    <cellStyle name="40% - Accent2 2 4 3" xfId="12987"/>
    <cellStyle name="40% - Accent2 2 4 3 2" xfId="12988"/>
    <cellStyle name="40% - Accent2 2 4 3 3" xfId="12989"/>
    <cellStyle name="40% - Accent2 2 4 3 4" xfId="12990"/>
    <cellStyle name="40% - Accent2 2 4 3 5" xfId="12991"/>
    <cellStyle name="40% - Accent2 2 4 3 6" xfId="12992"/>
    <cellStyle name="40% - Accent2 2 4 4" xfId="12993"/>
    <cellStyle name="40% - Accent2 2 4 4 2" xfId="12994"/>
    <cellStyle name="40% - Accent2 2 4 5" xfId="12995"/>
    <cellStyle name="40% - Accent2 2 4 6" xfId="12996"/>
    <cellStyle name="40% - Accent2 2 4 7" xfId="12997"/>
    <cellStyle name="40% - Accent2 2 4 8" xfId="12998"/>
    <cellStyle name="40% - Accent2 2 4 9" xfId="12999"/>
    <cellStyle name="40% - Accent2 2 5" xfId="1493"/>
    <cellStyle name="40% - Accent2 2 5 10" xfId="13000"/>
    <cellStyle name="40% - Accent2 2 5 11" xfId="13001"/>
    <cellStyle name="40% - Accent2 2 5 2" xfId="13002"/>
    <cellStyle name="40% - Accent2 2 5 2 2" xfId="13003"/>
    <cellStyle name="40% - Accent2 2 5 2 3" xfId="13004"/>
    <cellStyle name="40% - Accent2 2 5 2 4" xfId="13005"/>
    <cellStyle name="40% - Accent2 2 5 2 5" xfId="13006"/>
    <cellStyle name="40% - Accent2 2 5 2 6" xfId="13007"/>
    <cellStyle name="40% - Accent2 2 5 2 7" xfId="13008"/>
    <cellStyle name="40% - Accent2 2 5 3" xfId="13009"/>
    <cellStyle name="40% - Accent2 2 5 3 2" xfId="13010"/>
    <cellStyle name="40% - Accent2 2 5 3 3" xfId="13011"/>
    <cellStyle name="40% - Accent2 2 5 3 4" xfId="13012"/>
    <cellStyle name="40% - Accent2 2 5 3 5" xfId="13013"/>
    <cellStyle name="40% - Accent2 2 5 3 6" xfId="13014"/>
    <cellStyle name="40% - Accent2 2 5 4" xfId="13015"/>
    <cellStyle name="40% - Accent2 2 5 4 2" xfId="13016"/>
    <cellStyle name="40% - Accent2 2 5 5" xfId="13017"/>
    <cellStyle name="40% - Accent2 2 5 6" xfId="13018"/>
    <cellStyle name="40% - Accent2 2 5 7" xfId="13019"/>
    <cellStyle name="40% - Accent2 2 5 8" xfId="13020"/>
    <cellStyle name="40% - Accent2 2 5 9" xfId="13021"/>
    <cellStyle name="40% - Accent2 2 6" xfId="1494"/>
    <cellStyle name="40% - Accent2 2 6 10" xfId="13022"/>
    <cellStyle name="40% - Accent2 2 6 11" xfId="13023"/>
    <cellStyle name="40% - Accent2 2 6 2" xfId="13024"/>
    <cellStyle name="40% - Accent2 2 6 2 2" xfId="13025"/>
    <cellStyle name="40% - Accent2 2 6 2 3" xfId="13026"/>
    <cellStyle name="40% - Accent2 2 6 2 4" xfId="13027"/>
    <cellStyle name="40% - Accent2 2 6 2 5" xfId="13028"/>
    <cellStyle name="40% - Accent2 2 6 2 6" xfId="13029"/>
    <cellStyle name="40% - Accent2 2 6 2 7" xfId="13030"/>
    <cellStyle name="40% - Accent2 2 6 3" xfId="13031"/>
    <cellStyle name="40% - Accent2 2 6 3 2" xfId="13032"/>
    <cellStyle name="40% - Accent2 2 6 3 3" xfId="13033"/>
    <cellStyle name="40% - Accent2 2 6 3 4" xfId="13034"/>
    <cellStyle name="40% - Accent2 2 6 3 5" xfId="13035"/>
    <cellStyle name="40% - Accent2 2 6 3 6" xfId="13036"/>
    <cellStyle name="40% - Accent2 2 6 4" xfId="13037"/>
    <cellStyle name="40% - Accent2 2 6 4 2" xfId="13038"/>
    <cellStyle name="40% - Accent2 2 6 5" xfId="13039"/>
    <cellStyle name="40% - Accent2 2 6 6" xfId="13040"/>
    <cellStyle name="40% - Accent2 2 6 7" xfId="13041"/>
    <cellStyle name="40% - Accent2 2 6 8" xfId="13042"/>
    <cellStyle name="40% - Accent2 2 6 9" xfId="13043"/>
    <cellStyle name="40% - Accent2 2 7" xfId="1487"/>
    <cellStyle name="40% - Accent2 2 7 10" xfId="13044"/>
    <cellStyle name="40% - Accent2 2 7 2" xfId="13045"/>
    <cellStyle name="40% - Accent2 2 7 2 2" xfId="13046"/>
    <cellStyle name="40% - Accent2 2 7 2 3" xfId="13047"/>
    <cellStyle name="40% - Accent2 2 7 2 4" xfId="13048"/>
    <cellStyle name="40% - Accent2 2 7 2 5" xfId="13049"/>
    <cellStyle name="40% - Accent2 2 7 2 6" xfId="13050"/>
    <cellStyle name="40% - Accent2 2 7 2 7" xfId="13051"/>
    <cellStyle name="40% - Accent2 2 7 3" xfId="13052"/>
    <cellStyle name="40% - Accent2 2 7 3 2" xfId="13053"/>
    <cellStyle name="40% - Accent2 2 7 3 3" xfId="13054"/>
    <cellStyle name="40% - Accent2 2 7 3 4" xfId="13055"/>
    <cellStyle name="40% - Accent2 2 7 3 5" xfId="13056"/>
    <cellStyle name="40% - Accent2 2 7 3 6" xfId="13057"/>
    <cellStyle name="40% - Accent2 2 7 4" xfId="13058"/>
    <cellStyle name="40% - Accent2 2 7 4 2" xfId="13059"/>
    <cellStyle name="40% - Accent2 2 7 5" xfId="13060"/>
    <cellStyle name="40% - Accent2 2 7 6" xfId="13061"/>
    <cellStyle name="40% - Accent2 2 7 7" xfId="13062"/>
    <cellStyle name="40% - Accent2 2 7 8" xfId="13063"/>
    <cellStyle name="40% - Accent2 2 7 9" xfId="13064"/>
    <cellStyle name="40% - Accent2 2 8" xfId="13065"/>
    <cellStyle name="40% - Accent2 2 8 2" xfId="13066"/>
    <cellStyle name="40% - Accent2 2 8 2 2" xfId="13067"/>
    <cellStyle name="40% - Accent2 2 8 2 3" xfId="13068"/>
    <cellStyle name="40% - Accent2 2 8 2 4" xfId="13069"/>
    <cellStyle name="40% - Accent2 2 8 2 5" xfId="13070"/>
    <cellStyle name="40% - Accent2 2 8 2 6" xfId="13071"/>
    <cellStyle name="40% - Accent2 2 8 2 7" xfId="13072"/>
    <cellStyle name="40% - Accent2 2 8 3" xfId="13073"/>
    <cellStyle name="40% - Accent2 2 8 3 2" xfId="13074"/>
    <cellStyle name="40% - Accent2 2 8 3 3" xfId="13075"/>
    <cellStyle name="40% - Accent2 2 8 3 4" xfId="13076"/>
    <cellStyle name="40% - Accent2 2 8 3 5" xfId="13077"/>
    <cellStyle name="40% - Accent2 2 8 3 6" xfId="13078"/>
    <cellStyle name="40% - Accent2 2 8 4" xfId="13079"/>
    <cellStyle name="40% - Accent2 2 8 4 2" xfId="13080"/>
    <cellStyle name="40% - Accent2 2 8 5" xfId="13081"/>
    <cellStyle name="40% - Accent2 2 8 6" xfId="13082"/>
    <cellStyle name="40% - Accent2 2 8 7" xfId="13083"/>
    <cellStyle name="40% - Accent2 2 8 8" xfId="13084"/>
    <cellStyle name="40% - Accent2 2 8 9" xfId="13085"/>
    <cellStyle name="40% - Accent2 2 9" xfId="13086"/>
    <cellStyle name="40% - Accent2 2 9 2" xfId="13087"/>
    <cellStyle name="40% - Accent2 2 9 2 2" xfId="13088"/>
    <cellStyle name="40% - Accent2 2 9 2 3" xfId="13089"/>
    <cellStyle name="40% - Accent2 2 9 2 4" xfId="13090"/>
    <cellStyle name="40% - Accent2 2 9 2 5" xfId="13091"/>
    <cellStyle name="40% - Accent2 2 9 2 6" xfId="13092"/>
    <cellStyle name="40% - Accent2 2 9 2 7" xfId="13093"/>
    <cellStyle name="40% - Accent2 2 9 3" xfId="13094"/>
    <cellStyle name="40% - Accent2 2 9 3 2" xfId="13095"/>
    <cellStyle name="40% - Accent2 2 9 3 3" xfId="13096"/>
    <cellStyle name="40% - Accent2 2 9 3 4" xfId="13097"/>
    <cellStyle name="40% - Accent2 2 9 3 5" xfId="13098"/>
    <cellStyle name="40% - Accent2 2 9 3 6" xfId="13099"/>
    <cellStyle name="40% - Accent2 2 9 4" xfId="13100"/>
    <cellStyle name="40% - Accent2 2 9 4 2" xfId="13101"/>
    <cellStyle name="40% - Accent2 2 9 5" xfId="13102"/>
    <cellStyle name="40% - Accent2 2 9 6" xfId="13103"/>
    <cellStyle name="40% - Accent2 2 9 7" xfId="13104"/>
    <cellStyle name="40% - Accent2 2 9 8" xfId="13105"/>
    <cellStyle name="40% - Accent2 2 9 9" xfId="13106"/>
    <cellStyle name="40% - Accent2 20" xfId="13107"/>
    <cellStyle name="40% - Accent2 20 2" xfId="13108"/>
    <cellStyle name="40% - Accent2 20 3" xfId="13109"/>
    <cellStyle name="40% - Accent2 20 4" xfId="13110"/>
    <cellStyle name="40% - Accent2 21" xfId="13111"/>
    <cellStyle name="40% - Accent2 21 2" xfId="13112"/>
    <cellStyle name="40% - Accent2 21 3" xfId="13113"/>
    <cellStyle name="40% - Accent2 21 4" xfId="13114"/>
    <cellStyle name="40% - Accent2 22" xfId="13115"/>
    <cellStyle name="40% - Accent2 22 2" xfId="13116"/>
    <cellStyle name="40% - Accent2 22 3" xfId="13117"/>
    <cellStyle name="40% - Accent2 22 4" xfId="13118"/>
    <cellStyle name="40% - Accent2 23" xfId="13119"/>
    <cellStyle name="40% - Accent2 23 2" xfId="13120"/>
    <cellStyle name="40% - Accent2 23 3" xfId="13121"/>
    <cellStyle name="40% - Accent2 23 4" xfId="13122"/>
    <cellStyle name="40% - Accent2 24" xfId="13123"/>
    <cellStyle name="40% - Accent2 24 2" xfId="13124"/>
    <cellStyle name="40% - Accent2 24 3" xfId="13125"/>
    <cellStyle name="40% - Accent2 24 4" xfId="13126"/>
    <cellStyle name="40% - Accent2 25" xfId="13127"/>
    <cellStyle name="40% - Accent2 25 2" xfId="13128"/>
    <cellStyle name="40% - Accent2 25 3" xfId="13129"/>
    <cellStyle name="40% - Accent2 26" xfId="13130"/>
    <cellStyle name="40% - Accent2 26 2" xfId="13131"/>
    <cellStyle name="40% - Accent2 26 3" xfId="13132"/>
    <cellStyle name="40% - Accent2 27" xfId="13133"/>
    <cellStyle name="40% - Accent2 27 2" xfId="13134"/>
    <cellStyle name="40% - Accent2 27 3" xfId="13135"/>
    <cellStyle name="40% - Accent2 28" xfId="13136"/>
    <cellStyle name="40% - Accent2 28 2" xfId="13137"/>
    <cellStyle name="40% - Accent2 28 3" xfId="13138"/>
    <cellStyle name="40% - Accent2 29" xfId="13139"/>
    <cellStyle name="40% - Accent2 29 2" xfId="13140"/>
    <cellStyle name="40% - Accent2 29 3" xfId="13141"/>
    <cellStyle name="40% - Accent2 3" xfId="1495"/>
    <cellStyle name="40% - Accent2 3 10" xfId="13142"/>
    <cellStyle name="40% - Accent2 3 10 2" xfId="13143"/>
    <cellStyle name="40% - Accent2 3 10 3" xfId="13144"/>
    <cellStyle name="40% - Accent2 3 10 4" xfId="13145"/>
    <cellStyle name="40% - Accent2 3 10 5" xfId="13146"/>
    <cellStyle name="40% - Accent2 3 10 6" xfId="13147"/>
    <cellStyle name="40% - Accent2 3 10 7" xfId="13148"/>
    <cellStyle name="40% - Accent2 3 11" xfId="13149"/>
    <cellStyle name="40% - Accent2 3 11 2" xfId="13150"/>
    <cellStyle name="40% - Accent2 3 11 3" xfId="13151"/>
    <cellStyle name="40% - Accent2 3 11 4" xfId="13152"/>
    <cellStyle name="40% - Accent2 3 11 5" xfId="13153"/>
    <cellStyle name="40% - Accent2 3 11 6" xfId="13154"/>
    <cellStyle name="40% - Accent2 3 12" xfId="13155"/>
    <cellStyle name="40% - Accent2 3 12 2" xfId="13156"/>
    <cellStyle name="40% - Accent2 3 13" xfId="13157"/>
    <cellStyle name="40% - Accent2 3 14" xfId="13158"/>
    <cellStyle name="40% - Accent2 3 15" xfId="13159"/>
    <cellStyle name="40% - Accent2 3 16" xfId="13160"/>
    <cellStyle name="40% - Accent2 3 17" xfId="13161"/>
    <cellStyle name="40% - Accent2 3 18" xfId="13162"/>
    <cellStyle name="40% - Accent2 3 2" xfId="13163"/>
    <cellStyle name="40% - Accent2 3 2 2" xfId="13164"/>
    <cellStyle name="40% - Accent2 3 2 2 2" xfId="13165"/>
    <cellStyle name="40% - Accent2 3 2 2 3" xfId="13166"/>
    <cellStyle name="40% - Accent2 3 2 2 4" xfId="13167"/>
    <cellStyle name="40% - Accent2 3 2 2 5" xfId="13168"/>
    <cellStyle name="40% - Accent2 3 2 2 6" xfId="13169"/>
    <cellStyle name="40% - Accent2 3 2 2 7" xfId="13170"/>
    <cellStyle name="40% - Accent2 3 2 3" xfId="13171"/>
    <cellStyle name="40% - Accent2 3 2 3 2" xfId="13172"/>
    <cellStyle name="40% - Accent2 3 2 3 3" xfId="13173"/>
    <cellStyle name="40% - Accent2 3 2 3 4" xfId="13174"/>
    <cellStyle name="40% - Accent2 3 2 3 5" xfId="13175"/>
    <cellStyle name="40% - Accent2 3 2 3 6" xfId="13176"/>
    <cellStyle name="40% - Accent2 3 2 4" xfId="13177"/>
    <cellStyle name="40% - Accent2 3 2 5" xfId="13178"/>
    <cellStyle name="40% - Accent2 3 2 6" xfId="13179"/>
    <cellStyle name="40% - Accent2 3 2 7" xfId="13180"/>
    <cellStyle name="40% - Accent2 3 2 8" xfId="13181"/>
    <cellStyle name="40% - Accent2 3 2 9" xfId="13182"/>
    <cellStyle name="40% - Accent2 3 3" xfId="13183"/>
    <cellStyle name="40% - Accent2 3 3 2" xfId="13184"/>
    <cellStyle name="40% - Accent2 3 3 2 2" xfId="13185"/>
    <cellStyle name="40% - Accent2 3 3 2 3" xfId="13186"/>
    <cellStyle name="40% - Accent2 3 3 2 4" xfId="13187"/>
    <cellStyle name="40% - Accent2 3 3 2 5" xfId="13188"/>
    <cellStyle name="40% - Accent2 3 3 2 6" xfId="13189"/>
    <cellStyle name="40% - Accent2 3 3 2 7" xfId="13190"/>
    <cellStyle name="40% - Accent2 3 3 3" xfId="13191"/>
    <cellStyle name="40% - Accent2 3 3 3 2" xfId="13192"/>
    <cellStyle name="40% - Accent2 3 3 3 3" xfId="13193"/>
    <cellStyle name="40% - Accent2 3 3 3 4" xfId="13194"/>
    <cellStyle name="40% - Accent2 3 3 3 5" xfId="13195"/>
    <cellStyle name="40% - Accent2 3 3 3 6" xfId="13196"/>
    <cellStyle name="40% - Accent2 3 3 4" xfId="13197"/>
    <cellStyle name="40% - Accent2 3 3 5" xfId="13198"/>
    <cellStyle name="40% - Accent2 3 3 6" xfId="13199"/>
    <cellStyle name="40% - Accent2 3 3 7" xfId="13200"/>
    <cellStyle name="40% - Accent2 3 3 8" xfId="13201"/>
    <cellStyle name="40% - Accent2 3 3 9" xfId="13202"/>
    <cellStyle name="40% - Accent2 3 4" xfId="13203"/>
    <cellStyle name="40% - Accent2 3 4 2" xfId="13204"/>
    <cellStyle name="40% - Accent2 3 4 2 2" xfId="13205"/>
    <cellStyle name="40% - Accent2 3 4 2 3" xfId="13206"/>
    <cellStyle name="40% - Accent2 3 4 2 4" xfId="13207"/>
    <cellStyle name="40% - Accent2 3 4 2 5" xfId="13208"/>
    <cellStyle name="40% - Accent2 3 4 2 6" xfId="13209"/>
    <cellStyle name="40% - Accent2 3 4 2 7" xfId="13210"/>
    <cellStyle name="40% - Accent2 3 4 3" xfId="13211"/>
    <cellStyle name="40% - Accent2 3 4 3 2" xfId="13212"/>
    <cellStyle name="40% - Accent2 3 4 3 3" xfId="13213"/>
    <cellStyle name="40% - Accent2 3 4 3 4" xfId="13214"/>
    <cellStyle name="40% - Accent2 3 4 3 5" xfId="13215"/>
    <cellStyle name="40% - Accent2 3 4 3 6" xfId="13216"/>
    <cellStyle name="40% - Accent2 3 4 4" xfId="13217"/>
    <cellStyle name="40% - Accent2 3 4 5" xfId="13218"/>
    <cellStyle name="40% - Accent2 3 4 6" xfId="13219"/>
    <cellStyle name="40% - Accent2 3 4 7" xfId="13220"/>
    <cellStyle name="40% - Accent2 3 4 8" xfId="13221"/>
    <cellStyle name="40% - Accent2 3 4 9" xfId="13222"/>
    <cellStyle name="40% - Accent2 3 5" xfId="13223"/>
    <cellStyle name="40% - Accent2 3 5 2" xfId="13224"/>
    <cellStyle name="40% - Accent2 3 5 2 2" xfId="13225"/>
    <cellStyle name="40% - Accent2 3 5 2 3" xfId="13226"/>
    <cellStyle name="40% - Accent2 3 5 2 4" xfId="13227"/>
    <cellStyle name="40% - Accent2 3 5 2 5" xfId="13228"/>
    <cellStyle name="40% - Accent2 3 5 2 6" xfId="13229"/>
    <cellStyle name="40% - Accent2 3 5 2 7" xfId="13230"/>
    <cellStyle name="40% - Accent2 3 5 3" xfId="13231"/>
    <cellStyle name="40% - Accent2 3 5 3 2" xfId="13232"/>
    <cellStyle name="40% - Accent2 3 5 3 3" xfId="13233"/>
    <cellStyle name="40% - Accent2 3 5 3 4" xfId="13234"/>
    <cellStyle name="40% - Accent2 3 5 3 5" xfId="13235"/>
    <cellStyle name="40% - Accent2 3 5 3 6" xfId="13236"/>
    <cellStyle name="40% - Accent2 3 5 4" xfId="13237"/>
    <cellStyle name="40% - Accent2 3 5 5" xfId="13238"/>
    <cellStyle name="40% - Accent2 3 5 6" xfId="13239"/>
    <cellStyle name="40% - Accent2 3 5 7" xfId="13240"/>
    <cellStyle name="40% - Accent2 3 5 8" xfId="13241"/>
    <cellStyle name="40% - Accent2 3 5 9" xfId="13242"/>
    <cellStyle name="40% - Accent2 3 6" xfId="13243"/>
    <cellStyle name="40% - Accent2 3 6 2" xfId="13244"/>
    <cellStyle name="40% - Accent2 3 6 2 2" xfId="13245"/>
    <cellStyle name="40% - Accent2 3 6 2 3" xfId="13246"/>
    <cellStyle name="40% - Accent2 3 6 2 4" xfId="13247"/>
    <cellStyle name="40% - Accent2 3 6 2 5" xfId="13248"/>
    <cellStyle name="40% - Accent2 3 6 2 6" xfId="13249"/>
    <cellStyle name="40% - Accent2 3 6 2 7" xfId="13250"/>
    <cellStyle name="40% - Accent2 3 6 3" xfId="13251"/>
    <cellStyle name="40% - Accent2 3 6 3 2" xfId="13252"/>
    <cellStyle name="40% - Accent2 3 6 3 3" xfId="13253"/>
    <cellStyle name="40% - Accent2 3 6 3 4" xfId="13254"/>
    <cellStyle name="40% - Accent2 3 6 3 5" xfId="13255"/>
    <cellStyle name="40% - Accent2 3 6 3 6" xfId="13256"/>
    <cellStyle name="40% - Accent2 3 6 4" xfId="13257"/>
    <cellStyle name="40% - Accent2 3 6 5" xfId="13258"/>
    <cellStyle name="40% - Accent2 3 6 6" xfId="13259"/>
    <cellStyle name="40% - Accent2 3 6 7" xfId="13260"/>
    <cellStyle name="40% - Accent2 3 6 8" xfId="13261"/>
    <cellStyle name="40% - Accent2 3 6 9" xfId="13262"/>
    <cellStyle name="40% - Accent2 3 7" xfId="13263"/>
    <cellStyle name="40% - Accent2 3 7 2" xfId="13264"/>
    <cellStyle name="40% - Accent2 3 7 2 2" xfId="13265"/>
    <cellStyle name="40% - Accent2 3 7 2 3" xfId="13266"/>
    <cellStyle name="40% - Accent2 3 7 2 4" xfId="13267"/>
    <cellStyle name="40% - Accent2 3 7 2 5" xfId="13268"/>
    <cellStyle name="40% - Accent2 3 7 2 6" xfId="13269"/>
    <cellStyle name="40% - Accent2 3 7 2 7" xfId="13270"/>
    <cellStyle name="40% - Accent2 3 7 3" xfId="13271"/>
    <cellStyle name="40% - Accent2 3 7 3 2" xfId="13272"/>
    <cellStyle name="40% - Accent2 3 7 3 3" xfId="13273"/>
    <cellStyle name="40% - Accent2 3 7 3 4" xfId="13274"/>
    <cellStyle name="40% - Accent2 3 7 3 5" xfId="13275"/>
    <cellStyle name="40% - Accent2 3 7 3 6" xfId="13276"/>
    <cellStyle name="40% - Accent2 3 7 4" xfId="13277"/>
    <cellStyle name="40% - Accent2 3 7 5" xfId="13278"/>
    <cellStyle name="40% - Accent2 3 7 6" xfId="13279"/>
    <cellStyle name="40% - Accent2 3 7 7" xfId="13280"/>
    <cellStyle name="40% - Accent2 3 7 8" xfId="13281"/>
    <cellStyle name="40% - Accent2 3 7 9" xfId="13282"/>
    <cellStyle name="40% - Accent2 3 8" xfId="13283"/>
    <cellStyle name="40% - Accent2 3 8 2" xfId="13284"/>
    <cellStyle name="40% - Accent2 3 8 2 2" xfId="13285"/>
    <cellStyle name="40% - Accent2 3 8 2 3" xfId="13286"/>
    <cellStyle name="40% - Accent2 3 8 2 4" xfId="13287"/>
    <cellStyle name="40% - Accent2 3 8 2 5" xfId="13288"/>
    <cellStyle name="40% - Accent2 3 8 2 6" xfId="13289"/>
    <cellStyle name="40% - Accent2 3 8 2 7" xfId="13290"/>
    <cellStyle name="40% - Accent2 3 8 3" xfId="13291"/>
    <cellStyle name="40% - Accent2 3 8 3 2" xfId="13292"/>
    <cellStyle name="40% - Accent2 3 8 3 3" xfId="13293"/>
    <cellStyle name="40% - Accent2 3 8 3 4" xfId="13294"/>
    <cellStyle name="40% - Accent2 3 8 3 5" xfId="13295"/>
    <cellStyle name="40% - Accent2 3 8 3 6" xfId="13296"/>
    <cellStyle name="40% - Accent2 3 8 4" xfId="13297"/>
    <cellStyle name="40% - Accent2 3 8 5" xfId="13298"/>
    <cellStyle name="40% - Accent2 3 8 6" xfId="13299"/>
    <cellStyle name="40% - Accent2 3 8 7" xfId="13300"/>
    <cellStyle name="40% - Accent2 3 8 8" xfId="13301"/>
    <cellStyle name="40% - Accent2 3 8 9" xfId="13302"/>
    <cellStyle name="40% - Accent2 3 9" xfId="13303"/>
    <cellStyle name="40% - Accent2 3 9 2" xfId="13304"/>
    <cellStyle name="40% - Accent2 3 9 2 2" xfId="13305"/>
    <cellStyle name="40% - Accent2 3 9 2 3" xfId="13306"/>
    <cellStyle name="40% - Accent2 3 9 2 4" xfId="13307"/>
    <cellStyle name="40% - Accent2 3 9 2 5" xfId="13308"/>
    <cellStyle name="40% - Accent2 3 9 2 6" xfId="13309"/>
    <cellStyle name="40% - Accent2 3 9 3" xfId="13310"/>
    <cellStyle name="40% - Accent2 3 9 4" xfId="13311"/>
    <cellStyle name="40% - Accent2 3 9 5" xfId="13312"/>
    <cellStyle name="40% - Accent2 3 9 6" xfId="13313"/>
    <cellStyle name="40% - Accent2 3 9 7" xfId="13314"/>
    <cellStyle name="40% - Accent2 3 9 8" xfId="13315"/>
    <cellStyle name="40% - Accent2 30" xfId="13316"/>
    <cellStyle name="40% - Accent2 30 2" xfId="13317"/>
    <cellStyle name="40% - Accent2 31" xfId="13318"/>
    <cellStyle name="40% - Accent2 32" xfId="13319"/>
    <cellStyle name="40% - Accent2 33" xfId="13320"/>
    <cellStyle name="40% - Accent2 4" xfId="13321"/>
    <cellStyle name="40% - Accent2 4 10" xfId="13322"/>
    <cellStyle name="40% - Accent2 4 10 2" xfId="13323"/>
    <cellStyle name="40% - Accent2 4 10 3" xfId="13324"/>
    <cellStyle name="40% - Accent2 4 10 4" xfId="13325"/>
    <cellStyle name="40% - Accent2 4 10 5" xfId="13326"/>
    <cellStyle name="40% - Accent2 4 10 6" xfId="13327"/>
    <cellStyle name="40% - Accent2 4 10 7" xfId="13328"/>
    <cellStyle name="40% - Accent2 4 11" xfId="13329"/>
    <cellStyle name="40% - Accent2 4 11 2" xfId="13330"/>
    <cellStyle name="40% - Accent2 4 11 3" xfId="13331"/>
    <cellStyle name="40% - Accent2 4 11 4" xfId="13332"/>
    <cellStyle name="40% - Accent2 4 11 5" xfId="13333"/>
    <cellStyle name="40% - Accent2 4 11 6" xfId="13334"/>
    <cellStyle name="40% - Accent2 4 12" xfId="13335"/>
    <cellStyle name="40% - Accent2 4 12 2" xfId="13336"/>
    <cellStyle name="40% - Accent2 4 13" xfId="13337"/>
    <cellStyle name="40% - Accent2 4 14" xfId="13338"/>
    <cellStyle name="40% - Accent2 4 15" xfId="13339"/>
    <cellStyle name="40% - Accent2 4 16" xfId="13340"/>
    <cellStyle name="40% - Accent2 4 17" xfId="13341"/>
    <cellStyle name="40% - Accent2 4 2" xfId="13342"/>
    <cellStyle name="40% - Accent2 4 2 2" xfId="13343"/>
    <cellStyle name="40% - Accent2 4 2 2 2" xfId="13344"/>
    <cellStyle name="40% - Accent2 4 2 2 3" xfId="13345"/>
    <cellStyle name="40% - Accent2 4 2 2 4" xfId="13346"/>
    <cellStyle name="40% - Accent2 4 2 2 5" xfId="13347"/>
    <cellStyle name="40% - Accent2 4 2 2 6" xfId="13348"/>
    <cellStyle name="40% - Accent2 4 2 2 7" xfId="13349"/>
    <cellStyle name="40% - Accent2 4 2 3" xfId="13350"/>
    <cellStyle name="40% - Accent2 4 2 3 2" xfId="13351"/>
    <cellStyle name="40% - Accent2 4 2 3 3" xfId="13352"/>
    <cellStyle name="40% - Accent2 4 2 3 4" xfId="13353"/>
    <cellStyle name="40% - Accent2 4 2 3 5" xfId="13354"/>
    <cellStyle name="40% - Accent2 4 2 3 6" xfId="13355"/>
    <cellStyle name="40% - Accent2 4 2 4" xfId="13356"/>
    <cellStyle name="40% - Accent2 4 2 4 2" xfId="13357"/>
    <cellStyle name="40% - Accent2 4 2 5" xfId="13358"/>
    <cellStyle name="40% - Accent2 4 2 6" xfId="13359"/>
    <cellStyle name="40% - Accent2 4 2 7" xfId="13360"/>
    <cellStyle name="40% - Accent2 4 2 8" xfId="13361"/>
    <cellStyle name="40% - Accent2 4 2 9" xfId="13362"/>
    <cellStyle name="40% - Accent2 4 3" xfId="13363"/>
    <cellStyle name="40% - Accent2 4 3 2" xfId="13364"/>
    <cellStyle name="40% - Accent2 4 3 2 2" xfId="13365"/>
    <cellStyle name="40% - Accent2 4 3 2 3" xfId="13366"/>
    <cellStyle name="40% - Accent2 4 3 2 4" xfId="13367"/>
    <cellStyle name="40% - Accent2 4 3 2 5" xfId="13368"/>
    <cellStyle name="40% - Accent2 4 3 2 6" xfId="13369"/>
    <cellStyle name="40% - Accent2 4 3 2 7" xfId="13370"/>
    <cellStyle name="40% - Accent2 4 3 3" xfId="13371"/>
    <cellStyle name="40% - Accent2 4 3 3 2" xfId="13372"/>
    <cellStyle name="40% - Accent2 4 3 3 3" xfId="13373"/>
    <cellStyle name="40% - Accent2 4 3 3 4" xfId="13374"/>
    <cellStyle name="40% - Accent2 4 3 3 5" xfId="13375"/>
    <cellStyle name="40% - Accent2 4 3 3 6" xfId="13376"/>
    <cellStyle name="40% - Accent2 4 3 4" xfId="13377"/>
    <cellStyle name="40% - Accent2 4 3 4 2" xfId="13378"/>
    <cellStyle name="40% - Accent2 4 3 5" xfId="13379"/>
    <cellStyle name="40% - Accent2 4 3 6" xfId="13380"/>
    <cellStyle name="40% - Accent2 4 3 7" xfId="13381"/>
    <cellStyle name="40% - Accent2 4 3 8" xfId="13382"/>
    <cellStyle name="40% - Accent2 4 3 9" xfId="13383"/>
    <cellStyle name="40% - Accent2 4 4" xfId="13384"/>
    <cellStyle name="40% - Accent2 4 4 2" xfId="13385"/>
    <cellStyle name="40% - Accent2 4 4 2 2" xfId="13386"/>
    <cellStyle name="40% - Accent2 4 4 2 3" xfId="13387"/>
    <cellStyle name="40% - Accent2 4 4 2 4" xfId="13388"/>
    <cellStyle name="40% - Accent2 4 4 2 5" xfId="13389"/>
    <cellStyle name="40% - Accent2 4 4 2 6" xfId="13390"/>
    <cellStyle name="40% - Accent2 4 4 2 7" xfId="13391"/>
    <cellStyle name="40% - Accent2 4 4 3" xfId="13392"/>
    <cellStyle name="40% - Accent2 4 4 3 2" xfId="13393"/>
    <cellStyle name="40% - Accent2 4 4 3 3" xfId="13394"/>
    <cellStyle name="40% - Accent2 4 4 3 4" xfId="13395"/>
    <cellStyle name="40% - Accent2 4 4 3 5" xfId="13396"/>
    <cellStyle name="40% - Accent2 4 4 3 6" xfId="13397"/>
    <cellStyle name="40% - Accent2 4 4 4" xfId="13398"/>
    <cellStyle name="40% - Accent2 4 4 5" xfId="13399"/>
    <cellStyle name="40% - Accent2 4 4 6" xfId="13400"/>
    <cellStyle name="40% - Accent2 4 4 7" xfId="13401"/>
    <cellStyle name="40% - Accent2 4 4 8" xfId="13402"/>
    <cellStyle name="40% - Accent2 4 4 9" xfId="13403"/>
    <cellStyle name="40% - Accent2 4 5" xfId="13404"/>
    <cellStyle name="40% - Accent2 4 5 2" xfId="13405"/>
    <cellStyle name="40% - Accent2 4 5 2 2" xfId="13406"/>
    <cellStyle name="40% - Accent2 4 5 2 3" xfId="13407"/>
    <cellStyle name="40% - Accent2 4 5 2 4" xfId="13408"/>
    <cellStyle name="40% - Accent2 4 5 2 5" xfId="13409"/>
    <cellStyle name="40% - Accent2 4 5 2 6" xfId="13410"/>
    <cellStyle name="40% - Accent2 4 5 2 7" xfId="13411"/>
    <cellStyle name="40% - Accent2 4 5 3" xfId="13412"/>
    <cellStyle name="40% - Accent2 4 5 3 2" xfId="13413"/>
    <cellStyle name="40% - Accent2 4 5 3 3" xfId="13414"/>
    <cellStyle name="40% - Accent2 4 5 3 4" xfId="13415"/>
    <cellStyle name="40% - Accent2 4 5 3 5" xfId="13416"/>
    <cellStyle name="40% - Accent2 4 5 3 6" xfId="13417"/>
    <cellStyle name="40% - Accent2 4 5 4" xfId="13418"/>
    <cellStyle name="40% - Accent2 4 5 5" xfId="13419"/>
    <cellStyle name="40% - Accent2 4 5 6" xfId="13420"/>
    <cellStyle name="40% - Accent2 4 5 7" xfId="13421"/>
    <cellStyle name="40% - Accent2 4 5 8" xfId="13422"/>
    <cellStyle name="40% - Accent2 4 5 9" xfId="13423"/>
    <cellStyle name="40% - Accent2 4 6" xfId="13424"/>
    <cellStyle name="40% - Accent2 4 6 2" xfId="13425"/>
    <cellStyle name="40% - Accent2 4 6 2 2" xfId="13426"/>
    <cellStyle name="40% - Accent2 4 6 2 3" xfId="13427"/>
    <cellStyle name="40% - Accent2 4 6 2 4" xfId="13428"/>
    <cellStyle name="40% - Accent2 4 6 2 5" xfId="13429"/>
    <cellStyle name="40% - Accent2 4 6 2 6" xfId="13430"/>
    <cellStyle name="40% - Accent2 4 6 2 7" xfId="13431"/>
    <cellStyle name="40% - Accent2 4 6 3" xfId="13432"/>
    <cellStyle name="40% - Accent2 4 6 3 2" xfId="13433"/>
    <cellStyle name="40% - Accent2 4 6 3 3" xfId="13434"/>
    <cellStyle name="40% - Accent2 4 6 3 4" xfId="13435"/>
    <cellStyle name="40% - Accent2 4 6 3 5" xfId="13436"/>
    <cellStyle name="40% - Accent2 4 6 3 6" xfId="13437"/>
    <cellStyle name="40% - Accent2 4 6 4" xfId="13438"/>
    <cellStyle name="40% - Accent2 4 6 5" xfId="13439"/>
    <cellStyle name="40% - Accent2 4 6 6" xfId="13440"/>
    <cellStyle name="40% - Accent2 4 6 7" xfId="13441"/>
    <cellStyle name="40% - Accent2 4 6 8" xfId="13442"/>
    <cellStyle name="40% - Accent2 4 6 9" xfId="13443"/>
    <cellStyle name="40% - Accent2 4 7" xfId="13444"/>
    <cellStyle name="40% - Accent2 4 7 2" xfId="13445"/>
    <cellStyle name="40% - Accent2 4 7 2 2" xfId="13446"/>
    <cellStyle name="40% - Accent2 4 7 2 3" xfId="13447"/>
    <cellStyle name="40% - Accent2 4 7 2 4" xfId="13448"/>
    <cellStyle name="40% - Accent2 4 7 2 5" xfId="13449"/>
    <cellStyle name="40% - Accent2 4 7 2 6" xfId="13450"/>
    <cellStyle name="40% - Accent2 4 7 2 7" xfId="13451"/>
    <cellStyle name="40% - Accent2 4 7 3" xfId="13452"/>
    <cellStyle name="40% - Accent2 4 7 3 2" xfId="13453"/>
    <cellStyle name="40% - Accent2 4 7 3 3" xfId="13454"/>
    <cellStyle name="40% - Accent2 4 7 3 4" xfId="13455"/>
    <cellStyle name="40% - Accent2 4 7 3 5" xfId="13456"/>
    <cellStyle name="40% - Accent2 4 7 3 6" xfId="13457"/>
    <cellStyle name="40% - Accent2 4 7 4" xfId="13458"/>
    <cellStyle name="40% - Accent2 4 7 5" xfId="13459"/>
    <cellStyle name="40% - Accent2 4 7 6" xfId="13460"/>
    <cellStyle name="40% - Accent2 4 7 7" xfId="13461"/>
    <cellStyle name="40% - Accent2 4 7 8" xfId="13462"/>
    <cellStyle name="40% - Accent2 4 7 9" xfId="13463"/>
    <cellStyle name="40% - Accent2 4 8" xfId="13464"/>
    <cellStyle name="40% - Accent2 4 8 2" xfId="13465"/>
    <cellStyle name="40% - Accent2 4 8 2 2" xfId="13466"/>
    <cellStyle name="40% - Accent2 4 8 2 3" xfId="13467"/>
    <cellStyle name="40% - Accent2 4 8 2 4" xfId="13468"/>
    <cellStyle name="40% - Accent2 4 8 2 5" xfId="13469"/>
    <cellStyle name="40% - Accent2 4 8 2 6" xfId="13470"/>
    <cellStyle name="40% - Accent2 4 8 2 7" xfId="13471"/>
    <cellStyle name="40% - Accent2 4 8 3" xfId="13472"/>
    <cellStyle name="40% - Accent2 4 8 3 2" xfId="13473"/>
    <cellStyle name="40% - Accent2 4 8 3 3" xfId="13474"/>
    <cellStyle name="40% - Accent2 4 8 3 4" xfId="13475"/>
    <cellStyle name="40% - Accent2 4 8 3 5" xfId="13476"/>
    <cellStyle name="40% - Accent2 4 8 3 6" xfId="13477"/>
    <cellStyle name="40% - Accent2 4 8 4" xfId="13478"/>
    <cellStyle name="40% - Accent2 4 8 5" xfId="13479"/>
    <cellStyle name="40% - Accent2 4 8 6" xfId="13480"/>
    <cellStyle name="40% - Accent2 4 8 7" xfId="13481"/>
    <cellStyle name="40% - Accent2 4 8 8" xfId="13482"/>
    <cellStyle name="40% - Accent2 4 8 9" xfId="13483"/>
    <cellStyle name="40% - Accent2 4 9" xfId="13484"/>
    <cellStyle name="40% - Accent2 4 9 2" xfId="13485"/>
    <cellStyle name="40% - Accent2 4 9 2 2" xfId="13486"/>
    <cellStyle name="40% - Accent2 4 9 2 3" xfId="13487"/>
    <cellStyle name="40% - Accent2 4 9 2 4" xfId="13488"/>
    <cellStyle name="40% - Accent2 4 9 2 5" xfId="13489"/>
    <cellStyle name="40% - Accent2 4 9 2 6" xfId="13490"/>
    <cellStyle name="40% - Accent2 4 9 3" xfId="13491"/>
    <cellStyle name="40% - Accent2 4 9 4" xfId="13492"/>
    <cellStyle name="40% - Accent2 4 9 5" xfId="13493"/>
    <cellStyle name="40% - Accent2 4 9 6" xfId="13494"/>
    <cellStyle name="40% - Accent2 4 9 7" xfId="13495"/>
    <cellStyle name="40% - Accent2 4 9 8" xfId="13496"/>
    <cellStyle name="40% - Accent2 5" xfId="13497"/>
    <cellStyle name="40% - Accent2 5 10" xfId="13498"/>
    <cellStyle name="40% - Accent2 5 10 2" xfId="13499"/>
    <cellStyle name="40% - Accent2 5 10 3" xfId="13500"/>
    <cellStyle name="40% - Accent2 5 10 4" xfId="13501"/>
    <cellStyle name="40% - Accent2 5 10 5" xfId="13502"/>
    <cellStyle name="40% - Accent2 5 10 6" xfId="13503"/>
    <cellStyle name="40% - Accent2 5 10 7" xfId="13504"/>
    <cellStyle name="40% - Accent2 5 11" xfId="13505"/>
    <cellStyle name="40% - Accent2 5 11 2" xfId="13506"/>
    <cellStyle name="40% - Accent2 5 11 3" xfId="13507"/>
    <cellStyle name="40% - Accent2 5 11 4" xfId="13508"/>
    <cellStyle name="40% - Accent2 5 11 5" xfId="13509"/>
    <cellStyle name="40% - Accent2 5 11 6" xfId="13510"/>
    <cellStyle name="40% - Accent2 5 12" xfId="13511"/>
    <cellStyle name="40% - Accent2 5 12 2" xfId="13512"/>
    <cellStyle name="40% - Accent2 5 13" xfId="13513"/>
    <cellStyle name="40% - Accent2 5 14" xfId="13514"/>
    <cellStyle name="40% - Accent2 5 15" xfId="13515"/>
    <cellStyle name="40% - Accent2 5 16" xfId="13516"/>
    <cellStyle name="40% - Accent2 5 17" xfId="13517"/>
    <cellStyle name="40% - Accent2 5 2" xfId="13518"/>
    <cellStyle name="40% - Accent2 5 2 2" xfId="13519"/>
    <cellStyle name="40% - Accent2 5 2 2 2" xfId="13520"/>
    <cellStyle name="40% - Accent2 5 2 2 3" xfId="13521"/>
    <cellStyle name="40% - Accent2 5 2 2 4" xfId="13522"/>
    <cellStyle name="40% - Accent2 5 2 2 5" xfId="13523"/>
    <cellStyle name="40% - Accent2 5 2 2 6" xfId="13524"/>
    <cellStyle name="40% - Accent2 5 2 2 7" xfId="13525"/>
    <cellStyle name="40% - Accent2 5 2 3" xfId="13526"/>
    <cellStyle name="40% - Accent2 5 2 3 2" xfId="13527"/>
    <cellStyle name="40% - Accent2 5 2 3 3" xfId="13528"/>
    <cellStyle name="40% - Accent2 5 2 3 4" xfId="13529"/>
    <cellStyle name="40% - Accent2 5 2 3 5" xfId="13530"/>
    <cellStyle name="40% - Accent2 5 2 3 6" xfId="13531"/>
    <cellStyle name="40% - Accent2 5 2 4" xfId="13532"/>
    <cellStyle name="40% - Accent2 5 2 4 2" xfId="13533"/>
    <cellStyle name="40% - Accent2 5 2 5" xfId="13534"/>
    <cellStyle name="40% - Accent2 5 2 6" xfId="13535"/>
    <cellStyle name="40% - Accent2 5 2 7" xfId="13536"/>
    <cellStyle name="40% - Accent2 5 2 8" xfId="13537"/>
    <cellStyle name="40% - Accent2 5 2 9" xfId="13538"/>
    <cellStyle name="40% - Accent2 5 3" xfId="13539"/>
    <cellStyle name="40% - Accent2 5 3 2" xfId="13540"/>
    <cellStyle name="40% - Accent2 5 3 2 2" xfId="13541"/>
    <cellStyle name="40% - Accent2 5 3 2 3" xfId="13542"/>
    <cellStyle name="40% - Accent2 5 3 2 4" xfId="13543"/>
    <cellStyle name="40% - Accent2 5 3 2 5" xfId="13544"/>
    <cellStyle name="40% - Accent2 5 3 2 6" xfId="13545"/>
    <cellStyle name="40% - Accent2 5 3 2 7" xfId="13546"/>
    <cellStyle name="40% - Accent2 5 3 3" xfId="13547"/>
    <cellStyle name="40% - Accent2 5 3 3 2" xfId="13548"/>
    <cellStyle name="40% - Accent2 5 3 3 3" xfId="13549"/>
    <cellStyle name="40% - Accent2 5 3 3 4" xfId="13550"/>
    <cellStyle name="40% - Accent2 5 3 3 5" xfId="13551"/>
    <cellStyle name="40% - Accent2 5 3 3 6" xfId="13552"/>
    <cellStyle name="40% - Accent2 5 3 4" xfId="13553"/>
    <cellStyle name="40% - Accent2 5 3 4 2" xfId="13554"/>
    <cellStyle name="40% - Accent2 5 3 5" xfId="13555"/>
    <cellStyle name="40% - Accent2 5 3 6" xfId="13556"/>
    <cellStyle name="40% - Accent2 5 3 7" xfId="13557"/>
    <cellStyle name="40% - Accent2 5 3 8" xfId="13558"/>
    <cellStyle name="40% - Accent2 5 3 9" xfId="13559"/>
    <cellStyle name="40% - Accent2 5 4" xfId="13560"/>
    <cellStyle name="40% - Accent2 5 4 2" xfId="13561"/>
    <cellStyle name="40% - Accent2 5 4 2 2" xfId="13562"/>
    <cellStyle name="40% - Accent2 5 4 2 3" xfId="13563"/>
    <cellStyle name="40% - Accent2 5 4 2 4" xfId="13564"/>
    <cellStyle name="40% - Accent2 5 4 2 5" xfId="13565"/>
    <cellStyle name="40% - Accent2 5 4 2 6" xfId="13566"/>
    <cellStyle name="40% - Accent2 5 4 2 7" xfId="13567"/>
    <cellStyle name="40% - Accent2 5 4 3" xfId="13568"/>
    <cellStyle name="40% - Accent2 5 4 3 2" xfId="13569"/>
    <cellStyle name="40% - Accent2 5 4 3 3" xfId="13570"/>
    <cellStyle name="40% - Accent2 5 4 3 4" xfId="13571"/>
    <cellStyle name="40% - Accent2 5 4 3 5" xfId="13572"/>
    <cellStyle name="40% - Accent2 5 4 3 6" xfId="13573"/>
    <cellStyle name="40% - Accent2 5 4 4" xfId="13574"/>
    <cellStyle name="40% - Accent2 5 4 5" xfId="13575"/>
    <cellStyle name="40% - Accent2 5 4 6" xfId="13576"/>
    <cellStyle name="40% - Accent2 5 4 7" xfId="13577"/>
    <cellStyle name="40% - Accent2 5 4 8" xfId="13578"/>
    <cellStyle name="40% - Accent2 5 4 9" xfId="13579"/>
    <cellStyle name="40% - Accent2 5 5" xfId="13580"/>
    <cellStyle name="40% - Accent2 5 5 2" xfId="13581"/>
    <cellStyle name="40% - Accent2 5 5 2 2" xfId="13582"/>
    <cellStyle name="40% - Accent2 5 5 2 3" xfId="13583"/>
    <cellStyle name="40% - Accent2 5 5 2 4" xfId="13584"/>
    <cellStyle name="40% - Accent2 5 5 2 5" xfId="13585"/>
    <cellStyle name="40% - Accent2 5 5 2 6" xfId="13586"/>
    <cellStyle name="40% - Accent2 5 5 2 7" xfId="13587"/>
    <cellStyle name="40% - Accent2 5 5 3" xfId="13588"/>
    <cellStyle name="40% - Accent2 5 5 3 2" xfId="13589"/>
    <cellStyle name="40% - Accent2 5 5 3 3" xfId="13590"/>
    <cellStyle name="40% - Accent2 5 5 3 4" xfId="13591"/>
    <cellStyle name="40% - Accent2 5 5 3 5" xfId="13592"/>
    <cellStyle name="40% - Accent2 5 5 3 6" xfId="13593"/>
    <cellStyle name="40% - Accent2 5 5 4" xfId="13594"/>
    <cellStyle name="40% - Accent2 5 5 5" xfId="13595"/>
    <cellStyle name="40% - Accent2 5 5 6" xfId="13596"/>
    <cellStyle name="40% - Accent2 5 5 7" xfId="13597"/>
    <cellStyle name="40% - Accent2 5 5 8" xfId="13598"/>
    <cellStyle name="40% - Accent2 5 5 9" xfId="13599"/>
    <cellStyle name="40% - Accent2 5 6" xfId="13600"/>
    <cellStyle name="40% - Accent2 5 6 2" xfId="13601"/>
    <cellStyle name="40% - Accent2 5 6 2 2" xfId="13602"/>
    <cellStyle name="40% - Accent2 5 6 2 3" xfId="13603"/>
    <cellStyle name="40% - Accent2 5 6 2 4" xfId="13604"/>
    <cellStyle name="40% - Accent2 5 6 2 5" xfId="13605"/>
    <cellStyle name="40% - Accent2 5 6 2 6" xfId="13606"/>
    <cellStyle name="40% - Accent2 5 6 2 7" xfId="13607"/>
    <cellStyle name="40% - Accent2 5 6 3" xfId="13608"/>
    <cellStyle name="40% - Accent2 5 6 3 2" xfId="13609"/>
    <cellStyle name="40% - Accent2 5 6 3 3" xfId="13610"/>
    <cellStyle name="40% - Accent2 5 6 3 4" xfId="13611"/>
    <cellStyle name="40% - Accent2 5 6 3 5" xfId="13612"/>
    <cellStyle name="40% - Accent2 5 6 3 6" xfId="13613"/>
    <cellStyle name="40% - Accent2 5 6 4" xfId="13614"/>
    <cellStyle name="40% - Accent2 5 6 5" xfId="13615"/>
    <cellStyle name="40% - Accent2 5 6 6" xfId="13616"/>
    <cellStyle name="40% - Accent2 5 6 7" xfId="13617"/>
    <cellStyle name="40% - Accent2 5 6 8" xfId="13618"/>
    <cellStyle name="40% - Accent2 5 6 9" xfId="13619"/>
    <cellStyle name="40% - Accent2 5 7" xfId="13620"/>
    <cellStyle name="40% - Accent2 5 7 2" xfId="13621"/>
    <cellStyle name="40% - Accent2 5 7 2 2" xfId="13622"/>
    <cellStyle name="40% - Accent2 5 7 2 3" xfId="13623"/>
    <cellStyle name="40% - Accent2 5 7 2 4" xfId="13624"/>
    <cellStyle name="40% - Accent2 5 7 2 5" xfId="13625"/>
    <cellStyle name="40% - Accent2 5 7 2 6" xfId="13626"/>
    <cellStyle name="40% - Accent2 5 7 2 7" xfId="13627"/>
    <cellStyle name="40% - Accent2 5 7 3" xfId="13628"/>
    <cellStyle name="40% - Accent2 5 7 3 2" xfId="13629"/>
    <cellStyle name="40% - Accent2 5 7 3 3" xfId="13630"/>
    <cellStyle name="40% - Accent2 5 7 3 4" xfId="13631"/>
    <cellStyle name="40% - Accent2 5 7 3 5" xfId="13632"/>
    <cellStyle name="40% - Accent2 5 7 3 6" xfId="13633"/>
    <cellStyle name="40% - Accent2 5 7 4" xfId="13634"/>
    <cellStyle name="40% - Accent2 5 7 5" xfId="13635"/>
    <cellStyle name="40% - Accent2 5 7 6" xfId="13636"/>
    <cellStyle name="40% - Accent2 5 7 7" xfId="13637"/>
    <cellStyle name="40% - Accent2 5 7 8" xfId="13638"/>
    <cellStyle name="40% - Accent2 5 7 9" xfId="13639"/>
    <cellStyle name="40% - Accent2 5 8" xfId="13640"/>
    <cellStyle name="40% - Accent2 5 8 2" xfId="13641"/>
    <cellStyle name="40% - Accent2 5 8 2 2" xfId="13642"/>
    <cellStyle name="40% - Accent2 5 8 2 3" xfId="13643"/>
    <cellStyle name="40% - Accent2 5 8 2 4" xfId="13644"/>
    <cellStyle name="40% - Accent2 5 8 2 5" xfId="13645"/>
    <cellStyle name="40% - Accent2 5 8 2 6" xfId="13646"/>
    <cellStyle name="40% - Accent2 5 8 2 7" xfId="13647"/>
    <cellStyle name="40% - Accent2 5 8 3" xfId="13648"/>
    <cellStyle name="40% - Accent2 5 8 3 2" xfId="13649"/>
    <cellStyle name="40% - Accent2 5 8 3 3" xfId="13650"/>
    <cellStyle name="40% - Accent2 5 8 3 4" xfId="13651"/>
    <cellStyle name="40% - Accent2 5 8 3 5" xfId="13652"/>
    <cellStyle name="40% - Accent2 5 8 3 6" xfId="13653"/>
    <cellStyle name="40% - Accent2 5 8 4" xfId="13654"/>
    <cellStyle name="40% - Accent2 5 8 5" xfId="13655"/>
    <cellStyle name="40% - Accent2 5 8 6" xfId="13656"/>
    <cellStyle name="40% - Accent2 5 8 7" xfId="13657"/>
    <cellStyle name="40% - Accent2 5 8 8" xfId="13658"/>
    <cellStyle name="40% - Accent2 5 8 9" xfId="13659"/>
    <cellStyle name="40% - Accent2 5 9" xfId="13660"/>
    <cellStyle name="40% - Accent2 5 9 2" xfId="13661"/>
    <cellStyle name="40% - Accent2 5 9 2 2" xfId="13662"/>
    <cellStyle name="40% - Accent2 5 9 2 3" xfId="13663"/>
    <cellStyle name="40% - Accent2 5 9 2 4" xfId="13664"/>
    <cellStyle name="40% - Accent2 5 9 2 5" xfId="13665"/>
    <cellStyle name="40% - Accent2 5 9 2 6" xfId="13666"/>
    <cellStyle name="40% - Accent2 5 9 3" xfId="13667"/>
    <cellStyle name="40% - Accent2 5 9 4" xfId="13668"/>
    <cellStyle name="40% - Accent2 5 9 5" xfId="13669"/>
    <cellStyle name="40% - Accent2 5 9 6" xfId="13670"/>
    <cellStyle name="40% - Accent2 5 9 7" xfId="13671"/>
    <cellStyle name="40% - Accent2 5 9 8" xfId="13672"/>
    <cellStyle name="40% - Accent2 6" xfId="13673"/>
    <cellStyle name="40% - Accent2 6 10" xfId="13674"/>
    <cellStyle name="40% - Accent2 6 10 2" xfId="13675"/>
    <cellStyle name="40% - Accent2 6 10 3" xfId="13676"/>
    <cellStyle name="40% - Accent2 6 10 4" xfId="13677"/>
    <cellStyle name="40% - Accent2 6 10 5" xfId="13678"/>
    <cellStyle name="40% - Accent2 6 10 6" xfId="13679"/>
    <cellStyle name="40% - Accent2 6 10 7" xfId="13680"/>
    <cellStyle name="40% - Accent2 6 11" xfId="13681"/>
    <cellStyle name="40% - Accent2 6 11 2" xfId="13682"/>
    <cellStyle name="40% - Accent2 6 11 3" xfId="13683"/>
    <cellStyle name="40% - Accent2 6 11 4" xfId="13684"/>
    <cellStyle name="40% - Accent2 6 11 5" xfId="13685"/>
    <cellStyle name="40% - Accent2 6 11 6" xfId="13686"/>
    <cellStyle name="40% - Accent2 6 12" xfId="13687"/>
    <cellStyle name="40% - Accent2 6 12 2" xfId="13688"/>
    <cellStyle name="40% - Accent2 6 13" xfId="13689"/>
    <cellStyle name="40% - Accent2 6 14" xfId="13690"/>
    <cellStyle name="40% - Accent2 6 15" xfId="13691"/>
    <cellStyle name="40% - Accent2 6 16" xfId="13692"/>
    <cellStyle name="40% - Accent2 6 17" xfId="13693"/>
    <cellStyle name="40% - Accent2 6 2" xfId="13694"/>
    <cellStyle name="40% - Accent2 6 2 2" xfId="13695"/>
    <cellStyle name="40% - Accent2 6 2 2 2" xfId="13696"/>
    <cellStyle name="40% - Accent2 6 2 2 3" xfId="13697"/>
    <cellStyle name="40% - Accent2 6 2 2 4" xfId="13698"/>
    <cellStyle name="40% - Accent2 6 2 2 5" xfId="13699"/>
    <cellStyle name="40% - Accent2 6 2 2 6" xfId="13700"/>
    <cellStyle name="40% - Accent2 6 2 2 7" xfId="13701"/>
    <cellStyle name="40% - Accent2 6 2 3" xfId="13702"/>
    <cellStyle name="40% - Accent2 6 2 3 2" xfId="13703"/>
    <cellStyle name="40% - Accent2 6 2 3 3" xfId="13704"/>
    <cellStyle name="40% - Accent2 6 2 3 4" xfId="13705"/>
    <cellStyle name="40% - Accent2 6 2 3 5" xfId="13706"/>
    <cellStyle name="40% - Accent2 6 2 3 6" xfId="13707"/>
    <cellStyle name="40% - Accent2 6 2 4" xfId="13708"/>
    <cellStyle name="40% - Accent2 6 2 4 2" xfId="13709"/>
    <cellStyle name="40% - Accent2 6 2 5" xfId="13710"/>
    <cellStyle name="40% - Accent2 6 2 6" xfId="13711"/>
    <cellStyle name="40% - Accent2 6 2 7" xfId="13712"/>
    <cellStyle name="40% - Accent2 6 2 8" xfId="13713"/>
    <cellStyle name="40% - Accent2 6 2 9" xfId="13714"/>
    <cellStyle name="40% - Accent2 6 3" xfId="13715"/>
    <cellStyle name="40% - Accent2 6 3 2" xfId="13716"/>
    <cellStyle name="40% - Accent2 6 3 2 2" xfId="13717"/>
    <cellStyle name="40% - Accent2 6 3 2 3" xfId="13718"/>
    <cellStyle name="40% - Accent2 6 3 2 4" xfId="13719"/>
    <cellStyle name="40% - Accent2 6 3 2 5" xfId="13720"/>
    <cellStyle name="40% - Accent2 6 3 2 6" xfId="13721"/>
    <cellStyle name="40% - Accent2 6 3 2 7" xfId="13722"/>
    <cellStyle name="40% - Accent2 6 3 3" xfId="13723"/>
    <cellStyle name="40% - Accent2 6 3 3 2" xfId="13724"/>
    <cellStyle name="40% - Accent2 6 3 3 3" xfId="13725"/>
    <cellStyle name="40% - Accent2 6 3 3 4" xfId="13726"/>
    <cellStyle name="40% - Accent2 6 3 3 5" xfId="13727"/>
    <cellStyle name="40% - Accent2 6 3 3 6" xfId="13728"/>
    <cellStyle name="40% - Accent2 6 3 4" xfId="13729"/>
    <cellStyle name="40% - Accent2 6 3 4 2" xfId="13730"/>
    <cellStyle name="40% - Accent2 6 3 5" xfId="13731"/>
    <cellStyle name="40% - Accent2 6 3 6" xfId="13732"/>
    <cellStyle name="40% - Accent2 6 3 7" xfId="13733"/>
    <cellStyle name="40% - Accent2 6 3 8" xfId="13734"/>
    <cellStyle name="40% - Accent2 6 3 9" xfId="13735"/>
    <cellStyle name="40% - Accent2 6 4" xfId="13736"/>
    <cellStyle name="40% - Accent2 6 4 2" xfId="13737"/>
    <cellStyle name="40% - Accent2 6 4 2 2" xfId="13738"/>
    <cellStyle name="40% - Accent2 6 4 2 3" xfId="13739"/>
    <cellStyle name="40% - Accent2 6 4 2 4" xfId="13740"/>
    <cellStyle name="40% - Accent2 6 4 2 5" xfId="13741"/>
    <cellStyle name="40% - Accent2 6 4 2 6" xfId="13742"/>
    <cellStyle name="40% - Accent2 6 4 2 7" xfId="13743"/>
    <cellStyle name="40% - Accent2 6 4 3" xfId="13744"/>
    <cellStyle name="40% - Accent2 6 4 3 2" xfId="13745"/>
    <cellStyle name="40% - Accent2 6 4 3 3" xfId="13746"/>
    <cellStyle name="40% - Accent2 6 4 3 4" xfId="13747"/>
    <cellStyle name="40% - Accent2 6 4 3 5" xfId="13748"/>
    <cellStyle name="40% - Accent2 6 4 3 6" xfId="13749"/>
    <cellStyle name="40% - Accent2 6 4 4" xfId="13750"/>
    <cellStyle name="40% - Accent2 6 4 5" xfId="13751"/>
    <cellStyle name="40% - Accent2 6 4 6" xfId="13752"/>
    <cellStyle name="40% - Accent2 6 4 7" xfId="13753"/>
    <cellStyle name="40% - Accent2 6 4 8" xfId="13754"/>
    <cellStyle name="40% - Accent2 6 4 9" xfId="13755"/>
    <cellStyle name="40% - Accent2 6 5" xfId="13756"/>
    <cellStyle name="40% - Accent2 6 5 2" xfId="13757"/>
    <cellStyle name="40% - Accent2 6 5 2 2" xfId="13758"/>
    <cellStyle name="40% - Accent2 6 5 2 3" xfId="13759"/>
    <cellStyle name="40% - Accent2 6 5 2 4" xfId="13760"/>
    <cellStyle name="40% - Accent2 6 5 2 5" xfId="13761"/>
    <cellStyle name="40% - Accent2 6 5 2 6" xfId="13762"/>
    <cellStyle name="40% - Accent2 6 5 2 7" xfId="13763"/>
    <cellStyle name="40% - Accent2 6 5 3" xfId="13764"/>
    <cellStyle name="40% - Accent2 6 5 3 2" xfId="13765"/>
    <cellStyle name="40% - Accent2 6 5 3 3" xfId="13766"/>
    <cellStyle name="40% - Accent2 6 5 3 4" xfId="13767"/>
    <cellStyle name="40% - Accent2 6 5 3 5" xfId="13768"/>
    <cellStyle name="40% - Accent2 6 5 3 6" xfId="13769"/>
    <cellStyle name="40% - Accent2 6 5 4" xfId="13770"/>
    <cellStyle name="40% - Accent2 6 5 5" xfId="13771"/>
    <cellStyle name="40% - Accent2 6 5 6" xfId="13772"/>
    <cellStyle name="40% - Accent2 6 5 7" xfId="13773"/>
    <cellStyle name="40% - Accent2 6 5 8" xfId="13774"/>
    <cellStyle name="40% - Accent2 6 5 9" xfId="13775"/>
    <cellStyle name="40% - Accent2 6 6" xfId="13776"/>
    <cellStyle name="40% - Accent2 6 6 2" xfId="13777"/>
    <cellStyle name="40% - Accent2 6 6 2 2" xfId="13778"/>
    <cellStyle name="40% - Accent2 6 6 2 3" xfId="13779"/>
    <cellStyle name="40% - Accent2 6 6 2 4" xfId="13780"/>
    <cellStyle name="40% - Accent2 6 6 2 5" xfId="13781"/>
    <cellStyle name="40% - Accent2 6 6 2 6" xfId="13782"/>
    <cellStyle name="40% - Accent2 6 6 2 7" xfId="13783"/>
    <cellStyle name="40% - Accent2 6 6 3" xfId="13784"/>
    <cellStyle name="40% - Accent2 6 6 3 2" xfId="13785"/>
    <cellStyle name="40% - Accent2 6 6 3 3" xfId="13786"/>
    <cellStyle name="40% - Accent2 6 6 3 4" xfId="13787"/>
    <cellStyle name="40% - Accent2 6 6 3 5" xfId="13788"/>
    <cellStyle name="40% - Accent2 6 6 3 6" xfId="13789"/>
    <cellStyle name="40% - Accent2 6 6 4" xfId="13790"/>
    <cellStyle name="40% - Accent2 6 6 5" xfId="13791"/>
    <cellStyle name="40% - Accent2 6 6 6" xfId="13792"/>
    <cellStyle name="40% - Accent2 6 6 7" xfId="13793"/>
    <cellStyle name="40% - Accent2 6 6 8" xfId="13794"/>
    <cellStyle name="40% - Accent2 6 6 9" xfId="13795"/>
    <cellStyle name="40% - Accent2 6 7" xfId="13796"/>
    <cellStyle name="40% - Accent2 6 7 2" xfId="13797"/>
    <cellStyle name="40% - Accent2 6 7 2 2" xfId="13798"/>
    <cellStyle name="40% - Accent2 6 7 2 3" xfId="13799"/>
    <cellStyle name="40% - Accent2 6 7 2 4" xfId="13800"/>
    <cellStyle name="40% - Accent2 6 7 2 5" xfId="13801"/>
    <cellStyle name="40% - Accent2 6 7 2 6" xfId="13802"/>
    <cellStyle name="40% - Accent2 6 7 2 7" xfId="13803"/>
    <cellStyle name="40% - Accent2 6 7 3" xfId="13804"/>
    <cellStyle name="40% - Accent2 6 7 3 2" xfId="13805"/>
    <cellStyle name="40% - Accent2 6 7 3 3" xfId="13806"/>
    <cellStyle name="40% - Accent2 6 7 3 4" xfId="13807"/>
    <cellStyle name="40% - Accent2 6 7 3 5" xfId="13808"/>
    <cellStyle name="40% - Accent2 6 7 3 6" xfId="13809"/>
    <cellStyle name="40% - Accent2 6 7 4" xfId="13810"/>
    <cellStyle name="40% - Accent2 6 7 5" xfId="13811"/>
    <cellStyle name="40% - Accent2 6 7 6" xfId="13812"/>
    <cellStyle name="40% - Accent2 6 7 7" xfId="13813"/>
    <cellStyle name="40% - Accent2 6 7 8" xfId="13814"/>
    <cellStyle name="40% - Accent2 6 7 9" xfId="13815"/>
    <cellStyle name="40% - Accent2 6 8" xfId="13816"/>
    <cellStyle name="40% - Accent2 6 8 2" xfId="13817"/>
    <cellStyle name="40% - Accent2 6 8 2 2" xfId="13818"/>
    <cellStyle name="40% - Accent2 6 8 2 3" xfId="13819"/>
    <cellStyle name="40% - Accent2 6 8 2 4" xfId="13820"/>
    <cellStyle name="40% - Accent2 6 8 2 5" xfId="13821"/>
    <cellStyle name="40% - Accent2 6 8 2 6" xfId="13822"/>
    <cellStyle name="40% - Accent2 6 8 2 7" xfId="13823"/>
    <cellStyle name="40% - Accent2 6 8 3" xfId="13824"/>
    <cellStyle name="40% - Accent2 6 8 3 2" xfId="13825"/>
    <cellStyle name="40% - Accent2 6 8 3 3" xfId="13826"/>
    <cellStyle name="40% - Accent2 6 8 3 4" xfId="13827"/>
    <cellStyle name="40% - Accent2 6 8 3 5" xfId="13828"/>
    <cellStyle name="40% - Accent2 6 8 3 6" xfId="13829"/>
    <cellStyle name="40% - Accent2 6 8 4" xfId="13830"/>
    <cellStyle name="40% - Accent2 6 8 5" xfId="13831"/>
    <cellStyle name="40% - Accent2 6 8 6" xfId="13832"/>
    <cellStyle name="40% - Accent2 6 8 7" xfId="13833"/>
    <cellStyle name="40% - Accent2 6 8 8" xfId="13834"/>
    <cellStyle name="40% - Accent2 6 8 9" xfId="13835"/>
    <cellStyle name="40% - Accent2 6 9" xfId="13836"/>
    <cellStyle name="40% - Accent2 6 9 2" xfId="13837"/>
    <cellStyle name="40% - Accent2 6 9 2 2" xfId="13838"/>
    <cellStyle name="40% - Accent2 6 9 2 3" xfId="13839"/>
    <cellStyle name="40% - Accent2 6 9 2 4" xfId="13840"/>
    <cellStyle name="40% - Accent2 6 9 2 5" xfId="13841"/>
    <cellStyle name="40% - Accent2 6 9 2 6" xfId="13842"/>
    <cellStyle name="40% - Accent2 6 9 3" xfId="13843"/>
    <cellStyle name="40% - Accent2 6 9 4" xfId="13844"/>
    <cellStyle name="40% - Accent2 6 9 5" xfId="13845"/>
    <cellStyle name="40% - Accent2 6 9 6" xfId="13846"/>
    <cellStyle name="40% - Accent2 6 9 7" xfId="13847"/>
    <cellStyle name="40% - Accent2 6 9 8" xfId="13848"/>
    <cellStyle name="40% - Accent2 7" xfId="13849"/>
    <cellStyle name="40% - Accent2 7 10" xfId="13850"/>
    <cellStyle name="40% - Accent2 7 10 2" xfId="13851"/>
    <cellStyle name="40% - Accent2 7 10 3" xfId="13852"/>
    <cellStyle name="40% - Accent2 7 10 4" xfId="13853"/>
    <cellStyle name="40% - Accent2 7 10 5" xfId="13854"/>
    <cellStyle name="40% - Accent2 7 10 6" xfId="13855"/>
    <cellStyle name="40% - Accent2 7 10 7" xfId="13856"/>
    <cellStyle name="40% - Accent2 7 11" xfId="13857"/>
    <cellStyle name="40% - Accent2 7 11 2" xfId="13858"/>
    <cellStyle name="40% - Accent2 7 11 3" xfId="13859"/>
    <cellStyle name="40% - Accent2 7 11 4" xfId="13860"/>
    <cellStyle name="40% - Accent2 7 11 5" xfId="13861"/>
    <cellStyle name="40% - Accent2 7 11 6" xfId="13862"/>
    <cellStyle name="40% - Accent2 7 12" xfId="13863"/>
    <cellStyle name="40% - Accent2 7 12 2" xfId="13864"/>
    <cellStyle name="40% - Accent2 7 13" xfId="13865"/>
    <cellStyle name="40% - Accent2 7 14" xfId="13866"/>
    <cellStyle name="40% - Accent2 7 15" xfId="13867"/>
    <cellStyle name="40% - Accent2 7 16" xfId="13868"/>
    <cellStyle name="40% - Accent2 7 17" xfId="13869"/>
    <cellStyle name="40% - Accent2 7 2" xfId="13870"/>
    <cellStyle name="40% - Accent2 7 2 2" xfId="13871"/>
    <cellStyle name="40% - Accent2 7 2 2 2" xfId="13872"/>
    <cellStyle name="40% - Accent2 7 2 2 3" xfId="13873"/>
    <cellStyle name="40% - Accent2 7 2 2 4" xfId="13874"/>
    <cellStyle name="40% - Accent2 7 2 2 5" xfId="13875"/>
    <cellStyle name="40% - Accent2 7 2 2 6" xfId="13876"/>
    <cellStyle name="40% - Accent2 7 2 2 7" xfId="13877"/>
    <cellStyle name="40% - Accent2 7 2 3" xfId="13878"/>
    <cellStyle name="40% - Accent2 7 2 3 2" xfId="13879"/>
    <cellStyle name="40% - Accent2 7 2 3 3" xfId="13880"/>
    <cellStyle name="40% - Accent2 7 2 3 4" xfId="13881"/>
    <cellStyle name="40% - Accent2 7 2 3 5" xfId="13882"/>
    <cellStyle name="40% - Accent2 7 2 3 6" xfId="13883"/>
    <cellStyle name="40% - Accent2 7 2 4" xfId="13884"/>
    <cellStyle name="40% - Accent2 7 2 4 2" xfId="13885"/>
    <cellStyle name="40% - Accent2 7 2 5" xfId="13886"/>
    <cellStyle name="40% - Accent2 7 2 6" xfId="13887"/>
    <cellStyle name="40% - Accent2 7 2 7" xfId="13888"/>
    <cellStyle name="40% - Accent2 7 2 8" xfId="13889"/>
    <cellStyle name="40% - Accent2 7 2 9" xfId="13890"/>
    <cellStyle name="40% - Accent2 7 3" xfId="13891"/>
    <cellStyle name="40% - Accent2 7 3 2" xfId="13892"/>
    <cellStyle name="40% - Accent2 7 3 2 2" xfId="13893"/>
    <cellStyle name="40% - Accent2 7 3 2 3" xfId="13894"/>
    <cellStyle name="40% - Accent2 7 3 2 4" xfId="13895"/>
    <cellStyle name="40% - Accent2 7 3 2 5" xfId="13896"/>
    <cellStyle name="40% - Accent2 7 3 2 6" xfId="13897"/>
    <cellStyle name="40% - Accent2 7 3 2 7" xfId="13898"/>
    <cellStyle name="40% - Accent2 7 3 3" xfId="13899"/>
    <cellStyle name="40% - Accent2 7 3 3 2" xfId="13900"/>
    <cellStyle name="40% - Accent2 7 3 3 3" xfId="13901"/>
    <cellStyle name="40% - Accent2 7 3 3 4" xfId="13902"/>
    <cellStyle name="40% - Accent2 7 3 3 5" xfId="13903"/>
    <cellStyle name="40% - Accent2 7 3 3 6" xfId="13904"/>
    <cellStyle name="40% - Accent2 7 3 4" xfId="13905"/>
    <cellStyle name="40% - Accent2 7 3 4 2" xfId="13906"/>
    <cellStyle name="40% - Accent2 7 3 5" xfId="13907"/>
    <cellStyle name="40% - Accent2 7 3 6" xfId="13908"/>
    <cellStyle name="40% - Accent2 7 3 7" xfId="13909"/>
    <cellStyle name="40% - Accent2 7 3 8" xfId="13910"/>
    <cellStyle name="40% - Accent2 7 3 9" xfId="13911"/>
    <cellStyle name="40% - Accent2 7 4" xfId="13912"/>
    <cellStyle name="40% - Accent2 7 4 2" xfId="13913"/>
    <cellStyle name="40% - Accent2 7 4 2 2" xfId="13914"/>
    <cellStyle name="40% - Accent2 7 4 2 3" xfId="13915"/>
    <cellStyle name="40% - Accent2 7 4 2 4" xfId="13916"/>
    <cellStyle name="40% - Accent2 7 4 2 5" xfId="13917"/>
    <cellStyle name="40% - Accent2 7 4 2 6" xfId="13918"/>
    <cellStyle name="40% - Accent2 7 4 2 7" xfId="13919"/>
    <cellStyle name="40% - Accent2 7 4 3" xfId="13920"/>
    <cellStyle name="40% - Accent2 7 4 3 2" xfId="13921"/>
    <cellStyle name="40% - Accent2 7 4 3 3" xfId="13922"/>
    <cellStyle name="40% - Accent2 7 4 3 4" xfId="13923"/>
    <cellStyle name="40% - Accent2 7 4 3 5" xfId="13924"/>
    <cellStyle name="40% - Accent2 7 4 3 6" xfId="13925"/>
    <cellStyle name="40% - Accent2 7 4 4" xfId="13926"/>
    <cellStyle name="40% - Accent2 7 4 5" xfId="13927"/>
    <cellStyle name="40% - Accent2 7 4 6" xfId="13928"/>
    <cellStyle name="40% - Accent2 7 4 7" xfId="13929"/>
    <cellStyle name="40% - Accent2 7 4 8" xfId="13930"/>
    <cellStyle name="40% - Accent2 7 4 9" xfId="13931"/>
    <cellStyle name="40% - Accent2 7 5" xfId="13932"/>
    <cellStyle name="40% - Accent2 7 5 2" xfId="13933"/>
    <cellStyle name="40% - Accent2 7 5 2 2" xfId="13934"/>
    <cellStyle name="40% - Accent2 7 5 2 3" xfId="13935"/>
    <cellStyle name="40% - Accent2 7 5 2 4" xfId="13936"/>
    <cellStyle name="40% - Accent2 7 5 2 5" xfId="13937"/>
    <cellStyle name="40% - Accent2 7 5 2 6" xfId="13938"/>
    <cellStyle name="40% - Accent2 7 5 2 7" xfId="13939"/>
    <cellStyle name="40% - Accent2 7 5 3" xfId="13940"/>
    <cellStyle name="40% - Accent2 7 5 3 2" xfId="13941"/>
    <cellStyle name="40% - Accent2 7 5 3 3" xfId="13942"/>
    <cellStyle name="40% - Accent2 7 5 3 4" xfId="13943"/>
    <cellStyle name="40% - Accent2 7 5 3 5" xfId="13944"/>
    <cellStyle name="40% - Accent2 7 5 3 6" xfId="13945"/>
    <cellStyle name="40% - Accent2 7 5 4" xfId="13946"/>
    <cellStyle name="40% - Accent2 7 5 5" xfId="13947"/>
    <cellStyle name="40% - Accent2 7 5 6" xfId="13948"/>
    <cellStyle name="40% - Accent2 7 5 7" xfId="13949"/>
    <cellStyle name="40% - Accent2 7 5 8" xfId="13950"/>
    <cellStyle name="40% - Accent2 7 5 9" xfId="13951"/>
    <cellStyle name="40% - Accent2 7 6" xfId="13952"/>
    <cellStyle name="40% - Accent2 7 6 2" xfId="13953"/>
    <cellStyle name="40% - Accent2 7 6 2 2" xfId="13954"/>
    <cellStyle name="40% - Accent2 7 6 2 3" xfId="13955"/>
    <cellStyle name="40% - Accent2 7 6 2 4" xfId="13956"/>
    <cellStyle name="40% - Accent2 7 6 2 5" xfId="13957"/>
    <cellStyle name="40% - Accent2 7 6 2 6" xfId="13958"/>
    <cellStyle name="40% - Accent2 7 6 2 7" xfId="13959"/>
    <cellStyle name="40% - Accent2 7 6 3" xfId="13960"/>
    <cellStyle name="40% - Accent2 7 6 3 2" xfId="13961"/>
    <cellStyle name="40% - Accent2 7 6 3 3" xfId="13962"/>
    <cellStyle name="40% - Accent2 7 6 3 4" xfId="13963"/>
    <cellStyle name="40% - Accent2 7 6 3 5" xfId="13964"/>
    <cellStyle name="40% - Accent2 7 6 3 6" xfId="13965"/>
    <cellStyle name="40% - Accent2 7 6 4" xfId="13966"/>
    <cellStyle name="40% - Accent2 7 6 5" xfId="13967"/>
    <cellStyle name="40% - Accent2 7 6 6" xfId="13968"/>
    <cellStyle name="40% - Accent2 7 6 7" xfId="13969"/>
    <cellStyle name="40% - Accent2 7 6 8" xfId="13970"/>
    <cellStyle name="40% - Accent2 7 6 9" xfId="13971"/>
    <cellStyle name="40% - Accent2 7 7" xfId="13972"/>
    <cellStyle name="40% - Accent2 7 7 2" xfId="13973"/>
    <cellStyle name="40% - Accent2 7 7 2 2" xfId="13974"/>
    <cellStyle name="40% - Accent2 7 7 2 3" xfId="13975"/>
    <cellStyle name="40% - Accent2 7 7 2 4" xfId="13976"/>
    <cellStyle name="40% - Accent2 7 7 2 5" xfId="13977"/>
    <cellStyle name="40% - Accent2 7 7 2 6" xfId="13978"/>
    <cellStyle name="40% - Accent2 7 7 2 7" xfId="13979"/>
    <cellStyle name="40% - Accent2 7 7 3" xfId="13980"/>
    <cellStyle name="40% - Accent2 7 7 3 2" xfId="13981"/>
    <cellStyle name="40% - Accent2 7 7 3 3" xfId="13982"/>
    <cellStyle name="40% - Accent2 7 7 3 4" xfId="13983"/>
    <cellStyle name="40% - Accent2 7 7 3 5" xfId="13984"/>
    <cellStyle name="40% - Accent2 7 7 3 6" xfId="13985"/>
    <cellStyle name="40% - Accent2 7 7 4" xfId="13986"/>
    <cellStyle name="40% - Accent2 7 7 5" xfId="13987"/>
    <cellStyle name="40% - Accent2 7 7 6" xfId="13988"/>
    <cellStyle name="40% - Accent2 7 7 7" xfId="13989"/>
    <cellStyle name="40% - Accent2 7 7 8" xfId="13990"/>
    <cellStyle name="40% - Accent2 7 7 9" xfId="13991"/>
    <cellStyle name="40% - Accent2 7 8" xfId="13992"/>
    <cellStyle name="40% - Accent2 7 8 2" xfId="13993"/>
    <cellStyle name="40% - Accent2 7 8 2 2" xfId="13994"/>
    <cellStyle name="40% - Accent2 7 8 2 3" xfId="13995"/>
    <cellStyle name="40% - Accent2 7 8 2 4" xfId="13996"/>
    <cellStyle name="40% - Accent2 7 8 2 5" xfId="13997"/>
    <cellStyle name="40% - Accent2 7 8 2 6" xfId="13998"/>
    <cellStyle name="40% - Accent2 7 8 2 7" xfId="13999"/>
    <cellStyle name="40% - Accent2 7 8 3" xfId="14000"/>
    <cellStyle name="40% - Accent2 7 8 3 2" xfId="14001"/>
    <cellStyle name="40% - Accent2 7 8 3 3" xfId="14002"/>
    <cellStyle name="40% - Accent2 7 8 3 4" xfId="14003"/>
    <cellStyle name="40% - Accent2 7 8 3 5" xfId="14004"/>
    <cellStyle name="40% - Accent2 7 8 3 6" xfId="14005"/>
    <cellStyle name="40% - Accent2 7 8 4" xfId="14006"/>
    <cellStyle name="40% - Accent2 7 8 5" xfId="14007"/>
    <cellStyle name="40% - Accent2 7 8 6" xfId="14008"/>
    <cellStyle name="40% - Accent2 7 8 7" xfId="14009"/>
    <cellStyle name="40% - Accent2 7 8 8" xfId="14010"/>
    <cellStyle name="40% - Accent2 7 8 9" xfId="14011"/>
    <cellStyle name="40% - Accent2 7 9" xfId="14012"/>
    <cellStyle name="40% - Accent2 7 9 2" xfId="14013"/>
    <cellStyle name="40% - Accent2 7 9 2 2" xfId="14014"/>
    <cellStyle name="40% - Accent2 7 9 2 3" xfId="14015"/>
    <cellStyle name="40% - Accent2 7 9 2 4" xfId="14016"/>
    <cellStyle name="40% - Accent2 7 9 2 5" xfId="14017"/>
    <cellStyle name="40% - Accent2 7 9 2 6" xfId="14018"/>
    <cellStyle name="40% - Accent2 7 9 3" xfId="14019"/>
    <cellStyle name="40% - Accent2 7 9 4" xfId="14020"/>
    <cellStyle name="40% - Accent2 7 9 5" xfId="14021"/>
    <cellStyle name="40% - Accent2 7 9 6" xfId="14022"/>
    <cellStyle name="40% - Accent2 7 9 7" xfId="14023"/>
    <cellStyle name="40% - Accent2 7 9 8" xfId="14024"/>
    <cellStyle name="40% - Accent2 8" xfId="14025"/>
    <cellStyle name="40% - Accent2 8 10" xfId="14026"/>
    <cellStyle name="40% - Accent2 8 10 2" xfId="14027"/>
    <cellStyle name="40% - Accent2 8 10 3" xfId="14028"/>
    <cellStyle name="40% - Accent2 8 10 4" xfId="14029"/>
    <cellStyle name="40% - Accent2 8 10 5" xfId="14030"/>
    <cellStyle name="40% - Accent2 8 10 6" xfId="14031"/>
    <cellStyle name="40% - Accent2 8 10 7" xfId="14032"/>
    <cellStyle name="40% - Accent2 8 11" xfId="14033"/>
    <cellStyle name="40% - Accent2 8 11 2" xfId="14034"/>
    <cellStyle name="40% - Accent2 8 11 3" xfId="14035"/>
    <cellStyle name="40% - Accent2 8 11 4" xfId="14036"/>
    <cellStyle name="40% - Accent2 8 11 5" xfId="14037"/>
    <cellStyle name="40% - Accent2 8 11 6" xfId="14038"/>
    <cellStyle name="40% - Accent2 8 12" xfId="14039"/>
    <cellStyle name="40% - Accent2 8 12 2" xfId="14040"/>
    <cellStyle name="40% - Accent2 8 13" xfId="14041"/>
    <cellStyle name="40% - Accent2 8 14" xfId="14042"/>
    <cellStyle name="40% - Accent2 8 15" xfId="14043"/>
    <cellStyle name="40% - Accent2 8 16" xfId="14044"/>
    <cellStyle name="40% - Accent2 8 17" xfId="14045"/>
    <cellStyle name="40% - Accent2 8 2" xfId="14046"/>
    <cellStyle name="40% - Accent2 8 2 2" xfId="14047"/>
    <cellStyle name="40% - Accent2 8 2 2 2" xfId="14048"/>
    <cellStyle name="40% - Accent2 8 2 2 3" xfId="14049"/>
    <cellStyle name="40% - Accent2 8 2 2 4" xfId="14050"/>
    <cellStyle name="40% - Accent2 8 2 2 5" xfId="14051"/>
    <cellStyle name="40% - Accent2 8 2 2 6" xfId="14052"/>
    <cellStyle name="40% - Accent2 8 2 2 7" xfId="14053"/>
    <cellStyle name="40% - Accent2 8 2 3" xfId="14054"/>
    <cellStyle name="40% - Accent2 8 2 3 2" xfId="14055"/>
    <cellStyle name="40% - Accent2 8 2 3 3" xfId="14056"/>
    <cellStyle name="40% - Accent2 8 2 3 4" xfId="14057"/>
    <cellStyle name="40% - Accent2 8 2 3 5" xfId="14058"/>
    <cellStyle name="40% - Accent2 8 2 3 6" xfId="14059"/>
    <cellStyle name="40% - Accent2 8 2 4" xfId="14060"/>
    <cellStyle name="40% - Accent2 8 2 4 2" xfId="14061"/>
    <cellStyle name="40% - Accent2 8 2 5" xfId="14062"/>
    <cellStyle name="40% - Accent2 8 2 6" xfId="14063"/>
    <cellStyle name="40% - Accent2 8 2 7" xfId="14064"/>
    <cellStyle name="40% - Accent2 8 2 8" xfId="14065"/>
    <cellStyle name="40% - Accent2 8 2 9" xfId="14066"/>
    <cellStyle name="40% - Accent2 8 3" xfId="14067"/>
    <cellStyle name="40% - Accent2 8 3 2" xfId="14068"/>
    <cellStyle name="40% - Accent2 8 3 2 2" xfId="14069"/>
    <cellStyle name="40% - Accent2 8 3 2 3" xfId="14070"/>
    <cellStyle name="40% - Accent2 8 3 2 4" xfId="14071"/>
    <cellStyle name="40% - Accent2 8 3 2 5" xfId="14072"/>
    <cellStyle name="40% - Accent2 8 3 2 6" xfId="14073"/>
    <cellStyle name="40% - Accent2 8 3 2 7" xfId="14074"/>
    <cellStyle name="40% - Accent2 8 3 3" xfId="14075"/>
    <cellStyle name="40% - Accent2 8 3 3 2" xfId="14076"/>
    <cellStyle name="40% - Accent2 8 3 3 3" xfId="14077"/>
    <cellStyle name="40% - Accent2 8 3 3 4" xfId="14078"/>
    <cellStyle name="40% - Accent2 8 3 3 5" xfId="14079"/>
    <cellStyle name="40% - Accent2 8 3 3 6" xfId="14080"/>
    <cellStyle name="40% - Accent2 8 3 4" xfId="14081"/>
    <cellStyle name="40% - Accent2 8 3 4 2" xfId="14082"/>
    <cellStyle name="40% - Accent2 8 3 5" xfId="14083"/>
    <cellStyle name="40% - Accent2 8 3 6" xfId="14084"/>
    <cellStyle name="40% - Accent2 8 3 7" xfId="14085"/>
    <cellStyle name="40% - Accent2 8 3 8" xfId="14086"/>
    <cellStyle name="40% - Accent2 8 3 9" xfId="14087"/>
    <cellStyle name="40% - Accent2 8 4" xfId="14088"/>
    <cellStyle name="40% - Accent2 8 4 2" xfId="14089"/>
    <cellStyle name="40% - Accent2 8 4 2 2" xfId="14090"/>
    <cellStyle name="40% - Accent2 8 4 2 3" xfId="14091"/>
    <cellStyle name="40% - Accent2 8 4 2 4" xfId="14092"/>
    <cellStyle name="40% - Accent2 8 4 2 5" xfId="14093"/>
    <cellStyle name="40% - Accent2 8 4 2 6" xfId="14094"/>
    <cellStyle name="40% - Accent2 8 4 2 7" xfId="14095"/>
    <cellStyle name="40% - Accent2 8 4 3" xfId="14096"/>
    <cellStyle name="40% - Accent2 8 4 3 2" xfId="14097"/>
    <cellStyle name="40% - Accent2 8 4 3 3" xfId="14098"/>
    <cellStyle name="40% - Accent2 8 4 3 4" xfId="14099"/>
    <cellStyle name="40% - Accent2 8 4 3 5" xfId="14100"/>
    <cellStyle name="40% - Accent2 8 4 3 6" xfId="14101"/>
    <cellStyle name="40% - Accent2 8 4 4" xfId="14102"/>
    <cellStyle name="40% - Accent2 8 4 5" xfId="14103"/>
    <cellStyle name="40% - Accent2 8 4 6" xfId="14104"/>
    <cellStyle name="40% - Accent2 8 4 7" xfId="14105"/>
    <cellStyle name="40% - Accent2 8 4 8" xfId="14106"/>
    <cellStyle name="40% - Accent2 8 4 9" xfId="14107"/>
    <cellStyle name="40% - Accent2 8 5" xfId="14108"/>
    <cellStyle name="40% - Accent2 8 5 2" xfId="14109"/>
    <cellStyle name="40% - Accent2 8 5 2 2" xfId="14110"/>
    <cellStyle name="40% - Accent2 8 5 2 3" xfId="14111"/>
    <cellStyle name="40% - Accent2 8 5 2 4" xfId="14112"/>
    <cellStyle name="40% - Accent2 8 5 2 5" xfId="14113"/>
    <cellStyle name="40% - Accent2 8 5 2 6" xfId="14114"/>
    <cellStyle name="40% - Accent2 8 5 2 7" xfId="14115"/>
    <cellStyle name="40% - Accent2 8 5 3" xfId="14116"/>
    <cellStyle name="40% - Accent2 8 5 3 2" xfId="14117"/>
    <cellStyle name="40% - Accent2 8 5 3 3" xfId="14118"/>
    <cellStyle name="40% - Accent2 8 5 3 4" xfId="14119"/>
    <cellStyle name="40% - Accent2 8 5 3 5" xfId="14120"/>
    <cellStyle name="40% - Accent2 8 5 3 6" xfId="14121"/>
    <cellStyle name="40% - Accent2 8 5 4" xfId="14122"/>
    <cellStyle name="40% - Accent2 8 5 5" xfId="14123"/>
    <cellStyle name="40% - Accent2 8 5 6" xfId="14124"/>
    <cellStyle name="40% - Accent2 8 5 7" xfId="14125"/>
    <cellStyle name="40% - Accent2 8 5 8" xfId="14126"/>
    <cellStyle name="40% - Accent2 8 5 9" xfId="14127"/>
    <cellStyle name="40% - Accent2 8 6" xfId="14128"/>
    <cellStyle name="40% - Accent2 8 6 2" xfId="14129"/>
    <cellStyle name="40% - Accent2 8 6 2 2" xfId="14130"/>
    <cellStyle name="40% - Accent2 8 6 2 3" xfId="14131"/>
    <cellStyle name="40% - Accent2 8 6 2 4" xfId="14132"/>
    <cellStyle name="40% - Accent2 8 6 2 5" xfId="14133"/>
    <cellStyle name="40% - Accent2 8 6 2 6" xfId="14134"/>
    <cellStyle name="40% - Accent2 8 6 2 7" xfId="14135"/>
    <cellStyle name="40% - Accent2 8 6 3" xfId="14136"/>
    <cellStyle name="40% - Accent2 8 6 3 2" xfId="14137"/>
    <cellStyle name="40% - Accent2 8 6 3 3" xfId="14138"/>
    <cellStyle name="40% - Accent2 8 6 3 4" xfId="14139"/>
    <cellStyle name="40% - Accent2 8 6 3 5" xfId="14140"/>
    <cellStyle name="40% - Accent2 8 6 3 6" xfId="14141"/>
    <cellStyle name="40% - Accent2 8 6 4" xfId="14142"/>
    <cellStyle name="40% - Accent2 8 6 5" xfId="14143"/>
    <cellStyle name="40% - Accent2 8 6 6" xfId="14144"/>
    <cellStyle name="40% - Accent2 8 6 7" xfId="14145"/>
    <cellStyle name="40% - Accent2 8 6 8" xfId="14146"/>
    <cellStyle name="40% - Accent2 8 6 9" xfId="14147"/>
    <cellStyle name="40% - Accent2 8 7" xfId="14148"/>
    <cellStyle name="40% - Accent2 8 7 2" xfId="14149"/>
    <cellStyle name="40% - Accent2 8 7 2 2" xfId="14150"/>
    <cellStyle name="40% - Accent2 8 7 2 3" xfId="14151"/>
    <cellStyle name="40% - Accent2 8 7 2 4" xfId="14152"/>
    <cellStyle name="40% - Accent2 8 7 2 5" xfId="14153"/>
    <cellStyle name="40% - Accent2 8 7 2 6" xfId="14154"/>
    <cellStyle name="40% - Accent2 8 7 2 7" xfId="14155"/>
    <cellStyle name="40% - Accent2 8 7 3" xfId="14156"/>
    <cellStyle name="40% - Accent2 8 7 3 2" xfId="14157"/>
    <cellStyle name="40% - Accent2 8 7 3 3" xfId="14158"/>
    <cellStyle name="40% - Accent2 8 7 3 4" xfId="14159"/>
    <cellStyle name="40% - Accent2 8 7 3 5" xfId="14160"/>
    <cellStyle name="40% - Accent2 8 7 3 6" xfId="14161"/>
    <cellStyle name="40% - Accent2 8 7 4" xfId="14162"/>
    <cellStyle name="40% - Accent2 8 7 5" xfId="14163"/>
    <cellStyle name="40% - Accent2 8 7 6" xfId="14164"/>
    <cellStyle name="40% - Accent2 8 7 7" xfId="14165"/>
    <cellStyle name="40% - Accent2 8 7 8" xfId="14166"/>
    <cellStyle name="40% - Accent2 8 7 9" xfId="14167"/>
    <cellStyle name="40% - Accent2 8 8" xfId="14168"/>
    <cellStyle name="40% - Accent2 8 8 2" xfId="14169"/>
    <cellStyle name="40% - Accent2 8 8 2 2" xfId="14170"/>
    <cellStyle name="40% - Accent2 8 8 2 3" xfId="14171"/>
    <cellStyle name="40% - Accent2 8 8 2 4" xfId="14172"/>
    <cellStyle name="40% - Accent2 8 8 2 5" xfId="14173"/>
    <cellStyle name="40% - Accent2 8 8 2 6" xfId="14174"/>
    <cellStyle name="40% - Accent2 8 8 2 7" xfId="14175"/>
    <cellStyle name="40% - Accent2 8 8 3" xfId="14176"/>
    <cellStyle name="40% - Accent2 8 8 3 2" xfId="14177"/>
    <cellStyle name="40% - Accent2 8 8 3 3" xfId="14178"/>
    <cellStyle name="40% - Accent2 8 8 3 4" xfId="14179"/>
    <cellStyle name="40% - Accent2 8 8 3 5" xfId="14180"/>
    <cellStyle name="40% - Accent2 8 8 3 6" xfId="14181"/>
    <cellStyle name="40% - Accent2 8 8 4" xfId="14182"/>
    <cellStyle name="40% - Accent2 8 8 5" xfId="14183"/>
    <cellStyle name="40% - Accent2 8 8 6" xfId="14184"/>
    <cellStyle name="40% - Accent2 8 8 7" xfId="14185"/>
    <cellStyle name="40% - Accent2 8 8 8" xfId="14186"/>
    <cellStyle name="40% - Accent2 8 8 9" xfId="14187"/>
    <cellStyle name="40% - Accent2 8 9" xfId="14188"/>
    <cellStyle name="40% - Accent2 8 9 2" xfId="14189"/>
    <cellStyle name="40% - Accent2 8 9 2 2" xfId="14190"/>
    <cellStyle name="40% - Accent2 8 9 2 3" xfId="14191"/>
    <cellStyle name="40% - Accent2 8 9 2 4" xfId="14192"/>
    <cellStyle name="40% - Accent2 8 9 2 5" xfId="14193"/>
    <cellStyle name="40% - Accent2 8 9 2 6" xfId="14194"/>
    <cellStyle name="40% - Accent2 8 9 3" xfId="14195"/>
    <cellStyle name="40% - Accent2 8 9 4" xfId="14196"/>
    <cellStyle name="40% - Accent2 8 9 5" xfId="14197"/>
    <cellStyle name="40% - Accent2 8 9 6" xfId="14198"/>
    <cellStyle name="40% - Accent2 8 9 7" xfId="14199"/>
    <cellStyle name="40% - Accent2 8 9 8" xfId="14200"/>
    <cellStyle name="40% - Accent2 9" xfId="14201"/>
    <cellStyle name="40% - Accent2 9 2" xfId="14202"/>
    <cellStyle name="40% - Accent2 9 3" xfId="14203"/>
    <cellStyle name="40% - Accent2 9 4" xfId="14204"/>
    <cellStyle name="40% - Accent3" xfId="15" builtinId="39" customBuiltin="1"/>
    <cellStyle name="40% - Accent3 10" xfId="14205"/>
    <cellStyle name="40% - Accent3 10 2" xfId="14206"/>
    <cellStyle name="40% - Accent3 10 2 2" xfId="14207"/>
    <cellStyle name="40% - Accent3 10 2 2 2" xfId="14208"/>
    <cellStyle name="40% - Accent3 10 2 3" xfId="14209"/>
    <cellStyle name="40% - Accent3 10 2 4" xfId="14210"/>
    <cellStyle name="40% - Accent3 10 2 5" xfId="14211"/>
    <cellStyle name="40% - Accent3 10 2 6" xfId="14212"/>
    <cellStyle name="40% - Accent3 10 2 7" xfId="14213"/>
    <cellStyle name="40% - Accent3 10 3" xfId="14214"/>
    <cellStyle name="40% - Accent3 10 3 2" xfId="14215"/>
    <cellStyle name="40% - Accent3 10 3 2 2" xfId="14216"/>
    <cellStyle name="40% - Accent3 10 3 3" xfId="14217"/>
    <cellStyle name="40% - Accent3 10 3 4" xfId="14218"/>
    <cellStyle name="40% - Accent3 10 3 5" xfId="14219"/>
    <cellStyle name="40% - Accent3 10 3 6" xfId="14220"/>
    <cellStyle name="40% - Accent3 10 4" xfId="14221"/>
    <cellStyle name="40% - Accent3 10 4 2" xfId="14222"/>
    <cellStyle name="40% - Accent3 10 5" xfId="14223"/>
    <cellStyle name="40% - Accent3 10 6" xfId="14224"/>
    <cellStyle name="40% - Accent3 10 7" xfId="14225"/>
    <cellStyle name="40% - Accent3 10 8" xfId="14226"/>
    <cellStyle name="40% - Accent3 10 9" xfId="14227"/>
    <cellStyle name="40% - Accent3 11" xfId="14228"/>
    <cellStyle name="40% - Accent3 11 2" xfId="14229"/>
    <cellStyle name="40% - Accent3 11 2 2" xfId="14230"/>
    <cellStyle name="40% - Accent3 11 2 2 2" xfId="14231"/>
    <cellStyle name="40% - Accent3 11 2 3" xfId="14232"/>
    <cellStyle name="40% - Accent3 11 2 4" xfId="14233"/>
    <cellStyle name="40% - Accent3 11 2 5" xfId="14234"/>
    <cellStyle name="40% - Accent3 11 2 6" xfId="14235"/>
    <cellStyle name="40% - Accent3 11 2 7" xfId="14236"/>
    <cellStyle name="40% - Accent3 11 3" xfId="14237"/>
    <cellStyle name="40% - Accent3 11 3 2" xfId="14238"/>
    <cellStyle name="40% - Accent3 11 3 2 2" xfId="14239"/>
    <cellStyle name="40% - Accent3 11 3 3" xfId="14240"/>
    <cellStyle name="40% - Accent3 11 3 4" xfId="14241"/>
    <cellStyle name="40% - Accent3 11 3 5" xfId="14242"/>
    <cellStyle name="40% - Accent3 11 3 6" xfId="14243"/>
    <cellStyle name="40% - Accent3 11 4" xfId="14244"/>
    <cellStyle name="40% - Accent3 11 4 2" xfId="14245"/>
    <cellStyle name="40% - Accent3 11 5" xfId="14246"/>
    <cellStyle name="40% - Accent3 11 6" xfId="14247"/>
    <cellStyle name="40% - Accent3 11 7" xfId="14248"/>
    <cellStyle name="40% - Accent3 11 8" xfId="14249"/>
    <cellStyle name="40% - Accent3 11 9" xfId="14250"/>
    <cellStyle name="40% - Accent3 12" xfId="14251"/>
    <cellStyle name="40% - Accent3 12 2" xfId="14252"/>
    <cellStyle name="40% - Accent3 12 2 2" xfId="14253"/>
    <cellStyle name="40% - Accent3 12 2 2 2" xfId="14254"/>
    <cellStyle name="40% - Accent3 12 2 3" xfId="14255"/>
    <cellStyle name="40% - Accent3 12 2 4" xfId="14256"/>
    <cellStyle name="40% - Accent3 12 2 5" xfId="14257"/>
    <cellStyle name="40% - Accent3 12 2 6" xfId="14258"/>
    <cellStyle name="40% - Accent3 12 2 7" xfId="14259"/>
    <cellStyle name="40% - Accent3 12 3" xfId="14260"/>
    <cellStyle name="40% - Accent3 12 3 2" xfId="14261"/>
    <cellStyle name="40% - Accent3 12 3 2 2" xfId="14262"/>
    <cellStyle name="40% - Accent3 12 3 3" xfId="14263"/>
    <cellStyle name="40% - Accent3 12 3 4" xfId="14264"/>
    <cellStyle name="40% - Accent3 12 3 5" xfId="14265"/>
    <cellStyle name="40% - Accent3 12 3 6" xfId="14266"/>
    <cellStyle name="40% - Accent3 12 4" xfId="14267"/>
    <cellStyle name="40% - Accent3 12 4 2" xfId="14268"/>
    <cellStyle name="40% - Accent3 12 5" xfId="14269"/>
    <cellStyle name="40% - Accent3 12 6" xfId="14270"/>
    <cellStyle name="40% - Accent3 12 7" xfId="14271"/>
    <cellStyle name="40% - Accent3 12 8" xfId="14272"/>
    <cellStyle name="40% - Accent3 12 9" xfId="14273"/>
    <cellStyle name="40% - Accent3 13" xfId="14274"/>
    <cellStyle name="40% - Accent3 13 2" xfId="14275"/>
    <cellStyle name="40% - Accent3 13 2 2" xfId="14276"/>
    <cellStyle name="40% - Accent3 13 2 2 2" xfId="14277"/>
    <cellStyle name="40% - Accent3 13 2 3" xfId="14278"/>
    <cellStyle name="40% - Accent3 13 2 4" xfId="14279"/>
    <cellStyle name="40% - Accent3 13 2 5" xfId="14280"/>
    <cellStyle name="40% - Accent3 13 2 6" xfId="14281"/>
    <cellStyle name="40% - Accent3 13 2 7" xfId="14282"/>
    <cellStyle name="40% - Accent3 13 3" xfId="14283"/>
    <cellStyle name="40% - Accent3 13 3 2" xfId="14284"/>
    <cellStyle name="40% - Accent3 13 3 2 2" xfId="14285"/>
    <cellStyle name="40% - Accent3 13 3 3" xfId="14286"/>
    <cellStyle name="40% - Accent3 13 3 4" xfId="14287"/>
    <cellStyle name="40% - Accent3 13 3 5" xfId="14288"/>
    <cellStyle name="40% - Accent3 13 3 6" xfId="14289"/>
    <cellStyle name="40% - Accent3 13 4" xfId="14290"/>
    <cellStyle name="40% - Accent3 13 4 2" xfId="14291"/>
    <cellStyle name="40% - Accent3 13 5" xfId="14292"/>
    <cellStyle name="40% - Accent3 13 6" xfId="14293"/>
    <cellStyle name="40% - Accent3 13 7" xfId="14294"/>
    <cellStyle name="40% - Accent3 13 8" xfId="14295"/>
    <cellStyle name="40% - Accent3 13 9" xfId="14296"/>
    <cellStyle name="40% - Accent3 14" xfId="14297"/>
    <cellStyle name="40% - Accent3 14 2" xfId="14298"/>
    <cellStyle name="40% - Accent3 14 2 2" xfId="14299"/>
    <cellStyle name="40% - Accent3 14 2 2 2" xfId="14300"/>
    <cellStyle name="40% - Accent3 14 2 3" xfId="14301"/>
    <cellStyle name="40% - Accent3 14 2 4" xfId="14302"/>
    <cellStyle name="40% - Accent3 14 2 5" xfId="14303"/>
    <cellStyle name="40% - Accent3 14 2 6" xfId="14304"/>
    <cellStyle name="40% - Accent3 14 2 7" xfId="14305"/>
    <cellStyle name="40% - Accent3 14 3" xfId="14306"/>
    <cellStyle name="40% - Accent3 14 3 2" xfId="14307"/>
    <cellStyle name="40% - Accent3 14 3 2 2" xfId="14308"/>
    <cellStyle name="40% - Accent3 14 3 3" xfId="14309"/>
    <cellStyle name="40% - Accent3 14 3 4" xfId="14310"/>
    <cellStyle name="40% - Accent3 14 3 5" xfId="14311"/>
    <cellStyle name="40% - Accent3 14 3 6" xfId="14312"/>
    <cellStyle name="40% - Accent3 14 4" xfId="14313"/>
    <cellStyle name="40% - Accent3 14 4 2" xfId="14314"/>
    <cellStyle name="40% - Accent3 14 5" xfId="14315"/>
    <cellStyle name="40% - Accent3 14 6" xfId="14316"/>
    <cellStyle name="40% - Accent3 14 7" xfId="14317"/>
    <cellStyle name="40% - Accent3 14 8" xfId="14318"/>
    <cellStyle name="40% - Accent3 14 9" xfId="14319"/>
    <cellStyle name="40% - Accent3 15" xfId="14320"/>
    <cellStyle name="40% - Accent3 15 2" xfId="14321"/>
    <cellStyle name="40% - Accent3 15 2 2" xfId="14322"/>
    <cellStyle name="40% - Accent3 15 2 2 2" xfId="14323"/>
    <cellStyle name="40% - Accent3 15 2 3" xfId="14324"/>
    <cellStyle name="40% - Accent3 15 2 4" xfId="14325"/>
    <cellStyle name="40% - Accent3 15 2 5" xfId="14326"/>
    <cellStyle name="40% - Accent3 15 2 6" xfId="14327"/>
    <cellStyle name="40% - Accent3 15 2 7" xfId="14328"/>
    <cellStyle name="40% - Accent3 15 3" xfId="14329"/>
    <cellStyle name="40% - Accent3 15 3 2" xfId="14330"/>
    <cellStyle name="40% - Accent3 15 3 2 2" xfId="14331"/>
    <cellStyle name="40% - Accent3 15 3 3" xfId="14332"/>
    <cellStyle name="40% - Accent3 15 3 4" xfId="14333"/>
    <cellStyle name="40% - Accent3 15 3 5" xfId="14334"/>
    <cellStyle name="40% - Accent3 15 3 6" xfId="14335"/>
    <cellStyle name="40% - Accent3 15 4" xfId="14336"/>
    <cellStyle name="40% - Accent3 15 4 2" xfId="14337"/>
    <cellStyle name="40% - Accent3 15 5" xfId="14338"/>
    <cellStyle name="40% - Accent3 15 6" xfId="14339"/>
    <cellStyle name="40% - Accent3 15 7" xfId="14340"/>
    <cellStyle name="40% - Accent3 15 8" xfId="14341"/>
    <cellStyle name="40% - Accent3 15 9" xfId="14342"/>
    <cellStyle name="40% - Accent3 16" xfId="14343"/>
    <cellStyle name="40% - Accent3 16 2" xfId="14344"/>
    <cellStyle name="40% - Accent3 16 2 2" xfId="14345"/>
    <cellStyle name="40% - Accent3 16 2 2 2" xfId="14346"/>
    <cellStyle name="40% - Accent3 16 2 3" xfId="14347"/>
    <cellStyle name="40% - Accent3 16 2 4" xfId="14348"/>
    <cellStyle name="40% - Accent3 16 2 5" xfId="14349"/>
    <cellStyle name="40% - Accent3 16 2 6" xfId="14350"/>
    <cellStyle name="40% - Accent3 16 2 7" xfId="14351"/>
    <cellStyle name="40% - Accent3 16 3" xfId="14352"/>
    <cellStyle name="40% - Accent3 16 3 2" xfId="14353"/>
    <cellStyle name="40% - Accent3 16 3 2 2" xfId="14354"/>
    <cellStyle name="40% - Accent3 16 3 3" xfId="14355"/>
    <cellStyle name="40% - Accent3 16 3 4" xfId="14356"/>
    <cellStyle name="40% - Accent3 16 3 5" xfId="14357"/>
    <cellStyle name="40% - Accent3 16 3 6" xfId="14358"/>
    <cellStyle name="40% - Accent3 16 4" xfId="14359"/>
    <cellStyle name="40% - Accent3 16 4 2" xfId="14360"/>
    <cellStyle name="40% - Accent3 16 5" xfId="14361"/>
    <cellStyle name="40% - Accent3 16 6" xfId="14362"/>
    <cellStyle name="40% - Accent3 16 7" xfId="14363"/>
    <cellStyle name="40% - Accent3 16 8" xfId="14364"/>
    <cellStyle name="40% - Accent3 16 9" xfId="14365"/>
    <cellStyle name="40% - Accent3 17" xfId="14366"/>
    <cellStyle name="40% - Accent3 17 2" xfId="14367"/>
    <cellStyle name="40% - Accent3 17 2 2" xfId="14368"/>
    <cellStyle name="40% - Accent3 17 2 2 2" xfId="14369"/>
    <cellStyle name="40% - Accent3 17 2 3" xfId="14370"/>
    <cellStyle name="40% - Accent3 17 2 4" xfId="14371"/>
    <cellStyle name="40% - Accent3 17 2 5" xfId="14372"/>
    <cellStyle name="40% - Accent3 17 2 6" xfId="14373"/>
    <cellStyle name="40% - Accent3 17 3" xfId="14374"/>
    <cellStyle name="40% - Accent3 17 3 2" xfId="14375"/>
    <cellStyle name="40% - Accent3 17 4" xfId="14376"/>
    <cellStyle name="40% - Accent3 17 4 2" xfId="14377"/>
    <cellStyle name="40% - Accent3 17 5" xfId="14378"/>
    <cellStyle name="40% - Accent3 17 6" xfId="14379"/>
    <cellStyle name="40% - Accent3 17 7" xfId="14380"/>
    <cellStyle name="40% - Accent3 17 8" xfId="14381"/>
    <cellStyle name="40% - Accent3 18" xfId="14382"/>
    <cellStyle name="40% - Accent3 18 2" xfId="14383"/>
    <cellStyle name="40% - Accent3 18 2 2" xfId="14384"/>
    <cellStyle name="40% - Accent3 18 3" xfId="14385"/>
    <cellStyle name="40% - Accent3 18 3 2" xfId="14386"/>
    <cellStyle name="40% - Accent3 18 4" xfId="14387"/>
    <cellStyle name="40% - Accent3 18 4 2" xfId="14388"/>
    <cellStyle name="40% - Accent3 18 5" xfId="14389"/>
    <cellStyle name="40% - Accent3 18 6" xfId="14390"/>
    <cellStyle name="40% - Accent3 18 7" xfId="14391"/>
    <cellStyle name="40% - Accent3 19" xfId="14392"/>
    <cellStyle name="40% - Accent3 19 2" xfId="14393"/>
    <cellStyle name="40% - Accent3 19 2 2" xfId="14394"/>
    <cellStyle name="40% - Accent3 19 3" xfId="14395"/>
    <cellStyle name="40% - Accent3 19 3 2" xfId="14396"/>
    <cellStyle name="40% - Accent3 19 4" xfId="14397"/>
    <cellStyle name="40% - Accent3 19 4 2" xfId="14398"/>
    <cellStyle name="40% - Accent3 19 5" xfId="14399"/>
    <cellStyle name="40% - Accent3 19 6" xfId="14400"/>
    <cellStyle name="40% - Accent3 2" xfId="382"/>
    <cellStyle name="40% - Accent3 2 10" xfId="14401"/>
    <cellStyle name="40% - Accent3 2 10 2" xfId="14402"/>
    <cellStyle name="40% - Accent3 2 10 2 2" xfId="14403"/>
    <cellStyle name="40% - Accent3 2 10 2 3" xfId="14404"/>
    <cellStyle name="40% - Accent3 2 10 2 4" xfId="14405"/>
    <cellStyle name="40% - Accent3 2 10 2 5" xfId="14406"/>
    <cellStyle name="40% - Accent3 2 10 2 6" xfId="14407"/>
    <cellStyle name="40% - Accent3 2 10 3" xfId="14408"/>
    <cellStyle name="40% - Accent3 2 10 3 2" xfId="14409"/>
    <cellStyle name="40% - Accent3 2 10 4" xfId="14410"/>
    <cellStyle name="40% - Accent3 2 10 5" xfId="14411"/>
    <cellStyle name="40% - Accent3 2 10 6" xfId="14412"/>
    <cellStyle name="40% - Accent3 2 10 7" xfId="14413"/>
    <cellStyle name="40% - Accent3 2 10 8" xfId="14414"/>
    <cellStyle name="40% - Accent3 2 11" xfId="14415"/>
    <cellStyle name="40% - Accent3 2 11 2" xfId="14416"/>
    <cellStyle name="40% - Accent3 2 11 2 2" xfId="14417"/>
    <cellStyle name="40% - Accent3 2 11 3" xfId="14418"/>
    <cellStyle name="40% - Accent3 2 11 4" xfId="14419"/>
    <cellStyle name="40% - Accent3 2 11 5" xfId="14420"/>
    <cellStyle name="40% - Accent3 2 11 6" xfId="14421"/>
    <cellStyle name="40% - Accent3 2 11 7" xfId="14422"/>
    <cellStyle name="40% - Accent3 2 12" xfId="14423"/>
    <cellStyle name="40% - Accent3 2 12 2" xfId="14424"/>
    <cellStyle name="40% - Accent3 2 12 2 2" xfId="14425"/>
    <cellStyle name="40% - Accent3 2 12 3" xfId="14426"/>
    <cellStyle name="40% - Accent3 2 12 4" xfId="14427"/>
    <cellStyle name="40% - Accent3 2 12 5" xfId="14428"/>
    <cellStyle name="40% - Accent3 2 12 6" xfId="14429"/>
    <cellStyle name="40% - Accent3 2 13" xfId="14430"/>
    <cellStyle name="40% - Accent3 2 13 2" xfId="14431"/>
    <cellStyle name="40% - Accent3 2 14" xfId="14432"/>
    <cellStyle name="40% - Accent3 2 14 2" xfId="14433"/>
    <cellStyle name="40% - Accent3 2 15" xfId="14434"/>
    <cellStyle name="40% - Accent3 2 15 2" xfId="14435"/>
    <cellStyle name="40% - Accent3 2 16" xfId="14436"/>
    <cellStyle name="40% - Accent3 2 16 2" xfId="14437"/>
    <cellStyle name="40% - Accent3 2 17" xfId="14438"/>
    <cellStyle name="40% - Accent3 2 17 2" xfId="14439"/>
    <cellStyle name="40% - Accent3 2 18" xfId="14440"/>
    <cellStyle name="40% - Accent3 2 19" xfId="14441"/>
    <cellStyle name="40% - Accent3 2 2" xfId="1497"/>
    <cellStyle name="40% - Accent3 2 2 2" xfId="1498"/>
    <cellStyle name="40% - Accent3 2 2 2 2" xfId="14442"/>
    <cellStyle name="40% - Accent3 2 2 2 3" xfId="14443"/>
    <cellStyle name="40% - Accent3 2 2 3" xfId="14444"/>
    <cellStyle name="40% - Accent3 2 2 4" xfId="14445"/>
    <cellStyle name="40% - Accent3 2 20" xfId="14446"/>
    <cellStyle name="40% - Accent3 2 21" xfId="14447"/>
    <cellStyle name="40% - Accent3 2 22" xfId="14448"/>
    <cellStyle name="40% - Accent3 2 23" xfId="14449"/>
    <cellStyle name="40% - Accent3 2 24" xfId="14450"/>
    <cellStyle name="40% - Accent3 2 25" xfId="14451"/>
    <cellStyle name="40% - Accent3 2 26" xfId="14452"/>
    <cellStyle name="40% - Accent3 2 27" xfId="14453"/>
    <cellStyle name="40% - Accent3 2 28" xfId="14454"/>
    <cellStyle name="40% - Accent3 2 29" xfId="14455"/>
    <cellStyle name="40% - Accent3 2 3" xfId="1499"/>
    <cellStyle name="40% - Accent3 2 3 10" xfId="14456"/>
    <cellStyle name="40% - Accent3 2 3 11" xfId="14457"/>
    <cellStyle name="40% - Accent3 2 3 2" xfId="1500"/>
    <cellStyle name="40% - Accent3 2 3 2 2" xfId="14458"/>
    <cellStyle name="40% - Accent3 2 3 2 3" xfId="14459"/>
    <cellStyle name="40% - Accent3 2 3 2 4" xfId="14460"/>
    <cellStyle name="40% - Accent3 2 3 2 5" xfId="14461"/>
    <cellStyle name="40% - Accent3 2 3 2 6" xfId="14462"/>
    <cellStyle name="40% - Accent3 2 3 2 7" xfId="14463"/>
    <cellStyle name="40% - Accent3 2 3 2 8" xfId="14464"/>
    <cellStyle name="40% - Accent3 2 3 2 9" xfId="14465"/>
    <cellStyle name="40% - Accent3 2 3 3" xfId="14466"/>
    <cellStyle name="40% - Accent3 2 3 3 2" xfId="14467"/>
    <cellStyle name="40% - Accent3 2 3 3 3" xfId="14468"/>
    <cellStyle name="40% - Accent3 2 3 3 4" xfId="14469"/>
    <cellStyle name="40% - Accent3 2 3 3 5" xfId="14470"/>
    <cellStyle name="40% - Accent3 2 3 3 6" xfId="14471"/>
    <cellStyle name="40% - Accent3 2 3 4" xfId="14472"/>
    <cellStyle name="40% - Accent3 2 3 4 2" xfId="14473"/>
    <cellStyle name="40% - Accent3 2 3 5" xfId="14474"/>
    <cellStyle name="40% - Accent3 2 3 6" xfId="14475"/>
    <cellStyle name="40% - Accent3 2 3 7" xfId="14476"/>
    <cellStyle name="40% - Accent3 2 3 8" xfId="14477"/>
    <cellStyle name="40% - Accent3 2 3 9" xfId="14478"/>
    <cellStyle name="40% - Accent3 2 30" xfId="14479"/>
    <cellStyle name="40% - Accent3 2 31" xfId="14480"/>
    <cellStyle name="40% - Accent3 2 32" xfId="14481"/>
    <cellStyle name="40% - Accent3 2 33" xfId="14482"/>
    <cellStyle name="40% - Accent3 2 34" xfId="14483"/>
    <cellStyle name="40% - Accent3 2 35" xfId="14484"/>
    <cellStyle name="40% - Accent3 2 4" xfId="1501"/>
    <cellStyle name="40% - Accent3 2 4 10" xfId="14485"/>
    <cellStyle name="40% - Accent3 2 4 11" xfId="14486"/>
    <cellStyle name="40% - Accent3 2 4 2" xfId="14487"/>
    <cellStyle name="40% - Accent3 2 4 2 2" xfId="14488"/>
    <cellStyle name="40% - Accent3 2 4 2 3" xfId="14489"/>
    <cellStyle name="40% - Accent3 2 4 2 4" xfId="14490"/>
    <cellStyle name="40% - Accent3 2 4 2 5" xfId="14491"/>
    <cellStyle name="40% - Accent3 2 4 2 6" xfId="14492"/>
    <cellStyle name="40% - Accent3 2 4 2 7" xfId="14493"/>
    <cellStyle name="40% - Accent3 2 4 3" xfId="14494"/>
    <cellStyle name="40% - Accent3 2 4 3 2" xfId="14495"/>
    <cellStyle name="40% - Accent3 2 4 3 3" xfId="14496"/>
    <cellStyle name="40% - Accent3 2 4 3 4" xfId="14497"/>
    <cellStyle name="40% - Accent3 2 4 3 5" xfId="14498"/>
    <cellStyle name="40% - Accent3 2 4 3 6" xfId="14499"/>
    <cellStyle name="40% - Accent3 2 4 4" xfId="14500"/>
    <cellStyle name="40% - Accent3 2 4 4 2" xfId="14501"/>
    <cellStyle name="40% - Accent3 2 4 5" xfId="14502"/>
    <cellStyle name="40% - Accent3 2 4 6" xfId="14503"/>
    <cellStyle name="40% - Accent3 2 4 7" xfId="14504"/>
    <cellStyle name="40% - Accent3 2 4 8" xfId="14505"/>
    <cellStyle name="40% - Accent3 2 4 9" xfId="14506"/>
    <cellStyle name="40% - Accent3 2 5" xfId="1502"/>
    <cellStyle name="40% - Accent3 2 5 10" xfId="14507"/>
    <cellStyle name="40% - Accent3 2 5 11" xfId="14508"/>
    <cellStyle name="40% - Accent3 2 5 2" xfId="14509"/>
    <cellStyle name="40% - Accent3 2 5 2 2" xfId="14510"/>
    <cellStyle name="40% - Accent3 2 5 2 3" xfId="14511"/>
    <cellStyle name="40% - Accent3 2 5 2 4" xfId="14512"/>
    <cellStyle name="40% - Accent3 2 5 2 5" xfId="14513"/>
    <cellStyle name="40% - Accent3 2 5 2 6" xfId="14514"/>
    <cellStyle name="40% - Accent3 2 5 2 7" xfId="14515"/>
    <cellStyle name="40% - Accent3 2 5 3" xfId="14516"/>
    <cellStyle name="40% - Accent3 2 5 3 2" xfId="14517"/>
    <cellStyle name="40% - Accent3 2 5 3 3" xfId="14518"/>
    <cellStyle name="40% - Accent3 2 5 3 4" xfId="14519"/>
    <cellStyle name="40% - Accent3 2 5 3 5" xfId="14520"/>
    <cellStyle name="40% - Accent3 2 5 3 6" xfId="14521"/>
    <cellStyle name="40% - Accent3 2 5 4" xfId="14522"/>
    <cellStyle name="40% - Accent3 2 5 4 2" xfId="14523"/>
    <cellStyle name="40% - Accent3 2 5 5" xfId="14524"/>
    <cellStyle name="40% - Accent3 2 5 6" xfId="14525"/>
    <cellStyle name="40% - Accent3 2 5 7" xfId="14526"/>
    <cellStyle name="40% - Accent3 2 5 8" xfId="14527"/>
    <cellStyle name="40% - Accent3 2 5 9" xfId="14528"/>
    <cellStyle name="40% - Accent3 2 6" xfId="1503"/>
    <cellStyle name="40% - Accent3 2 6 10" xfId="14529"/>
    <cellStyle name="40% - Accent3 2 6 11" xfId="14530"/>
    <cellStyle name="40% - Accent3 2 6 2" xfId="14531"/>
    <cellStyle name="40% - Accent3 2 6 2 2" xfId="14532"/>
    <cellStyle name="40% - Accent3 2 6 2 3" xfId="14533"/>
    <cellStyle name="40% - Accent3 2 6 2 4" xfId="14534"/>
    <cellStyle name="40% - Accent3 2 6 2 5" xfId="14535"/>
    <cellStyle name="40% - Accent3 2 6 2 6" xfId="14536"/>
    <cellStyle name="40% - Accent3 2 6 2 7" xfId="14537"/>
    <cellStyle name="40% - Accent3 2 6 3" xfId="14538"/>
    <cellStyle name="40% - Accent3 2 6 3 2" xfId="14539"/>
    <cellStyle name="40% - Accent3 2 6 3 3" xfId="14540"/>
    <cellStyle name="40% - Accent3 2 6 3 4" xfId="14541"/>
    <cellStyle name="40% - Accent3 2 6 3 5" xfId="14542"/>
    <cellStyle name="40% - Accent3 2 6 3 6" xfId="14543"/>
    <cellStyle name="40% - Accent3 2 6 4" xfId="14544"/>
    <cellStyle name="40% - Accent3 2 6 4 2" xfId="14545"/>
    <cellStyle name="40% - Accent3 2 6 5" xfId="14546"/>
    <cellStyle name="40% - Accent3 2 6 6" xfId="14547"/>
    <cellStyle name="40% - Accent3 2 6 7" xfId="14548"/>
    <cellStyle name="40% - Accent3 2 6 8" xfId="14549"/>
    <cellStyle name="40% - Accent3 2 6 9" xfId="14550"/>
    <cellStyle name="40% - Accent3 2 7" xfId="1496"/>
    <cellStyle name="40% - Accent3 2 7 10" xfId="14551"/>
    <cellStyle name="40% - Accent3 2 7 2" xfId="14552"/>
    <cellStyle name="40% - Accent3 2 7 2 2" xfId="14553"/>
    <cellStyle name="40% - Accent3 2 7 2 3" xfId="14554"/>
    <cellStyle name="40% - Accent3 2 7 2 4" xfId="14555"/>
    <cellStyle name="40% - Accent3 2 7 2 5" xfId="14556"/>
    <cellStyle name="40% - Accent3 2 7 2 6" xfId="14557"/>
    <cellStyle name="40% - Accent3 2 7 2 7" xfId="14558"/>
    <cellStyle name="40% - Accent3 2 7 3" xfId="14559"/>
    <cellStyle name="40% - Accent3 2 7 3 2" xfId="14560"/>
    <cellStyle name="40% - Accent3 2 7 3 3" xfId="14561"/>
    <cellStyle name="40% - Accent3 2 7 3 4" xfId="14562"/>
    <cellStyle name="40% - Accent3 2 7 3 5" xfId="14563"/>
    <cellStyle name="40% - Accent3 2 7 3 6" xfId="14564"/>
    <cellStyle name="40% - Accent3 2 7 4" xfId="14565"/>
    <cellStyle name="40% - Accent3 2 7 4 2" xfId="14566"/>
    <cellStyle name="40% - Accent3 2 7 5" xfId="14567"/>
    <cellStyle name="40% - Accent3 2 7 6" xfId="14568"/>
    <cellStyle name="40% - Accent3 2 7 7" xfId="14569"/>
    <cellStyle name="40% - Accent3 2 7 8" xfId="14570"/>
    <cellStyle name="40% - Accent3 2 7 9" xfId="14571"/>
    <cellStyle name="40% - Accent3 2 8" xfId="14572"/>
    <cellStyle name="40% - Accent3 2 8 2" xfId="14573"/>
    <cellStyle name="40% - Accent3 2 8 2 2" xfId="14574"/>
    <cellStyle name="40% - Accent3 2 8 2 3" xfId="14575"/>
    <cellStyle name="40% - Accent3 2 8 2 4" xfId="14576"/>
    <cellStyle name="40% - Accent3 2 8 2 5" xfId="14577"/>
    <cellStyle name="40% - Accent3 2 8 2 6" xfId="14578"/>
    <cellStyle name="40% - Accent3 2 8 2 7" xfId="14579"/>
    <cellStyle name="40% - Accent3 2 8 3" xfId="14580"/>
    <cellStyle name="40% - Accent3 2 8 3 2" xfId="14581"/>
    <cellStyle name="40% - Accent3 2 8 3 3" xfId="14582"/>
    <cellStyle name="40% - Accent3 2 8 3 4" xfId="14583"/>
    <cellStyle name="40% - Accent3 2 8 3 5" xfId="14584"/>
    <cellStyle name="40% - Accent3 2 8 3 6" xfId="14585"/>
    <cellStyle name="40% - Accent3 2 8 4" xfId="14586"/>
    <cellStyle name="40% - Accent3 2 8 4 2" xfId="14587"/>
    <cellStyle name="40% - Accent3 2 8 5" xfId="14588"/>
    <cellStyle name="40% - Accent3 2 8 6" xfId="14589"/>
    <cellStyle name="40% - Accent3 2 8 7" xfId="14590"/>
    <cellStyle name="40% - Accent3 2 8 8" xfId="14591"/>
    <cellStyle name="40% - Accent3 2 8 9" xfId="14592"/>
    <cellStyle name="40% - Accent3 2 9" xfId="14593"/>
    <cellStyle name="40% - Accent3 2 9 2" xfId="14594"/>
    <cellStyle name="40% - Accent3 2 9 2 2" xfId="14595"/>
    <cellStyle name="40% - Accent3 2 9 2 3" xfId="14596"/>
    <cellStyle name="40% - Accent3 2 9 2 4" xfId="14597"/>
    <cellStyle name="40% - Accent3 2 9 2 5" xfId="14598"/>
    <cellStyle name="40% - Accent3 2 9 2 6" xfId="14599"/>
    <cellStyle name="40% - Accent3 2 9 2 7" xfId="14600"/>
    <cellStyle name="40% - Accent3 2 9 3" xfId="14601"/>
    <cellStyle name="40% - Accent3 2 9 3 2" xfId="14602"/>
    <cellStyle name="40% - Accent3 2 9 3 3" xfId="14603"/>
    <cellStyle name="40% - Accent3 2 9 3 4" xfId="14604"/>
    <cellStyle name="40% - Accent3 2 9 3 5" xfId="14605"/>
    <cellStyle name="40% - Accent3 2 9 3 6" xfId="14606"/>
    <cellStyle name="40% - Accent3 2 9 4" xfId="14607"/>
    <cellStyle name="40% - Accent3 2 9 4 2" xfId="14608"/>
    <cellStyle name="40% - Accent3 2 9 5" xfId="14609"/>
    <cellStyle name="40% - Accent3 2 9 6" xfId="14610"/>
    <cellStyle name="40% - Accent3 2 9 7" xfId="14611"/>
    <cellStyle name="40% - Accent3 2 9 8" xfId="14612"/>
    <cellStyle name="40% - Accent3 2 9 9" xfId="14613"/>
    <cellStyle name="40% - Accent3 20" xfId="14614"/>
    <cellStyle name="40% - Accent3 20 2" xfId="14615"/>
    <cellStyle name="40% - Accent3 20 3" xfId="14616"/>
    <cellStyle name="40% - Accent3 20 4" xfId="14617"/>
    <cellStyle name="40% - Accent3 21" xfId="14618"/>
    <cellStyle name="40% - Accent3 21 2" xfId="14619"/>
    <cellStyle name="40% - Accent3 21 3" xfId="14620"/>
    <cellStyle name="40% - Accent3 21 4" xfId="14621"/>
    <cellStyle name="40% - Accent3 22" xfId="14622"/>
    <cellStyle name="40% - Accent3 22 2" xfId="14623"/>
    <cellStyle name="40% - Accent3 22 3" xfId="14624"/>
    <cellStyle name="40% - Accent3 22 4" xfId="14625"/>
    <cellStyle name="40% - Accent3 23" xfId="14626"/>
    <cellStyle name="40% - Accent3 23 2" xfId="14627"/>
    <cellStyle name="40% - Accent3 23 3" xfId="14628"/>
    <cellStyle name="40% - Accent3 23 4" xfId="14629"/>
    <cellStyle name="40% - Accent3 24" xfId="14630"/>
    <cellStyle name="40% - Accent3 24 2" xfId="14631"/>
    <cellStyle name="40% - Accent3 24 3" xfId="14632"/>
    <cellStyle name="40% - Accent3 24 4" xfId="14633"/>
    <cellStyle name="40% - Accent3 25" xfId="14634"/>
    <cellStyle name="40% - Accent3 25 2" xfId="14635"/>
    <cellStyle name="40% - Accent3 25 3" xfId="14636"/>
    <cellStyle name="40% - Accent3 26" xfId="14637"/>
    <cellStyle name="40% - Accent3 26 2" xfId="14638"/>
    <cellStyle name="40% - Accent3 26 3" xfId="14639"/>
    <cellStyle name="40% - Accent3 27" xfId="14640"/>
    <cellStyle name="40% - Accent3 27 2" xfId="14641"/>
    <cellStyle name="40% - Accent3 27 3" xfId="14642"/>
    <cellStyle name="40% - Accent3 28" xfId="14643"/>
    <cellStyle name="40% - Accent3 28 2" xfId="14644"/>
    <cellStyle name="40% - Accent3 28 3" xfId="14645"/>
    <cellStyle name="40% - Accent3 29" xfId="14646"/>
    <cellStyle name="40% - Accent3 29 2" xfId="14647"/>
    <cellStyle name="40% - Accent3 29 3" xfId="14648"/>
    <cellStyle name="40% - Accent3 3" xfId="1504"/>
    <cellStyle name="40% - Accent3 3 10" xfId="14649"/>
    <cellStyle name="40% - Accent3 3 10 2" xfId="14650"/>
    <cellStyle name="40% - Accent3 3 10 3" xfId="14651"/>
    <cellStyle name="40% - Accent3 3 10 4" xfId="14652"/>
    <cellStyle name="40% - Accent3 3 10 5" xfId="14653"/>
    <cellStyle name="40% - Accent3 3 10 6" xfId="14654"/>
    <cellStyle name="40% - Accent3 3 10 7" xfId="14655"/>
    <cellStyle name="40% - Accent3 3 11" xfId="14656"/>
    <cellStyle name="40% - Accent3 3 11 2" xfId="14657"/>
    <cellStyle name="40% - Accent3 3 11 3" xfId="14658"/>
    <cellStyle name="40% - Accent3 3 11 4" xfId="14659"/>
    <cellStyle name="40% - Accent3 3 11 5" xfId="14660"/>
    <cellStyle name="40% - Accent3 3 11 6" xfId="14661"/>
    <cellStyle name="40% - Accent3 3 12" xfId="14662"/>
    <cellStyle name="40% - Accent3 3 12 2" xfId="14663"/>
    <cellStyle name="40% - Accent3 3 13" xfId="14664"/>
    <cellStyle name="40% - Accent3 3 14" xfId="14665"/>
    <cellStyle name="40% - Accent3 3 15" xfId="14666"/>
    <cellStyle name="40% - Accent3 3 16" xfId="14667"/>
    <cellStyle name="40% - Accent3 3 17" xfId="14668"/>
    <cellStyle name="40% - Accent3 3 18" xfId="14669"/>
    <cellStyle name="40% - Accent3 3 2" xfId="14670"/>
    <cellStyle name="40% - Accent3 3 2 2" xfId="14671"/>
    <cellStyle name="40% - Accent3 3 2 2 2" xfId="14672"/>
    <cellStyle name="40% - Accent3 3 2 2 3" xfId="14673"/>
    <cellStyle name="40% - Accent3 3 2 2 4" xfId="14674"/>
    <cellStyle name="40% - Accent3 3 2 2 5" xfId="14675"/>
    <cellStyle name="40% - Accent3 3 2 2 6" xfId="14676"/>
    <cellStyle name="40% - Accent3 3 2 2 7" xfId="14677"/>
    <cellStyle name="40% - Accent3 3 2 3" xfId="14678"/>
    <cellStyle name="40% - Accent3 3 2 3 2" xfId="14679"/>
    <cellStyle name="40% - Accent3 3 2 3 3" xfId="14680"/>
    <cellStyle name="40% - Accent3 3 2 3 4" xfId="14681"/>
    <cellStyle name="40% - Accent3 3 2 3 5" xfId="14682"/>
    <cellStyle name="40% - Accent3 3 2 3 6" xfId="14683"/>
    <cellStyle name="40% - Accent3 3 2 4" xfId="14684"/>
    <cellStyle name="40% - Accent3 3 2 5" xfId="14685"/>
    <cellStyle name="40% - Accent3 3 2 6" xfId="14686"/>
    <cellStyle name="40% - Accent3 3 2 7" xfId="14687"/>
    <cellStyle name="40% - Accent3 3 2 8" xfId="14688"/>
    <cellStyle name="40% - Accent3 3 2 9" xfId="14689"/>
    <cellStyle name="40% - Accent3 3 3" xfId="14690"/>
    <cellStyle name="40% - Accent3 3 3 2" xfId="14691"/>
    <cellStyle name="40% - Accent3 3 3 2 2" xfId="14692"/>
    <cellStyle name="40% - Accent3 3 3 2 3" xfId="14693"/>
    <cellStyle name="40% - Accent3 3 3 2 4" xfId="14694"/>
    <cellStyle name="40% - Accent3 3 3 2 5" xfId="14695"/>
    <cellStyle name="40% - Accent3 3 3 2 6" xfId="14696"/>
    <cellStyle name="40% - Accent3 3 3 2 7" xfId="14697"/>
    <cellStyle name="40% - Accent3 3 3 3" xfId="14698"/>
    <cellStyle name="40% - Accent3 3 3 3 2" xfId="14699"/>
    <cellStyle name="40% - Accent3 3 3 3 3" xfId="14700"/>
    <cellStyle name="40% - Accent3 3 3 3 4" xfId="14701"/>
    <cellStyle name="40% - Accent3 3 3 3 5" xfId="14702"/>
    <cellStyle name="40% - Accent3 3 3 3 6" xfId="14703"/>
    <cellStyle name="40% - Accent3 3 3 4" xfId="14704"/>
    <cellStyle name="40% - Accent3 3 3 5" xfId="14705"/>
    <cellStyle name="40% - Accent3 3 3 6" xfId="14706"/>
    <cellStyle name="40% - Accent3 3 3 7" xfId="14707"/>
    <cellStyle name="40% - Accent3 3 3 8" xfId="14708"/>
    <cellStyle name="40% - Accent3 3 3 9" xfId="14709"/>
    <cellStyle name="40% - Accent3 3 4" xfId="14710"/>
    <cellStyle name="40% - Accent3 3 4 2" xfId="14711"/>
    <cellStyle name="40% - Accent3 3 4 2 2" xfId="14712"/>
    <cellStyle name="40% - Accent3 3 4 2 3" xfId="14713"/>
    <cellStyle name="40% - Accent3 3 4 2 4" xfId="14714"/>
    <cellStyle name="40% - Accent3 3 4 2 5" xfId="14715"/>
    <cellStyle name="40% - Accent3 3 4 2 6" xfId="14716"/>
    <cellStyle name="40% - Accent3 3 4 2 7" xfId="14717"/>
    <cellStyle name="40% - Accent3 3 4 3" xfId="14718"/>
    <cellStyle name="40% - Accent3 3 4 3 2" xfId="14719"/>
    <cellStyle name="40% - Accent3 3 4 3 3" xfId="14720"/>
    <cellStyle name="40% - Accent3 3 4 3 4" xfId="14721"/>
    <cellStyle name="40% - Accent3 3 4 3 5" xfId="14722"/>
    <cellStyle name="40% - Accent3 3 4 3 6" xfId="14723"/>
    <cellStyle name="40% - Accent3 3 4 4" xfId="14724"/>
    <cellStyle name="40% - Accent3 3 4 5" xfId="14725"/>
    <cellStyle name="40% - Accent3 3 4 6" xfId="14726"/>
    <cellStyle name="40% - Accent3 3 4 7" xfId="14727"/>
    <cellStyle name="40% - Accent3 3 4 8" xfId="14728"/>
    <cellStyle name="40% - Accent3 3 4 9" xfId="14729"/>
    <cellStyle name="40% - Accent3 3 5" xfId="14730"/>
    <cellStyle name="40% - Accent3 3 5 2" xfId="14731"/>
    <cellStyle name="40% - Accent3 3 5 2 2" xfId="14732"/>
    <cellStyle name="40% - Accent3 3 5 2 3" xfId="14733"/>
    <cellStyle name="40% - Accent3 3 5 2 4" xfId="14734"/>
    <cellStyle name="40% - Accent3 3 5 2 5" xfId="14735"/>
    <cellStyle name="40% - Accent3 3 5 2 6" xfId="14736"/>
    <cellStyle name="40% - Accent3 3 5 2 7" xfId="14737"/>
    <cellStyle name="40% - Accent3 3 5 3" xfId="14738"/>
    <cellStyle name="40% - Accent3 3 5 3 2" xfId="14739"/>
    <cellStyle name="40% - Accent3 3 5 3 3" xfId="14740"/>
    <cellStyle name="40% - Accent3 3 5 3 4" xfId="14741"/>
    <cellStyle name="40% - Accent3 3 5 3 5" xfId="14742"/>
    <cellStyle name="40% - Accent3 3 5 3 6" xfId="14743"/>
    <cellStyle name="40% - Accent3 3 5 4" xfId="14744"/>
    <cellStyle name="40% - Accent3 3 5 5" xfId="14745"/>
    <cellStyle name="40% - Accent3 3 5 6" xfId="14746"/>
    <cellStyle name="40% - Accent3 3 5 7" xfId="14747"/>
    <cellStyle name="40% - Accent3 3 5 8" xfId="14748"/>
    <cellStyle name="40% - Accent3 3 5 9" xfId="14749"/>
    <cellStyle name="40% - Accent3 3 6" xfId="14750"/>
    <cellStyle name="40% - Accent3 3 6 2" xfId="14751"/>
    <cellStyle name="40% - Accent3 3 6 2 2" xfId="14752"/>
    <cellStyle name="40% - Accent3 3 6 2 3" xfId="14753"/>
    <cellStyle name="40% - Accent3 3 6 2 4" xfId="14754"/>
    <cellStyle name="40% - Accent3 3 6 2 5" xfId="14755"/>
    <cellStyle name="40% - Accent3 3 6 2 6" xfId="14756"/>
    <cellStyle name="40% - Accent3 3 6 2 7" xfId="14757"/>
    <cellStyle name="40% - Accent3 3 6 3" xfId="14758"/>
    <cellStyle name="40% - Accent3 3 6 3 2" xfId="14759"/>
    <cellStyle name="40% - Accent3 3 6 3 3" xfId="14760"/>
    <cellStyle name="40% - Accent3 3 6 3 4" xfId="14761"/>
    <cellStyle name="40% - Accent3 3 6 3 5" xfId="14762"/>
    <cellStyle name="40% - Accent3 3 6 3 6" xfId="14763"/>
    <cellStyle name="40% - Accent3 3 6 4" xfId="14764"/>
    <cellStyle name="40% - Accent3 3 6 5" xfId="14765"/>
    <cellStyle name="40% - Accent3 3 6 6" xfId="14766"/>
    <cellStyle name="40% - Accent3 3 6 7" xfId="14767"/>
    <cellStyle name="40% - Accent3 3 6 8" xfId="14768"/>
    <cellStyle name="40% - Accent3 3 6 9" xfId="14769"/>
    <cellStyle name="40% - Accent3 3 7" xfId="14770"/>
    <cellStyle name="40% - Accent3 3 7 2" xfId="14771"/>
    <cellStyle name="40% - Accent3 3 7 2 2" xfId="14772"/>
    <cellStyle name="40% - Accent3 3 7 2 3" xfId="14773"/>
    <cellStyle name="40% - Accent3 3 7 2 4" xfId="14774"/>
    <cellStyle name="40% - Accent3 3 7 2 5" xfId="14775"/>
    <cellStyle name="40% - Accent3 3 7 2 6" xfId="14776"/>
    <cellStyle name="40% - Accent3 3 7 2 7" xfId="14777"/>
    <cellStyle name="40% - Accent3 3 7 3" xfId="14778"/>
    <cellStyle name="40% - Accent3 3 7 3 2" xfId="14779"/>
    <cellStyle name="40% - Accent3 3 7 3 3" xfId="14780"/>
    <cellStyle name="40% - Accent3 3 7 3 4" xfId="14781"/>
    <cellStyle name="40% - Accent3 3 7 3 5" xfId="14782"/>
    <cellStyle name="40% - Accent3 3 7 3 6" xfId="14783"/>
    <cellStyle name="40% - Accent3 3 7 4" xfId="14784"/>
    <cellStyle name="40% - Accent3 3 7 5" xfId="14785"/>
    <cellStyle name="40% - Accent3 3 7 6" xfId="14786"/>
    <cellStyle name="40% - Accent3 3 7 7" xfId="14787"/>
    <cellStyle name="40% - Accent3 3 7 8" xfId="14788"/>
    <cellStyle name="40% - Accent3 3 7 9" xfId="14789"/>
    <cellStyle name="40% - Accent3 3 8" xfId="14790"/>
    <cellStyle name="40% - Accent3 3 8 2" xfId="14791"/>
    <cellStyle name="40% - Accent3 3 8 2 2" xfId="14792"/>
    <cellStyle name="40% - Accent3 3 8 2 3" xfId="14793"/>
    <cellStyle name="40% - Accent3 3 8 2 4" xfId="14794"/>
    <cellStyle name="40% - Accent3 3 8 2 5" xfId="14795"/>
    <cellStyle name="40% - Accent3 3 8 2 6" xfId="14796"/>
    <cellStyle name="40% - Accent3 3 8 2 7" xfId="14797"/>
    <cellStyle name="40% - Accent3 3 8 3" xfId="14798"/>
    <cellStyle name="40% - Accent3 3 8 3 2" xfId="14799"/>
    <cellStyle name="40% - Accent3 3 8 3 3" xfId="14800"/>
    <cellStyle name="40% - Accent3 3 8 3 4" xfId="14801"/>
    <cellStyle name="40% - Accent3 3 8 3 5" xfId="14802"/>
    <cellStyle name="40% - Accent3 3 8 3 6" xfId="14803"/>
    <cellStyle name="40% - Accent3 3 8 4" xfId="14804"/>
    <cellStyle name="40% - Accent3 3 8 5" xfId="14805"/>
    <cellStyle name="40% - Accent3 3 8 6" xfId="14806"/>
    <cellStyle name="40% - Accent3 3 8 7" xfId="14807"/>
    <cellStyle name="40% - Accent3 3 8 8" xfId="14808"/>
    <cellStyle name="40% - Accent3 3 8 9" xfId="14809"/>
    <cellStyle name="40% - Accent3 3 9" xfId="14810"/>
    <cellStyle name="40% - Accent3 3 9 2" xfId="14811"/>
    <cellStyle name="40% - Accent3 3 9 2 2" xfId="14812"/>
    <cellStyle name="40% - Accent3 3 9 2 3" xfId="14813"/>
    <cellStyle name="40% - Accent3 3 9 2 4" xfId="14814"/>
    <cellStyle name="40% - Accent3 3 9 2 5" xfId="14815"/>
    <cellStyle name="40% - Accent3 3 9 2 6" xfId="14816"/>
    <cellStyle name="40% - Accent3 3 9 3" xfId="14817"/>
    <cellStyle name="40% - Accent3 3 9 4" xfId="14818"/>
    <cellStyle name="40% - Accent3 3 9 5" xfId="14819"/>
    <cellStyle name="40% - Accent3 3 9 6" xfId="14820"/>
    <cellStyle name="40% - Accent3 3 9 7" xfId="14821"/>
    <cellStyle name="40% - Accent3 3 9 8" xfId="14822"/>
    <cellStyle name="40% - Accent3 30" xfId="14823"/>
    <cellStyle name="40% - Accent3 30 2" xfId="14824"/>
    <cellStyle name="40% - Accent3 31" xfId="14825"/>
    <cellStyle name="40% - Accent3 32" xfId="14826"/>
    <cellStyle name="40% - Accent3 33" xfId="14827"/>
    <cellStyle name="40% - Accent3 34" xfId="14828"/>
    <cellStyle name="40% - Accent3 4" xfId="14829"/>
    <cellStyle name="40% - Accent3 4 10" xfId="14830"/>
    <cellStyle name="40% - Accent3 4 10 2" xfId="14831"/>
    <cellStyle name="40% - Accent3 4 10 3" xfId="14832"/>
    <cellStyle name="40% - Accent3 4 10 4" xfId="14833"/>
    <cellStyle name="40% - Accent3 4 10 5" xfId="14834"/>
    <cellStyle name="40% - Accent3 4 10 6" xfId="14835"/>
    <cellStyle name="40% - Accent3 4 10 7" xfId="14836"/>
    <cellStyle name="40% - Accent3 4 11" xfId="14837"/>
    <cellStyle name="40% - Accent3 4 11 2" xfId="14838"/>
    <cellStyle name="40% - Accent3 4 11 3" xfId="14839"/>
    <cellStyle name="40% - Accent3 4 11 4" xfId="14840"/>
    <cellStyle name="40% - Accent3 4 11 5" xfId="14841"/>
    <cellStyle name="40% - Accent3 4 11 6" xfId="14842"/>
    <cellStyle name="40% - Accent3 4 12" xfId="14843"/>
    <cellStyle name="40% - Accent3 4 12 2" xfId="14844"/>
    <cellStyle name="40% - Accent3 4 13" xfId="14845"/>
    <cellStyle name="40% - Accent3 4 14" xfId="14846"/>
    <cellStyle name="40% - Accent3 4 15" xfId="14847"/>
    <cellStyle name="40% - Accent3 4 16" xfId="14848"/>
    <cellStyle name="40% - Accent3 4 17" xfId="14849"/>
    <cellStyle name="40% - Accent3 4 2" xfId="14850"/>
    <cellStyle name="40% - Accent3 4 2 2" xfId="14851"/>
    <cellStyle name="40% - Accent3 4 2 2 2" xfId="14852"/>
    <cellStyle name="40% - Accent3 4 2 2 3" xfId="14853"/>
    <cellStyle name="40% - Accent3 4 2 2 4" xfId="14854"/>
    <cellStyle name="40% - Accent3 4 2 2 5" xfId="14855"/>
    <cellStyle name="40% - Accent3 4 2 2 6" xfId="14856"/>
    <cellStyle name="40% - Accent3 4 2 2 7" xfId="14857"/>
    <cellStyle name="40% - Accent3 4 2 3" xfId="14858"/>
    <cellStyle name="40% - Accent3 4 2 3 2" xfId="14859"/>
    <cellStyle name="40% - Accent3 4 2 3 3" xfId="14860"/>
    <cellStyle name="40% - Accent3 4 2 3 4" xfId="14861"/>
    <cellStyle name="40% - Accent3 4 2 3 5" xfId="14862"/>
    <cellStyle name="40% - Accent3 4 2 3 6" xfId="14863"/>
    <cellStyle name="40% - Accent3 4 2 4" xfId="14864"/>
    <cellStyle name="40% - Accent3 4 2 4 2" xfId="14865"/>
    <cellStyle name="40% - Accent3 4 2 5" xfId="14866"/>
    <cellStyle name="40% - Accent3 4 2 6" xfId="14867"/>
    <cellStyle name="40% - Accent3 4 2 7" xfId="14868"/>
    <cellStyle name="40% - Accent3 4 2 8" xfId="14869"/>
    <cellStyle name="40% - Accent3 4 2 9" xfId="14870"/>
    <cellStyle name="40% - Accent3 4 3" xfId="14871"/>
    <cellStyle name="40% - Accent3 4 3 2" xfId="14872"/>
    <cellStyle name="40% - Accent3 4 3 2 2" xfId="14873"/>
    <cellStyle name="40% - Accent3 4 3 2 3" xfId="14874"/>
    <cellStyle name="40% - Accent3 4 3 2 4" xfId="14875"/>
    <cellStyle name="40% - Accent3 4 3 2 5" xfId="14876"/>
    <cellStyle name="40% - Accent3 4 3 2 6" xfId="14877"/>
    <cellStyle name="40% - Accent3 4 3 2 7" xfId="14878"/>
    <cellStyle name="40% - Accent3 4 3 3" xfId="14879"/>
    <cellStyle name="40% - Accent3 4 3 3 2" xfId="14880"/>
    <cellStyle name="40% - Accent3 4 3 3 3" xfId="14881"/>
    <cellStyle name="40% - Accent3 4 3 3 4" xfId="14882"/>
    <cellStyle name="40% - Accent3 4 3 3 5" xfId="14883"/>
    <cellStyle name="40% - Accent3 4 3 3 6" xfId="14884"/>
    <cellStyle name="40% - Accent3 4 3 4" xfId="14885"/>
    <cellStyle name="40% - Accent3 4 3 4 2" xfId="14886"/>
    <cellStyle name="40% - Accent3 4 3 5" xfId="14887"/>
    <cellStyle name="40% - Accent3 4 3 6" xfId="14888"/>
    <cellStyle name="40% - Accent3 4 3 7" xfId="14889"/>
    <cellStyle name="40% - Accent3 4 3 8" xfId="14890"/>
    <cellStyle name="40% - Accent3 4 3 9" xfId="14891"/>
    <cellStyle name="40% - Accent3 4 4" xfId="14892"/>
    <cellStyle name="40% - Accent3 4 4 2" xfId="14893"/>
    <cellStyle name="40% - Accent3 4 4 2 2" xfId="14894"/>
    <cellStyle name="40% - Accent3 4 4 2 3" xfId="14895"/>
    <cellStyle name="40% - Accent3 4 4 2 4" xfId="14896"/>
    <cellStyle name="40% - Accent3 4 4 2 5" xfId="14897"/>
    <cellStyle name="40% - Accent3 4 4 2 6" xfId="14898"/>
    <cellStyle name="40% - Accent3 4 4 2 7" xfId="14899"/>
    <cellStyle name="40% - Accent3 4 4 3" xfId="14900"/>
    <cellStyle name="40% - Accent3 4 4 3 2" xfId="14901"/>
    <cellStyle name="40% - Accent3 4 4 3 3" xfId="14902"/>
    <cellStyle name="40% - Accent3 4 4 3 4" xfId="14903"/>
    <cellStyle name="40% - Accent3 4 4 3 5" xfId="14904"/>
    <cellStyle name="40% - Accent3 4 4 3 6" xfId="14905"/>
    <cellStyle name="40% - Accent3 4 4 4" xfId="14906"/>
    <cellStyle name="40% - Accent3 4 4 5" xfId="14907"/>
    <cellStyle name="40% - Accent3 4 4 6" xfId="14908"/>
    <cellStyle name="40% - Accent3 4 4 7" xfId="14909"/>
    <cellStyle name="40% - Accent3 4 4 8" xfId="14910"/>
    <cellStyle name="40% - Accent3 4 4 9" xfId="14911"/>
    <cellStyle name="40% - Accent3 4 5" xfId="14912"/>
    <cellStyle name="40% - Accent3 4 5 2" xfId="14913"/>
    <cellStyle name="40% - Accent3 4 5 2 2" xfId="14914"/>
    <cellStyle name="40% - Accent3 4 5 2 3" xfId="14915"/>
    <cellStyle name="40% - Accent3 4 5 2 4" xfId="14916"/>
    <cellStyle name="40% - Accent3 4 5 2 5" xfId="14917"/>
    <cellStyle name="40% - Accent3 4 5 2 6" xfId="14918"/>
    <cellStyle name="40% - Accent3 4 5 2 7" xfId="14919"/>
    <cellStyle name="40% - Accent3 4 5 3" xfId="14920"/>
    <cellStyle name="40% - Accent3 4 5 3 2" xfId="14921"/>
    <cellStyle name="40% - Accent3 4 5 3 3" xfId="14922"/>
    <cellStyle name="40% - Accent3 4 5 3 4" xfId="14923"/>
    <cellStyle name="40% - Accent3 4 5 3 5" xfId="14924"/>
    <cellStyle name="40% - Accent3 4 5 3 6" xfId="14925"/>
    <cellStyle name="40% - Accent3 4 5 4" xfId="14926"/>
    <cellStyle name="40% - Accent3 4 5 5" xfId="14927"/>
    <cellStyle name="40% - Accent3 4 5 6" xfId="14928"/>
    <cellStyle name="40% - Accent3 4 5 7" xfId="14929"/>
    <cellStyle name="40% - Accent3 4 5 8" xfId="14930"/>
    <cellStyle name="40% - Accent3 4 5 9" xfId="14931"/>
    <cellStyle name="40% - Accent3 4 6" xfId="14932"/>
    <cellStyle name="40% - Accent3 4 6 2" xfId="14933"/>
    <cellStyle name="40% - Accent3 4 6 2 2" xfId="14934"/>
    <cellStyle name="40% - Accent3 4 6 2 3" xfId="14935"/>
    <cellStyle name="40% - Accent3 4 6 2 4" xfId="14936"/>
    <cellStyle name="40% - Accent3 4 6 2 5" xfId="14937"/>
    <cellStyle name="40% - Accent3 4 6 2 6" xfId="14938"/>
    <cellStyle name="40% - Accent3 4 6 2 7" xfId="14939"/>
    <cellStyle name="40% - Accent3 4 6 3" xfId="14940"/>
    <cellStyle name="40% - Accent3 4 6 3 2" xfId="14941"/>
    <cellStyle name="40% - Accent3 4 6 3 3" xfId="14942"/>
    <cellStyle name="40% - Accent3 4 6 3 4" xfId="14943"/>
    <cellStyle name="40% - Accent3 4 6 3 5" xfId="14944"/>
    <cellStyle name="40% - Accent3 4 6 3 6" xfId="14945"/>
    <cellStyle name="40% - Accent3 4 6 4" xfId="14946"/>
    <cellStyle name="40% - Accent3 4 6 5" xfId="14947"/>
    <cellStyle name="40% - Accent3 4 6 6" xfId="14948"/>
    <cellStyle name="40% - Accent3 4 6 7" xfId="14949"/>
    <cellStyle name="40% - Accent3 4 6 8" xfId="14950"/>
    <cellStyle name="40% - Accent3 4 6 9" xfId="14951"/>
    <cellStyle name="40% - Accent3 4 7" xfId="14952"/>
    <cellStyle name="40% - Accent3 4 7 2" xfId="14953"/>
    <cellStyle name="40% - Accent3 4 7 2 2" xfId="14954"/>
    <cellStyle name="40% - Accent3 4 7 2 3" xfId="14955"/>
    <cellStyle name="40% - Accent3 4 7 2 4" xfId="14956"/>
    <cellStyle name="40% - Accent3 4 7 2 5" xfId="14957"/>
    <cellStyle name="40% - Accent3 4 7 2 6" xfId="14958"/>
    <cellStyle name="40% - Accent3 4 7 2 7" xfId="14959"/>
    <cellStyle name="40% - Accent3 4 7 3" xfId="14960"/>
    <cellStyle name="40% - Accent3 4 7 3 2" xfId="14961"/>
    <cellStyle name="40% - Accent3 4 7 3 3" xfId="14962"/>
    <cellStyle name="40% - Accent3 4 7 3 4" xfId="14963"/>
    <cellStyle name="40% - Accent3 4 7 3 5" xfId="14964"/>
    <cellStyle name="40% - Accent3 4 7 3 6" xfId="14965"/>
    <cellStyle name="40% - Accent3 4 7 4" xfId="14966"/>
    <cellStyle name="40% - Accent3 4 7 5" xfId="14967"/>
    <cellStyle name="40% - Accent3 4 7 6" xfId="14968"/>
    <cellStyle name="40% - Accent3 4 7 7" xfId="14969"/>
    <cellStyle name="40% - Accent3 4 7 8" xfId="14970"/>
    <cellStyle name="40% - Accent3 4 7 9" xfId="14971"/>
    <cellStyle name="40% - Accent3 4 8" xfId="14972"/>
    <cellStyle name="40% - Accent3 4 8 2" xfId="14973"/>
    <cellStyle name="40% - Accent3 4 8 2 2" xfId="14974"/>
    <cellStyle name="40% - Accent3 4 8 2 3" xfId="14975"/>
    <cellStyle name="40% - Accent3 4 8 2 4" xfId="14976"/>
    <cellStyle name="40% - Accent3 4 8 2 5" xfId="14977"/>
    <cellStyle name="40% - Accent3 4 8 2 6" xfId="14978"/>
    <cellStyle name="40% - Accent3 4 8 2 7" xfId="14979"/>
    <cellStyle name="40% - Accent3 4 8 3" xfId="14980"/>
    <cellStyle name="40% - Accent3 4 8 3 2" xfId="14981"/>
    <cellStyle name="40% - Accent3 4 8 3 3" xfId="14982"/>
    <cellStyle name="40% - Accent3 4 8 3 4" xfId="14983"/>
    <cellStyle name="40% - Accent3 4 8 3 5" xfId="14984"/>
    <cellStyle name="40% - Accent3 4 8 3 6" xfId="14985"/>
    <cellStyle name="40% - Accent3 4 8 4" xfId="14986"/>
    <cellStyle name="40% - Accent3 4 8 5" xfId="14987"/>
    <cellStyle name="40% - Accent3 4 8 6" xfId="14988"/>
    <cellStyle name="40% - Accent3 4 8 7" xfId="14989"/>
    <cellStyle name="40% - Accent3 4 8 8" xfId="14990"/>
    <cellStyle name="40% - Accent3 4 8 9" xfId="14991"/>
    <cellStyle name="40% - Accent3 4 9" xfId="14992"/>
    <cellStyle name="40% - Accent3 4 9 2" xfId="14993"/>
    <cellStyle name="40% - Accent3 4 9 2 2" xfId="14994"/>
    <cellStyle name="40% - Accent3 4 9 2 3" xfId="14995"/>
    <cellStyle name="40% - Accent3 4 9 2 4" xfId="14996"/>
    <cellStyle name="40% - Accent3 4 9 2 5" xfId="14997"/>
    <cellStyle name="40% - Accent3 4 9 2 6" xfId="14998"/>
    <cellStyle name="40% - Accent3 4 9 3" xfId="14999"/>
    <cellStyle name="40% - Accent3 4 9 4" xfId="15000"/>
    <cellStyle name="40% - Accent3 4 9 5" xfId="15001"/>
    <cellStyle name="40% - Accent3 4 9 6" xfId="15002"/>
    <cellStyle name="40% - Accent3 4 9 7" xfId="15003"/>
    <cellStyle name="40% - Accent3 4 9 8" xfId="15004"/>
    <cellStyle name="40% - Accent3 5" xfId="15005"/>
    <cellStyle name="40% - Accent3 5 10" xfId="15006"/>
    <cellStyle name="40% - Accent3 5 10 2" xfId="15007"/>
    <cellStyle name="40% - Accent3 5 10 3" xfId="15008"/>
    <cellStyle name="40% - Accent3 5 10 4" xfId="15009"/>
    <cellStyle name="40% - Accent3 5 10 5" xfId="15010"/>
    <cellStyle name="40% - Accent3 5 10 6" xfId="15011"/>
    <cellStyle name="40% - Accent3 5 10 7" xfId="15012"/>
    <cellStyle name="40% - Accent3 5 11" xfId="15013"/>
    <cellStyle name="40% - Accent3 5 11 2" xfId="15014"/>
    <cellStyle name="40% - Accent3 5 11 3" xfId="15015"/>
    <cellStyle name="40% - Accent3 5 11 4" xfId="15016"/>
    <cellStyle name="40% - Accent3 5 11 5" xfId="15017"/>
    <cellStyle name="40% - Accent3 5 11 6" xfId="15018"/>
    <cellStyle name="40% - Accent3 5 12" xfId="15019"/>
    <cellStyle name="40% - Accent3 5 12 2" xfId="15020"/>
    <cellStyle name="40% - Accent3 5 13" xfId="15021"/>
    <cellStyle name="40% - Accent3 5 14" xfId="15022"/>
    <cellStyle name="40% - Accent3 5 15" xfId="15023"/>
    <cellStyle name="40% - Accent3 5 16" xfId="15024"/>
    <cellStyle name="40% - Accent3 5 17" xfId="15025"/>
    <cellStyle name="40% - Accent3 5 2" xfId="15026"/>
    <cellStyle name="40% - Accent3 5 2 2" xfId="15027"/>
    <cellStyle name="40% - Accent3 5 2 2 2" xfId="15028"/>
    <cellStyle name="40% - Accent3 5 2 2 3" xfId="15029"/>
    <cellStyle name="40% - Accent3 5 2 2 4" xfId="15030"/>
    <cellStyle name="40% - Accent3 5 2 2 5" xfId="15031"/>
    <cellStyle name="40% - Accent3 5 2 2 6" xfId="15032"/>
    <cellStyle name="40% - Accent3 5 2 2 7" xfId="15033"/>
    <cellStyle name="40% - Accent3 5 2 3" xfId="15034"/>
    <cellStyle name="40% - Accent3 5 2 3 2" xfId="15035"/>
    <cellStyle name="40% - Accent3 5 2 3 3" xfId="15036"/>
    <cellStyle name="40% - Accent3 5 2 3 4" xfId="15037"/>
    <cellStyle name="40% - Accent3 5 2 3 5" xfId="15038"/>
    <cellStyle name="40% - Accent3 5 2 3 6" xfId="15039"/>
    <cellStyle name="40% - Accent3 5 2 4" xfId="15040"/>
    <cellStyle name="40% - Accent3 5 2 4 2" xfId="15041"/>
    <cellStyle name="40% - Accent3 5 2 5" xfId="15042"/>
    <cellStyle name="40% - Accent3 5 2 6" xfId="15043"/>
    <cellStyle name="40% - Accent3 5 2 7" xfId="15044"/>
    <cellStyle name="40% - Accent3 5 2 8" xfId="15045"/>
    <cellStyle name="40% - Accent3 5 2 9" xfId="15046"/>
    <cellStyle name="40% - Accent3 5 3" xfId="15047"/>
    <cellStyle name="40% - Accent3 5 3 2" xfId="15048"/>
    <cellStyle name="40% - Accent3 5 3 2 2" xfId="15049"/>
    <cellStyle name="40% - Accent3 5 3 2 3" xfId="15050"/>
    <cellStyle name="40% - Accent3 5 3 2 4" xfId="15051"/>
    <cellStyle name="40% - Accent3 5 3 2 5" xfId="15052"/>
    <cellStyle name="40% - Accent3 5 3 2 6" xfId="15053"/>
    <cellStyle name="40% - Accent3 5 3 2 7" xfId="15054"/>
    <cellStyle name="40% - Accent3 5 3 3" xfId="15055"/>
    <cellStyle name="40% - Accent3 5 3 3 2" xfId="15056"/>
    <cellStyle name="40% - Accent3 5 3 3 3" xfId="15057"/>
    <cellStyle name="40% - Accent3 5 3 3 4" xfId="15058"/>
    <cellStyle name="40% - Accent3 5 3 3 5" xfId="15059"/>
    <cellStyle name="40% - Accent3 5 3 3 6" xfId="15060"/>
    <cellStyle name="40% - Accent3 5 3 4" xfId="15061"/>
    <cellStyle name="40% - Accent3 5 3 4 2" xfId="15062"/>
    <cellStyle name="40% - Accent3 5 3 5" xfId="15063"/>
    <cellStyle name="40% - Accent3 5 3 6" xfId="15064"/>
    <cellStyle name="40% - Accent3 5 3 7" xfId="15065"/>
    <cellStyle name="40% - Accent3 5 3 8" xfId="15066"/>
    <cellStyle name="40% - Accent3 5 3 9" xfId="15067"/>
    <cellStyle name="40% - Accent3 5 4" xfId="15068"/>
    <cellStyle name="40% - Accent3 5 4 2" xfId="15069"/>
    <cellStyle name="40% - Accent3 5 4 2 2" xfId="15070"/>
    <cellStyle name="40% - Accent3 5 4 2 3" xfId="15071"/>
    <cellStyle name="40% - Accent3 5 4 2 4" xfId="15072"/>
    <cellStyle name="40% - Accent3 5 4 2 5" xfId="15073"/>
    <cellStyle name="40% - Accent3 5 4 2 6" xfId="15074"/>
    <cellStyle name="40% - Accent3 5 4 2 7" xfId="15075"/>
    <cellStyle name="40% - Accent3 5 4 3" xfId="15076"/>
    <cellStyle name="40% - Accent3 5 4 3 2" xfId="15077"/>
    <cellStyle name="40% - Accent3 5 4 3 3" xfId="15078"/>
    <cellStyle name="40% - Accent3 5 4 3 4" xfId="15079"/>
    <cellStyle name="40% - Accent3 5 4 3 5" xfId="15080"/>
    <cellStyle name="40% - Accent3 5 4 3 6" xfId="15081"/>
    <cellStyle name="40% - Accent3 5 4 4" xfId="15082"/>
    <cellStyle name="40% - Accent3 5 4 5" xfId="15083"/>
    <cellStyle name="40% - Accent3 5 4 6" xfId="15084"/>
    <cellStyle name="40% - Accent3 5 4 7" xfId="15085"/>
    <cellStyle name="40% - Accent3 5 4 8" xfId="15086"/>
    <cellStyle name="40% - Accent3 5 4 9" xfId="15087"/>
    <cellStyle name="40% - Accent3 5 5" xfId="15088"/>
    <cellStyle name="40% - Accent3 5 5 2" xfId="15089"/>
    <cellStyle name="40% - Accent3 5 5 2 2" xfId="15090"/>
    <cellStyle name="40% - Accent3 5 5 2 3" xfId="15091"/>
    <cellStyle name="40% - Accent3 5 5 2 4" xfId="15092"/>
    <cellStyle name="40% - Accent3 5 5 2 5" xfId="15093"/>
    <cellStyle name="40% - Accent3 5 5 2 6" xfId="15094"/>
    <cellStyle name="40% - Accent3 5 5 2 7" xfId="15095"/>
    <cellStyle name="40% - Accent3 5 5 3" xfId="15096"/>
    <cellStyle name="40% - Accent3 5 5 3 2" xfId="15097"/>
    <cellStyle name="40% - Accent3 5 5 3 3" xfId="15098"/>
    <cellStyle name="40% - Accent3 5 5 3 4" xfId="15099"/>
    <cellStyle name="40% - Accent3 5 5 3 5" xfId="15100"/>
    <cellStyle name="40% - Accent3 5 5 3 6" xfId="15101"/>
    <cellStyle name="40% - Accent3 5 5 4" xfId="15102"/>
    <cellStyle name="40% - Accent3 5 5 5" xfId="15103"/>
    <cellStyle name="40% - Accent3 5 5 6" xfId="15104"/>
    <cellStyle name="40% - Accent3 5 5 7" xfId="15105"/>
    <cellStyle name="40% - Accent3 5 5 8" xfId="15106"/>
    <cellStyle name="40% - Accent3 5 5 9" xfId="15107"/>
    <cellStyle name="40% - Accent3 5 6" xfId="15108"/>
    <cellStyle name="40% - Accent3 5 6 2" xfId="15109"/>
    <cellStyle name="40% - Accent3 5 6 2 2" xfId="15110"/>
    <cellStyle name="40% - Accent3 5 6 2 3" xfId="15111"/>
    <cellStyle name="40% - Accent3 5 6 2 4" xfId="15112"/>
    <cellStyle name="40% - Accent3 5 6 2 5" xfId="15113"/>
    <cellStyle name="40% - Accent3 5 6 2 6" xfId="15114"/>
    <cellStyle name="40% - Accent3 5 6 2 7" xfId="15115"/>
    <cellStyle name="40% - Accent3 5 6 3" xfId="15116"/>
    <cellStyle name="40% - Accent3 5 6 3 2" xfId="15117"/>
    <cellStyle name="40% - Accent3 5 6 3 3" xfId="15118"/>
    <cellStyle name="40% - Accent3 5 6 3 4" xfId="15119"/>
    <cellStyle name="40% - Accent3 5 6 3 5" xfId="15120"/>
    <cellStyle name="40% - Accent3 5 6 3 6" xfId="15121"/>
    <cellStyle name="40% - Accent3 5 6 4" xfId="15122"/>
    <cellStyle name="40% - Accent3 5 6 5" xfId="15123"/>
    <cellStyle name="40% - Accent3 5 6 6" xfId="15124"/>
    <cellStyle name="40% - Accent3 5 6 7" xfId="15125"/>
    <cellStyle name="40% - Accent3 5 6 8" xfId="15126"/>
    <cellStyle name="40% - Accent3 5 6 9" xfId="15127"/>
    <cellStyle name="40% - Accent3 5 7" xfId="15128"/>
    <cellStyle name="40% - Accent3 5 7 2" xfId="15129"/>
    <cellStyle name="40% - Accent3 5 7 2 2" xfId="15130"/>
    <cellStyle name="40% - Accent3 5 7 2 3" xfId="15131"/>
    <cellStyle name="40% - Accent3 5 7 2 4" xfId="15132"/>
    <cellStyle name="40% - Accent3 5 7 2 5" xfId="15133"/>
    <cellStyle name="40% - Accent3 5 7 2 6" xfId="15134"/>
    <cellStyle name="40% - Accent3 5 7 2 7" xfId="15135"/>
    <cellStyle name="40% - Accent3 5 7 3" xfId="15136"/>
    <cellStyle name="40% - Accent3 5 7 3 2" xfId="15137"/>
    <cellStyle name="40% - Accent3 5 7 3 3" xfId="15138"/>
    <cellStyle name="40% - Accent3 5 7 3 4" xfId="15139"/>
    <cellStyle name="40% - Accent3 5 7 3 5" xfId="15140"/>
    <cellStyle name="40% - Accent3 5 7 3 6" xfId="15141"/>
    <cellStyle name="40% - Accent3 5 7 4" xfId="15142"/>
    <cellStyle name="40% - Accent3 5 7 5" xfId="15143"/>
    <cellStyle name="40% - Accent3 5 7 6" xfId="15144"/>
    <cellStyle name="40% - Accent3 5 7 7" xfId="15145"/>
    <cellStyle name="40% - Accent3 5 7 8" xfId="15146"/>
    <cellStyle name="40% - Accent3 5 7 9" xfId="15147"/>
    <cellStyle name="40% - Accent3 5 8" xfId="15148"/>
    <cellStyle name="40% - Accent3 5 8 2" xfId="15149"/>
    <cellStyle name="40% - Accent3 5 8 2 2" xfId="15150"/>
    <cellStyle name="40% - Accent3 5 8 2 3" xfId="15151"/>
    <cellStyle name="40% - Accent3 5 8 2 4" xfId="15152"/>
    <cellStyle name="40% - Accent3 5 8 2 5" xfId="15153"/>
    <cellStyle name="40% - Accent3 5 8 2 6" xfId="15154"/>
    <cellStyle name="40% - Accent3 5 8 2 7" xfId="15155"/>
    <cellStyle name="40% - Accent3 5 8 3" xfId="15156"/>
    <cellStyle name="40% - Accent3 5 8 3 2" xfId="15157"/>
    <cellStyle name="40% - Accent3 5 8 3 3" xfId="15158"/>
    <cellStyle name="40% - Accent3 5 8 3 4" xfId="15159"/>
    <cellStyle name="40% - Accent3 5 8 3 5" xfId="15160"/>
    <cellStyle name="40% - Accent3 5 8 3 6" xfId="15161"/>
    <cellStyle name="40% - Accent3 5 8 4" xfId="15162"/>
    <cellStyle name="40% - Accent3 5 8 5" xfId="15163"/>
    <cellStyle name="40% - Accent3 5 8 6" xfId="15164"/>
    <cellStyle name="40% - Accent3 5 8 7" xfId="15165"/>
    <cellStyle name="40% - Accent3 5 8 8" xfId="15166"/>
    <cellStyle name="40% - Accent3 5 8 9" xfId="15167"/>
    <cellStyle name="40% - Accent3 5 9" xfId="15168"/>
    <cellStyle name="40% - Accent3 5 9 2" xfId="15169"/>
    <cellStyle name="40% - Accent3 5 9 2 2" xfId="15170"/>
    <cellStyle name="40% - Accent3 5 9 2 3" xfId="15171"/>
    <cellStyle name="40% - Accent3 5 9 2 4" xfId="15172"/>
    <cellStyle name="40% - Accent3 5 9 2 5" xfId="15173"/>
    <cellStyle name="40% - Accent3 5 9 2 6" xfId="15174"/>
    <cellStyle name="40% - Accent3 5 9 3" xfId="15175"/>
    <cellStyle name="40% - Accent3 5 9 4" xfId="15176"/>
    <cellStyle name="40% - Accent3 5 9 5" xfId="15177"/>
    <cellStyle name="40% - Accent3 5 9 6" xfId="15178"/>
    <cellStyle name="40% - Accent3 5 9 7" xfId="15179"/>
    <cellStyle name="40% - Accent3 5 9 8" xfId="15180"/>
    <cellStyle name="40% - Accent3 6" xfId="15181"/>
    <cellStyle name="40% - Accent3 6 10" xfId="15182"/>
    <cellStyle name="40% - Accent3 6 10 2" xfId="15183"/>
    <cellStyle name="40% - Accent3 6 10 3" xfId="15184"/>
    <cellStyle name="40% - Accent3 6 10 4" xfId="15185"/>
    <cellStyle name="40% - Accent3 6 10 5" xfId="15186"/>
    <cellStyle name="40% - Accent3 6 10 6" xfId="15187"/>
    <cellStyle name="40% - Accent3 6 10 7" xfId="15188"/>
    <cellStyle name="40% - Accent3 6 11" xfId="15189"/>
    <cellStyle name="40% - Accent3 6 11 2" xfId="15190"/>
    <cellStyle name="40% - Accent3 6 11 3" xfId="15191"/>
    <cellStyle name="40% - Accent3 6 11 4" xfId="15192"/>
    <cellStyle name="40% - Accent3 6 11 5" xfId="15193"/>
    <cellStyle name="40% - Accent3 6 11 6" xfId="15194"/>
    <cellStyle name="40% - Accent3 6 12" xfId="15195"/>
    <cellStyle name="40% - Accent3 6 12 2" xfId="15196"/>
    <cellStyle name="40% - Accent3 6 13" xfId="15197"/>
    <cellStyle name="40% - Accent3 6 14" xfId="15198"/>
    <cellStyle name="40% - Accent3 6 15" xfId="15199"/>
    <cellStyle name="40% - Accent3 6 16" xfId="15200"/>
    <cellStyle name="40% - Accent3 6 17" xfId="15201"/>
    <cellStyle name="40% - Accent3 6 2" xfId="15202"/>
    <cellStyle name="40% - Accent3 6 2 2" xfId="15203"/>
    <cellStyle name="40% - Accent3 6 2 2 2" xfId="15204"/>
    <cellStyle name="40% - Accent3 6 2 2 3" xfId="15205"/>
    <cellStyle name="40% - Accent3 6 2 2 4" xfId="15206"/>
    <cellStyle name="40% - Accent3 6 2 2 5" xfId="15207"/>
    <cellStyle name="40% - Accent3 6 2 2 6" xfId="15208"/>
    <cellStyle name="40% - Accent3 6 2 2 7" xfId="15209"/>
    <cellStyle name="40% - Accent3 6 2 3" xfId="15210"/>
    <cellStyle name="40% - Accent3 6 2 3 2" xfId="15211"/>
    <cellStyle name="40% - Accent3 6 2 3 3" xfId="15212"/>
    <cellStyle name="40% - Accent3 6 2 3 4" xfId="15213"/>
    <cellStyle name="40% - Accent3 6 2 3 5" xfId="15214"/>
    <cellStyle name="40% - Accent3 6 2 3 6" xfId="15215"/>
    <cellStyle name="40% - Accent3 6 2 4" xfId="15216"/>
    <cellStyle name="40% - Accent3 6 2 4 2" xfId="15217"/>
    <cellStyle name="40% - Accent3 6 2 5" xfId="15218"/>
    <cellStyle name="40% - Accent3 6 2 6" xfId="15219"/>
    <cellStyle name="40% - Accent3 6 2 7" xfId="15220"/>
    <cellStyle name="40% - Accent3 6 2 8" xfId="15221"/>
    <cellStyle name="40% - Accent3 6 2 9" xfId="15222"/>
    <cellStyle name="40% - Accent3 6 3" xfId="15223"/>
    <cellStyle name="40% - Accent3 6 3 2" xfId="15224"/>
    <cellStyle name="40% - Accent3 6 3 2 2" xfId="15225"/>
    <cellStyle name="40% - Accent3 6 3 2 3" xfId="15226"/>
    <cellStyle name="40% - Accent3 6 3 2 4" xfId="15227"/>
    <cellStyle name="40% - Accent3 6 3 2 5" xfId="15228"/>
    <cellStyle name="40% - Accent3 6 3 2 6" xfId="15229"/>
    <cellStyle name="40% - Accent3 6 3 2 7" xfId="15230"/>
    <cellStyle name="40% - Accent3 6 3 3" xfId="15231"/>
    <cellStyle name="40% - Accent3 6 3 3 2" xfId="15232"/>
    <cellStyle name="40% - Accent3 6 3 3 3" xfId="15233"/>
    <cellStyle name="40% - Accent3 6 3 3 4" xfId="15234"/>
    <cellStyle name="40% - Accent3 6 3 3 5" xfId="15235"/>
    <cellStyle name="40% - Accent3 6 3 3 6" xfId="15236"/>
    <cellStyle name="40% - Accent3 6 3 4" xfId="15237"/>
    <cellStyle name="40% - Accent3 6 3 4 2" xfId="15238"/>
    <cellStyle name="40% - Accent3 6 3 5" xfId="15239"/>
    <cellStyle name="40% - Accent3 6 3 6" xfId="15240"/>
    <cellStyle name="40% - Accent3 6 3 7" xfId="15241"/>
    <cellStyle name="40% - Accent3 6 3 8" xfId="15242"/>
    <cellStyle name="40% - Accent3 6 3 9" xfId="15243"/>
    <cellStyle name="40% - Accent3 6 4" xfId="15244"/>
    <cellStyle name="40% - Accent3 6 4 2" xfId="15245"/>
    <cellStyle name="40% - Accent3 6 4 2 2" xfId="15246"/>
    <cellStyle name="40% - Accent3 6 4 2 3" xfId="15247"/>
    <cellStyle name="40% - Accent3 6 4 2 4" xfId="15248"/>
    <cellStyle name="40% - Accent3 6 4 2 5" xfId="15249"/>
    <cellStyle name="40% - Accent3 6 4 2 6" xfId="15250"/>
    <cellStyle name="40% - Accent3 6 4 2 7" xfId="15251"/>
    <cellStyle name="40% - Accent3 6 4 3" xfId="15252"/>
    <cellStyle name="40% - Accent3 6 4 3 2" xfId="15253"/>
    <cellStyle name="40% - Accent3 6 4 3 3" xfId="15254"/>
    <cellStyle name="40% - Accent3 6 4 3 4" xfId="15255"/>
    <cellStyle name="40% - Accent3 6 4 3 5" xfId="15256"/>
    <cellStyle name="40% - Accent3 6 4 3 6" xfId="15257"/>
    <cellStyle name="40% - Accent3 6 4 4" xfId="15258"/>
    <cellStyle name="40% - Accent3 6 4 5" xfId="15259"/>
    <cellStyle name="40% - Accent3 6 4 6" xfId="15260"/>
    <cellStyle name="40% - Accent3 6 4 7" xfId="15261"/>
    <cellStyle name="40% - Accent3 6 4 8" xfId="15262"/>
    <cellStyle name="40% - Accent3 6 4 9" xfId="15263"/>
    <cellStyle name="40% - Accent3 6 5" xfId="15264"/>
    <cellStyle name="40% - Accent3 6 5 2" xfId="15265"/>
    <cellStyle name="40% - Accent3 6 5 2 2" xfId="15266"/>
    <cellStyle name="40% - Accent3 6 5 2 3" xfId="15267"/>
    <cellStyle name="40% - Accent3 6 5 2 4" xfId="15268"/>
    <cellStyle name="40% - Accent3 6 5 2 5" xfId="15269"/>
    <cellStyle name="40% - Accent3 6 5 2 6" xfId="15270"/>
    <cellStyle name="40% - Accent3 6 5 2 7" xfId="15271"/>
    <cellStyle name="40% - Accent3 6 5 3" xfId="15272"/>
    <cellStyle name="40% - Accent3 6 5 3 2" xfId="15273"/>
    <cellStyle name="40% - Accent3 6 5 3 3" xfId="15274"/>
    <cellStyle name="40% - Accent3 6 5 3 4" xfId="15275"/>
    <cellStyle name="40% - Accent3 6 5 3 5" xfId="15276"/>
    <cellStyle name="40% - Accent3 6 5 3 6" xfId="15277"/>
    <cellStyle name="40% - Accent3 6 5 4" xfId="15278"/>
    <cellStyle name="40% - Accent3 6 5 5" xfId="15279"/>
    <cellStyle name="40% - Accent3 6 5 6" xfId="15280"/>
    <cellStyle name="40% - Accent3 6 5 7" xfId="15281"/>
    <cellStyle name="40% - Accent3 6 5 8" xfId="15282"/>
    <cellStyle name="40% - Accent3 6 5 9" xfId="15283"/>
    <cellStyle name="40% - Accent3 6 6" xfId="15284"/>
    <cellStyle name="40% - Accent3 6 6 2" xfId="15285"/>
    <cellStyle name="40% - Accent3 6 6 2 2" xfId="15286"/>
    <cellStyle name="40% - Accent3 6 6 2 3" xfId="15287"/>
    <cellStyle name="40% - Accent3 6 6 2 4" xfId="15288"/>
    <cellStyle name="40% - Accent3 6 6 2 5" xfId="15289"/>
    <cellStyle name="40% - Accent3 6 6 2 6" xfId="15290"/>
    <cellStyle name="40% - Accent3 6 6 2 7" xfId="15291"/>
    <cellStyle name="40% - Accent3 6 6 3" xfId="15292"/>
    <cellStyle name="40% - Accent3 6 6 3 2" xfId="15293"/>
    <cellStyle name="40% - Accent3 6 6 3 3" xfId="15294"/>
    <cellStyle name="40% - Accent3 6 6 3 4" xfId="15295"/>
    <cellStyle name="40% - Accent3 6 6 3 5" xfId="15296"/>
    <cellStyle name="40% - Accent3 6 6 3 6" xfId="15297"/>
    <cellStyle name="40% - Accent3 6 6 4" xfId="15298"/>
    <cellStyle name="40% - Accent3 6 6 5" xfId="15299"/>
    <cellStyle name="40% - Accent3 6 6 6" xfId="15300"/>
    <cellStyle name="40% - Accent3 6 6 7" xfId="15301"/>
    <cellStyle name="40% - Accent3 6 6 8" xfId="15302"/>
    <cellStyle name="40% - Accent3 6 6 9" xfId="15303"/>
    <cellStyle name="40% - Accent3 6 7" xfId="15304"/>
    <cellStyle name="40% - Accent3 6 7 2" xfId="15305"/>
    <cellStyle name="40% - Accent3 6 7 2 2" xfId="15306"/>
    <cellStyle name="40% - Accent3 6 7 2 3" xfId="15307"/>
    <cellStyle name="40% - Accent3 6 7 2 4" xfId="15308"/>
    <cellStyle name="40% - Accent3 6 7 2 5" xfId="15309"/>
    <cellStyle name="40% - Accent3 6 7 2 6" xfId="15310"/>
    <cellStyle name="40% - Accent3 6 7 2 7" xfId="15311"/>
    <cellStyle name="40% - Accent3 6 7 3" xfId="15312"/>
    <cellStyle name="40% - Accent3 6 7 3 2" xfId="15313"/>
    <cellStyle name="40% - Accent3 6 7 3 3" xfId="15314"/>
    <cellStyle name="40% - Accent3 6 7 3 4" xfId="15315"/>
    <cellStyle name="40% - Accent3 6 7 3 5" xfId="15316"/>
    <cellStyle name="40% - Accent3 6 7 3 6" xfId="15317"/>
    <cellStyle name="40% - Accent3 6 7 4" xfId="15318"/>
    <cellStyle name="40% - Accent3 6 7 5" xfId="15319"/>
    <cellStyle name="40% - Accent3 6 7 6" xfId="15320"/>
    <cellStyle name="40% - Accent3 6 7 7" xfId="15321"/>
    <cellStyle name="40% - Accent3 6 7 8" xfId="15322"/>
    <cellStyle name="40% - Accent3 6 7 9" xfId="15323"/>
    <cellStyle name="40% - Accent3 6 8" xfId="15324"/>
    <cellStyle name="40% - Accent3 6 8 2" xfId="15325"/>
    <cellStyle name="40% - Accent3 6 8 2 2" xfId="15326"/>
    <cellStyle name="40% - Accent3 6 8 2 3" xfId="15327"/>
    <cellStyle name="40% - Accent3 6 8 2 4" xfId="15328"/>
    <cellStyle name="40% - Accent3 6 8 2 5" xfId="15329"/>
    <cellStyle name="40% - Accent3 6 8 2 6" xfId="15330"/>
    <cellStyle name="40% - Accent3 6 8 2 7" xfId="15331"/>
    <cellStyle name="40% - Accent3 6 8 3" xfId="15332"/>
    <cellStyle name="40% - Accent3 6 8 3 2" xfId="15333"/>
    <cellStyle name="40% - Accent3 6 8 3 3" xfId="15334"/>
    <cellStyle name="40% - Accent3 6 8 3 4" xfId="15335"/>
    <cellStyle name="40% - Accent3 6 8 3 5" xfId="15336"/>
    <cellStyle name="40% - Accent3 6 8 3 6" xfId="15337"/>
    <cellStyle name="40% - Accent3 6 8 4" xfId="15338"/>
    <cellStyle name="40% - Accent3 6 8 5" xfId="15339"/>
    <cellStyle name="40% - Accent3 6 8 6" xfId="15340"/>
    <cellStyle name="40% - Accent3 6 8 7" xfId="15341"/>
    <cellStyle name="40% - Accent3 6 8 8" xfId="15342"/>
    <cellStyle name="40% - Accent3 6 8 9" xfId="15343"/>
    <cellStyle name="40% - Accent3 6 9" xfId="15344"/>
    <cellStyle name="40% - Accent3 6 9 2" xfId="15345"/>
    <cellStyle name="40% - Accent3 6 9 2 2" xfId="15346"/>
    <cellStyle name="40% - Accent3 6 9 2 3" xfId="15347"/>
    <cellStyle name="40% - Accent3 6 9 2 4" xfId="15348"/>
    <cellStyle name="40% - Accent3 6 9 2 5" xfId="15349"/>
    <cellStyle name="40% - Accent3 6 9 2 6" xfId="15350"/>
    <cellStyle name="40% - Accent3 6 9 3" xfId="15351"/>
    <cellStyle name="40% - Accent3 6 9 4" xfId="15352"/>
    <cellStyle name="40% - Accent3 6 9 5" xfId="15353"/>
    <cellStyle name="40% - Accent3 6 9 6" xfId="15354"/>
    <cellStyle name="40% - Accent3 6 9 7" xfId="15355"/>
    <cellStyle name="40% - Accent3 6 9 8" xfId="15356"/>
    <cellStyle name="40% - Accent3 7" xfId="15357"/>
    <cellStyle name="40% - Accent3 7 10" xfId="15358"/>
    <cellStyle name="40% - Accent3 7 10 2" xfId="15359"/>
    <cellStyle name="40% - Accent3 7 10 3" xfId="15360"/>
    <cellStyle name="40% - Accent3 7 10 4" xfId="15361"/>
    <cellStyle name="40% - Accent3 7 10 5" xfId="15362"/>
    <cellStyle name="40% - Accent3 7 10 6" xfId="15363"/>
    <cellStyle name="40% - Accent3 7 10 7" xfId="15364"/>
    <cellStyle name="40% - Accent3 7 11" xfId="15365"/>
    <cellStyle name="40% - Accent3 7 11 2" xfId="15366"/>
    <cellStyle name="40% - Accent3 7 11 3" xfId="15367"/>
    <cellStyle name="40% - Accent3 7 11 4" xfId="15368"/>
    <cellStyle name="40% - Accent3 7 11 5" xfId="15369"/>
    <cellStyle name="40% - Accent3 7 11 6" xfId="15370"/>
    <cellStyle name="40% - Accent3 7 12" xfId="15371"/>
    <cellStyle name="40% - Accent3 7 12 2" xfId="15372"/>
    <cellStyle name="40% - Accent3 7 13" xfId="15373"/>
    <cellStyle name="40% - Accent3 7 14" xfId="15374"/>
    <cellStyle name="40% - Accent3 7 15" xfId="15375"/>
    <cellStyle name="40% - Accent3 7 16" xfId="15376"/>
    <cellStyle name="40% - Accent3 7 17" xfId="15377"/>
    <cellStyle name="40% - Accent3 7 2" xfId="15378"/>
    <cellStyle name="40% - Accent3 7 2 2" xfId="15379"/>
    <cellStyle name="40% - Accent3 7 2 2 2" xfId="15380"/>
    <cellStyle name="40% - Accent3 7 2 2 3" xfId="15381"/>
    <cellStyle name="40% - Accent3 7 2 2 4" xfId="15382"/>
    <cellStyle name="40% - Accent3 7 2 2 5" xfId="15383"/>
    <cellStyle name="40% - Accent3 7 2 2 6" xfId="15384"/>
    <cellStyle name="40% - Accent3 7 2 2 7" xfId="15385"/>
    <cellStyle name="40% - Accent3 7 2 3" xfId="15386"/>
    <cellStyle name="40% - Accent3 7 2 3 2" xfId="15387"/>
    <cellStyle name="40% - Accent3 7 2 3 3" xfId="15388"/>
    <cellStyle name="40% - Accent3 7 2 3 4" xfId="15389"/>
    <cellStyle name="40% - Accent3 7 2 3 5" xfId="15390"/>
    <cellStyle name="40% - Accent3 7 2 3 6" xfId="15391"/>
    <cellStyle name="40% - Accent3 7 2 4" xfId="15392"/>
    <cellStyle name="40% - Accent3 7 2 4 2" xfId="15393"/>
    <cellStyle name="40% - Accent3 7 2 5" xfId="15394"/>
    <cellStyle name="40% - Accent3 7 2 6" xfId="15395"/>
    <cellStyle name="40% - Accent3 7 2 7" xfId="15396"/>
    <cellStyle name="40% - Accent3 7 2 8" xfId="15397"/>
    <cellStyle name="40% - Accent3 7 2 9" xfId="15398"/>
    <cellStyle name="40% - Accent3 7 3" xfId="15399"/>
    <cellStyle name="40% - Accent3 7 3 2" xfId="15400"/>
    <cellStyle name="40% - Accent3 7 3 2 2" xfId="15401"/>
    <cellStyle name="40% - Accent3 7 3 2 3" xfId="15402"/>
    <cellStyle name="40% - Accent3 7 3 2 4" xfId="15403"/>
    <cellStyle name="40% - Accent3 7 3 2 5" xfId="15404"/>
    <cellStyle name="40% - Accent3 7 3 2 6" xfId="15405"/>
    <cellStyle name="40% - Accent3 7 3 2 7" xfId="15406"/>
    <cellStyle name="40% - Accent3 7 3 3" xfId="15407"/>
    <cellStyle name="40% - Accent3 7 3 3 2" xfId="15408"/>
    <cellStyle name="40% - Accent3 7 3 3 3" xfId="15409"/>
    <cellStyle name="40% - Accent3 7 3 3 4" xfId="15410"/>
    <cellStyle name="40% - Accent3 7 3 3 5" xfId="15411"/>
    <cellStyle name="40% - Accent3 7 3 3 6" xfId="15412"/>
    <cellStyle name="40% - Accent3 7 3 4" xfId="15413"/>
    <cellStyle name="40% - Accent3 7 3 4 2" xfId="15414"/>
    <cellStyle name="40% - Accent3 7 3 5" xfId="15415"/>
    <cellStyle name="40% - Accent3 7 3 6" xfId="15416"/>
    <cellStyle name="40% - Accent3 7 3 7" xfId="15417"/>
    <cellStyle name="40% - Accent3 7 3 8" xfId="15418"/>
    <cellStyle name="40% - Accent3 7 3 9" xfId="15419"/>
    <cellStyle name="40% - Accent3 7 4" xfId="15420"/>
    <cellStyle name="40% - Accent3 7 4 2" xfId="15421"/>
    <cellStyle name="40% - Accent3 7 4 2 2" xfId="15422"/>
    <cellStyle name="40% - Accent3 7 4 2 3" xfId="15423"/>
    <cellStyle name="40% - Accent3 7 4 2 4" xfId="15424"/>
    <cellStyle name="40% - Accent3 7 4 2 5" xfId="15425"/>
    <cellStyle name="40% - Accent3 7 4 2 6" xfId="15426"/>
    <cellStyle name="40% - Accent3 7 4 2 7" xfId="15427"/>
    <cellStyle name="40% - Accent3 7 4 3" xfId="15428"/>
    <cellStyle name="40% - Accent3 7 4 3 2" xfId="15429"/>
    <cellStyle name="40% - Accent3 7 4 3 3" xfId="15430"/>
    <cellStyle name="40% - Accent3 7 4 3 4" xfId="15431"/>
    <cellStyle name="40% - Accent3 7 4 3 5" xfId="15432"/>
    <cellStyle name="40% - Accent3 7 4 3 6" xfId="15433"/>
    <cellStyle name="40% - Accent3 7 4 4" xfId="15434"/>
    <cellStyle name="40% - Accent3 7 4 5" xfId="15435"/>
    <cellStyle name="40% - Accent3 7 4 6" xfId="15436"/>
    <cellStyle name="40% - Accent3 7 4 7" xfId="15437"/>
    <cellStyle name="40% - Accent3 7 4 8" xfId="15438"/>
    <cellStyle name="40% - Accent3 7 4 9" xfId="15439"/>
    <cellStyle name="40% - Accent3 7 5" xfId="15440"/>
    <cellStyle name="40% - Accent3 7 5 2" xfId="15441"/>
    <cellStyle name="40% - Accent3 7 5 2 2" xfId="15442"/>
    <cellStyle name="40% - Accent3 7 5 2 3" xfId="15443"/>
    <cellStyle name="40% - Accent3 7 5 2 4" xfId="15444"/>
    <cellStyle name="40% - Accent3 7 5 2 5" xfId="15445"/>
    <cellStyle name="40% - Accent3 7 5 2 6" xfId="15446"/>
    <cellStyle name="40% - Accent3 7 5 2 7" xfId="15447"/>
    <cellStyle name="40% - Accent3 7 5 3" xfId="15448"/>
    <cellStyle name="40% - Accent3 7 5 3 2" xfId="15449"/>
    <cellStyle name="40% - Accent3 7 5 3 3" xfId="15450"/>
    <cellStyle name="40% - Accent3 7 5 3 4" xfId="15451"/>
    <cellStyle name="40% - Accent3 7 5 3 5" xfId="15452"/>
    <cellStyle name="40% - Accent3 7 5 3 6" xfId="15453"/>
    <cellStyle name="40% - Accent3 7 5 4" xfId="15454"/>
    <cellStyle name="40% - Accent3 7 5 5" xfId="15455"/>
    <cellStyle name="40% - Accent3 7 5 6" xfId="15456"/>
    <cellStyle name="40% - Accent3 7 5 7" xfId="15457"/>
    <cellStyle name="40% - Accent3 7 5 8" xfId="15458"/>
    <cellStyle name="40% - Accent3 7 5 9" xfId="15459"/>
    <cellStyle name="40% - Accent3 7 6" xfId="15460"/>
    <cellStyle name="40% - Accent3 7 6 2" xfId="15461"/>
    <cellStyle name="40% - Accent3 7 6 2 2" xfId="15462"/>
    <cellStyle name="40% - Accent3 7 6 2 3" xfId="15463"/>
    <cellStyle name="40% - Accent3 7 6 2 4" xfId="15464"/>
    <cellStyle name="40% - Accent3 7 6 2 5" xfId="15465"/>
    <cellStyle name="40% - Accent3 7 6 2 6" xfId="15466"/>
    <cellStyle name="40% - Accent3 7 6 2 7" xfId="15467"/>
    <cellStyle name="40% - Accent3 7 6 3" xfId="15468"/>
    <cellStyle name="40% - Accent3 7 6 3 2" xfId="15469"/>
    <cellStyle name="40% - Accent3 7 6 3 3" xfId="15470"/>
    <cellStyle name="40% - Accent3 7 6 3 4" xfId="15471"/>
    <cellStyle name="40% - Accent3 7 6 3 5" xfId="15472"/>
    <cellStyle name="40% - Accent3 7 6 3 6" xfId="15473"/>
    <cellStyle name="40% - Accent3 7 6 4" xfId="15474"/>
    <cellStyle name="40% - Accent3 7 6 5" xfId="15475"/>
    <cellStyle name="40% - Accent3 7 6 6" xfId="15476"/>
    <cellStyle name="40% - Accent3 7 6 7" xfId="15477"/>
    <cellStyle name="40% - Accent3 7 6 8" xfId="15478"/>
    <cellStyle name="40% - Accent3 7 6 9" xfId="15479"/>
    <cellStyle name="40% - Accent3 7 7" xfId="15480"/>
    <cellStyle name="40% - Accent3 7 7 2" xfId="15481"/>
    <cellStyle name="40% - Accent3 7 7 2 2" xfId="15482"/>
    <cellStyle name="40% - Accent3 7 7 2 3" xfId="15483"/>
    <cellStyle name="40% - Accent3 7 7 2 4" xfId="15484"/>
    <cellStyle name="40% - Accent3 7 7 2 5" xfId="15485"/>
    <cellStyle name="40% - Accent3 7 7 2 6" xfId="15486"/>
    <cellStyle name="40% - Accent3 7 7 2 7" xfId="15487"/>
    <cellStyle name="40% - Accent3 7 7 3" xfId="15488"/>
    <cellStyle name="40% - Accent3 7 7 3 2" xfId="15489"/>
    <cellStyle name="40% - Accent3 7 7 3 3" xfId="15490"/>
    <cellStyle name="40% - Accent3 7 7 3 4" xfId="15491"/>
    <cellStyle name="40% - Accent3 7 7 3 5" xfId="15492"/>
    <cellStyle name="40% - Accent3 7 7 3 6" xfId="15493"/>
    <cellStyle name="40% - Accent3 7 7 4" xfId="15494"/>
    <cellStyle name="40% - Accent3 7 7 5" xfId="15495"/>
    <cellStyle name="40% - Accent3 7 7 6" xfId="15496"/>
    <cellStyle name="40% - Accent3 7 7 7" xfId="15497"/>
    <cellStyle name="40% - Accent3 7 7 8" xfId="15498"/>
    <cellStyle name="40% - Accent3 7 7 9" xfId="15499"/>
    <cellStyle name="40% - Accent3 7 8" xfId="15500"/>
    <cellStyle name="40% - Accent3 7 8 2" xfId="15501"/>
    <cellStyle name="40% - Accent3 7 8 2 2" xfId="15502"/>
    <cellStyle name="40% - Accent3 7 8 2 3" xfId="15503"/>
    <cellStyle name="40% - Accent3 7 8 2 4" xfId="15504"/>
    <cellStyle name="40% - Accent3 7 8 2 5" xfId="15505"/>
    <cellStyle name="40% - Accent3 7 8 2 6" xfId="15506"/>
    <cellStyle name="40% - Accent3 7 8 2 7" xfId="15507"/>
    <cellStyle name="40% - Accent3 7 8 3" xfId="15508"/>
    <cellStyle name="40% - Accent3 7 8 3 2" xfId="15509"/>
    <cellStyle name="40% - Accent3 7 8 3 3" xfId="15510"/>
    <cellStyle name="40% - Accent3 7 8 3 4" xfId="15511"/>
    <cellStyle name="40% - Accent3 7 8 3 5" xfId="15512"/>
    <cellStyle name="40% - Accent3 7 8 3 6" xfId="15513"/>
    <cellStyle name="40% - Accent3 7 8 4" xfId="15514"/>
    <cellStyle name="40% - Accent3 7 8 5" xfId="15515"/>
    <cellStyle name="40% - Accent3 7 8 6" xfId="15516"/>
    <cellStyle name="40% - Accent3 7 8 7" xfId="15517"/>
    <cellStyle name="40% - Accent3 7 8 8" xfId="15518"/>
    <cellStyle name="40% - Accent3 7 8 9" xfId="15519"/>
    <cellStyle name="40% - Accent3 7 9" xfId="15520"/>
    <cellStyle name="40% - Accent3 7 9 2" xfId="15521"/>
    <cellStyle name="40% - Accent3 7 9 2 2" xfId="15522"/>
    <cellStyle name="40% - Accent3 7 9 2 3" xfId="15523"/>
    <cellStyle name="40% - Accent3 7 9 2 4" xfId="15524"/>
    <cellStyle name="40% - Accent3 7 9 2 5" xfId="15525"/>
    <cellStyle name="40% - Accent3 7 9 2 6" xfId="15526"/>
    <cellStyle name="40% - Accent3 7 9 3" xfId="15527"/>
    <cellStyle name="40% - Accent3 7 9 4" xfId="15528"/>
    <cellStyle name="40% - Accent3 7 9 5" xfId="15529"/>
    <cellStyle name="40% - Accent3 7 9 6" xfId="15530"/>
    <cellStyle name="40% - Accent3 7 9 7" xfId="15531"/>
    <cellStyle name="40% - Accent3 7 9 8" xfId="15532"/>
    <cellStyle name="40% - Accent3 8" xfId="15533"/>
    <cellStyle name="40% - Accent3 8 10" xfId="15534"/>
    <cellStyle name="40% - Accent3 8 10 2" xfId="15535"/>
    <cellStyle name="40% - Accent3 8 10 3" xfId="15536"/>
    <cellStyle name="40% - Accent3 8 10 4" xfId="15537"/>
    <cellStyle name="40% - Accent3 8 10 5" xfId="15538"/>
    <cellStyle name="40% - Accent3 8 10 6" xfId="15539"/>
    <cellStyle name="40% - Accent3 8 10 7" xfId="15540"/>
    <cellStyle name="40% - Accent3 8 11" xfId="15541"/>
    <cellStyle name="40% - Accent3 8 11 2" xfId="15542"/>
    <cellStyle name="40% - Accent3 8 11 3" xfId="15543"/>
    <cellStyle name="40% - Accent3 8 11 4" xfId="15544"/>
    <cellStyle name="40% - Accent3 8 11 5" xfId="15545"/>
    <cellStyle name="40% - Accent3 8 11 6" xfId="15546"/>
    <cellStyle name="40% - Accent3 8 12" xfId="15547"/>
    <cellStyle name="40% - Accent3 8 12 2" xfId="15548"/>
    <cellStyle name="40% - Accent3 8 13" xfId="15549"/>
    <cellStyle name="40% - Accent3 8 14" xfId="15550"/>
    <cellStyle name="40% - Accent3 8 15" xfId="15551"/>
    <cellStyle name="40% - Accent3 8 16" xfId="15552"/>
    <cellStyle name="40% - Accent3 8 17" xfId="15553"/>
    <cellStyle name="40% - Accent3 8 2" xfId="15554"/>
    <cellStyle name="40% - Accent3 8 2 2" xfId="15555"/>
    <cellStyle name="40% - Accent3 8 2 2 2" xfId="15556"/>
    <cellStyle name="40% - Accent3 8 2 2 3" xfId="15557"/>
    <cellStyle name="40% - Accent3 8 2 2 4" xfId="15558"/>
    <cellStyle name="40% - Accent3 8 2 2 5" xfId="15559"/>
    <cellStyle name="40% - Accent3 8 2 2 6" xfId="15560"/>
    <cellStyle name="40% - Accent3 8 2 2 7" xfId="15561"/>
    <cellStyle name="40% - Accent3 8 2 3" xfId="15562"/>
    <cellStyle name="40% - Accent3 8 2 3 2" xfId="15563"/>
    <cellStyle name="40% - Accent3 8 2 3 3" xfId="15564"/>
    <cellStyle name="40% - Accent3 8 2 3 4" xfId="15565"/>
    <cellStyle name="40% - Accent3 8 2 3 5" xfId="15566"/>
    <cellStyle name="40% - Accent3 8 2 3 6" xfId="15567"/>
    <cellStyle name="40% - Accent3 8 2 4" xfId="15568"/>
    <cellStyle name="40% - Accent3 8 2 4 2" xfId="15569"/>
    <cellStyle name="40% - Accent3 8 2 5" xfId="15570"/>
    <cellStyle name="40% - Accent3 8 2 6" xfId="15571"/>
    <cellStyle name="40% - Accent3 8 2 7" xfId="15572"/>
    <cellStyle name="40% - Accent3 8 2 8" xfId="15573"/>
    <cellStyle name="40% - Accent3 8 2 9" xfId="15574"/>
    <cellStyle name="40% - Accent3 8 3" xfId="15575"/>
    <cellStyle name="40% - Accent3 8 3 2" xfId="15576"/>
    <cellStyle name="40% - Accent3 8 3 2 2" xfId="15577"/>
    <cellStyle name="40% - Accent3 8 3 2 3" xfId="15578"/>
    <cellStyle name="40% - Accent3 8 3 2 4" xfId="15579"/>
    <cellStyle name="40% - Accent3 8 3 2 5" xfId="15580"/>
    <cellStyle name="40% - Accent3 8 3 2 6" xfId="15581"/>
    <cellStyle name="40% - Accent3 8 3 2 7" xfId="15582"/>
    <cellStyle name="40% - Accent3 8 3 3" xfId="15583"/>
    <cellStyle name="40% - Accent3 8 3 3 2" xfId="15584"/>
    <cellStyle name="40% - Accent3 8 3 3 3" xfId="15585"/>
    <cellStyle name="40% - Accent3 8 3 3 4" xfId="15586"/>
    <cellStyle name="40% - Accent3 8 3 3 5" xfId="15587"/>
    <cellStyle name="40% - Accent3 8 3 3 6" xfId="15588"/>
    <cellStyle name="40% - Accent3 8 3 4" xfId="15589"/>
    <cellStyle name="40% - Accent3 8 3 4 2" xfId="15590"/>
    <cellStyle name="40% - Accent3 8 3 5" xfId="15591"/>
    <cellStyle name="40% - Accent3 8 3 6" xfId="15592"/>
    <cellStyle name="40% - Accent3 8 3 7" xfId="15593"/>
    <cellStyle name="40% - Accent3 8 3 8" xfId="15594"/>
    <cellStyle name="40% - Accent3 8 3 9" xfId="15595"/>
    <cellStyle name="40% - Accent3 8 4" xfId="15596"/>
    <cellStyle name="40% - Accent3 8 4 2" xfId="15597"/>
    <cellStyle name="40% - Accent3 8 4 2 2" xfId="15598"/>
    <cellStyle name="40% - Accent3 8 4 2 3" xfId="15599"/>
    <cellStyle name="40% - Accent3 8 4 2 4" xfId="15600"/>
    <cellStyle name="40% - Accent3 8 4 2 5" xfId="15601"/>
    <cellStyle name="40% - Accent3 8 4 2 6" xfId="15602"/>
    <cellStyle name="40% - Accent3 8 4 2 7" xfId="15603"/>
    <cellStyle name="40% - Accent3 8 4 3" xfId="15604"/>
    <cellStyle name="40% - Accent3 8 4 3 2" xfId="15605"/>
    <cellStyle name="40% - Accent3 8 4 3 3" xfId="15606"/>
    <cellStyle name="40% - Accent3 8 4 3 4" xfId="15607"/>
    <cellStyle name="40% - Accent3 8 4 3 5" xfId="15608"/>
    <cellStyle name="40% - Accent3 8 4 3 6" xfId="15609"/>
    <cellStyle name="40% - Accent3 8 4 4" xfId="15610"/>
    <cellStyle name="40% - Accent3 8 4 5" xfId="15611"/>
    <cellStyle name="40% - Accent3 8 4 6" xfId="15612"/>
    <cellStyle name="40% - Accent3 8 4 7" xfId="15613"/>
    <cellStyle name="40% - Accent3 8 4 8" xfId="15614"/>
    <cellStyle name="40% - Accent3 8 4 9" xfId="15615"/>
    <cellStyle name="40% - Accent3 8 5" xfId="15616"/>
    <cellStyle name="40% - Accent3 8 5 2" xfId="15617"/>
    <cellStyle name="40% - Accent3 8 5 2 2" xfId="15618"/>
    <cellStyle name="40% - Accent3 8 5 2 3" xfId="15619"/>
    <cellStyle name="40% - Accent3 8 5 2 4" xfId="15620"/>
    <cellStyle name="40% - Accent3 8 5 2 5" xfId="15621"/>
    <cellStyle name="40% - Accent3 8 5 2 6" xfId="15622"/>
    <cellStyle name="40% - Accent3 8 5 2 7" xfId="15623"/>
    <cellStyle name="40% - Accent3 8 5 3" xfId="15624"/>
    <cellStyle name="40% - Accent3 8 5 3 2" xfId="15625"/>
    <cellStyle name="40% - Accent3 8 5 3 3" xfId="15626"/>
    <cellStyle name="40% - Accent3 8 5 3 4" xfId="15627"/>
    <cellStyle name="40% - Accent3 8 5 3 5" xfId="15628"/>
    <cellStyle name="40% - Accent3 8 5 3 6" xfId="15629"/>
    <cellStyle name="40% - Accent3 8 5 4" xfId="15630"/>
    <cellStyle name="40% - Accent3 8 5 5" xfId="15631"/>
    <cellStyle name="40% - Accent3 8 5 6" xfId="15632"/>
    <cellStyle name="40% - Accent3 8 5 7" xfId="15633"/>
    <cellStyle name="40% - Accent3 8 5 8" xfId="15634"/>
    <cellStyle name="40% - Accent3 8 5 9" xfId="15635"/>
    <cellStyle name="40% - Accent3 8 6" xfId="15636"/>
    <cellStyle name="40% - Accent3 8 6 2" xfId="15637"/>
    <cellStyle name="40% - Accent3 8 6 2 2" xfId="15638"/>
    <cellStyle name="40% - Accent3 8 6 2 3" xfId="15639"/>
    <cellStyle name="40% - Accent3 8 6 2 4" xfId="15640"/>
    <cellStyle name="40% - Accent3 8 6 2 5" xfId="15641"/>
    <cellStyle name="40% - Accent3 8 6 2 6" xfId="15642"/>
    <cellStyle name="40% - Accent3 8 6 2 7" xfId="15643"/>
    <cellStyle name="40% - Accent3 8 6 3" xfId="15644"/>
    <cellStyle name="40% - Accent3 8 6 3 2" xfId="15645"/>
    <cellStyle name="40% - Accent3 8 6 3 3" xfId="15646"/>
    <cellStyle name="40% - Accent3 8 6 3 4" xfId="15647"/>
    <cellStyle name="40% - Accent3 8 6 3 5" xfId="15648"/>
    <cellStyle name="40% - Accent3 8 6 3 6" xfId="15649"/>
    <cellStyle name="40% - Accent3 8 6 4" xfId="15650"/>
    <cellStyle name="40% - Accent3 8 6 5" xfId="15651"/>
    <cellStyle name="40% - Accent3 8 6 6" xfId="15652"/>
    <cellStyle name="40% - Accent3 8 6 7" xfId="15653"/>
    <cellStyle name="40% - Accent3 8 6 8" xfId="15654"/>
    <cellStyle name="40% - Accent3 8 6 9" xfId="15655"/>
    <cellStyle name="40% - Accent3 8 7" xfId="15656"/>
    <cellStyle name="40% - Accent3 8 7 2" xfId="15657"/>
    <cellStyle name="40% - Accent3 8 7 2 2" xfId="15658"/>
    <cellStyle name="40% - Accent3 8 7 2 3" xfId="15659"/>
    <cellStyle name="40% - Accent3 8 7 2 4" xfId="15660"/>
    <cellStyle name="40% - Accent3 8 7 2 5" xfId="15661"/>
    <cellStyle name="40% - Accent3 8 7 2 6" xfId="15662"/>
    <cellStyle name="40% - Accent3 8 7 2 7" xfId="15663"/>
    <cellStyle name="40% - Accent3 8 7 3" xfId="15664"/>
    <cellStyle name="40% - Accent3 8 7 3 2" xfId="15665"/>
    <cellStyle name="40% - Accent3 8 7 3 3" xfId="15666"/>
    <cellStyle name="40% - Accent3 8 7 3 4" xfId="15667"/>
    <cellStyle name="40% - Accent3 8 7 3 5" xfId="15668"/>
    <cellStyle name="40% - Accent3 8 7 3 6" xfId="15669"/>
    <cellStyle name="40% - Accent3 8 7 4" xfId="15670"/>
    <cellStyle name="40% - Accent3 8 7 5" xfId="15671"/>
    <cellStyle name="40% - Accent3 8 7 6" xfId="15672"/>
    <cellStyle name="40% - Accent3 8 7 7" xfId="15673"/>
    <cellStyle name="40% - Accent3 8 7 8" xfId="15674"/>
    <cellStyle name="40% - Accent3 8 7 9" xfId="15675"/>
    <cellStyle name="40% - Accent3 8 8" xfId="15676"/>
    <cellStyle name="40% - Accent3 8 8 2" xfId="15677"/>
    <cellStyle name="40% - Accent3 8 8 2 2" xfId="15678"/>
    <cellStyle name="40% - Accent3 8 8 2 3" xfId="15679"/>
    <cellStyle name="40% - Accent3 8 8 2 4" xfId="15680"/>
    <cellStyle name="40% - Accent3 8 8 2 5" xfId="15681"/>
    <cellStyle name="40% - Accent3 8 8 2 6" xfId="15682"/>
    <cellStyle name="40% - Accent3 8 8 2 7" xfId="15683"/>
    <cellStyle name="40% - Accent3 8 8 3" xfId="15684"/>
    <cellStyle name="40% - Accent3 8 8 3 2" xfId="15685"/>
    <cellStyle name="40% - Accent3 8 8 3 3" xfId="15686"/>
    <cellStyle name="40% - Accent3 8 8 3 4" xfId="15687"/>
    <cellStyle name="40% - Accent3 8 8 3 5" xfId="15688"/>
    <cellStyle name="40% - Accent3 8 8 3 6" xfId="15689"/>
    <cellStyle name="40% - Accent3 8 8 4" xfId="15690"/>
    <cellStyle name="40% - Accent3 8 8 5" xfId="15691"/>
    <cellStyle name="40% - Accent3 8 8 6" xfId="15692"/>
    <cellStyle name="40% - Accent3 8 8 7" xfId="15693"/>
    <cellStyle name="40% - Accent3 8 8 8" xfId="15694"/>
    <cellStyle name="40% - Accent3 8 8 9" xfId="15695"/>
    <cellStyle name="40% - Accent3 8 9" xfId="15696"/>
    <cellStyle name="40% - Accent3 8 9 2" xfId="15697"/>
    <cellStyle name="40% - Accent3 8 9 2 2" xfId="15698"/>
    <cellStyle name="40% - Accent3 8 9 2 3" xfId="15699"/>
    <cellStyle name="40% - Accent3 8 9 2 4" xfId="15700"/>
    <cellStyle name="40% - Accent3 8 9 2 5" xfId="15701"/>
    <cellStyle name="40% - Accent3 8 9 2 6" xfId="15702"/>
    <cellStyle name="40% - Accent3 8 9 3" xfId="15703"/>
    <cellStyle name="40% - Accent3 8 9 4" xfId="15704"/>
    <cellStyle name="40% - Accent3 8 9 5" xfId="15705"/>
    <cellStyle name="40% - Accent3 8 9 6" xfId="15706"/>
    <cellStyle name="40% - Accent3 8 9 7" xfId="15707"/>
    <cellStyle name="40% - Accent3 8 9 8" xfId="15708"/>
    <cellStyle name="40% - Accent3 9" xfId="15709"/>
    <cellStyle name="40% - Accent3 9 2" xfId="15710"/>
    <cellStyle name="40% - Accent3 9 3" xfId="15711"/>
    <cellStyle name="40% - Accent3 9 4" xfId="15712"/>
    <cellStyle name="40% - Accent4" xfId="16" builtinId="43" customBuiltin="1"/>
    <cellStyle name="40% - Accent4 10" xfId="15713"/>
    <cellStyle name="40% - Accent4 10 2" xfId="15714"/>
    <cellStyle name="40% - Accent4 10 2 2" xfId="15715"/>
    <cellStyle name="40% - Accent4 10 2 2 2" xfId="15716"/>
    <cellStyle name="40% - Accent4 10 2 3" xfId="15717"/>
    <cellStyle name="40% - Accent4 10 2 4" xfId="15718"/>
    <cellStyle name="40% - Accent4 10 2 5" xfId="15719"/>
    <cellStyle name="40% - Accent4 10 2 6" xfId="15720"/>
    <cellStyle name="40% - Accent4 10 2 7" xfId="15721"/>
    <cellStyle name="40% - Accent4 10 3" xfId="15722"/>
    <cellStyle name="40% - Accent4 10 3 2" xfId="15723"/>
    <cellStyle name="40% - Accent4 10 3 2 2" xfId="15724"/>
    <cellStyle name="40% - Accent4 10 3 3" xfId="15725"/>
    <cellStyle name="40% - Accent4 10 3 4" xfId="15726"/>
    <cellStyle name="40% - Accent4 10 3 5" xfId="15727"/>
    <cellStyle name="40% - Accent4 10 3 6" xfId="15728"/>
    <cellStyle name="40% - Accent4 10 4" xfId="15729"/>
    <cellStyle name="40% - Accent4 10 4 2" xfId="15730"/>
    <cellStyle name="40% - Accent4 10 5" xfId="15731"/>
    <cellStyle name="40% - Accent4 10 6" xfId="15732"/>
    <cellStyle name="40% - Accent4 10 7" xfId="15733"/>
    <cellStyle name="40% - Accent4 10 8" xfId="15734"/>
    <cellStyle name="40% - Accent4 10 9" xfId="15735"/>
    <cellStyle name="40% - Accent4 11" xfId="15736"/>
    <cellStyle name="40% - Accent4 11 2" xfId="15737"/>
    <cellStyle name="40% - Accent4 11 2 2" xfId="15738"/>
    <cellStyle name="40% - Accent4 11 2 2 2" xfId="15739"/>
    <cellStyle name="40% - Accent4 11 2 3" xfId="15740"/>
    <cellStyle name="40% - Accent4 11 2 4" xfId="15741"/>
    <cellStyle name="40% - Accent4 11 2 5" xfId="15742"/>
    <cellStyle name="40% - Accent4 11 2 6" xfId="15743"/>
    <cellStyle name="40% - Accent4 11 2 7" xfId="15744"/>
    <cellStyle name="40% - Accent4 11 3" xfId="15745"/>
    <cellStyle name="40% - Accent4 11 3 2" xfId="15746"/>
    <cellStyle name="40% - Accent4 11 3 2 2" xfId="15747"/>
    <cellStyle name="40% - Accent4 11 3 3" xfId="15748"/>
    <cellStyle name="40% - Accent4 11 3 4" xfId="15749"/>
    <cellStyle name="40% - Accent4 11 3 5" xfId="15750"/>
    <cellStyle name="40% - Accent4 11 3 6" xfId="15751"/>
    <cellStyle name="40% - Accent4 11 4" xfId="15752"/>
    <cellStyle name="40% - Accent4 11 4 2" xfId="15753"/>
    <cellStyle name="40% - Accent4 11 5" xfId="15754"/>
    <cellStyle name="40% - Accent4 11 6" xfId="15755"/>
    <cellStyle name="40% - Accent4 11 7" xfId="15756"/>
    <cellStyle name="40% - Accent4 11 8" xfId="15757"/>
    <cellStyle name="40% - Accent4 11 9" xfId="15758"/>
    <cellStyle name="40% - Accent4 12" xfId="15759"/>
    <cellStyle name="40% - Accent4 12 2" xfId="15760"/>
    <cellStyle name="40% - Accent4 12 2 2" xfId="15761"/>
    <cellStyle name="40% - Accent4 12 2 2 2" xfId="15762"/>
    <cellStyle name="40% - Accent4 12 2 3" xfId="15763"/>
    <cellStyle name="40% - Accent4 12 2 4" xfId="15764"/>
    <cellStyle name="40% - Accent4 12 2 5" xfId="15765"/>
    <cellStyle name="40% - Accent4 12 2 6" xfId="15766"/>
    <cellStyle name="40% - Accent4 12 2 7" xfId="15767"/>
    <cellStyle name="40% - Accent4 12 3" xfId="15768"/>
    <cellStyle name="40% - Accent4 12 3 2" xfId="15769"/>
    <cellStyle name="40% - Accent4 12 3 2 2" xfId="15770"/>
    <cellStyle name="40% - Accent4 12 3 3" xfId="15771"/>
    <cellStyle name="40% - Accent4 12 3 4" xfId="15772"/>
    <cellStyle name="40% - Accent4 12 3 5" xfId="15773"/>
    <cellStyle name="40% - Accent4 12 3 6" xfId="15774"/>
    <cellStyle name="40% - Accent4 12 4" xfId="15775"/>
    <cellStyle name="40% - Accent4 12 4 2" xfId="15776"/>
    <cellStyle name="40% - Accent4 12 5" xfId="15777"/>
    <cellStyle name="40% - Accent4 12 6" xfId="15778"/>
    <cellStyle name="40% - Accent4 12 7" xfId="15779"/>
    <cellStyle name="40% - Accent4 12 8" xfId="15780"/>
    <cellStyle name="40% - Accent4 12 9" xfId="15781"/>
    <cellStyle name="40% - Accent4 13" xfId="15782"/>
    <cellStyle name="40% - Accent4 13 2" xfId="15783"/>
    <cellStyle name="40% - Accent4 13 2 2" xfId="15784"/>
    <cellStyle name="40% - Accent4 13 2 2 2" xfId="15785"/>
    <cellStyle name="40% - Accent4 13 2 3" xfId="15786"/>
    <cellStyle name="40% - Accent4 13 2 4" xfId="15787"/>
    <cellStyle name="40% - Accent4 13 2 5" xfId="15788"/>
    <cellStyle name="40% - Accent4 13 2 6" xfId="15789"/>
    <cellStyle name="40% - Accent4 13 2 7" xfId="15790"/>
    <cellStyle name="40% - Accent4 13 3" xfId="15791"/>
    <cellStyle name="40% - Accent4 13 3 2" xfId="15792"/>
    <cellStyle name="40% - Accent4 13 3 2 2" xfId="15793"/>
    <cellStyle name="40% - Accent4 13 3 3" xfId="15794"/>
    <cellStyle name="40% - Accent4 13 3 4" xfId="15795"/>
    <cellStyle name="40% - Accent4 13 3 5" xfId="15796"/>
    <cellStyle name="40% - Accent4 13 3 6" xfId="15797"/>
    <cellStyle name="40% - Accent4 13 4" xfId="15798"/>
    <cellStyle name="40% - Accent4 13 4 2" xfId="15799"/>
    <cellStyle name="40% - Accent4 13 5" xfId="15800"/>
    <cellStyle name="40% - Accent4 13 6" xfId="15801"/>
    <cellStyle name="40% - Accent4 13 7" xfId="15802"/>
    <cellStyle name="40% - Accent4 13 8" xfId="15803"/>
    <cellStyle name="40% - Accent4 13 9" xfId="15804"/>
    <cellStyle name="40% - Accent4 14" xfId="15805"/>
    <cellStyle name="40% - Accent4 14 2" xfId="15806"/>
    <cellStyle name="40% - Accent4 14 2 2" xfId="15807"/>
    <cellStyle name="40% - Accent4 14 2 2 2" xfId="15808"/>
    <cellStyle name="40% - Accent4 14 2 3" xfId="15809"/>
    <cellStyle name="40% - Accent4 14 2 4" xfId="15810"/>
    <cellStyle name="40% - Accent4 14 2 5" xfId="15811"/>
    <cellStyle name="40% - Accent4 14 2 6" xfId="15812"/>
    <cellStyle name="40% - Accent4 14 2 7" xfId="15813"/>
    <cellStyle name="40% - Accent4 14 3" xfId="15814"/>
    <cellStyle name="40% - Accent4 14 3 2" xfId="15815"/>
    <cellStyle name="40% - Accent4 14 3 2 2" xfId="15816"/>
    <cellStyle name="40% - Accent4 14 3 3" xfId="15817"/>
    <cellStyle name="40% - Accent4 14 3 4" xfId="15818"/>
    <cellStyle name="40% - Accent4 14 3 5" xfId="15819"/>
    <cellStyle name="40% - Accent4 14 3 6" xfId="15820"/>
    <cellStyle name="40% - Accent4 14 4" xfId="15821"/>
    <cellStyle name="40% - Accent4 14 4 2" xfId="15822"/>
    <cellStyle name="40% - Accent4 14 5" xfId="15823"/>
    <cellStyle name="40% - Accent4 14 6" xfId="15824"/>
    <cellStyle name="40% - Accent4 14 7" xfId="15825"/>
    <cellStyle name="40% - Accent4 14 8" xfId="15826"/>
    <cellStyle name="40% - Accent4 14 9" xfId="15827"/>
    <cellStyle name="40% - Accent4 15" xfId="15828"/>
    <cellStyle name="40% - Accent4 15 2" xfId="15829"/>
    <cellStyle name="40% - Accent4 15 2 2" xfId="15830"/>
    <cellStyle name="40% - Accent4 15 2 2 2" xfId="15831"/>
    <cellStyle name="40% - Accent4 15 2 3" xfId="15832"/>
    <cellStyle name="40% - Accent4 15 2 4" xfId="15833"/>
    <cellStyle name="40% - Accent4 15 2 5" xfId="15834"/>
    <cellStyle name="40% - Accent4 15 2 6" xfId="15835"/>
    <cellStyle name="40% - Accent4 15 2 7" xfId="15836"/>
    <cellStyle name="40% - Accent4 15 3" xfId="15837"/>
    <cellStyle name="40% - Accent4 15 3 2" xfId="15838"/>
    <cellStyle name="40% - Accent4 15 3 2 2" xfId="15839"/>
    <cellStyle name="40% - Accent4 15 3 3" xfId="15840"/>
    <cellStyle name="40% - Accent4 15 3 4" xfId="15841"/>
    <cellStyle name="40% - Accent4 15 3 5" xfId="15842"/>
    <cellStyle name="40% - Accent4 15 3 6" xfId="15843"/>
    <cellStyle name="40% - Accent4 15 4" xfId="15844"/>
    <cellStyle name="40% - Accent4 15 4 2" xfId="15845"/>
    <cellStyle name="40% - Accent4 15 5" xfId="15846"/>
    <cellStyle name="40% - Accent4 15 6" xfId="15847"/>
    <cellStyle name="40% - Accent4 15 7" xfId="15848"/>
    <cellStyle name="40% - Accent4 15 8" xfId="15849"/>
    <cellStyle name="40% - Accent4 15 9" xfId="15850"/>
    <cellStyle name="40% - Accent4 16" xfId="15851"/>
    <cellStyle name="40% - Accent4 16 2" xfId="15852"/>
    <cellStyle name="40% - Accent4 16 2 2" xfId="15853"/>
    <cellStyle name="40% - Accent4 16 2 2 2" xfId="15854"/>
    <cellStyle name="40% - Accent4 16 2 3" xfId="15855"/>
    <cellStyle name="40% - Accent4 16 2 4" xfId="15856"/>
    <cellStyle name="40% - Accent4 16 2 5" xfId="15857"/>
    <cellStyle name="40% - Accent4 16 2 6" xfId="15858"/>
    <cellStyle name="40% - Accent4 16 2 7" xfId="15859"/>
    <cellStyle name="40% - Accent4 16 3" xfId="15860"/>
    <cellStyle name="40% - Accent4 16 3 2" xfId="15861"/>
    <cellStyle name="40% - Accent4 16 3 2 2" xfId="15862"/>
    <cellStyle name="40% - Accent4 16 3 3" xfId="15863"/>
    <cellStyle name="40% - Accent4 16 3 4" xfId="15864"/>
    <cellStyle name="40% - Accent4 16 3 5" xfId="15865"/>
    <cellStyle name="40% - Accent4 16 3 6" xfId="15866"/>
    <cellStyle name="40% - Accent4 16 4" xfId="15867"/>
    <cellStyle name="40% - Accent4 16 4 2" xfId="15868"/>
    <cellStyle name="40% - Accent4 16 5" xfId="15869"/>
    <cellStyle name="40% - Accent4 16 6" xfId="15870"/>
    <cellStyle name="40% - Accent4 16 7" xfId="15871"/>
    <cellStyle name="40% - Accent4 16 8" xfId="15872"/>
    <cellStyle name="40% - Accent4 16 9" xfId="15873"/>
    <cellStyle name="40% - Accent4 17" xfId="15874"/>
    <cellStyle name="40% - Accent4 17 2" xfId="15875"/>
    <cellStyle name="40% - Accent4 17 2 2" xfId="15876"/>
    <cellStyle name="40% - Accent4 17 2 2 2" xfId="15877"/>
    <cellStyle name="40% - Accent4 17 2 3" xfId="15878"/>
    <cellStyle name="40% - Accent4 17 2 4" xfId="15879"/>
    <cellStyle name="40% - Accent4 17 2 5" xfId="15880"/>
    <cellStyle name="40% - Accent4 17 2 6" xfId="15881"/>
    <cellStyle name="40% - Accent4 17 3" xfId="15882"/>
    <cellStyle name="40% - Accent4 17 3 2" xfId="15883"/>
    <cellStyle name="40% - Accent4 17 4" xfId="15884"/>
    <cellStyle name="40% - Accent4 17 4 2" xfId="15885"/>
    <cellStyle name="40% - Accent4 17 5" xfId="15886"/>
    <cellStyle name="40% - Accent4 17 6" xfId="15887"/>
    <cellStyle name="40% - Accent4 17 7" xfId="15888"/>
    <cellStyle name="40% - Accent4 17 8" xfId="15889"/>
    <cellStyle name="40% - Accent4 18" xfId="15890"/>
    <cellStyle name="40% - Accent4 18 2" xfId="15891"/>
    <cellStyle name="40% - Accent4 18 2 2" xfId="15892"/>
    <cellStyle name="40% - Accent4 18 3" xfId="15893"/>
    <cellStyle name="40% - Accent4 18 3 2" xfId="15894"/>
    <cellStyle name="40% - Accent4 18 4" xfId="15895"/>
    <cellStyle name="40% - Accent4 18 4 2" xfId="15896"/>
    <cellStyle name="40% - Accent4 18 5" xfId="15897"/>
    <cellStyle name="40% - Accent4 18 6" xfId="15898"/>
    <cellStyle name="40% - Accent4 18 7" xfId="15899"/>
    <cellStyle name="40% - Accent4 19" xfId="15900"/>
    <cellStyle name="40% - Accent4 19 2" xfId="15901"/>
    <cellStyle name="40% - Accent4 19 2 2" xfId="15902"/>
    <cellStyle name="40% - Accent4 19 3" xfId="15903"/>
    <cellStyle name="40% - Accent4 19 3 2" xfId="15904"/>
    <cellStyle name="40% - Accent4 19 4" xfId="15905"/>
    <cellStyle name="40% - Accent4 19 4 2" xfId="15906"/>
    <cellStyle name="40% - Accent4 19 5" xfId="15907"/>
    <cellStyle name="40% - Accent4 19 6" xfId="15908"/>
    <cellStyle name="40% - Accent4 2" xfId="383"/>
    <cellStyle name="40% - Accent4 2 10" xfId="15909"/>
    <cellStyle name="40% - Accent4 2 10 2" xfId="15910"/>
    <cellStyle name="40% - Accent4 2 10 2 2" xfId="15911"/>
    <cellStyle name="40% - Accent4 2 10 2 3" xfId="15912"/>
    <cellStyle name="40% - Accent4 2 10 2 4" xfId="15913"/>
    <cellStyle name="40% - Accent4 2 10 2 5" xfId="15914"/>
    <cellStyle name="40% - Accent4 2 10 2 6" xfId="15915"/>
    <cellStyle name="40% - Accent4 2 10 3" xfId="15916"/>
    <cellStyle name="40% - Accent4 2 10 3 2" xfId="15917"/>
    <cellStyle name="40% - Accent4 2 10 4" xfId="15918"/>
    <cellStyle name="40% - Accent4 2 10 5" xfId="15919"/>
    <cellStyle name="40% - Accent4 2 10 6" xfId="15920"/>
    <cellStyle name="40% - Accent4 2 10 7" xfId="15921"/>
    <cellStyle name="40% - Accent4 2 10 8" xfId="15922"/>
    <cellStyle name="40% - Accent4 2 11" xfId="15923"/>
    <cellStyle name="40% - Accent4 2 11 2" xfId="15924"/>
    <cellStyle name="40% - Accent4 2 11 2 2" xfId="15925"/>
    <cellStyle name="40% - Accent4 2 11 3" xfId="15926"/>
    <cellStyle name="40% - Accent4 2 11 4" xfId="15927"/>
    <cellStyle name="40% - Accent4 2 11 5" xfId="15928"/>
    <cellStyle name="40% - Accent4 2 11 6" xfId="15929"/>
    <cellStyle name="40% - Accent4 2 11 7" xfId="15930"/>
    <cellStyle name="40% - Accent4 2 12" xfId="15931"/>
    <cellStyle name="40% - Accent4 2 12 2" xfId="15932"/>
    <cellStyle name="40% - Accent4 2 12 2 2" xfId="15933"/>
    <cellStyle name="40% - Accent4 2 12 3" xfId="15934"/>
    <cellStyle name="40% - Accent4 2 12 4" xfId="15935"/>
    <cellStyle name="40% - Accent4 2 12 5" xfId="15936"/>
    <cellStyle name="40% - Accent4 2 12 6" xfId="15937"/>
    <cellStyle name="40% - Accent4 2 13" xfId="15938"/>
    <cellStyle name="40% - Accent4 2 13 2" xfId="15939"/>
    <cellStyle name="40% - Accent4 2 14" xfId="15940"/>
    <cellStyle name="40% - Accent4 2 14 2" xfId="15941"/>
    <cellStyle name="40% - Accent4 2 15" xfId="15942"/>
    <cellStyle name="40% - Accent4 2 15 2" xfId="15943"/>
    <cellStyle name="40% - Accent4 2 16" xfId="15944"/>
    <cellStyle name="40% - Accent4 2 16 2" xfId="15945"/>
    <cellStyle name="40% - Accent4 2 17" xfId="15946"/>
    <cellStyle name="40% - Accent4 2 17 2" xfId="15947"/>
    <cellStyle name="40% - Accent4 2 18" xfId="15948"/>
    <cellStyle name="40% - Accent4 2 19" xfId="15949"/>
    <cellStyle name="40% - Accent4 2 2" xfId="1506"/>
    <cellStyle name="40% - Accent4 2 2 2" xfId="1507"/>
    <cellStyle name="40% - Accent4 2 2 2 2" xfId="15950"/>
    <cellStyle name="40% - Accent4 2 2 2 3" xfId="15951"/>
    <cellStyle name="40% - Accent4 2 2 3" xfId="15952"/>
    <cellStyle name="40% - Accent4 2 2 4" xfId="15953"/>
    <cellStyle name="40% - Accent4 2 20" xfId="15954"/>
    <cellStyle name="40% - Accent4 2 21" xfId="15955"/>
    <cellStyle name="40% - Accent4 2 22" xfId="15956"/>
    <cellStyle name="40% - Accent4 2 23" xfId="15957"/>
    <cellStyle name="40% - Accent4 2 24" xfId="15958"/>
    <cellStyle name="40% - Accent4 2 25" xfId="15959"/>
    <cellStyle name="40% - Accent4 2 26" xfId="15960"/>
    <cellStyle name="40% - Accent4 2 27" xfId="15961"/>
    <cellStyle name="40% - Accent4 2 28" xfId="15962"/>
    <cellStyle name="40% - Accent4 2 29" xfId="15963"/>
    <cellStyle name="40% - Accent4 2 3" xfId="1508"/>
    <cellStyle name="40% - Accent4 2 3 10" xfId="15964"/>
    <cellStyle name="40% - Accent4 2 3 11" xfId="15965"/>
    <cellStyle name="40% - Accent4 2 3 2" xfId="1509"/>
    <cellStyle name="40% - Accent4 2 3 2 2" xfId="15966"/>
    <cellStyle name="40% - Accent4 2 3 2 3" xfId="15967"/>
    <cellStyle name="40% - Accent4 2 3 2 4" xfId="15968"/>
    <cellStyle name="40% - Accent4 2 3 2 5" xfId="15969"/>
    <cellStyle name="40% - Accent4 2 3 2 6" xfId="15970"/>
    <cellStyle name="40% - Accent4 2 3 2 7" xfId="15971"/>
    <cellStyle name="40% - Accent4 2 3 2 8" xfId="15972"/>
    <cellStyle name="40% - Accent4 2 3 2 9" xfId="15973"/>
    <cellStyle name="40% - Accent4 2 3 3" xfId="15974"/>
    <cellStyle name="40% - Accent4 2 3 3 2" xfId="15975"/>
    <cellStyle name="40% - Accent4 2 3 3 3" xfId="15976"/>
    <cellStyle name="40% - Accent4 2 3 3 4" xfId="15977"/>
    <cellStyle name="40% - Accent4 2 3 3 5" xfId="15978"/>
    <cellStyle name="40% - Accent4 2 3 3 6" xfId="15979"/>
    <cellStyle name="40% - Accent4 2 3 4" xfId="15980"/>
    <cellStyle name="40% - Accent4 2 3 4 2" xfId="15981"/>
    <cellStyle name="40% - Accent4 2 3 5" xfId="15982"/>
    <cellStyle name="40% - Accent4 2 3 6" xfId="15983"/>
    <cellStyle name="40% - Accent4 2 3 7" xfId="15984"/>
    <cellStyle name="40% - Accent4 2 3 8" xfId="15985"/>
    <cellStyle name="40% - Accent4 2 3 9" xfId="15986"/>
    <cellStyle name="40% - Accent4 2 30" xfId="15987"/>
    <cellStyle name="40% - Accent4 2 31" xfId="15988"/>
    <cellStyle name="40% - Accent4 2 32" xfId="15989"/>
    <cellStyle name="40% - Accent4 2 33" xfId="15990"/>
    <cellStyle name="40% - Accent4 2 34" xfId="15991"/>
    <cellStyle name="40% - Accent4 2 35" xfId="15992"/>
    <cellStyle name="40% - Accent4 2 4" xfId="1510"/>
    <cellStyle name="40% - Accent4 2 4 10" xfId="15993"/>
    <cellStyle name="40% - Accent4 2 4 11" xfId="15994"/>
    <cellStyle name="40% - Accent4 2 4 2" xfId="15995"/>
    <cellStyle name="40% - Accent4 2 4 2 2" xfId="15996"/>
    <cellStyle name="40% - Accent4 2 4 2 3" xfId="15997"/>
    <cellStyle name="40% - Accent4 2 4 2 4" xfId="15998"/>
    <cellStyle name="40% - Accent4 2 4 2 5" xfId="15999"/>
    <cellStyle name="40% - Accent4 2 4 2 6" xfId="16000"/>
    <cellStyle name="40% - Accent4 2 4 2 7" xfId="16001"/>
    <cellStyle name="40% - Accent4 2 4 3" xfId="16002"/>
    <cellStyle name="40% - Accent4 2 4 3 2" xfId="16003"/>
    <cellStyle name="40% - Accent4 2 4 3 3" xfId="16004"/>
    <cellStyle name="40% - Accent4 2 4 3 4" xfId="16005"/>
    <cellStyle name="40% - Accent4 2 4 3 5" xfId="16006"/>
    <cellStyle name="40% - Accent4 2 4 3 6" xfId="16007"/>
    <cellStyle name="40% - Accent4 2 4 4" xfId="16008"/>
    <cellStyle name="40% - Accent4 2 4 4 2" xfId="16009"/>
    <cellStyle name="40% - Accent4 2 4 5" xfId="16010"/>
    <cellStyle name="40% - Accent4 2 4 6" xfId="16011"/>
    <cellStyle name="40% - Accent4 2 4 7" xfId="16012"/>
    <cellStyle name="40% - Accent4 2 4 8" xfId="16013"/>
    <cellStyle name="40% - Accent4 2 4 9" xfId="16014"/>
    <cellStyle name="40% - Accent4 2 5" xfId="1511"/>
    <cellStyle name="40% - Accent4 2 5 10" xfId="16015"/>
    <cellStyle name="40% - Accent4 2 5 11" xfId="16016"/>
    <cellStyle name="40% - Accent4 2 5 2" xfId="16017"/>
    <cellStyle name="40% - Accent4 2 5 2 2" xfId="16018"/>
    <cellStyle name="40% - Accent4 2 5 2 3" xfId="16019"/>
    <cellStyle name="40% - Accent4 2 5 2 4" xfId="16020"/>
    <cellStyle name="40% - Accent4 2 5 2 5" xfId="16021"/>
    <cellStyle name="40% - Accent4 2 5 2 6" xfId="16022"/>
    <cellStyle name="40% - Accent4 2 5 2 7" xfId="16023"/>
    <cellStyle name="40% - Accent4 2 5 3" xfId="16024"/>
    <cellStyle name="40% - Accent4 2 5 3 2" xfId="16025"/>
    <cellStyle name="40% - Accent4 2 5 3 3" xfId="16026"/>
    <cellStyle name="40% - Accent4 2 5 3 4" xfId="16027"/>
    <cellStyle name="40% - Accent4 2 5 3 5" xfId="16028"/>
    <cellStyle name="40% - Accent4 2 5 3 6" xfId="16029"/>
    <cellStyle name="40% - Accent4 2 5 4" xfId="16030"/>
    <cellStyle name="40% - Accent4 2 5 4 2" xfId="16031"/>
    <cellStyle name="40% - Accent4 2 5 5" xfId="16032"/>
    <cellStyle name="40% - Accent4 2 5 6" xfId="16033"/>
    <cellStyle name="40% - Accent4 2 5 7" xfId="16034"/>
    <cellStyle name="40% - Accent4 2 5 8" xfId="16035"/>
    <cellStyle name="40% - Accent4 2 5 9" xfId="16036"/>
    <cellStyle name="40% - Accent4 2 6" xfId="1512"/>
    <cellStyle name="40% - Accent4 2 6 10" xfId="16037"/>
    <cellStyle name="40% - Accent4 2 6 11" xfId="16038"/>
    <cellStyle name="40% - Accent4 2 6 2" xfId="16039"/>
    <cellStyle name="40% - Accent4 2 6 2 2" xfId="16040"/>
    <cellStyle name="40% - Accent4 2 6 2 3" xfId="16041"/>
    <cellStyle name="40% - Accent4 2 6 2 4" xfId="16042"/>
    <cellStyle name="40% - Accent4 2 6 2 5" xfId="16043"/>
    <cellStyle name="40% - Accent4 2 6 2 6" xfId="16044"/>
    <cellStyle name="40% - Accent4 2 6 2 7" xfId="16045"/>
    <cellStyle name="40% - Accent4 2 6 3" xfId="16046"/>
    <cellStyle name="40% - Accent4 2 6 3 2" xfId="16047"/>
    <cellStyle name="40% - Accent4 2 6 3 3" xfId="16048"/>
    <cellStyle name="40% - Accent4 2 6 3 4" xfId="16049"/>
    <cellStyle name="40% - Accent4 2 6 3 5" xfId="16050"/>
    <cellStyle name="40% - Accent4 2 6 3 6" xfId="16051"/>
    <cellStyle name="40% - Accent4 2 6 4" xfId="16052"/>
    <cellStyle name="40% - Accent4 2 6 4 2" xfId="16053"/>
    <cellStyle name="40% - Accent4 2 6 5" xfId="16054"/>
    <cellStyle name="40% - Accent4 2 6 6" xfId="16055"/>
    <cellStyle name="40% - Accent4 2 6 7" xfId="16056"/>
    <cellStyle name="40% - Accent4 2 6 8" xfId="16057"/>
    <cellStyle name="40% - Accent4 2 6 9" xfId="16058"/>
    <cellStyle name="40% - Accent4 2 7" xfId="1505"/>
    <cellStyle name="40% - Accent4 2 7 10" xfId="16059"/>
    <cellStyle name="40% - Accent4 2 7 2" xfId="16060"/>
    <cellStyle name="40% - Accent4 2 7 2 2" xfId="16061"/>
    <cellStyle name="40% - Accent4 2 7 2 3" xfId="16062"/>
    <cellStyle name="40% - Accent4 2 7 2 4" xfId="16063"/>
    <cellStyle name="40% - Accent4 2 7 2 5" xfId="16064"/>
    <cellStyle name="40% - Accent4 2 7 2 6" xfId="16065"/>
    <cellStyle name="40% - Accent4 2 7 2 7" xfId="16066"/>
    <cellStyle name="40% - Accent4 2 7 3" xfId="16067"/>
    <cellStyle name="40% - Accent4 2 7 3 2" xfId="16068"/>
    <cellStyle name="40% - Accent4 2 7 3 3" xfId="16069"/>
    <cellStyle name="40% - Accent4 2 7 3 4" xfId="16070"/>
    <cellStyle name="40% - Accent4 2 7 3 5" xfId="16071"/>
    <cellStyle name="40% - Accent4 2 7 3 6" xfId="16072"/>
    <cellStyle name="40% - Accent4 2 7 4" xfId="16073"/>
    <cellStyle name="40% - Accent4 2 7 4 2" xfId="16074"/>
    <cellStyle name="40% - Accent4 2 7 5" xfId="16075"/>
    <cellStyle name="40% - Accent4 2 7 6" xfId="16076"/>
    <cellStyle name="40% - Accent4 2 7 7" xfId="16077"/>
    <cellStyle name="40% - Accent4 2 7 8" xfId="16078"/>
    <cellStyle name="40% - Accent4 2 7 9" xfId="16079"/>
    <cellStyle name="40% - Accent4 2 8" xfId="16080"/>
    <cellStyle name="40% - Accent4 2 8 2" xfId="16081"/>
    <cellStyle name="40% - Accent4 2 8 2 2" xfId="16082"/>
    <cellStyle name="40% - Accent4 2 8 2 3" xfId="16083"/>
    <cellStyle name="40% - Accent4 2 8 2 4" xfId="16084"/>
    <cellStyle name="40% - Accent4 2 8 2 5" xfId="16085"/>
    <cellStyle name="40% - Accent4 2 8 2 6" xfId="16086"/>
    <cellStyle name="40% - Accent4 2 8 2 7" xfId="16087"/>
    <cellStyle name="40% - Accent4 2 8 3" xfId="16088"/>
    <cellStyle name="40% - Accent4 2 8 3 2" xfId="16089"/>
    <cellStyle name="40% - Accent4 2 8 3 3" xfId="16090"/>
    <cellStyle name="40% - Accent4 2 8 3 4" xfId="16091"/>
    <cellStyle name="40% - Accent4 2 8 3 5" xfId="16092"/>
    <cellStyle name="40% - Accent4 2 8 3 6" xfId="16093"/>
    <cellStyle name="40% - Accent4 2 8 4" xfId="16094"/>
    <cellStyle name="40% - Accent4 2 8 4 2" xfId="16095"/>
    <cellStyle name="40% - Accent4 2 8 5" xfId="16096"/>
    <cellStyle name="40% - Accent4 2 8 6" xfId="16097"/>
    <cellStyle name="40% - Accent4 2 8 7" xfId="16098"/>
    <cellStyle name="40% - Accent4 2 8 8" xfId="16099"/>
    <cellStyle name="40% - Accent4 2 8 9" xfId="16100"/>
    <cellStyle name="40% - Accent4 2 9" xfId="16101"/>
    <cellStyle name="40% - Accent4 2 9 2" xfId="16102"/>
    <cellStyle name="40% - Accent4 2 9 2 2" xfId="16103"/>
    <cellStyle name="40% - Accent4 2 9 2 3" xfId="16104"/>
    <cellStyle name="40% - Accent4 2 9 2 4" xfId="16105"/>
    <cellStyle name="40% - Accent4 2 9 2 5" xfId="16106"/>
    <cellStyle name="40% - Accent4 2 9 2 6" xfId="16107"/>
    <cellStyle name="40% - Accent4 2 9 2 7" xfId="16108"/>
    <cellStyle name="40% - Accent4 2 9 3" xfId="16109"/>
    <cellStyle name="40% - Accent4 2 9 3 2" xfId="16110"/>
    <cellStyle name="40% - Accent4 2 9 3 3" xfId="16111"/>
    <cellStyle name="40% - Accent4 2 9 3 4" xfId="16112"/>
    <cellStyle name="40% - Accent4 2 9 3 5" xfId="16113"/>
    <cellStyle name="40% - Accent4 2 9 3 6" xfId="16114"/>
    <cellStyle name="40% - Accent4 2 9 4" xfId="16115"/>
    <cellStyle name="40% - Accent4 2 9 4 2" xfId="16116"/>
    <cellStyle name="40% - Accent4 2 9 5" xfId="16117"/>
    <cellStyle name="40% - Accent4 2 9 6" xfId="16118"/>
    <cellStyle name="40% - Accent4 2 9 7" xfId="16119"/>
    <cellStyle name="40% - Accent4 2 9 8" xfId="16120"/>
    <cellStyle name="40% - Accent4 2 9 9" xfId="16121"/>
    <cellStyle name="40% - Accent4 20" xfId="16122"/>
    <cellStyle name="40% - Accent4 20 2" xfId="16123"/>
    <cellStyle name="40% - Accent4 20 3" xfId="16124"/>
    <cellStyle name="40% - Accent4 20 4" xfId="16125"/>
    <cellStyle name="40% - Accent4 21" xfId="16126"/>
    <cellStyle name="40% - Accent4 21 2" xfId="16127"/>
    <cellStyle name="40% - Accent4 21 3" xfId="16128"/>
    <cellStyle name="40% - Accent4 21 4" xfId="16129"/>
    <cellStyle name="40% - Accent4 22" xfId="16130"/>
    <cellStyle name="40% - Accent4 22 2" xfId="16131"/>
    <cellStyle name="40% - Accent4 22 3" xfId="16132"/>
    <cellStyle name="40% - Accent4 22 4" xfId="16133"/>
    <cellStyle name="40% - Accent4 23" xfId="16134"/>
    <cellStyle name="40% - Accent4 23 2" xfId="16135"/>
    <cellStyle name="40% - Accent4 23 3" xfId="16136"/>
    <cellStyle name="40% - Accent4 23 4" xfId="16137"/>
    <cellStyle name="40% - Accent4 24" xfId="16138"/>
    <cellStyle name="40% - Accent4 24 2" xfId="16139"/>
    <cellStyle name="40% - Accent4 24 3" xfId="16140"/>
    <cellStyle name="40% - Accent4 24 4" xfId="16141"/>
    <cellStyle name="40% - Accent4 25" xfId="16142"/>
    <cellStyle name="40% - Accent4 25 2" xfId="16143"/>
    <cellStyle name="40% - Accent4 25 3" xfId="16144"/>
    <cellStyle name="40% - Accent4 26" xfId="16145"/>
    <cellStyle name="40% - Accent4 26 2" xfId="16146"/>
    <cellStyle name="40% - Accent4 26 3" xfId="16147"/>
    <cellStyle name="40% - Accent4 27" xfId="16148"/>
    <cellStyle name="40% - Accent4 27 2" xfId="16149"/>
    <cellStyle name="40% - Accent4 27 3" xfId="16150"/>
    <cellStyle name="40% - Accent4 28" xfId="16151"/>
    <cellStyle name="40% - Accent4 28 2" xfId="16152"/>
    <cellStyle name="40% - Accent4 28 3" xfId="16153"/>
    <cellStyle name="40% - Accent4 29" xfId="16154"/>
    <cellStyle name="40% - Accent4 29 2" xfId="16155"/>
    <cellStyle name="40% - Accent4 29 3" xfId="16156"/>
    <cellStyle name="40% - Accent4 3" xfId="1513"/>
    <cellStyle name="40% - Accent4 3 10" xfId="16157"/>
    <cellStyle name="40% - Accent4 3 10 2" xfId="16158"/>
    <cellStyle name="40% - Accent4 3 10 3" xfId="16159"/>
    <cellStyle name="40% - Accent4 3 10 4" xfId="16160"/>
    <cellStyle name="40% - Accent4 3 10 5" xfId="16161"/>
    <cellStyle name="40% - Accent4 3 10 6" xfId="16162"/>
    <cellStyle name="40% - Accent4 3 10 7" xfId="16163"/>
    <cellStyle name="40% - Accent4 3 11" xfId="16164"/>
    <cellStyle name="40% - Accent4 3 11 2" xfId="16165"/>
    <cellStyle name="40% - Accent4 3 11 3" xfId="16166"/>
    <cellStyle name="40% - Accent4 3 11 4" xfId="16167"/>
    <cellStyle name="40% - Accent4 3 11 5" xfId="16168"/>
    <cellStyle name="40% - Accent4 3 11 6" xfId="16169"/>
    <cellStyle name="40% - Accent4 3 12" xfId="16170"/>
    <cellStyle name="40% - Accent4 3 12 2" xfId="16171"/>
    <cellStyle name="40% - Accent4 3 13" xfId="16172"/>
    <cellStyle name="40% - Accent4 3 14" xfId="16173"/>
    <cellStyle name="40% - Accent4 3 15" xfId="16174"/>
    <cellStyle name="40% - Accent4 3 16" xfId="16175"/>
    <cellStyle name="40% - Accent4 3 17" xfId="16176"/>
    <cellStyle name="40% - Accent4 3 18" xfId="16177"/>
    <cellStyle name="40% - Accent4 3 2" xfId="16178"/>
    <cellStyle name="40% - Accent4 3 2 2" xfId="16179"/>
    <cellStyle name="40% - Accent4 3 2 2 2" xfId="16180"/>
    <cellStyle name="40% - Accent4 3 2 2 3" xfId="16181"/>
    <cellStyle name="40% - Accent4 3 2 2 4" xfId="16182"/>
    <cellStyle name="40% - Accent4 3 2 2 5" xfId="16183"/>
    <cellStyle name="40% - Accent4 3 2 2 6" xfId="16184"/>
    <cellStyle name="40% - Accent4 3 2 2 7" xfId="16185"/>
    <cellStyle name="40% - Accent4 3 2 3" xfId="16186"/>
    <cellStyle name="40% - Accent4 3 2 3 2" xfId="16187"/>
    <cellStyle name="40% - Accent4 3 2 3 3" xfId="16188"/>
    <cellStyle name="40% - Accent4 3 2 3 4" xfId="16189"/>
    <cellStyle name="40% - Accent4 3 2 3 5" xfId="16190"/>
    <cellStyle name="40% - Accent4 3 2 3 6" xfId="16191"/>
    <cellStyle name="40% - Accent4 3 2 4" xfId="16192"/>
    <cellStyle name="40% - Accent4 3 2 5" xfId="16193"/>
    <cellStyle name="40% - Accent4 3 2 6" xfId="16194"/>
    <cellStyle name="40% - Accent4 3 2 7" xfId="16195"/>
    <cellStyle name="40% - Accent4 3 2 8" xfId="16196"/>
    <cellStyle name="40% - Accent4 3 2 9" xfId="16197"/>
    <cellStyle name="40% - Accent4 3 3" xfId="16198"/>
    <cellStyle name="40% - Accent4 3 3 2" xfId="16199"/>
    <cellStyle name="40% - Accent4 3 3 2 2" xfId="16200"/>
    <cellStyle name="40% - Accent4 3 3 2 3" xfId="16201"/>
    <cellStyle name="40% - Accent4 3 3 2 4" xfId="16202"/>
    <cellStyle name="40% - Accent4 3 3 2 5" xfId="16203"/>
    <cellStyle name="40% - Accent4 3 3 2 6" xfId="16204"/>
    <cellStyle name="40% - Accent4 3 3 2 7" xfId="16205"/>
    <cellStyle name="40% - Accent4 3 3 3" xfId="16206"/>
    <cellStyle name="40% - Accent4 3 3 3 2" xfId="16207"/>
    <cellStyle name="40% - Accent4 3 3 3 3" xfId="16208"/>
    <cellStyle name="40% - Accent4 3 3 3 4" xfId="16209"/>
    <cellStyle name="40% - Accent4 3 3 3 5" xfId="16210"/>
    <cellStyle name="40% - Accent4 3 3 3 6" xfId="16211"/>
    <cellStyle name="40% - Accent4 3 3 4" xfId="16212"/>
    <cellStyle name="40% - Accent4 3 3 5" xfId="16213"/>
    <cellStyle name="40% - Accent4 3 3 6" xfId="16214"/>
    <cellStyle name="40% - Accent4 3 3 7" xfId="16215"/>
    <cellStyle name="40% - Accent4 3 3 8" xfId="16216"/>
    <cellStyle name="40% - Accent4 3 3 9" xfId="16217"/>
    <cellStyle name="40% - Accent4 3 4" xfId="16218"/>
    <cellStyle name="40% - Accent4 3 4 2" xfId="16219"/>
    <cellStyle name="40% - Accent4 3 4 2 2" xfId="16220"/>
    <cellStyle name="40% - Accent4 3 4 2 3" xfId="16221"/>
    <cellStyle name="40% - Accent4 3 4 2 4" xfId="16222"/>
    <cellStyle name="40% - Accent4 3 4 2 5" xfId="16223"/>
    <cellStyle name="40% - Accent4 3 4 2 6" xfId="16224"/>
    <cellStyle name="40% - Accent4 3 4 2 7" xfId="16225"/>
    <cellStyle name="40% - Accent4 3 4 3" xfId="16226"/>
    <cellStyle name="40% - Accent4 3 4 3 2" xfId="16227"/>
    <cellStyle name="40% - Accent4 3 4 3 3" xfId="16228"/>
    <cellStyle name="40% - Accent4 3 4 3 4" xfId="16229"/>
    <cellStyle name="40% - Accent4 3 4 3 5" xfId="16230"/>
    <cellStyle name="40% - Accent4 3 4 3 6" xfId="16231"/>
    <cellStyle name="40% - Accent4 3 4 4" xfId="16232"/>
    <cellStyle name="40% - Accent4 3 4 5" xfId="16233"/>
    <cellStyle name="40% - Accent4 3 4 6" xfId="16234"/>
    <cellStyle name="40% - Accent4 3 4 7" xfId="16235"/>
    <cellStyle name="40% - Accent4 3 4 8" xfId="16236"/>
    <cellStyle name="40% - Accent4 3 4 9" xfId="16237"/>
    <cellStyle name="40% - Accent4 3 5" xfId="16238"/>
    <cellStyle name="40% - Accent4 3 5 2" xfId="16239"/>
    <cellStyle name="40% - Accent4 3 5 2 2" xfId="16240"/>
    <cellStyle name="40% - Accent4 3 5 2 3" xfId="16241"/>
    <cellStyle name="40% - Accent4 3 5 2 4" xfId="16242"/>
    <cellStyle name="40% - Accent4 3 5 2 5" xfId="16243"/>
    <cellStyle name="40% - Accent4 3 5 2 6" xfId="16244"/>
    <cellStyle name="40% - Accent4 3 5 2 7" xfId="16245"/>
    <cellStyle name="40% - Accent4 3 5 3" xfId="16246"/>
    <cellStyle name="40% - Accent4 3 5 3 2" xfId="16247"/>
    <cellStyle name="40% - Accent4 3 5 3 3" xfId="16248"/>
    <cellStyle name="40% - Accent4 3 5 3 4" xfId="16249"/>
    <cellStyle name="40% - Accent4 3 5 3 5" xfId="16250"/>
    <cellStyle name="40% - Accent4 3 5 3 6" xfId="16251"/>
    <cellStyle name="40% - Accent4 3 5 4" xfId="16252"/>
    <cellStyle name="40% - Accent4 3 5 5" xfId="16253"/>
    <cellStyle name="40% - Accent4 3 5 6" xfId="16254"/>
    <cellStyle name="40% - Accent4 3 5 7" xfId="16255"/>
    <cellStyle name="40% - Accent4 3 5 8" xfId="16256"/>
    <cellStyle name="40% - Accent4 3 5 9" xfId="16257"/>
    <cellStyle name="40% - Accent4 3 6" xfId="16258"/>
    <cellStyle name="40% - Accent4 3 6 2" xfId="16259"/>
    <cellStyle name="40% - Accent4 3 6 2 2" xfId="16260"/>
    <cellStyle name="40% - Accent4 3 6 2 3" xfId="16261"/>
    <cellStyle name="40% - Accent4 3 6 2 4" xfId="16262"/>
    <cellStyle name="40% - Accent4 3 6 2 5" xfId="16263"/>
    <cellStyle name="40% - Accent4 3 6 2 6" xfId="16264"/>
    <cellStyle name="40% - Accent4 3 6 2 7" xfId="16265"/>
    <cellStyle name="40% - Accent4 3 6 3" xfId="16266"/>
    <cellStyle name="40% - Accent4 3 6 3 2" xfId="16267"/>
    <cellStyle name="40% - Accent4 3 6 3 3" xfId="16268"/>
    <cellStyle name="40% - Accent4 3 6 3 4" xfId="16269"/>
    <cellStyle name="40% - Accent4 3 6 3 5" xfId="16270"/>
    <cellStyle name="40% - Accent4 3 6 3 6" xfId="16271"/>
    <cellStyle name="40% - Accent4 3 6 4" xfId="16272"/>
    <cellStyle name="40% - Accent4 3 6 5" xfId="16273"/>
    <cellStyle name="40% - Accent4 3 6 6" xfId="16274"/>
    <cellStyle name="40% - Accent4 3 6 7" xfId="16275"/>
    <cellStyle name="40% - Accent4 3 6 8" xfId="16276"/>
    <cellStyle name="40% - Accent4 3 6 9" xfId="16277"/>
    <cellStyle name="40% - Accent4 3 7" xfId="16278"/>
    <cellStyle name="40% - Accent4 3 7 2" xfId="16279"/>
    <cellStyle name="40% - Accent4 3 7 2 2" xfId="16280"/>
    <cellStyle name="40% - Accent4 3 7 2 3" xfId="16281"/>
    <cellStyle name="40% - Accent4 3 7 2 4" xfId="16282"/>
    <cellStyle name="40% - Accent4 3 7 2 5" xfId="16283"/>
    <cellStyle name="40% - Accent4 3 7 2 6" xfId="16284"/>
    <cellStyle name="40% - Accent4 3 7 2 7" xfId="16285"/>
    <cellStyle name="40% - Accent4 3 7 3" xfId="16286"/>
    <cellStyle name="40% - Accent4 3 7 3 2" xfId="16287"/>
    <cellStyle name="40% - Accent4 3 7 3 3" xfId="16288"/>
    <cellStyle name="40% - Accent4 3 7 3 4" xfId="16289"/>
    <cellStyle name="40% - Accent4 3 7 3 5" xfId="16290"/>
    <cellStyle name="40% - Accent4 3 7 3 6" xfId="16291"/>
    <cellStyle name="40% - Accent4 3 7 4" xfId="16292"/>
    <cellStyle name="40% - Accent4 3 7 5" xfId="16293"/>
    <cellStyle name="40% - Accent4 3 7 6" xfId="16294"/>
    <cellStyle name="40% - Accent4 3 7 7" xfId="16295"/>
    <cellStyle name="40% - Accent4 3 7 8" xfId="16296"/>
    <cellStyle name="40% - Accent4 3 7 9" xfId="16297"/>
    <cellStyle name="40% - Accent4 3 8" xfId="16298"/>
    <cellStyle name="40% - Accent4 3 8 2" xfId="16299"/>
    <cellStyle name="40% - Accent4 3 8 2 2" xfId="16300"/>
    <cellStyle name="40% - Accent4 3 8 2 3" xfId="16301"/>
    <cellStyle name="40% - Accent4 3 8 2 4" xfId="16302"/>
    <cellStyle name="40% - Accent4 3 8 2 5" xfId="16303"/>
    <cellStyle name="40% - Accent4 3 8 2 6" xfId="16304"/>
    <cellStyle name="40% - Accent4 3 8 2 7" xfId="16305"/>
    <cellStyle name="40% - Accent4 3 8 3" xfId="16306"/>
    <cellStyle name="40% - Accent4 3 8 3 2" xfId="16307"/>
    <cellStyle name="40% - Accent4 3 8 3 3" xfId="16308"/>
    <cellStyle name="40% - Accent4 3 8 3 4" xfId="16309"/>
    <cellStyle name="40% - Accent4 3 8 3 5" xfId="16310"/>
    <cellStyle name="40% - Accent4 3 8 3 6" xfId="16311"/>
    <cellStyle name="40% - Accent4 3 8 4" xfId="16312"/>
    <cellStyle name="40% - Accent4 3 8 5" xfId="16313"/>
    <cellStyle name="40% - Accent4 3 8 6" xfId="16314"/>
    <cellStyle name="40% - Accent4 3 8 7" xfId="16315"/>
    <cellStyle name="40% - Accent4 3 8 8" xfId="16316"/>
    <cellStyle name="40% - Accent4 3 8 9" xfId="16317"/>
    <cellStyle name="40% - Accent4 3 9" xfId="16318"/>
    <cellStyle name="40% - Accent4 3 9 2" xfId="16319"/>
    <cellStyle name="40% - Accent4 3 9 2 2" xfId="16320"/>
    <cellStyle name="40% - Accent4 3 9 2 3" xfId="16321"/>
    <cellStyle name="40% - Accent4 3 9 2 4" xfId="16322"/>
    <cellStyle name="40% - Accent4 3 9 2 5" xfId="16323"/>
    <cellStyle name="40% - Accent4 3 9 2 6" xfId="16324"/>
    <cellStyle name="40% - Accent4 3 9 3" xfId="16325"/>
    <cellStyle name="40% - Accent4 3 9 4" xfId="16326"/>
    <cellStyle name="40% - Accent4 3 9 5" xfId="16327"/>
    <cellStyle name="40% - Accent4 3 9 6" xfId="16328"/>
    <cellStyle name="40% - Accent4 3 9 7" xfId="16329"/>
    <cellStyle name="40% - Accent4 3 9 8" xfId="16330"/>
    <cellStyle name="40% - Accent4 30" xfId="16331"/>
    <cellStyle name="40% - Accent4 30 2" xfId="16332"/>
    <cellStyle name="40% - Accent4 31" xfId="16333"/>
    <cellStyle name="40% - Accent4 32" xfId="16334"/>
    <cellStyle name="40% - Accent4 33" xfId="16335"/>
    <cellStyle name="40% - Accent4 34" xfId="16336"/>
    <cellStyle name="40% - Accent4 4" xfId="16337"/>
    <cellStyle name="40% - Accent4 4 10" xfId="16338"/>
    <cellStyle name="40% - Accent4 4 10 2" xfId="16339"/>
    <cellStyle name="40% - Accent4 4 10 3" xfId="16340"/>
    <cellStyle name="40% - Accent4 4 10 4" xfId="16341"/>
    <cellStyle name="40% - Accent4 4 10 5" xfId="16342"/>
    <cellStyle name="40% - Accent4 4 10 6" xfId="16343"/>
    <cellStyle name="40% - Accent4 4 10 7" xfId="16344"/>
    <cellStyle name="40% - Accent4 4 11" xfId="16345"/>
    <cellStyle name="40% - Accent4 4 11 2" xfId="16346"/>
    <cellStyle name="40% - Accent4 4 11 3" xfId="16347"/>
    <cellStyle name="40% - Accent4 4 11 4" xfId="16348"/>
    <cellStyle name="40% - Accent4 4 11 5" xfId="16349"/>
    <cellStyle name="40% - Accent4 4 11 6" xfId="16350"/>
    <cellStyle name="40% - Accent4 4 12" xfId="16351"/>
    <cellStyle name="40% - Accent4 4 12 2" xfId="16352"/>
    <cellStyle name="40% - Accent4 4 13" xfId="16353"/>
    <cellStyle name="40% - Accent4 4 14" xfId="16354"/>
    <cellStyle name="40% - Accent4 4 15" xfId="16355"/>
    <cellStyle name="40% - Accent4 4 16" xfId="16356"/>
    <cellStyle name="40% - Accent4 4 17" xfId="16357"/>
    <cellStyle name="40% - Accent4 4 2" xfId="16358"/>
    <cellStyle name="40% - Accent4 4 2 2" xfId="16359"/>
    <cellStyle name="40% - Accent4 4 2 2 2" xfId="16360"/>
    <cellStyle name="40% - Accent4 4 2 2 3" xfId="16361"/>
    <cellStyle name="40% - Accent4 4 2 2 4" xfId="16362"/>
    <cellStyle name="40% - Accent4 4 2 2 5" xfId="16363"/>
    <cellStyle name="40% - Accent4 4 2 2 6" xfId="16364"/>
    <cellStyle name="40% - Accent4 4 2 2 7" xfId="16365"/>
    <cellStyle name="40% - Accent4 4 2 3" xfId="16366"/>
    <cellStyle name="40% - Accent4 4 2 3 2" xfId="16367"/>
    <cellStyle name="40% - Accent4 4 2 3 3" xfId="16368"/>
    <cellStyle name="40% - Accent4 4 2 3 4" xfId="16369"/>
    <cellStyle name="40% - Accent4 4 2 3 5" xfId="16370"/>
    <cellStyle name="40% - Accent4 4 2 3 6" xfId="16371"/>
    <cellStyle name="40% - Accent4 4 2 4" xfId="16372"/>
    <cellStyle name="40% - Accent4 4 2 4 2" xfId="16373"/>
    <cellStyle name="40% - Accent4 4 2 5" xfId="16374"/>
    <cellStyle name="40% - Accent4 4 2 6" xfId="16375"/>
    <cellStyle name="40% - Accent4 4 2 7" xfId="16376"/>
    <cellStyle name="40% - Accent4 4 2 8" xfId="16377"/>
    <cellStyle name="40% - Accent4 4 2 9" xfId="16378"/>
    <cellStyle name="40% - Accent4 4 3" xfId="16379"/>
    <cellStyle name="40% - Accent4 4 3 2" xfId="16380"/>
    <cellStyle name="40% - Accent4 4 3 2 2" xfId="16381"/>
    <cellStyle name="40% - Accent4 4 3 2 3" xfId="16382"/>
    <cellStyle name="40% - Accent4 4 3 2 4" xfId="16383"/>
    <cellStyle name="40% - Accent4 4 3 2 5" xfId="16384"/>
    <cellStyle name="40% - Accent4 4 3 2 6" xfId="16385"/>
    <cellStyle name="40% - Accent4 4 3 2 7" xfId="16386"/>
    <cellStyle name="40% - Accent4 4 3 3" xfId="16387"/>
    <cellStyle name="40% - Accent4 4 3 3 2" xfId="16388"/>
    <cellStyle name="40% - Accent4 4 3 3 3" xfId="16389"/>
    <cellStyle name="40% - Accent4 4 3 3 4" xfId="16390"/>
    <cellStyle name="40% - Accent4 4 3 3 5" xfId="16391"/>
    <cellStyle name="40% - Accent4 4 3 3 6" xfId="16392"/>
    <cellStyle name="40% - Accent4 4 3 4" xfId="16393"/>
    <cellStyle name="40% - Accent4 4 3 4 2" xfId="16394"/>
    <cellStyle name="40% - Accent4 4 3 5" xfId="16395"/>
    <cellStyle name="40% - Accent4 4 3 6" xfId="16396"/>
    <cellStyle name="40% - Accent4 4 3 7" xfId="16397"/>
    <cellStyle name="40% - Accent4 4 3 8" xfId="16398"/>
    <cellStyle name="40% - Accent4 4 3 9" xfId="16399"/>
    <cellStyle name="40% - Accent4 4 4" xfId="16400"/>
    <cellStyle name="40% - Accent4 4 4 2" xfId="16401"/>
    <cellStyle name="40% - Accent4 4 4 2 2" xfId="16402"/>
    <cellStyle name="40% - Accent4 4 4 2 3" xfId="16403"/>
    <cellStyle name="40% - Accent4 4 4 2 4" xfId="16404"/>
    <cellStyle name="40% - Accent4 4 4 2 5" xfId="16405"/>
    <cellStyle name="40% - Accent4 4 4 2 6" xfId="16406"/>
    <cellStyle name="40% - Accent4 4 4 2 7" xfId="16407"/>
    <cellStyle name="40% - Accent4 4 4 3" xfId="16408"/>
    <cellStyle name="40% - Accent4 4 4 3 2" xfId="16409"/>
    <cellStyle name="40% - Accent4 4 4 3 3" xfId="16410"/>
    <cellStyle name="40% - Accent4 4 4 3 4" xfId="16411"/>
    <cellStyle name="40% - Accent4 4 4 3 5" xfId="16412"/>
    <cellStyle name="40% - Accent4 4 4 3 6" xfId="16413"/>
    <cellStyle name="40% - Accent4 4 4 4" xfId="16414"/>
    <cellStyle name="40% - Accent4 4 4 5" xfId="16415"/>
    <cellStyle name="40% - Accent4 4 4 6" xfId="16416"/>
    <cellStyle name="40% - Accent4 4 4 7" xfId="16417"/>
    <cellStyle name="40% - Accent4 4 4 8" xfId="16418"/>
    <cellStyle name="40% - Accent4 4 4 9" xfId="16419"/>
    <cellStyle name="40% - Accent4 4 5" xfId="16420"/>
    <cellStyle name="40% - Accent4 4 5 2" xfId="16421"/>
    <cellStyle name="40% - Accent4 4 5 2 2" xfId="16422"/>
    <cellStyle name="40% - Accent4 4 5 2 3" xfId="16423"/>
    <cellStyle name="40% - Accent4 4 5 2 4" xfId="16424"/>
    <cellStyle name="40% - Accent4 4 5 2 5" xfId="16425"/>
    <cellStyle name="40% - Accent4 4 5 2 6" xfId="16426"/>
    <cellStyle name="40% - Accent4 4 5 2 7" xfId="16427"/>
    <cellStyle name="40% - Accent4 4 5 3" xfId="16428"/>
    <cellStyle name="40% - Accent4 4 5 3 2" xfId="16429"/>
    <cellStyle name="40% - Accent4 4 5 3 3" xfId="16430"/>
    <cellStyle name="40% - Accent4 4 5 3 4" xfId="16431"/>
    <cellStyle name="40% - Accent4 4 5 3 5" xfId="16432"/>
    <cellStyle name="40% - Accent4 4 5 3 6" xfId="16433"/>
    <cellStyle name="40% - Accent4 4 5 4" xfId="16434"/>
    <cellStyle name="40% - Accent4 4 5 5" xfId="16435"/>
    <cellStyle name="40% - Accent4 4 5 6" xfId="16436"/>
    <cellStyle name="40% - Accent4 4 5 7" xfId="16437"/>
    <cellStyle name="40% - Accent4 4 5 8" xfId="16438"/>
    <cellStyle name="40% - Accent4 4 5 9" xfId="16439"/>
    <cellStyle name="40% - Accent4 4 6" xfId="16440"/>
    <cellStyle name="40% - Accent4 4 6 2" xfId="16441"/>
    <cellStyle name="40% - Accent4 4 6 2 2" xfId="16442"/>
    <cellStyle name="40% - Accent4 4 6 2 3" xfId="16443"/>
    <cellStyle name="40% - Accent4 4 6 2 4" xfId="16444"/>
    <cellStyle name="40% - Accent4 4 6 2 5" xfId="16445"/>
    <cellStyle name="40% - Accent4 4 6 2 6" xfId="16446"/>
    <cellStyle name="40% - Accent4 4 6 2 7" xfId="16447"/>
    <cellStyle name="40% - Accent4 4 6 3" xfId="16448"/>
    <cellStyle name="40% - Accent4 4 6 3 2" xfId="16449"/>
    <cellStyle name="40% - Accent4 4 6 3 3" xfId="16450"/>
    <cellStyle name="40% - Accent4 4 6 3 4" xfId="16451"/>
    <cellStyle name="40% - Accent4 4 6 3 5" xfId="16452"/>
    <cellStyle name="40% - Accent4 4 6 3 6" xfId="16453"/>
    <cellStyle name="40% - Accent4 4 6 4" xfId="16454"/>
    <cellStyle name="40% - Accent4 4 6 5" xfId="16455"/>
    <cellStyle name="40% - Accent4 4 6 6" xfId="16456"/>
    <cellStyle name="40% - Accent4 4 6 7" xfId="16457"/>
    <cellStyle name="40% - Accent4 4 6 8" xfId="16458"/>
    <cellStyle name="40% - Accent4 4 6 9" xfId="16459"/>
    <cellStyle name="40% - Accent4 4 7" xfId="16460"/>
    <cellStyle name="40% - Accent4 4 7 2" xfId="16461"/>
    <cellStyle name="40% - Accent4 4 7 2 2" xfId="16462"/>
    <cellStyle name="40% - Accent4 4 7 2 3" xfId="16463"/>
    <cellStyle name="40% - Accent4 4 7 2 4" xfId="16464"/>
    <cellStyle name="40% - Accent4 4 7 2 5" xfId="16465"/>
    <cellStyle name="40% - Accent4 4 7 2 6" xfId="16466"/>
    <cellStyle name="40% - Accent4 4 7 2 7" xfId="16467"/>
    <cellStyle name="40% - Accent4 4 7 3" xfId="16468"/>
    <cellStyle name="40% - Accent4 4 7 3 2" xfId="16469"/>
    <cellStyle name="40% - Accent4 4 7 3 3" xfId="16470"/>
    <cellStyle name="40% - Accent4 4 7 3 4" xfId="16471"/>
    <cellStyle name="40% - Accent4 4 7 3 5" xfId="16472"/>
    <cellStyle name="40% - Accent4 4 7 3 6" xfId="16473"/>
    <cellStyle name="40% - Accent4 4 7 4" xfId="16474"/>
    <cellStyle name="40% - Accent4 4 7 5" xfId="16475"/>
    <cellStyle name="40% - Accent4 4 7 6" xfId="16476"/>
    <cellStyle name="40% - Accent4 4 7 7" xfId="16477"/>
    <cellStyle name="40% - Accent4 4 7 8" xfId="16478"/>
    <cellStyle name="40% - Accent4 4 7 9" xfId="16479"/>
    <cellStyle name="40% - Accent4 4 8" xfId="16480"/>
    <cellStyle name="40% - Accent4 4 8 2" xfId="16481"/>
    <cellStyle name="40% - Accent4 4 8 2 2" xfId="16482"/>
    <cellStyle name="40% - Accent4 4 8 2 3" xfId="16483"/>
    <cellStyle name="40% - Accent4 4 8 2 4" xfId="16484"/>
    <cellStyle name="40% - Accent4 4 8 2 5" xfId="16485"/>
    <cellStyle name="40% - Accent4 4 8 2 6" xfId="16486"/>
    <cellStyle name="40% - Accent4 4 8 2 7" xfId="16487"/>
    <cellStyle name="40% - Accent4 4 8 3" xfId="16488"/>
    <cellStyle name="40% - Accent4 4 8 3 2" xfId="16489"/>
    <cellStyle name="40% - Accent4 4 8 3 3" xfId="16490"/>
    <cellStyle name="40% - Accent4 4 8 3 4" xfId="16491"/>
    <cellStyle name="40% - Accent4 4 8 3 5" xfId="16492"/>
    <cellStyle name="40% - Accent4 4 8 3 6" xfId="16493"/>
    <cellStyle name="40% - Accent4 4 8 4" xfId="16494"/>
    <cellStyle name="40% - Accent4 4 8 5" xfId="16495"/>
    <cellStyle name="40% - Accent4 4 8 6" xfId="16496"/>
    <cellStyle name="40% - Accent4 4 8 7" xfId="16497"/>
    <cellStyle name="40% - Accent4 4 8 8" xfId="16498"/>
    <cellStyle name="40% - Accent4 4 8 9" xfId="16499"/>
    <cellStyle name="40% - Accent4 4 9" xfId="16500"/>
    <cellStyle name="40% - Accent4 4 9 2" xfId="16501"/>
    <cellStyle name="40% - Accent4 4 9 2 2" xfId="16502"/>
    <cellStyle name="40% - Accent4 4 9 2 3" xfId="16503"/>
    <cellStyle name="40% - Accent4 4 9 2 4" xfId="16504"/>
    <cellStyle name="40% - Accent4 4 9 2 5" xfId="16505"/>
    <cellStyle name="40% - Accent4 4 9 2 6" xfId="16506"/>
    <cellStyle name="40% - Accent4 4 9 3" xfId="16507"/>
    <cellStyle name="40% - Accent4 4 9 4" xfId="16508"/>
    <cellStyle name="40% - Accent4 4 9 5" xfId="16509"/>
    <cellStyle name="40% - Accent4 4 9 6" xfId="16510"/>
    <cellStyle name="40% - Accent4 4 9 7" xfId="16511"/>
    <cellStyle name="40% - Accent4 4 9 8" xfId="16512"/>
    <cellStyle name="40% - Accent4 5" xfId="16513"/>
    <cellStyle name="40% - Accent4 5 10" xfId="16514"/>
    <cellStyle name="40% - Accent4 5 10 2" xfId="16515"/>
    <cellStyle name="40% - Accent4 5 10 3" xfId="16516"/>
    <cellStyle name="40% - Accent4 5 10 4" xfId="16517"/>
    <cellStyle name="40% - Accent4 5 10 5" xfId="16518"/>
    <cellStyle name="40% - Accent4 5 10 6" xfId="16519"/>
    <cellStyle name="40% - Accent4 5 10 7" xfId="16520"/>
    <cellStyle name="40% - Accent4 5 11" xfId="16521"/>
    <cellStyle name="40% - Accent4 5 11 2" xfId="16522"/>
    <cellStyle name="40% - Accent4 5 11 3" xfId="16523"/>
    <cellStyle name="40% - Accent4 5 11 4" xfId="16524"/>
    <cellStyle name="40% - Accent4 5 11 5" xfId="16525"/>
    <cellStyle name="40% - Accent4 5 11 6" xfId="16526"/>
    <cellStyle name="40% - Accent4 5 12" xfId="16527"/>
    <cellStyle name="40% - Accent4 5 12 2" xfId="16528"/>
    <cellStyle name="40% - Accent4 5 13" xfId="16529"/>
    <cellStyle name="40% - Accent4 5 14" xfId="16530"/>
    <cellStyle name="40% - Accent4 5 15" xfId="16531"/>
    <cellStyle name="40% - Accent4 5 16" xfId="16532"/>
    <cellStyle name="40% - Accent4 5 17" xfId="16533"/>
    <cellStyle name="40% - Accent4 5 2" xfId="16534"/>
    <cellStyle name="40% - Accent4 5 2 2" xfId="16535"/>
    <cellStyle name="40% - Accent4 5 2 2 2" xfId="16536"/>
    <cellStyle name="40% - Accent4 5 2 2 3" xfId="16537"/>
    <cellStyle name="40% - Accent4 5 2 2 4" xfId="16538"/>
    <cellStyle name="40% - Accent4 5 2 2 5" xfId="16539"/>
    <cellStyle name="40% - Accent4 5 2 2 6" xfId="16540"/>
    <cellStyle name="40% - Accent4 5 2 2 7" xfId="16541"/>
    <cellStyle name="40% - Accent4 5 2 3" xfId="16542"/>
    <cellStyle name="40% - Accent4 5 2 3 2" xfId="16543"/>
    <cellStyle name="40% - Accent4 5 2 3 3" xfId="16544"/>
    <cellStyle name="40% - Accent4 5 2 3 4" xfId="16545"/>
    <cellStyle name="40% - Accent4 5 2 3 5" xfId="16546"/>
    <cellStyle name="40% - Accent4 5 2 3 6" xfId="16547"/>
    <cellStyle name="40% - Accent4 5 2 4" xfId="16548"/>
    <cellStyle name="40% - Accent4 5 2 4 2" xfId="16549"/>
    <cellStyle name="40% - Accent4 5 2 5" xfId="16550"/>
    <cellStyle name="40% - Accent4 5 2 6" xfId="16551"/>
    <cellStyle name="40% - Accent4 5 2 7" xfId="16552"/>
    <cellStyle name="40% - Accent4 5 2 8" xfId="16553"/>
    <cellStyle name="40% - Accent4 5 2 9" xfId="16554"/>
    <cellStyle name="40% - Accent4 5 3" xfId="16555"/>
    <cellStyle name="40% - Accent4 5 3 2" xfId="16556"/>
    <cellStyle name="40% - Accent4 5 3 2 2" xfId="16557"/>
    <cellStyle name="40% - Accent4 5 3 2 3" xfId="16558"/>
    <cellStyle name="40% - Accent4 5 3 2 4" xfId="16559"/>
    <cellStyle name="40% - Accent4 5 3 2 5" xfId="16560"/>
    <cellStyle name="40% - Accent4 5 3 2 6" xfId="16561"/>
    <cellStyle name="40% - Accent4 5 3 2 7" xfId="16562"/>
    <cellStyle name="40% - Accent4 5 3 3" xfId="16563"/>
    <cellStyle name="40% - Accent4 5 3 3 2" xfId="16564"/>
    <cellStyle name="40% - Accent4 5 3 3 3" xfId="16565"/>
    <cellStyle name="40% - Accent4 5 3 3 4" xfId="16566"/>
    <cellStyle name="40% - Accent4 5 3 3 5" xfId="16567"/>
    <cellStyle name="40% - Accent4 5 3 3 6" xfId="16568"/>
    <cellStyle name="40% - Accent4 5 3 4" xfId="16569"/>
    <cellStyle name="40% - Accent4 5 3 4 2" xfId="16570"/>
    <cellStyle name="40% - Accent4 5 3 5" xfId="16571"/>
    <cellStyle name="40% - Accent4 5 3 6" xfId="16572"/>
    <cellStyle name="40% - Accent4 5 3 7" xfId="16573"/>
    <cellStyle name="40% - Accent4 5 3 8" xfId="16574"/>
    <cellStyle name="40% - Accent4 5 3 9" xfId="16575"/>
    <cellStyle name="40% - Accent4 5 4" xfId="16576"/>
    <cellStyle name="40% - Accent4 5 4 2" xfId="16577"/>
    <cellStyle name="40% - Accent4 5 4 2 2" xfId="16578"/>
    <cellStyle name="40% - Accent4 5 4 2 3" xfId="16579"/>
    <cellStyle name="40% - Accent4 5 4 2 4" xfId="16580"/>
    <cellStyle name="40% - Accent4 5 4 2 5" xfId="16581"/>
    <cellStyle name="40% - Accent4 5 4 2 6" xfId="16582"/>
    <cellStyle name="40% - Accent4 5 4 2 7" xfId="16583"/>
    <cellStyle name="40% - Accent4 5 4 3" xfId="16584"/>
    <cellStyle name="40% - Accent4 5 4 3 2" xfId="16585"/>
    <cellStyle name="40% - Accent4 5 4 3 3" xfId="16586"/>
    <cellStyle name="40% - Accent4 5 4 3 4" xfId="16587"/>
    <cellStyle name="40% - Accent4 5 4 3 5" xfId="16588"/>
    <cellStyle name="40% - Accent4 5 4 3 6" xfId="16589"/>
    <cellStyle name="40% - Accent4 5 4 4" xfId="16590"/>
    <cellStyle name="40% - Accent4 5 4 5" xfId="16591"/>
    <cellStyle name="40% - Accent4 5 4 6" xfId="16592"/>
    <cellStyle name="40% - Accent4 5 4 7" xfId="16593"/>
    <cellStyle name="40% - Accent4 5 4 8" xfId="16594"/>
    <cellStyle name="40% - Accent4 5 4 9" xfId="16595"/>
    <cellStyle name="40% - Accent4 5 5" xfId="16596"/>
    <cellStyle name="40% - Accent4 5 5 2" xfId="16597"/>
    <cellStyle name="40% - Accent4 5 5 2 2" xfId="16598"/>
    <cellStyle name="40% - Accent4 5 5 2 3" xfId="16599"/>
    <cellStyle name="40% - Accent4 5 5 2 4" xfId="16600"/>
    <cellStyle name="40% - Accent4 5 5 2 5" xfId="16601"/>
    <cellStyle name="40% - Accent4 5 5 2 6" xfId="16602"/>
    <cellStyle name="40% - Accent4 5 5 2 7" xfId="16603"/>
    <cellStyle name="40% - Accent4 5 5 3" xfId="16604"/>
    <cellStyle name="40% - Accent4 5 5 3 2" xfId="16605"/>
    <cellStyle name="40% - Accent4 5 5 3 3" xfId="16606"/>
    <cellStyle name="40% - Accent4 5 5 3 4" xfId="16607"/>
    <cellStyle name="40% - Accent4 5 5 3 5" xfId="16608"/>
    <cellStyle name="40% - Accent4 5 5 3 6" xfId="16609"/>
    <cellStyle name="40% - Accent4 5 5 4" xfId="16610"/>
    <cellStyle name="40% - Accent4 5 5 5" xfId="16611"/>
    <cellStyle name="40% - Accent4 5 5 6" xfId="16612"/>
    <cellStyle name="40% - Accent4 5 5 7" xfId="16613"/>
    <cellStyle name="40% - Accent4 5 5 8" xfId="16614"/>
    <cellStyle name="40% - Accent4 5 5 9" xfId="16615"/>
    <cellStyle name="40% - Accent4 5 6" xfId="16616"/>
    <cellStyle name="40% - Accent4 5 6 2" xfId="16617"/>
    <cellStyle name="40% - Accent4 5 6 2 2" xfId="16618"/>
    <cellStyle name="40% - Accent4 5 6 2 3" xfId="16619"/>
    <cellStyle name="40% - Accent4 5 6 2 4" xfId="16620"/>
    <cellStyle name="40% - Accent4 5 6 2 5" xfId="16621"/>
    <cellStyle name="40% - Accent4 5 6 2 6" xfId="16622"/>
    <cellStyle name="40% - Accent4 5 6 2 7" xfId="16623"/>
    <cellStyle name="40% - Accent4 5 6 3" xfId="16624"/>
    <cellStyle name="40% - Accent4 5 6 3 2" xfId="16625"/>
    <cellStyle name="40% - Accent4 5 6 3 3" xfId="16626"/>
    <cellStyle name="40% - Accent4 5 6 3 4" xfId="16627"/>
    <cellStyle name="40% - Accent4 5 6 3 5" xfId="16628"/>
    <cellStyle name="40% - Accent4 5 6 3 6" xfId="16629"/>
    <cellStyle name="40% - Accent4 5 6 4" xfId="16630"/>
    <cellStyle name="40% - Accent4 5 6 5" xfId="16631"/>
    <cellStyle name="40% - Accent4 5 6 6" xfId="16632"/>
    <cellStyle name="40% - Accent4 5 6 7" xfId="16633"/>
    <cellStyle name="40% - Accent4 5 6 8" xfId="16634"/>
    <cellStyle name="40% - Accent4 5 6 9" xfId="16635"/>
    <cellStyle name="40% - Accent4 5 7" xfId="16636"/>
    <cellStyle name="40% - Accent4 5 7 2" xfId="16637"/>
    <cellStyle name="40% - Accent4 5 7 2 2" xfId="16638"/>
    <cellStyle name="40% - Accent4 5 7 2 3" xfId="16639"/>
    <cellStyle name="40% - Accent4 5 7 2 4" xfId="16640"/>
    <cellStyle name="40% - Accent4 5 7 2 5" xfId="16641"/>
    <cellStyle name="40% - Accent4 5 7 2 6" xfId="16642"/>
    <cellStyle name="40% - Accent4 5 7 2 7" xfId="16643"/>
    <cellStyle name="40% - Accent4 5 7 3" xfId="16644"/>
    <cellStyle name="40% - Accent4 5 7 3 2" xfId="16645"/>
    <cellStyle name="40% - Accent4 5 7 3 3" xfId="16646"/>
    <cellStyle name="40% - Accent4 5 7 3 4" xfId="16647"/>
    <cellStyle name="40% - Accent4 5 7 3 5" xfId="16648"/>
    <cellStyle name="40% - Accent4 5 7 3 6" xfId="16649"/>
    <cellStyle name="40% - Accent4 5 7 4" xfId="16650"/>
    <cellStyle name="40% - Accent4 5 7 5" xfId="16651"/>
    <cellStyle name="40% - Accent4 5 7 6" xfId="16652"/>
    <cellStyle name="40% - Accent4 5 7 7" xfId="16653"/>
    <cellStyle name="40% - Accent4 5 7 8" xfId="16654"/>
    <cellStyle name="40% - Accent4 5 7 9" xfId="16655"/>
    <cellStyle name="40% - Accent4 5 8" xfId="16656"/>
    <cellStyle name="40% - Accent4 5 8 2" xfId="16657"/>
    <cellStyle name="40% - Accent4 5 8 2 2" xfId="16658"/>
    <cellStyle name="40% - Accent4 5 8 2 3" xfId="16659"/>
    <cellStyle name="40% - Accent4 5 8 2 4" xfId="16660"/>
    <cellStyle name="40% - Accent4 5 8 2 5" xfId="16661"/>
    <cellStyle name="40% - Accent4 5 8 2 6" xfId="16662"/>
    <cellStyle name="40% - Accent4 5 8 2 7" xfId="16663"/>
    <cellStyle name="40% - Accent4 5 8 3" xfId="16664"/>
    <cellStyle name="40% - Accent4 5 8 3 2" xfId="16665"/>
    <cellStyle name="40% - Accent4 5 8 3 3" xfId="16666"/>
    <cellStyle name="40% - Accent4 5 8 3 4" xfId="16667"/>
    <cellStyle name="40% - Accent4 5 8 3 5" xfId="16668"/>
    <cellStyle name="40% - Accent4 5 8 3 6" xfId="16669"/>
    <cellStyle name="40% - Accent4 5 8 4" xfId="16670"/>
    <cellStyle name="40% - Accent4 5 8 5" xfId="16671"/>
    <cellStyle name="40% - Accent4 5 8 6" xfId="16672"/>
    <cellStyle name="40% - Accent4 5 8 7" xfId="16673"/>
    <cellStyle name="40% - Accent4 5 8 8" xfId="16674"/>
    <cellStyle name="40% - Accent4 5 8 9" xfId="16675"/>
    <cellStyle name="40% - Accent4 5 9" xfId="16676"/>
    <cellStyle name="40% - Accent4 5 9 2" xfId="16677"/>
    <cellStyle name="40% - Accent4 5 9 2 2" xfId="16678"/>
    <cellStyle name="40% - Accent4 5 9 2 3" xfId="16679"/>
    <cellStyle name="40% - Accent4 5 9 2 4" xfId="16680"/>
    <cellStyle name="40% - Accent4 5 9 2 5" xfId="16681"/>
    <cellStyle name="40% - Accent4 5 9 2 6" xfId="16682"/>
    <cellStyle name="40% - Accent4 5 9 3" xfId="16683"/>
    <cellStyle name="40% - Accent4 5 9 4" xfId="16684"/>
    <cellStyle name="40% - Accent4 5 9 5" xfId="16685"/>
    <cellStyle name="40% - Accent4 5 9 6" xfId="16686"/>
    <cellStyle name="40% - Accent4 5 9 7" xfId="16687"/>
    <cellStyle name="40% - Accent4 5 9 8" xfId="16688"/>
    <cellStyle name="40% - Accent4 6" xfId="16689"/>
    <cellStyle name="40% - Accent4 6 10" xfId="16690"/>
    <cellStyle name="40% - Accent4 6 10 2" xfId="16691"/>
    <cellStyle name="40% - Accent4 6 10 3" xfId="16692"/>
    <cellStyle name="40% - Accent4 6 10 4" xfId="16693"/>
    <cellStyle name="40% - Accent4 6 10 5" xfId="16694"/>
    <cellStyle name="40% - Accent4 6 10 6" xfId="16695"/>
    <cellStyle name="40% - Accent4 6 10 7" xfId="16696"/>
    <cellStyle name="40% - Accent4 6 11" xfId="16697"/>
    <cellStyle name="40% - Accent4 6 11 2" xfId="16698"/>
    <cellStyle name="40% - Accent4 6 11 3" xfId="16699"/>
    <cellStyle name="40% - Accent4 6 11 4" xfId="16700"/>
    <cellStyle name="40% - Accent4 6 11 5" xfId="16701"/>
    <cellStyle name="40% - Accent4 6 11 6" xfId="16702"/>
    <cellStyle name="40% - Accent4 6 12" xfId="16703"/>
    <cellStyle name="40% - Accent4 6 12 2" xfId="16704"/>
    <cellStyle name="40% - Accent4 6 13" xfId="16705"/>
    <cellStyle name="40% - Accent4 6 14" xfId="16706"/>
    <cellStyle name="40% - Accent4 6 15" xfId="16707"/>
    <cellStyle name="40% - Accent4 6 16" xfId="16708"/>
    <cellStyle name="40% - Accent4 6 17" xfId="16709"/>
    <cellStyle name="40% - Accent4 6 2" xfId="16710"/>
    <cellStyle name="40% - Accent4 6 2 2" xfId="16711"/>
    <cellStyle name="40% - Accent4 6 2 2 2" xfId="16712"/>
    <cellStyle name="40% - Accent4 6 2 2 3" xfId="16713"/>
    <cellStyle name="40% - Accent4 6 2 2 4" xfId="16714"/>
    <cellStyle name="40% - Accent4 6 2 2 5" xfId="16715"/>
    <cellStyle name="40% - Accent4 6 2 2 6" xfId="16716"/>
    <cellStyle name="40% - Accent4 6 2 2 7" xfId="16717"/>
    <cellStyle name="40% - Accent4 6 2 3" xfId="16718"/>
    <cellStyle name="40% - Accent4 6 2 3 2" xfId="16719"/>
    <cellStyle name="40% - Accent4 6 2 3 3" xfId="16720"/>
    <cellStyle name="40% - Accent4 6 2 3 4" xfId="16721"/>
    <cellStyle name="40% - Accent4 6 2 3 5" xfId="16722"/>
    <cellStyle name="40% - Accent4 6 2 3 6" xfId="16723"/>
    <cellStyle name="40% - Accent4 6 2 4" xfId="16724"/>
    <cellStyle name="40% - Accent4 6 2 4 2" xfId="16725"/>
    <cellStyle name="40% - Accent4 6 2 5" xfId="16726"/>
    <cellStyle name="40% - Accent4 6 2 6" xfId="16727"/>
    <cellStyle name="40% - Accent4 6 2 7" xfId="16728"/>
    <cellStyle name="40% - Accent4 6 2 8" xfId="16729"/>
    <cellStyle name="40% - Accent4 6 2 9" xfId="16730"/>
    <cellStyle name="40% - Accent4 6 3" xfId="16731"/>
    <cellStyle name="40% - Accent4 6 3 2" xfId="16732"/>
    <cellStyle name="40% - Accent4 6 3 2 2" xfId="16733"/>
    <cellStyle name="40% - Accent4 6 3 2 3" xfId="16734"/>
    <cellStyle name="40% - Accent4 6 3 2 4" xfId="16735"/>
    <cellStyle name="40% - Accent4 6 3 2 5" xfId="16736"/>
    <cellStyle name="40% - Accent4 6 3 2 6" xfId="16737"/>
    <cellStyle name="40% - Accent4 6 3 2 7" xfId="16738"/>
    <cellStyle name="40% - Accent4 6 3 3" xfId="16739"/>
    <cellStyle name="40% - Accent4 6 3 3 2" xfId="16740"/>
    <cellStyle name="40% - Accent4 6 3 3 3" xfId="16741"/>
    <cellStyle name="40% - Accent4 6 3 3 4" xfId="16742"/>
    <cellStyle name="40% - Accent4 6 3 3 5" xfId="16743"/>
    <cellStyle name="40% - Accent4 6 3 3 6" xfId="16744"/>
    <cellStyle name="40% - Accent4 6 3 4" xfId="16745"/>
    <cellStyle name="40% - Accent4 6 3 4 2" xfId="16746"/>
    <cellStyle name="40% - Accent4 6 3 5" xfId="16747"/>
    <cellStyle name="40% - Accent4 6 3 6" xfId="16748"/>
    <cellStyle name="40% - Accent4 6 3 7" xfId="16749"/>
    <cellStyle name="40% - Accent4 6 3 8" xfId="16750"/>
    <cellStyle name="40% - Accent4 6 3 9" xfId="16751"/>
    <cellStyle name="40% - Accent4 6 4" xfId="16752"/>
    <cellStyle name="40% - Accent4 6 4 2" xfId="16753"/>
    <cellStyle name="40% - Accent4 6 4 2 2" xfId="16754"/>
    <cellStyle name="40% - Accent4 6 4 2 3" xfId="16755"/>
    <cellStyle name="40% - Accent4 6 4 2 4" xfId="16756"/>
    <cellStyle name="40% - Accent4 6 4 2 5" xfId="16757"/>
    <cellStyle name="40% - Accent4 6 4 2 6" xfId="16758"/>
    <cellStyle name="40% - Accent4 6 4 2 7" xfId="16759"/>
    <cellStyle name="40% - Accent4 6 4 3" xfId="16760"/>
    <cellStyle name="40% - Accent4 6 4 3 2" xfId="16761"/>
    <cellStyle name="40% - Accent4 6 4 3 3" xfId="16762"/>
    <cellStyle name="40% - Accent4 6 4 3 4" xfId="16763"/>
    <cellStyle name="40% - Accent4 6 4 3 5" xfId="16764"/>
    <cellStyle name="40% - Accent4 6 4 3 6" xfId="16765"/>
    <cellStyle name="40% - Accent4 6 4 4" xfId="16766"/>
    <cellStyle name="40% - Accent4 6 4 5" xfId="16767"/>
    <cellStyle name="40% - Accent4 6 4 6" xfId="16768"/>
    <cellStyle name="40% - Accent4 6 4 7" xfId="16769"/>
    <cellStyle name="40% - Accent4 6 4 8" xfId="16770"/>
    <cellStyle name="40% - Accent4 6 4 9" xfId="16771"/>
    <cellStyle name="40% - Accent4 6 5" xfId="16772"/>
    <cellStyle name="40% - Accent4 6 5 2" xfId="16773"/>
    <cellStyle name="40% - Accent4 6 5 2 2" xfId="16774"/>
    <cellStyle name="40% - Accent4 6 5 2 3" xfId="16775"/>
    <cellStyle name="40% - Accent4 6 5 2 4" xfId="16776"/>
    <cellStyle name="40% - Accent4 6 5 2 5" xfId="16777"/>
    <cellStyle name="40% - Accent4 6 5 2 6" xfId="16778"/>
    <cellStyle name="40% - Accent4 6 5 2 7" xfId="16779"/>
    <cellStyle name="40% - Accent4 6 5 3" xfId="16780"/>
    <cellStyle name="40% - Accent4 6 5 3 2" xfId="16781"/>
    <cellStyle name="40% - Accent4 6 5 3 3" xfId="16782"/>
    <cellStyle name="40% - Accent4 6 5 3 4" xfId="16783"/>
    <cellStyle name="40% - Accent4 6 5 3 5" xfId="16784"/>
    <cellStyle name="40% - Accent4 6 5 3 6" xfId="16785"/>
    <cellStyle name="40% - Accent4 6 5 4" xfId="16786"/>
    <cellStyle name="40% - Accent4 6 5 5" xfId="16787"/>
    <cellStyle name="40% - Accent4 6 5 6" xfId="16788"/>
    <cellStyle name="40% - Accent4 6 5 7" xfId="16789"/>
    <cellStyle name="40% - Accent4 6 5 8" xfId="16790"/>
    <cellStyle name="40% - Accent4 6 5 9" xfId="16791"/>
    <cellStyle name="40% - Accent4 6 6" xfId="16792"/>
    <cellStyle name="40% - Accent4 6 6 2" xfId="16793"/>
    <cellStyle name="40% - Accent4 6 6 2 2" xfId="16794"/>
    <cellStyle name="40% - Accent4 6 6 2 3" xfId="16795"/>
    <cellStyle name="40% - Accent4 6 6 2 4" xfId="16796"/>
    <cellStyle name="40% - Accent4 6 6 2 5" xfId="16797"/>
    <cellStyle name="40% - Accent4 6 6 2 6" xfId="16798"/>
    <cellStyle name="40% - Accent4 6 6 2 7" xfId="16799"/>
    <cellStyle name="40% - Accent4 6 6 3" xfId="16800"/>
    <cellStyle name="40% - Accent4 6 6 3 2" xfId="16801"/>
    <cellStyle name="40% - Accent4 6 6 3 3" xfId="16802"/>
    <cellStyle name="40% - Accent4 6 6 3 4" xfId="16803"/>
    <cellStyle name="40% - Accent4 6 6 3 5" xfId="16804"/>
    <cellStyle name="40% - Accent4 6 6 3 6" xfId="16805"/>
    <cellStyle name="40% - Accent4 6 6 4" xfId="16806"/>
    <cellStyle name="40% - Accent4 6 6 5" xfId="16807"/>
    <cellStyle name="40% - Accent4 6 6 6" xfId="16808"/>
    <cellStyle name="40% - Accent4 6 6 7" xfId="16809"/>
    <cellStyle name="40% - Accent4 6 6 8" xfId="16810"/>
    <cellStyle name="40% - Accent4 6 6 9" xfId="16811"/>
    <cellStyle name="40% - Accent4 6 7" xfId="16812"/>
    <cellStyle name="40% - Accent4 6 7 2" xfId="16813"/>
    <cellStyle name="40% - Accent4 6 7 2 2" xfId="16814"/>
    <cellStyle name="40% - Accent4 6 7 2 3" xfId="16815"/>
    <cellStyle name="40% - Accent4 6 7 2 4" xfId="16816"/>
    <cellStyle name="40% - Accent4 6 7 2 5" xfId="16817"/>
    <cellStyle name="40% - Accent4 6 7 2 6" xfId="16818"/>
    <cellStyle name="40% - Accent4 6 7 2 7" xfId="16819"/>
    <cellStyle name="40% - Accent4 6 7 3" xfId="16820"/>
    <cellStyle name="40% - Accent4 6 7 3 2" xfId="16821"/>
    <cellStyle name="40% - Accent4 6 7 3 3" xfId="16822"/>
    <cellStyle name="40% - Accent4 6 7 3 4" xfId="16823"/>
    <cellStyle name="40% - Accent4 6 7 3 5" xfId="16824"/>
    <cellStyle name="40% - Accent4 6 7 3 6" xfId="16825"/>
    <cellStyle name="40% - Accent4 6 7 4" xfId="16826"/>
    <cellStyle name="40% - Accent4 6 7 5" xfId="16827"/>
    <cellStyle name="40% - Accent4 6 7 6" xfId="16828"/>
    <cellStyle name="40% - Accent4 6 7 7" xfId="16829"/>
    <cellStyle name="40% - Accent4 6 7 8" xfId="16830"/>
    <cellStyle name="40% - Accent4 6 7 9" xfId="16831"/>
    <cellStyle name="40% - Accent4 6 8" xfId="16832"/>
    <cellStyle name="40% - Accent4 6 8 2" xfId="16833"/>
    <cellStyle name="40% - Accent4 6 8 2 2" xfId="16834"/>
    <cellStyle name="40% - Accent4 6 8 2 3" xfId="16835"/>
    <cellStyle name="40% - Accent4 6 8 2 4" xfId="16836"/>
    <cellStyle name="40% - Accent4 6 8 2 5" xfId="16837"/>
    <cellStyle name="40% - Accent4 6 8 2 6" xfId="16838"/>
    <cellStyle name="40% - Accent4 6 8 2 7" xfId="16839"/>
    <cellStyle name="40% - Accent4 6 8 3" xfId="16840"/>
    <cellStyle name="40% - Accent4 6 8 3 2" xfId="16841"/>
    <cellStyle name="40% - Accent4 6 8 3 3" xfId="16842"/>
    <cellStyle name="40% - Accent4 6 8 3 4" xfId="16843"/>
    <cellStyle name="40% - Accent4 6 8 3 5" xfId="16844"/>
    <cellStyle name="40% - Accent4 6 8 3 6" xfId="16845"/>
    <cellStyle name="40% - Accent4 6 8 4" xfId="16846"/>
    <cellStyle name="40% - Accent4 6 8 5" xfId="16847"/>
    <cellStyle name="40% - Accent4 6 8 6" xfId="16848"/>
    <cellStyle name="40% - Accent4 6 8 7" xfId="16849"/>
    <cellStyle name="40% - Accent4 6 8 8" xfId="16850"/>
    <cellStyle name="40% - Accent4 6 8 9" xfId="16851"/>
    <cellStyle name="40% - Accent4 6 9" xfId="16852"/>
    <cellStyle name="40% - Accent4 6 9 2" xfId="16853"/>
    <cellStyle name="40% - Accent4 6 9 2 2" xfId="16854"/>
    <cellStyle name="40% - Accent4 6 9 2 3" xfId="16855"/>
    <cellStyle name="40% - Accent4 6 9 2 4" xfId="16856"/>
    <cellStyle name="40% - Accent4 6 9 2 5" xfId="16857"/>
    <cellStyle name="40% - Accent4 6 9 2 6" xfId="16858"/>
    <cellStyle name="40% - Accent4 6 9 3" xfId="16859"/>
    <cellStyle name="40% - Accent4 6 9 4" xfId="16860"/>
    <cellStyle name="40% - Accent4 6 9 5" xfId="16861"/>
    <cellStyle name="40% - Accent4 6 9 6" xfId="16862"/>
    <cellStyle name="40% - Accent4 6 9 7" xfId="16863"/>
    <cellStyle name="40% - Accent4 6 9 8" xfId="16864"/>
    <cellStyle name="40% - Accent4 7" xfId="16865"/>
    <cellStyle name="40% - Accent4 7 10" xfId="16866"/>
    <cellStyle name="40% - Accent4 7 10 2" xfId="16867"/>
    <cellStyle name="40% - Accent4 7 10 3" xfId="16868"/>
    <cellStyle name="40% - Accent4 7 10 4" xfId="16869"/>
    <cellStyle name="40% - Accent4 7 10 5" xfId="16870"/>
    <cellStyle name="40% - Accent4 7 10 6" xfId="16871"/>
    <cellStyle name="40% - Accent4 7 10 7" xfId="16872"/>
    <cellStyle name="40% - Accent4 7 11" xfId="16873"/>
    <cellStyle name="40% - Accent4 7 11 2" xfId="16874"/>
    <cellStyle name="40% - Accent4 7 11 3" xfId="16875"/>
    <cellStyle name="40% - Accent4 7 11 4" xfId="16876"/>
    <cellStyle name="40% - Accent4 7 11 5" xfId="16877"/>
    <cellStyle name="40% - Accent4 7 11 6" xfId="16878"/>
    <cellStyle name="40% - Accent4 7 12" xfId="16879"/>
    <cellStyle name="40% - Accent4 7 12 2" xfId="16880"/>
    <cellStyle name="40% - Accent4 7 13" xfId="16881"/>
    <cellStyle name="40% - Accent4 7 14" xfId="16882"/>
    <cellStyle name="40% - Accent4 7 15" xfId="16883"/>
    <cellStyle name="40% - Accent4 7 16" xfId="16884"/>
    <cellStyle name="40% - Accent4 7 17" xfId="16885"/>
    <cellStyle name="40% - Accent4 7 2" xfId="16886"/>
    <cellStyle name="40% - Accent4 7 2 2" xfId="16887"/>
    <cellStyle name="40% - Accent4 7 2 2 2" xfId="16888"/>
    <cellStyle name="40% - Accent4 7 2 2 3" xfId="16889"/>
    <cellStyle name="40% - Accent4 7 2 2 4" xfId="16890"/>
    <cellStyle name="40% - Accent4 7 2 2 5" xfId="16891"/>
    <cellStyle name="40% - Accent4 7 2 2 6" xfId="16892"/>
    <cellStyle name="40% - Accent4 7 2 2 7" xfId="16893"/>
    <cellStyle name="40% - Accent4 7 2 3" xfId="16894"/>
    <cellStyle name="40% - Accent4 7 2 3 2" xfId="16895"/>
    <cellStyle name="40% - Accent4 7 2 3 3" xfId="16896"/>
    <cellStyle name="40% - Accent4 7 2 3 4" xfId="16897"/>
    <cellStyle name="40% - Accent4 7 2 3 5" xfId="16898"/>
    <cellStyle name="40% - Accent4 7 2 3 6" xfId="16899"/>
    <cellStyle name="40% - Accent4 7 2 4" xfId="16900"/>
    <cellStyle name="40% - Accent4 7 2 4 2" xfId="16901"/>
    <cellStyle name="40% - Accent4 7 2 5" xfId="16902"/>
    <cellStyle name="40% - Accent4 7 2 6" xfId="16903"/>
    <cellStyle name="40% - Accent4 7 2 7" xfId="16904"/>
    <cellStyle name="40% - Accent4 7 2 8" xfId="16905"/>
    <cellStyle name="40% - Accent4 7 2 9" xfId="16906"/>
    <cellStyle name="40% - Accent4 7 3" xfId="16907"/>
    <cellStyle name="40% - Accent4 7 3 2" xfId="16908"/>
    <cellStyle name="40% - Accent4 7 3 2 2" xfId="16909"/>
    <cellStyle name="40% - Accent4 7 3 2 3" xfId="16910"/>
    <cellStyle name="40% - Accent4 7 3 2 4" xfId="16911"/>
    <cellStyle name="40% - Accent4 7 3 2 5" xfId="16912"/>
    <cellStyle name="40% - Accent4 7 3 2 6" xfId="16913"/>
    <cellStyle name="40% - Accent4 7 3 2 7" xfId="16914"/>
    <cellStyle name="40% - Accent4 7 3 3" xfId="16915"/>
    <cellStyle name="40% - Accent4 7 3 3 2" xfId="16916"/>
    <cellStyle name="40% - Accent4 7 3 3 3" xfId="16917"/>
    <cellStyle name="40% - Accent4 7 3 3 4" xfId="16918"/>
    <cellStyle name="40% - Accent4 7 3 3 5" xfId="16919"/>
    <cellStyle name="40% - Accent4 7 3 3 6" xfId="16920"/>
    <cellStyle name="40% - Accent4 7 3 4" xfId="16921"/>
    <cellStyle name="40% - Accent4 7 3 4 2" xfId="16922"/>
    <cellStyle name="40% - Accent4 7 3 5" xfId="16923"/>
    <cellStyle name="40% - Accent4 7 3 6" xfId="16924"/>
    <cellStyle name="40% - Accent4 7 3 7" xfId="16925"/>
    <cellStyle name="40% - Accent4 7 3 8" xfId="16926"/>
    <cellStyle name="40% - Accent4 7 3 9" xfId="16927"/>
    <cellStyle name="40% - Accent4 7 4" xfId="16928"/>
    <cellStyle name="40% - Accent4 7 4 2" xfId="16929"/>
    <cellStyle name="40% - Accent4 7 4 2 2" xfId="16930"/>
    <cellStyle name="40% - Accent4 7 4 2 3" xfId="16931"/>
    <cellStyle name="40% - Accent4 7 4 2 4" xfId="16932"/>
    <cellStyle name="40% - Accent4 7 4 2 5" xfId="16933"/>
    <cellStyle name="40% - Accent4 7 4 2 6" xfId="16934"/>
    <cellStyle name="40% - Accent4 7 4 2 7" xfId="16935"/>
    <cellStyle name="40% - Accent4 7 4 3" xfId="16936"/>
    <cellStyle name="40% - Accent4 7 4 3 2" xfId="16937"/>
    <cellStyle name="40% - Accent4 7 4 3 3" xfId="16938"/>
    <cellStyle name="40% - Accent4 7 4 3 4" xfId="16939"/>
    <cellStyle name="40% - Accent4 7 4 3 5" xfId="16940"/>
    <cellStyle name="40% - Accent4 7 4 3 6" xfId="16941"/>
    <cellStyle name="40% - Accent4 7 4 4" xfId="16942"/>
    <cellStyle name="40% - Accent4 7 4 5" xfId="16943"/>
    <cellStyle name="40% - Accent4 7 4 6" xfId="16944"/>
    <cellStyle name="40% - Accent4 7 4 7" xfId="16945"/>
    <cellStyle name="40% - Accent4 7 4 8" xfId="16946"/>
    <cellStyle name="40% - Accent4 7 4 9" xfId="16947"/>
    <cellStyle name="40% - Accent4 7 5" xfId="16948"/>
    <cellStyle name="40% - Accent4 7 5 2" xfId="16949"/>
    <cellStyle name="40% - Accent4 7 5 2 2" xfId="16950"/>
    <cellStyle name="40% - Accent4 7 5 2 3" xfId="16951"/>
    <cellStyle name="40% - Accent4 7 5 2 4" xfId="16952"/>
    <cellStyle name="40% - Accent4 7 5 2 5" xfId="16953"/>
    <cellStyle name="40% - Accent4 7 5 2 6" xfId="16954"/>
    <cellStyle name="40% - Accent4 7 5 2 7" xfId="16955"/>
    <cellStyle name="40% - Accent4 7 5 3" xfId="16956"/>
    <cellStyle name="40% - Accent4 7 5 3 2" xfId="16957"/>
    <cellStyle name="40% - Accent4 7 5 3 3" xfId="16958"/>
    <cellStyle name="40% - Accent4 7 5 3 4" xfId="16959"/>
    <cellStyle name="40% - Accent4 7 5 3 5" xfId="16960"/>
    <cellStyle name="40% - Accent4 7 5 3 6" xfId="16961"/>
    <cellStyle name="40% - Accent4 7 5 4" xfId="16962"/>
    <cellStyle name="40% - Accent4 7 5 5" xfId="16963"/>
    <cellStyle name="40% - Accent4 7 5 6" xfId="16964"/>
    <cellStyle name="40% - Accent4 7 5 7" xfId="16965"/>
    <cellStyle name="40% - Accent4 7 5 8" xfId="16966"/>
    <cellStyle name="40% - Accent4 7 5 9" xfId="16967"/>
    <cellStyle name="40% - Accent4 7 6" xfId="16968"/>
    <cellStyle name="40% - Accent4 7 6 2" xfId="16969"/>
    <cellStyle name="40% - Accent4 7 6 2 2" xfId="16970"/>
    <cellStyle name="40% - Accent4 7 6 2 3" xfId="16971"/>
    <cellStyle name="40% - Accent4 7 6 2 4" xfId="16972"/>
    <cellStyle name="40% - Accent4 7 6 2 5" xfId="16973"/>
    <cellStyle name="40% - Accent4 7 6 2 6" xfId="16974"/>
    <cellStyle name="40% - Accent4 7 6 2 7" xfId="16975"/>
    <cellStyle name="40% - Accent4 7 6 3" xfId="16976"/>
    <cellStyle name="40% - Accent4 7 6 3 2" xfId="16977"/>
    <cellStyle name="40% - Accent4 7 6 3 3" xfId="16978"/>
    <cellStyle name="40% - Accent4 7 6 3 4" xfId="16979"/>
    <cellStyle name="40% - Accent4 7 6 3 5" xfId="16980"/>
    <cellStyle name="40% - Accent4 7 6 3 6" xfId="16981"/>
    <cellStyle name="40% - Accent4 7 6 4" xfId="16982"/>
    <cellStyle name="40% - Accent4 7 6 5" xfId="16983"/>
    <cellStyle name="40% - Accent4 7 6 6" xfId="16984"/>
    <cellStyle name="40% - Accent4 7 6 7" xfId="16985"/>
    <cellStyle name="40% - Accent4 7 6 8" xfId="16986"/>
    <cellStyle name="40% - Accent4 7 6 9" xfId="16987"/>
    <cellStyle name="40% - Accent4 7 7" xfId="16988"/>
    <cellStyle name="40% - Accent4 7 7 2" xfId="16989"/>
    <cellStyle name="40% - Accent4 7 7 2 2" xfId="16990"/>
    <cellStyle name="40% - Accent4 7 7 2 3" xfId="16991"/>
    <cellStyle name="40% - Accent4 7 7 2 4" xfId="16992"/>
    <cellStyle name="40% - Accent4 7 7 2 5" xfId="16993"/>
    <cellStyle name="40% - Accent4 7 7 2 6" xfId="16994"/>
    <cellStyle name="40% - Accent4 7 7 2 7" xfId="16995"/>
    <cellStyle name="40% - Accent4 7 7 3" xfId="16996"/>
    <cellStyle name="40% - Accent4 7 7 3 2" xfId="16997"/>
    <cellStyle name="40% - Accent4 7 7 3 3" xfId="16998"/>
    <cellStyle name="40% - Accent4 7 7 3 4" xfId="16999"/>
    <cellStyle name="40% - Accent4 7 7 3 5" xfId="17000"/>
    <cellStyle name="40% - Accent4 7 7 3 6" xfId="17001"/>
    <cellStyle name="40% - Accent4 7 7 4" xfId="17002"/>
    <cellStyle name="40% - Accent4 7 7 5" xfId="17003"/>
    <cellStyle name="40% - Accent4 7 7 6" xfId="17004"/>
    <cellStyle name="40% - Accent4 7 7 7" xfId="17005"/>
    <cellStyle name="40% - Accent4 7 7 8" xfId="17006"/>
    <cellStyle name="40% - Accent4 7 7 9" xfId="17007"/>
    <cellStyle name="40% - Accent4 7 8" xfId="17008"/>
    <cellStyle name="40% - Accent4 7 8 2" xfId="17009"/>
    <cellStyle name="40% - Accent4 7 8 2 2" xfId="17010"/>
    <cellStyle name="40% - Accent4 7 8 2 3" xfId="17011"/>
    <cellStyle name="40% - Accent4 7 8 2 4" xfId="17012"/>
    <cellStyle name="40% - Accent4 7 8 2 5" xfId="17013"/>
    <cellStyle name="40% - Accent4 7 8 2 6" xfId="17014"/>
    <cellStyle name="40% - Accent4 7 8 2 7" xfId="17015"/>
    <cellStyle name="40% - Accent4 7 8 3" xfId="17016"/>
    <cellStyle name="40% - Accent4 7 8 3 2" xfId="17017"/>
    <cellStyle name="40% - Accent4 7 8 3 3" xfId="17018"/>
    <cellStyle name="40% - Accent4 7 8 3 4" xfId="17019"/>
    <cellStyle name="40% - Accent4 7 8 3 5" xfId="17020"/>
    <cellStyle name="40% - Accent4 7 8 3 6" xfId="17021"/>
    <cellStyle name="40% - Accent4 7 8 4" xfId="17022"/>
    <cellStyle name="40% - Accent4 7 8 5" xfId="17023"/>
    <cellStyle name="40% - Accent4 7 8 6" xfId="17024"/>
    <cellStyle name="40% - Accent4 7 8 7" xfId="17025"/>
    <cellStyle name="40% - Accent4 7 8 8" xfId="17026"/>
    <cellStyle name="40% - Accent4 7 8 9" xfId="17027"/>
    <cellStyle name="40% - Accent4 7 9" xfId="17028"/>
    <cellStyle name="40% - Accent4 7 9 2" xfId="17029"/>
    <cellStyle name="40% - Accent4 7 9 2 2" xfId="17030"/>
    <cellStyle name="40% - Accent4 7 9 2 3" xfId="17031"/>
    <cellStyle name="40% - Accent4 7 9 2 4" xfId="17032"/>
    <cellStyle name="40% - Accent4 7 9 2 5" xfId="17033"/>
    <cellStyle name="40% - Accent4 7 9 2 6" xfId="17034"/>
    <cellStyle name="40% - Accent4 7 9 3" xfId="17035"/>
    <cellStyle name="40% - Accent4 7 9 4" xfId="17036"/>
    <cellStyle name="40% - Accent4 7 9 5" xfId="17037"/>
    <cellStyle name="40% - Accent4 7 9 6" xfId="17038"/>
    <cellStyle name="40% - Accent4 7 9 7" xfId="17039"/>
    <cellStyle name="40% - Accent4 7 9 8" xfId="17040"/>
    <cellStyle name="40% - Accent4 8" xfId="17041"/>
    <cellStyle name="40% - Accent4 8 10" xfId="17042"/>
    <cellStyle name="40% - Accent4 8 10 2" xfId="17043"/>
    <cellStyle name="40% - Accent4 8 10 3" xfId="17044"/>
    <cellStyle name="40% - Accent4 8 10 4" xfId="17045"/>
    <cellStyle name="40% - Accent4 8 10 5" xfId="17046"/>
    <cellStyle name="40% - Accent4 8 10 6" xfId="17047"/>
    <cellStyle name="40% - Accent4 8 10 7" xfId="17048"/>
    <cellStyle name="40% - Accent4 8 11" xfId="17049"/>
    <cellStyle name="40% - Accent4 8 11 2" xfId="17050"/>
    <cellStyle name="40% - Accent4 8 11 3" xfId="17051"/>
    <cellStyle name="40% - Accent4 8 11 4" xfId="17052"/>
    <cellStyle name="40% - Accent4 8 11 5" xfId="17053"/>
    <cellStyle name="40% - Accent4 8 11 6" xfId="17054"/>
    <cellStyle name="40% - Accent4 8 12" xfId="17055"/>
    <cellStyle name="40% - Accent4 8 12 2" xfId="17056"/>
    <cellStyle name="40% - Accent4 8 13" xfId="17057"/>
    <cellStyle name="40% - Accent4 8 14" xfId="17058"/>
    <cellStyle name="40% - Accent4 8 15" xfId="17059"/>
    <cellStyle name="40% - Accent4 8 16" xfId="17060"/>
    <cellStyle name="40% - Accent4 8 17" xfId="17061"/>
    <cellStyle name="40% - Accent4 8 2" xfId="17062"/>
    <cellStyle name="40% - Accent4 8 2 2" xfId="17063"/>
    <cellStyle name="40% - Accent4 8 2 2 2" xfId="17064"/>
    <cellStyle name="40% - Accent4 8 2 2 3" xfId="17065"/>
    <cellStyle name="40% - Accent4 8 2 2 4" xfId="17066"/>
    <cellStyle name="40% - Accent4 8 2 2 5" xfId="17067"/>
    <cellStyle name="40% - Accent4 8 2 2 6" xfId="17068"/>
    <cellStyle name="40% - Accent4 8 2 2 7" xfId="17069"/>
    <cellStyle name="40% - Accent4 8 2 3" xfId="17070"/>
    <cellStyle name="40% - Accent4 8 2 3 2" xfId="17071"/>
    <cellStyle name="40% - Accent4 8 2 3 3" xfId="17072"/>
    <cellStyle name="40% - Accent4 8 2 3 4" xfId="17073"/>
    <cellStyle name="40% - Accent4 8 2 3 5" xfId="17074"/>
    <cellStyle name="40% - Accent4 8 2 3 6" xfId="17075"/>
    <cellStyle name="40% - Accent4 8 2 4" xfId="17076"/>
    <cellStyle name="40% - Accent4 8 2 4 2" xfId="17077"/>
    <cellStyle name="40% - Accent4 8 2 5" xfId="17078"/>
    <cellStyle name="40% - Accent4 8 2 6" xfId="17079"/>
    <cellStyle name="40% - Accent4 8 2 7" xfId="17080"/>
    <cellStyle name="40% - Accent4 8 2 8" xfId="17081"/>
    <cellStyle name="40% - Accent4 8 2 9" xfId="17082"/>
    <cellStyle name="40% - Accent4 8 3" xfId="17083"/>
    <cellStyle name="40% - Accent4 8 3 2" xfId="17084"/>
    <cellStyle name="40% - Accent4 8 3 2 2" xfId="17085"/>
    <cellStyle name="40% - Accent4 8 3 2 3" xfId="17086"/>
    <cellStyle name="40% - Accent4 8 3 2 4" xfId="17087"/>
    <cellStyle name="40% - Accent4 8 3 2 5" xfId="17088"/>
    <cellStyle name="40% - Accent4 8 3 2 6" xfId="17089"/>
    <cellStyle name="40% - Accent4 8 3 2 7" xfId="17090"/>
    <cellStyle name="40% - Accent4 8 3 3" xfId="17091"/>
    <cellStyle name="40% - Accent4 8 3 3 2" xfId="17092"/>
    <cellStyle name="40% - Accent4 8 3 3 3" xfId="17093"/>
    <cellStyle name="40% - Accent4 8 3 3 4" xfId="17094"/>
    <cellStyle name="40% - Accent4 8 3 3 5" xfId="17095"/>
    <cellStyle name="40% - Accent4 8 3 3 6" xfId="17096"/>
    <cellStyle name="40% - Accent4 8 3 4" xfId="17097"/>
    <cellStyle name="40% - Accent4 8 3 4 2" xfId="17098"/>
    <cellStyle name="40% - Accent4 8 3 5" xfId="17099"/>
    <cellStyle name="40% - Accent4 8 3 6" xfId="17100"/>
    <cellStyle name="40% - Accent4 8 3 7" xfId="17101"/>
    <cellStyle name="40% - Accent4 8 3 8" xfId="17102"/>
    <cellStyle name="40% - Accent4 8 3 9" xfId="17103"/>
    <cellStyle name="40% - Accent4 8 4" xfId="17104"/>
    <cellStyle name="40% - Accent4 8 4 2" xfId="17105"/>
    <cellStyle name="40% - Accent4 8 4 2 2" xfId="17106"/>
    <cellStyle name="40% - Accent4 8 4 2 3" xfId="17107"/>
    <cellStyle name="40% - Accent4 8 4 2 4" xfId="17108"/>
    <cellStyle name="40% - Accent4 8 4 2 5" xfId="17109"/>
    <cellStyle name="40% - Accent4 8 4 2 6" xfId="17110"/>
    <cellStyle name="40% - Accent4 8 4 2 7" xfId="17111"/>
    <cellStyle name="40% - Accent4 8 4 3" xfId="17112"/>
    <cellStyle name="40% - Accent4 8 4 3 2" xfId="17113"/>
    <cellStyle name="40% - Accent4 8 4 3 3" xfId="17114"/>
    <cellStyle name="40% - Accent4 8 4 3 4" xfId="17115"/>
    <cellStyle name="40% - Accent4 8 4 3 5" xfId="17116"/>
    <cellStyle name="40% - Accent4 8 4 3 6" xfId="17117"/>
    <cellStyle name="40% - Accent4 8 4 4" xfId="17118"/>
    <cellStyle name="40% - Accent4 8 4 5" xfId="17119"/>
    <cellStyle name="40% - Accent4 8 4 6" xfId="17120"/>
    <cellStyle name="40% - Accent4 8 4 7" xfId="17121"/>
    <cellStyle name="40% - Accent4 8 4 8" xfId="17122"/>
    <cellStyle name="40% - Accent4 8 4 9" xfId="17123"/>
    <cellStyle name="40% - Accent4 8 5" xfId="17124"/>
    <cellStyle name="40% - Accent4 8 5 2" xfId="17125"/>
    <cellStyle name="40% - Accent4 8 5 2 2" xfId="17126"/>
    <cellStyle name="40% - Accent4 8 5 2 3" xfId="17127"/>
    <cellStyle name="40% - Accent4 8 5 2 4" xfId="17128"/>
    <cellStyle name="40% - Accent4 8 5 2 5" xfId="17129"/>
    <cellStyle name="40% - Accent4 8 5 2 6" xfId="17130"/>
    <cellStyle name="40% - Accent4 8 5 2 7" xfId="17131"/>
    <cellStyle name="40% - Accent4 8 5 3" xfId="17132"/>
    <cellStyle name="40% - Accent4 8 5 3 2" xfId="17133"/>
    <cellStyle name="40% - Accent4 8 5 3 3" xfId="17134"/>
    <cellStyle name="40% - Accent4 8 5 3 4" xfId="17135"/>
    <cellStyle name="40% - Accent4 8 5 3 5" xfId="17136"/>
    <cellStyle name="40% - Accent4 8 5 3 6" xfId="17137"/>
    <cellStyle name="40% - Accent4 8 5 4" xfId="17138"/>
    <cellStyle name="40% - Accent4 8 5 5" xfId="17139"/>
    <cellStyle name="40% - Accent4 8 5 6" xfId="17140"/>
    <cellStyle name="40% - Accent4 8 5 7" xfId="17141"/>
    <cellStyle name="40% - Accent4 8 5 8" xfId="17142"/>
    <cellStyle name="40% - Accent4 8 5 9" xfId="17143"/>
    <cellStyle name="40% - Accent4 8 6" xfId="17144"/>
    <cellStyle name="40% - Accent4 8 6 2" xfId="17145"/>
    <cellStyle name="40% - Accent4 8 6 2 2" xfId="17146"/>
    <cellStyle name="40% - Accent4 8 6 2 3" xfId="17147"/>
    <cellStyle name="40% - Accent4 8 6 2 4" xfId="17148"/>
    <cellStyle name="40% - Accent4 8 6 2 5" xfId="17149"/>
    <cellStyle name="40% - Accent4 8 6 2 6" xfId="17150"/>
    <cellStyle name="40% - Accent4 8 6 2 7" xfId="17151"/>
    <cellStyle name="40% - Accent4 8 6 3" xfId="17152"/>
    <cellStyle name="40% - Accent4 8 6 3 2" xfId="17153"/>
    <cellStyle name="40% - Accent4 8 6 3 3" xfId="17154"/>
    <cellStyle name="40% - Accent4 8 6 3 4" xfId="17155"/>
    <cellStyle name="40% - Accent4 8 6 3 5" xfId="17156"/>
    <cellStyle name="40% - Accent4 8 6 3 6" xfId="17157"/>
    <cellStyle name="40% - Accent4 8 6 4" xfId="17158"/>
    <cellStyle name="40% - Accent4 8 6 5" xfId="17159"/>
    <cellStyle name="40% - Accent4 8 6 6" xfId="17160"/>
    <cellStyle name="40% - Accent4 8 6 7" xfId="17161"/>
    <cellStyle name="40% - Accent4 8 6 8" xfId="17162"/>
    <cellStyle name="40% - Accent4 8 6 9" xfId="17163"/>
    <cellStyle name="40% - Accent4 8 7" xfId="17164"/>
    <cellStyle name="40% - Accent4 8 7 2" xfId="17165"/>
    <cellStyle name="40% - Accent4 8 7 2 2" xfId="17166"/>
    <cellStyle name="40% - Accent4 8 7 2 3" xfId="17167"/>
    <cellStyle name="40% - Accent4 8 7 2 4" xfId="17168"/>
    <cellStyle name="40% - Accent4 8 7 2 5" xfId="17169"/>
    <cellStyle name="40% - Accent4 8 7 2 6" xfId="17170"/>
    <cellStyle name="40% - Accent4 8 7 2 7" xfId="17171"/>
    <cellStyle name="40% - Accent4 8 7 3" xfId="17172"/>
    <cellStyle name="40% - Accent4 8 7 3 2" xfId="17173"/>
    <cellStyle name="40% - Accent4 8 7 3 3" xfId="17174"/>
    <cellStyle name="40% - Accent4 8 7 3 4" xfId="17175"/>
    <cellStyle name="40% - Accent4 8 7 3 5" xfId="17176"/>
    <cellStyle name="40% - Accent4 8 7 3 6" xfId="17177"/>
    <cellStyle name="40% - Accent4 8 7 4" xfId="17178"/>
    <cellStyle name="40% - Accent4 8 7 5" xfId="17179"/>
    <cellStyle name="40% - Accent4 8 7 6" xfId="17180"/>
    <cellStyle name="40% - Accent4 8 7 7" xfId="17181"/>
    <cellStyle name="40% - Accent4 8 7 8" xfId="17182"/>
    <cellStyle name="40% - Accent4 8 7 9" xfId="17183"/>
    <cellStyle name="40% - Accent4 8 8" xfId="17184"/>
    <cellStyle name="40% - Accent4 8 8 2" xfId="17185"/>
    <cellStyle name="40% - Accent4 8 8 2 2" xfId="17186"/>
    <cellStyle name="40% - Accent4 8 8 2 3" xfId="17187"/>
    <cellStyle name="40% - Accent4 8 8 2 4" xfId="17188"/>
    <cellStyle name="40% - Accent4 8 8 2 5" xfId="17189"/>
    <cellStyle name="40% - Accent4 8 8 2 6" xfId="17190"/>
    <cellStyle name="40% - Accent4 8 8 2 7" xfId="17191"/>
    <cellStyle name="40% - Accent4 8 8 3" xfId="17192"/>
    <cellStyle name="40% - Accent4 8 8 3 2" xfId="17193"/>
    <cellStyle name="40% - Accent4 8 8 3 3" xfId="17194"/>
    <cellStyle name="40% - Accent4 8 8 3 4" xfId="17195"/>
    <cellStyle name="40% - Accent4 8 8 3 5" xfId="17196"/>
    <cellStyle name="40% - Accent4 8 8 3 6" xfId="17197"/>
    <cellStyle name="40% - Accent4 8 8 4" xfId="17198"/>
    <cellStyle name="40% - Accent4 8 8 5" xfId="17199"/>
    <cellStyle name="40% - Accent4 8 8 6" xfId="17200"/>
    <cellStyle name="40% - Accent4 8 8 7" xfId="17201"/>
    <cellStyle name="40% - Accent4 8 8 8" xfId="17202"/>
    <cellStyle name="40% - Accent4 8 8 9" xfId="17203"/>
    <cellStyle name="40% - Accent4 8 9" xfId="17204"/>
    <cellStyle name="40% - Accent4 8 9 2" xfId="17205"/>
    <cellStyle name="40% - Accent4 8 9 2 2" xfId="17206"/>
    <cellStyle name="40% - Accent4 8 9 2 3" xfId="17207"/>
    <cellStyle name="40% - Accent4 8 9 2 4" xfId="17208"/>
    <cellStyle name="40% - Accent4 8 9 2 5" xfId="17209"/>
    <cellStyle name="40% - Accent4 8 9 2 6" xfId="17210"/>
    <cellStyle name="40% - Accent4 8 9 3" xfId="17211"/>
    <cellStyle name="40% - Accent4 8 9 4" xfId="17212"/>
    <cellStyle name="40% - Accent4 8 9 5" xfId="17213"/>
    <cellStyle name="40% - Accent4 8 9 6" xfId="17214"/>
    <cellStyle name="40% - Accent4 8 9 7" xfId="17215"/>
    <cellStyle name="40% - Accent4 8 9 8" xfId="17216"/>
    <cellStyle name="40% - Accent4 9" xfId="17217"/>
    <cellStyle name="40% - Accent4 9 2" xfId="17218"/>
    <cellStyle name="40% - Accent4 9 3" xfId="17219"/>
    <cellStyle name="40% - Accent4 9 4" xfId="17220"/>
    <cellStyle name="40% - Accent5" xfId="17" builtinId="47" customBuiltin="1"/>
    <cellStyle name="40% - Accent5 10" xfId="17221"/>
    <cellStyle name="40% - Accent5 10 2" xfId="17222"/>
    <cellStyle name="40% - Accent5 10 2 2" xfId="17223"/>
    <cellStyle name="40% - Accent5 10 2 2 2" xfId="17224"/>
    <cellStyle name="40% - Accent5 10 2 3" xfId="17225"/>
    <cellStyle name="40% - Accent5 10 2 4" xfId="17226"/>
    <cellStyle name="40% - Accent5 10 2 5" xfId="17227"/>
    <cellStyle name="40% - Accent5 10 2 6" xfId="17228"/>
    <cellStyle name="40% - Accent5 10 2 7" xfId="17229"/>
    <cellStyle name="40% - Accent5 10 3" xfId="17230"/>
    <cellStyle name="40% - Accent5 10 3 2" xfId="17231"/>
    <cellStyle name="40% - Accent5 10 3 2 2" xfId="17232"/>
    <cellStyle name="40% - Accent5 10 3 3" xfId="17233"/>
    <cellStyle name="40% - Accent5 10 3 4" xfId="17234"/>
    <cellStyle name="40% - Accent5 10 3 5" xfId="17235"/>
    <cellStyle name="40% - Accent5 10 3 6" xfId="17236"/>
    <cellStyle name="40% - Accent5 10 4" xfId="17237"/>
    <cellStyle name="40% - Accent5 10 4 2" xfId="17238"/>
    <cellStyle name="40% - Accent5 10 5" xfId="17239"/>
    <cellStyle name="40% - Accent5 10 6" xfId="17240"/>
    <cellStyle name="40% - Accent5 10 7" xfId="17241"/>
    <cellStyle name="40% - Accent5 10 8" xfId="17242"/>
    <cellStyle name="40% - Accent5 10 9" xfId="17243"/>
    <cellStyle name="40% - Accent5 11" xfId="17244"/>
    <cellStyle name="40% - Accent5 11 2" xfId="17245"/>
    <cellStyle name="40% - Accent5 11 2 2" xfId="17246"/>
    <cellStyle name="40% - Accent5 11 2 2 2" xfId="17247"/>
    <cellStyle name="40% - Accent5 11 2 3" xfId="17248"/>
    <cellStyle name="40% - Accent5 11 2 4" xfId="17249"/>
    <cellStyle name="40% - Accent5 11 2 5" xfId="17250"/>
    <cellStyle name="40% - Accent5 11 2 6" xfId="17251"/>
    <cellStyle name="40% - Accent5 11 2 7" xfId="17252"/>
    <cellStyle name="40% - Accent5 11 3" xfId="17253"/>
    <cellStyle name="40% - Accent5 11 3 2" xfId="17254"/>
    <cellStyle name="40% - Accent5 11 3 2 2" xfId="17255"/>
    <cellStyle name="40% - Accent5 11 3 3" xfId="17256"/>
    <cellStyle name="40% - Accent5 11 3 4" xfId="17257"/>
    <cellStyle name="40% - Accent5 11 3 5" xfId="17258"/>
    <cellStyle name="40% - Accent5 11 3 6" xfId="17259"/>
    <cellStyle name="40% - Accent5 11 4" xfId="17260"/>
    <cellStyle name="40% - Accent5 11 4 2" xfId="17261"/>
    <cellStyle name="40% - Accent5 11 5" xfId="17262"/>
    <cellStyle name="40% - Accent5 11 6" xfId="17263"/>
    <cellStyle name="40% - Accent5 11 7" xfId="17264"/>
    <cellStyle name="40% - Accent5 11 8" xfId="17265"/>
    <cellStyle name="40% - Accent5 11 9" xfId="17266"/>
    <cellStyle name="40% - Accent5 12" xfId="17267"/>
    <cellStyle name="40% - Accent5 12 2" xfId="17268"/>
    <cellStyle name="40% - Accent5 12 2 2" xfId="17269"/>
    <cellStyle name="40% - Accent5 12 2 2 2" xfId="17270"/>
    <cellStyle name="40% - Accent5 12 2 3" xfId="17271"/>
    <cellStyle name="40% - Accent5 12 2 4" xfId="17272"/>
    <cellStyle name="40% - Accent5 12 2 5" xfId="17273"/>
    <cellStyle name="40% - Accent5 12 2 6" xfId="17274"/>
    <cellStyle name="40% - Accent5 12 2 7" xfId="17275"/>
    <cellStyle name="40% - Accent5 12 3" xfId="17276"/>
    <cellStyle name="40% - Accent5 12 3 2" xfId="17277"/>
    <cellStyle name="40% - Accent5 12 3 2 2" xfId="17278"/>
    <cellStyle name="40% - Accent5 12 3 3" xfId="17279"/>
    <cellStyle name="40% - Accent5 12 3 4" xfId="17280"/>
    <cellStyle name="40% - Accent5 12 3 5" xfId="17281"/>
    <cellStyle name="40% - Accent5 12 3 6" xfId="17282"/>
    <cellStyle name="40% - Accent5 12 4" xfId="17283"/>
    <cellStyle name="40% - Accent5 12 4 2" xfId="17284"/>
    <cellStyle name="40% - Accent5 12 5" xfId="17285"/>
    <cellStyle name="40% - Accent5 12 6" xfId="17286"/>
    <cellStyle name="40% - Accent5 12 7" xfId="17287"/>
    <cellStyle name="40% - Accent5 12 8" xfId="17288"/>
    <cellStyle name="40% - Accent5 12 9" xfId="17289"/>
    <cellStyle name="40% - Accent5 13" xfId="17290"/>
    <cellStyle name="40% - Accent5 13 2" xfId="17291"/>
    <cellStyle name="40% - Accent5 13 2 2" xfId="17292"/>
    <cellStyle name="40% - Accent5 13 2 2 2" xfId="17293"/>
    <cellStyle name="40% - Accent5 13 2 3" xfId="17294"/>
    <cellStyle name="40% - Accent5 13 2 4" xfId="17295"/>
    <cellStyle name="40% - Accent5 13 2 5" xfId="17296"/>
    <cellStyle name="40% - Accent5 13 2 6" xfId="17297"/>
    <cellStyle name="40% - Accent5 13 2 7" xfId="17298"/>
    <cellStyle name="40% - Accent5 13 3" xfId="17299"/>
    <cellStyle name="40% - Accent5 13 3 2" xfId="17300"/>
    <cellStyle name="40% - Accent5 13 3 2 2" xfId="17301"/>
    <cellStyle name="40% - Accent5 13 3 3" xfId="17302"/>
    <cellStyle name="40% - Accent5 13 3 4" xfId="17303"/>
    <cellStyle name="40% - Accent5 13 3 5" xfId="17304"/>
    <cellStyle name="40% - Accent5 13 3 6" xfId="17305"/>
    <cellStyle name="40% - Accent5 13 4" xfId="17306"/>
    <cellStyle name="40% - Accent5 13 4 2" xfId="17307"/>
    <cellStyle name="40% - Accent5 13 5" xfId="17308"/>
    <cellStyle name="40% - Accent5 13 6" xfId="17309"/>
    <cellStyle name="40% - Accent5 13 7" xfId="17310"/>
    <cellStyle name="40% - Accent5 13 8" xfId="17311"/>
    <cellStyle name="40% - Accent5 13 9" xfId="17312"/>
    <cellStyle name="40% - Accent5 14" xfId="17313"/>
    <cellStyle name="40% - Accent5 14 2" xfId="17314"/>
    <cellStyle name="40% - Accent5 14 2 2" xfId="17315"/>
    <cellStyle name="40% - Accent5 14 2 2 2" xfId="17316"/>
    <cellStyle name="40% - Accent5 14 2 3" xfId="17317"/>
    <cellStyle name="40% - Accent5 14 2 4" xfId="17318"/>
    <cellStyle name="40% - Accent5 14 2 5" xfId="17319"/>
    <cellStyle name="40% - Accent5 14 2 6" xfId="17320"/>
    <cellStyle name="40% - Accent5 14 2 7" xfId="17321"/>
    <cellStyle name="40% - Accent5 14 3" xfId="17322"/>
    <cellStyle name="40% - Accent5 14 3 2" xfId="17323"/>
    <cellStyle name="40% - Accent5 14 3 2 2" xfId="17324"/>
    <cellStyle name="40% - Accent5 14 3 3" xfId="17325"/>
    <cellStyle name="40% - Accent5 14 3 4" xfId="17326"/>
    <cellStyle name="40% - Accent5 14 3 5" xfId="17327"/>
    <cellStyle name="40% - Accent5 14 3 6" xfId="17328"/>
    <cellStyle name="40% - Accent5 14 4" xfId="17329"/>
    <cellStyle name="40% - Accent5 14 4 2" xfId="17330"/>
    <cellStyle name="40% - Accent5 14 5" xfId="17331"/>
    <cellStyle name="40% - Accent5 14 6" xfId="17332"/>
    <cellStyle name="40% - Accent5 14 7" xfId="17333"/>
    <cellStyle name="40% - Accent5 14 8" xfId="17334"/>
    <cellStyle name="40% - Accent5 14 9" xfId="17335"/>
    <cellStyle name="40% - Accent5 15" xfId="17336"/>
    <cellStyle name="40% - Accent5 15 2" xfId="17337"/>
    <cellStyle name="40% - Accent5 15 2 2" xfId="17338"/>
    <cellStyle name="40% - Accent5 15 2 2 2" xfId="17339"/>
    <cellStyle name="40% - Accent5 15 2 3" xfId="17340"/>
    <cellStyle name="40% - Accent5 15 2 4" xfId="17341"/>
    <cellStyle name="40% - Accent5 15 2 5" xfId="17342"/>
    <cellStyle name="40% - Accent5 15 2 6" xfId="17343"/>
    <cellStyle name="40% - Accent5 15 2 7" xfId="17344"/>
    <cellStyle name="40% - Accent5 15 3" xfId="17345"/>
    <cellStyle name="40% - Accent5 15 3 2" xfId="17346"/>
    <cellStyle name="40% - Accent5 15 3 2 2" xfId="17347"/>
    <cellStyle name="40% - Accent5 15 3 3" xfId="17348"/>
    <cellStyle name="40% - Accent5 15 3 4" xfId="17349"/>
    <cellStyle name="40% - Accent5 15 3 5" xfId="17350"/>
    <cellStyle name="40% - Accent5 15 3 6" xfId="17351"/>
    <cellStyle name="40% - Accent5 15 4" xfId="17352"/>
    <cellStyle name="40% - Accent5 15 4 2" xfId="17353"/>
    <cellStyle name="40% - Accent5 15 5" xfId="17354"/>
    <cellStyle name="40% - Accent5 15 6" xfId="17355"/>
    <cellStyle name="40% - Accent5 15 7" xfId="17356"/>
    <cellStyle name="40% - Accent5 15 8" xfId="17357"/>
    <cellStyle name="40% - Accent5 15 9" xfId="17358"/>
    <cellStyle name="40% - Accent5 16" xfId="17359"/>
    <cellStyle name="40% - Accent5 16 2" xfId="17360"/>
    <cellStyle name="40% - Accent5 16 2 2" xfId="17361"/>
    <cellStyle name="40% - Accent5 16 2 2 2" xfId="17362"/>
    <cellStyle name="40% - Accent5 16 2 3" xfId="17363"/>
    <cellStyle name="40% - Accent5 16 2 4" xfId="17364"/>
    <cellStyle name="40% - Accent5 16 2 5" xfId="17365"/>
    <cellStyle name="40% - Accent5 16 2 6" xfId="17366"/>
    <cellStyle name="40% - Accent5 16 2 7" xfId="17367"/>
    <cellStyle name="40% - Accent5 16 3" xfId="17368"/>
    <cellStyle name="40% - Accent5 16 3 2" xfId="17369"/>
    <cellStyle name="40% - Accent5 16 3 2 2" xfId="17370"/>
    <cellStyle name="40% - Accent5 16 3 3" xfId="17371"/>
    <cellStyle name="40% - Accent5 16 3 4" xfId="17372"/>
    <cellStyle name="40% - Accent5 16 3 5" xfId="17373"/>
    <cellStyle name="40% - Accent5 16 3 6" xfId="17374"/>
    <cellStyle name="40% - Accent5 16 4" xfId="17375"/>
    <cellStyle name="40% - Accent5 16 4 2" xfId="17376"/>
    <cellStyle name="40% - Accent5 16 5" xfId="17377"/>
    <cellStyle name="40% - Accent5 16 6" xfId="17378"/>
    <cellStyle name="40% - Accent5 16 7" xfId="17379"/>
    <cellStyle name="40% - Accent5 16 8" xfId="17380"/>
    <cellStyle name="40% - Accent5 16 9" xfId="17381"/>
    <cellStyle name="40% - Accent5 17" xfId="17382"/>
    <cellStyle name="40% - Accent5 17 2" xfId="17383"/>
    <cellStyle name="40% - Accent5 17 2 2" xfId="17384"/>
    <cellStyle name="40% - Accent5 17 2 2 2" xfId="17385"/>
    <cellStyle name="40% - Accent5 17 2 3" xfId="17386"/>
    <cellStyle name="40% - Accent5 17 2 4" xfId="17387"/>
    <cellStyle name="40% - Accent5 17 2 5" xfId="17388"/>
    <cellStyle name="40% - Accent5 17 2 6" xfId="17389"/>
    <cellStyle name="40% - Accent5 17 3" xfId="17390"/>
    <cellStyle name="40% - Accent5 17 3 2" xfId="17391"/>
    <cellStyle name="40% - Accent5 17 4" xfId="17392"/>
    <cellStyle name="40% - Accent5 17 4 2" xfId="17393"/>
    <cellStyle name="40% - Accent5 17 5" xfId="17394"/>
    <cellStyle name="40% - Accent5 17 6" xfId="17395"/>
    <cellStyle name="40% - Accent5 17 7" xfId="17396"/>
    <cellStyle name="40% - Accent5 17 8" xfId="17397"/>
    <cellStyle name="40% - Accent5 18" xfId="17398"/>
    <cellStyle name="40% - Accent5 18 2" xfId="17399"/>
    <cellStyle name="40% - Accent5 18 2 2" xfId="17400"/>
    <cellStyle name="40% - Accent5 18 3" xfId="17401"/>
    <cellStyle name="40% - Accent5 18 3 2" xfId="17402"/>
    <cellStyle name="40% - Accent5 18 4" xfId="17403"/>
    <cellStyle name="40% - Accent5 18 4 2" xfId="17404"/>
    <cellStyle name="40% - Accent5 18 5" xfId="17405"/>
    <cellStyle name="40% - Accent5 18 6" xfId="17406"/>
    <cellStyle name="40% - Accent5 18 7" xfId="17407"/>
    <cellStyle name="40% - Accent5 19" xfId="17408"/>
    <cellStyle name="40% - Accent5 19 2" xfId="17409"/>
    <cellStyle name="40% - Accent5 19 2 2" xfId="17410"/>
    <cellStyle name="40% - Accent5 19 3" xfId="17411"/>
    <cellStyle name="40% - Accent5 19 3 2" xfId="17412"/>
    <cellStyle name="40% - Accent5 19 4" xfId="17413"/>
    <cellStyle name="40% - Accent5 19 4 2" xfId="17414"/>
    <cellStyle name="40% - Accent5 19 5" xfId="17415"/>
    <cellStyle name="40% - Accent5 19 6" xfId="17416"/>
    <cellStyle name="40% - Accent5 2" xfId="384"/>
    <cellStyle name="40% - Accent5 2 10" xfId="17417"/>
    <cellStyle name="40% - Accent5 2 10 2" xfId="17418"/>
    <cellStyle name="40% - Accent5 2 10 2 2" xfId="17419"/>
    <cellStyle name="40% - Accent5 2 10 2 3" xfId="17420"/>
    <cellStyle name="40% - Accent5 2 10 2 4" xfId="17421"/>
    <cellStyle name="40% - Accent5 2 10 2 5" xfId="17422"/>
    <cellStyle name="40% - Accent5 2 10 2 6" xfId="17423"/>
    <cellStyle name="40% - Accent5 2 10 3" xfId="17424"/>
    <cellStyle name="40% - Accent5 2 10 3 2" xfId="17425"/>
    <cellStyle name="40% - Accent5 2 10 4" xfId="17426"/>
    <cellStyle name="40% - Accent5 2 10 5" xfId="17427"/>
    <cellStyle name="40% - Accent5 2 10 6" xfId="17428"/>
    <cellStyle name="40% - Accent5 2 10 7" xfId="17429"/>
    <cellStyle name="40% - Accent5 2 10 8" xfId="17430"/>
    <cellStyle name="40% - Accent5 2 11" xfId="17431"/>
    <cellStyle name="40% - Accent5 2 11 2" xfId="17432"/>
    <cellStyle name="40% - Accent5 2 11 2 2" xfId="17433"/>
    <cellStyle name="40% - Accent5 2 11 3" xfId="17434"/>
    <cellStyle name="40% - Accent5 2 11 4" xfId="17435"/>
    <cellStyle name="40% - Accent5 2 11 5" xfId="17436"/>
    <cellStyle name="40% - Accent5 2 11 6" xfId="17437"/>
    <cellStyle name="40% - Accent5 2 11 7" xfId="17438"/>
    <cellStyle name="40% - Accent5 2 12" xfId="17439"/>
    <cellStyle name="40% - Accent5 2 12 2" xfId="17440"/>
    <cellStyle name="40% - Accent5 2 12 2 2" xfId="17441"/>
    <cellStyle name="40% - Accent5 2 12 3" xfId="17442"/>
    <cellStyle name="40% - Accent5 2 12 4" xfId="17443"/>
    <cellStyle name="40% - Accent5 2 12 5" xfId="17444"/>
    <cellStyle name="40% - Accent5 2 12 6" xfId="17445"/>
    <cellStyle name="40% - Accent5 2 13" xfId="17446"/>
    <cellStyle name="40% - Accent5 2 13 2" xfId="17447"/>
    <cellStyle name="40% - Accent5 2 14" xfId="17448"/>
    <cellStyle name="40% - Accent5 2 14 2" xfId="17449"/>
    <cellStyle name="40% - Accent5 2 15" xfId="17450"/>
    <cellStyle name="40% - Accent5 2 15 2" xfId="17451"/>
    <cellStyle name="40% - Accent5 2 16" xfId="17452"/>
    <cellStyle name="40% - Accent5 2 16 2" xfId="17453"/>
    <cellStyle name="40% - Accent5 2 17" xfId="17454"/>
    <cellStyle name="40% - Accent5 2 17 2" xfId="17455"/>
    <cellStyle name="40% - Accent5 2 18" xfId="17456"/>
    <cellStyle name="40% - Accent5 2 19" xfId="17457"/>
    <cellStyle name="40% - Accent5 2 2" xfId="1515"/>
    <cellStyle name="40% - Accent5 2 2 2" xfId="1516"/>
    <cellStyle name="40% - Accent5 2 2 2 2" xfId="17458"/>
    <cellStyle name="40% - Accent5 2 2 2 3" xfId="17459"/>
    <cellStyle name="40% - Accent5 2 2 3" xfId="17460"/>
    <cellStyle name="40% - Accent5 2 2 4" xfId="17461"/>
    <cellStyle name="40% - Accent5 2 20" xfId="17462"/>
    <cellStyle name="40% - Accent5 2 21" xfId="17463"/>
    <cellStyle name="40% - Accent5 2 22" xfId="17464"/>
    <cellStyle name="40% - Accent5 2 23" xfId="17465"/>
    <cellStyle name="40% - Accent5 2 24" xfId="17466"/>
    <cellStyle name="40% - Accent5 2 25" xfId="17467"/>
    <cellStyle name="40% - Accent5 2 26" xfId="17468"/>
    <cellStyle name="40% - Accent5 2 27" xfId="17469"/>
    <cellStyle name="40% - Accent5 2 28" xfId="17470"/>
    <cellStyle name="40% - Accent5 2 29" xfId="17471"/>
    <cellStyle name="40% - Accent5 2 3" xfId="1517"/>
    <cellStyle name="40% - Accent5 2 3 10" xfId="17472"/>
    <cellStyle name="40% - Accent5 2 3 11" xfId="17473"/>
    <cellStyle name="40% - Accent5 2 3 2" xfId="1518"/>
    <cellStyle name="40% - Accent5 2 3 2 2" xfId="17474"/>
    <cellStyle name="40% - Accent5 2 3 2 3" xfId="17475"/>
    <cellStyle name="40% - Accent5 2 3 2 4" xfId="17476"/>
    <cellStyle name="40% - Accent5 2 3 2 5" xfId="17477"/>
    <cellStyle name="40% - Accent5 2 3 2 6" xfId="17478"/>
    <cellStyle name="40% - Accent5 2 3 2 7" xfId="17479"/>
    <cellStyle name="40% - Accent5 2 3 2 8" xfId="17480"/>
    <cellStyle name="40% - Accent5 2 3 2 9" xfId="17481"/>
    <cellStyle name="40% - Accent5 2 3 3" xfId="17482"/>
    <cellStyle name="40% - Accent5 2 3 3 2" xfId="17483"/>
    <cellStyle name="40% - Accent5 2 3 3 3" xfId="17484"/>
    <cellStyle name="40% - Accent5 2 3 3 4" xfId="17485"/>
    <cellStyle name="40% - Accent5 2 3 3 5" xfId="17486"/>
    <cellStyle name="40% - Accent5 2 3 3 6" xfId="17487"/>
    <cellStyle name="40% - Accent5 2 3 4" xfId="17488"/>
    <cellStyle name="40% - Accent5 2 3 4 2" xfId="17489"/>
    <cellStyle name="40% - Accent5 2 3 5" xfId="17490"/>
    <cellStyle name="40% - Accent5 2 3 6" xfId="17491"/>
    <cellStyle name="40% - Accent5 2 3 7" xfId="17492"/>
    <cellStyle name="40% - Accent5 2 3 8" xfId="17493"/>
    <cellStyle name="40% - Accent5 2 3 9" xfId="17494"/>
    <cellStyle name="40% - Accent5 2 30" xfId="17495"/>
    <cellStyle name="40% - Accent5 2 31" xfId="17496"/>
    <cellStyle name="40% - Accent5 2 32" xfId="17497"/>
    <cellStyle name="40% - Accent5 2 33" xfId="17498"/>
    <cellStyle name="40% - Accent5 2 34" xfId="17499"/>
    <cellStyle name="40% - Accent5 2 35" xfId="17500"/>
    <cellStyle name="40% - Accent5 2 4" xfId="1519"/>
    <cellStyle name="40% - Accent5 2 4 10" xfId="17501"/>
    <cellStyle name="40% - Accent5 2 4 11" xfId="17502"/>
    <cellStyle name="40% - Accent5 2 4 2" xfId="17503"/>
    <cellStyle name="40% - Accent5 2 4 2 2" xfId="17504"/>
    <cellStyle name="40% - Accent5 2 4 2 3" xfId="17505"/>
    <cellStyle name="40% - Accent5 2 4 2 4" xfId="17506"/>
    <cellStyle name="40% - Accent5 2 4 2 5" xfId="17507"/>
    <cellStyle name="40% - Accent5 2 4 2 6" xfId="17508"/>
    <cellStyle name="40% - Accent5 2 4 2 7" xfId="17509"/>
    <cellStyle name="40% - Accent5 2 4 3" xfId="17510"/>
    <cellStyle name="40% - Accent5 2 4 3 2" xfId="17511"/>
    <cellStyle name="40% - Accent5 2 4 3 3" xfId="17512"/>
    <cellStyle name="40% - Accent5 2 4 3 4" xfId="17513"/>
    <cellStyle name="40% - Accent5 2 4 3 5" xfId="17514"/>
    <cellStyle name="40% - Accent5 2 4 3 6" xfId="17515"/>
    <cellStyle name="40% - Accent5 2 4 4" xfId="17516"/>
    <cellStyle name="40% - Accent5 2 4 4 2" xfId="17517"/>
    <cellStyle name="40% - Accent5 2 4 5" xfId="17518"/>
    <cellStyle name="40% - Accent5 2 4 6" xfId="17519"/>
    <cellStyle name="40% - Accent5 2 4 7" xfId="17520"/>
    <cellStyle name="40% - Accent5 2 4 8" xfId="17521"/>
    <cellStyle name="40% - Accent5 2 4 9" xfId="17522"/>
    <cellStyle name="40% - Accent5 2 5" xfId="1520"/>
    <cellStyle name="40% - Accent5 2 5 10" xfId="17523"/>
    <cellStyle name="40% - Accent5 2 5 11" xfId="17524"/>
    <cellStyle name="40% - Accent5 2 5 2" xfId="17525"/>
    <cellStyle name="40% - Accent5 2 5 2 2" xfId="17526"/>
    <cellStyle name="40% - Accent5 2 5 2 3" xfId="17527"/>
    <cellStyle name="40% - Accent5 2 5 2 4" xfId="17528"/>
    <cellStyle name="40% - Accent5 2 5 2 5" xfId="17529"/>
    <cellStyle name="40% - Accent5 2 5 2 6" xfId="17530"/>
    <cellStyle name="40% - Accent5 2 5 2 7" xfId="17531"/>
    <cellStyle name="40% - Accent5 2 5 3" xfId="17532"/>
    <cellStyle name="40% - Accent5 2 5 3 2" xfId="17533"/>
    <cellStyle name="40% - Accent5 2 5 3 3" xfId="17534"/>
    <cellStyle name="40% - Accent5 2 5 3 4" xfId="17535"/>
    <cellStyle name="40% - Accent5 2 5 3 5" xfId="17536"/>
    <cellStyle name="40% - Accent5 2 5 3 6" xfId="17537"/>
    <cellStyle name="40% - Accent5 2 5 4" xfId="17538"/>
    <cellStyle name="40% - Accent5 2 5 4 2" xfId="17539"/>
    <cellStyle name="40% - Accent5 2 5 5" xfId="17540"/>
    <cellStyle name="40% - Accent5 2 5 6" xfId="17541"/>
    <cellStyle name="40% - Accent5 2 5 7" xfId="17542"/>
    <cellStyle name="40% - Accent5 2 5 8" xfId="17543"/>
    <cellStyle name="40% - Accent5 2 5 9" xfId="17544"/>
    <cellStyle name="40% - Accent5 2 6" xfId="1521"/>
    <cellStyle name="40% - Accent5 2 6 10" xfId="17545"/>
    <cellStyle name="40% - Accent5 2 6 11" xfId="17546"/>
    <cellStyle name="40% - Accent5 2 6 2" xfId="17547"/>
    <cellStyle name="40% - Accent5 2 6 2 2" xfId="17548"/>
    <cellStyle name="40% - Accent5 2 6 2 3" xfId="17549"/>
    <cellStyle name="40% - Accent5 2 6 2 4" xfId="17550"/>
    <cellStyle name="40% - Accent5 2 6 2 5" xfId="17551"/>
    <cellStyle name="40% - Accent5 2 6 2 6" xfId="17552"/>
    <cellStyle name="40% - Accent5 2 6 2 7" xfId="17553"/>
    <cellStyle name="40% - Accent5 2 6 3" xfId="17554"/>
    <cellStyle name="40% - Accent5 2 6 3 2" xfId="17555"/>
    <cellStyle name="40% - Accent5 2 6 3 3" xfId="17556"/>
    <cellStyle name="40% - Accent5 2 6 3 4" xfId="17557"/>
    <cellStyle name="40% - Accent5 2 6 3 5" xfId="17558"/>
    <cellStyle name="40% - Accent5 2 6 3 6" xfId="17559"/>
    <cellStyle name="40% - Accent5 2 6 4" xfId="17560"/>
    <cellStyle name="40% - Accent5 2 6 4 2" xfId="17561"/>
    <cellStyle name="40% - Accent5 2 6 5" xfId="17562"/>
    <cellStyle name="40% - Accent5 2 6 6" xfId="17563"/>
    <cellStyle name="40% - Accent5 2 6 7" xfId="17564"/>
    <cellStyle name="40% - Accent5 2 6 8" xfId="17565"/>
    <cellStyle name="40% - Accent5 2 6 9" xfId="17566"/>
    <cellStyle name="40% - Accent5 2 7" xfId="1514"/>
    <cellStyle name="40% - Accent5 2 7 10" xfId="17567"/>
    <cellStyle name="40% - Accent5 2 7 2" xfId="17568"/>
    <cellStyle name="40% - Accent5 2 7 2 2" xfId="17569"/>
    <cellStyle name="40% - Accent5 2 7 2 3" xfId="17570"/>
    <cellStyle name="40% - Accent5 2 7 2 4" xfId="17571"/>
    <cellStyle name="40% - Accent5 2 7 2 5" xfId="17572"/>
    <cellStyle name="40% - Accent5 2 7 2 6" xfId="17573"/>
    <cellStyle name="40% - Accent5 2 7 2 7" xfId="17574"/>
    <cellStyle name="40% - Accent5 2 7 3" xfId="17575"/>
    <cellStyle name="40% - Accent5 2 7 3 2" xfId="17576"/>
    <cellStyle name="40% - Accent5 2 7 3 3" xfId="17577"/>
    <cellStyle name="40% - Accent5 2 7 3 4" xfId="17578"/>
    <cellStyle name="40% - Accent5 2 7 3 5" xfId="17579"/>
    <cellStyle name="40% - Accent5 2 7 3 6" xfId="17580"/>
    <cellStyle name="40% - Accent5 2 7 4" xfId="17581"/>
    <cellStyle name="40% - Accent5 2 7 4 2" xfId="17582"/>
    <cellStyle name="40% - Accent5 2 7 5" xfId="17583"/>
    <cellStyle name="40% - Accent5 2 7 6" xfId="17584"/>
    <cellStyle name="40% - Accent5 2 7 7" xfId="17585"/>
    <cellStyle name="40% - Accent5 2 7 8" xfId="17586"/>
    <cellStyle name="40% - Accent5 2 7 9" xfId="17587"/>
    <cellStyle name="40% - Accent5 2 8" xfId="17588"/>
    <cellStyle name="40% - Accent5 2 8 2" xfId="17589"/>
    <cellStyle name="40% - Accent5 2 8 2 2" xfId="17590"/>
    <cellStyle name="40% - Accent5 2 8 2 3" xfId="17591"/>
    <cellStyle name="40% - Accent5 2 8 2 4" xfId="17592"/>
    <cellStyle name="40% - Accent5 2 8 2 5" xfId="17593"/>
    <cellStyle name="40% - Accent5 2 8 2 6" xfId="17594"/>
    <cellStyle name="40% - Accent5 2 8 2 7" xfId="17595"/>
    <cellStyle name="40% - Accent5 2 8 3" xfId="17596"/>
    <cellStyle name="40% - Accent5 2 8 3 2" xfId="17597"/>
    <cellStyle name="40% - Accent5 2 8 3 3" xfId="17598"/>
    <cellStyle name="40% - Accent5 2 8 3 4" xfId="17599"/>
    <cellStyle name="40% - Accent5 2 8 3 5" xfId="17600"/>
    <cellStyle name="40% - Accent5 2 8 3 6" xfId="17601"/>
    <cellStyle name="40% - Accent5 2 8 4" xfId="17602"/>
    <cellStyle name="40% - Accent5 2 8 4 2" xfId="17603"/>
    <cellStyle name="40% - Accent5 2 8 5" xfId="17604"/>
    <cellStyle name="40% - Accent5 2 8 6" xfId="17605"/>
    <cellStyle name="40% - Accent5 2 8 7" xfId="17606"/>
    <cellStyle name="40% - Accent5 2 8 8" xfId="17607"/>
    <cellStyle name="40% - Accent5 2 8 9" xfId="17608"/>
    <cellStyle name="40% - Accent5 2 9" xfId="17609"/>
    <cellStyle name="40% - Accent5 2 9 2" xfId="17610"/>
    <cellStyle name="40% - Accent5 2 9 2 2" xfId="17611"/>
    <cellStyle name="40% - Accent5 2 9 2 3" xfId="17612"/>
    <cellStyle name="40% - Accent5 2 9 2 4" xfId="17613"/>
    <cellStyle name="40% - Accent5 2 9 2 5" xfId="17614"/>
    <cellStyle name="40% - Accent5 2 9 2 6" xfId="17615"/>
    <cellStyle name="40% - Accent5 2 9 2 7" xfId="17616"/>
    <cellStyle name="40% - Accent5 2 9 3" xfId="17617"/>
    <cellStyle name="40% - Accent5 2 9 3 2" xfId="17618"/>
    <cellStyle name="40% - Accent5 2 9 3 3" xfId="17619"/>
    <cellStyle name="40% - Accent5 2 9 3 4" xfId="17620"/>
    <cellStyle name="40% - Accent5 2 9 3 5" xfId="17621"/>
    <cellStyle name="40% - Accent5 2 9 3 6" xfId="17622"/>
    <cellStyle name="40% - Accent5 2 9 4" xfId="17623"/>
    <cellStyle name="40% - Accent5 2 9 4 2" xfId="17624"/>
    <cellStyle name="40% - Accent5 2 9 5" xfId="17625"/>
    <cellStyle name="40% - Accent5 2 9 6" xfId="17626"/>
    <cellStyle name="40% - Accent5 2 9 7" xfId="17627"/>
    <cellStyle name="40% - Accent5 2 9 8" xfId="17628"/>
    <cellStyle name="40% - Accent5 2 9 9" xfId="17629"/>
    <cellStyle name="40% - Accent5 20" xfId="17630"/>
    <cellStyle name="40% - Accent5 20 2" xfId="17631"/>
    <cellStyle name="40% - Accent5 20 3" xfId="17632"/>
    <cellStyle name="40% - Accent5 20 4" xfId="17633"/>
    <cellStyle name="40% - Accent5 21" xfId="17634"/>
    <cellStyle name="40% - Accent5 21 2" xfId="17635"/>
    <cellStyle name="40% - Accent5 21 3" xfId="17636"/>
    <cellStyle name="40% - Accent5 21 4" xfId="17637"/>
    <cellStyle name="40% - Accent5 22" xfId="17638"/>
    <cellStyle name="40% - Accent5 22 2" xfId="17639"/>
    <cellStyle name="40% - Accent5 22 3" xfId="17640"/>
    <cellStyle name="40% - Accent5 22 4" xfId="17641"/>
    <cellStyle name="40% - Accent5 23" xfId="17642"/>
    <cellStyle name="40% - Accent5 23 2" xfId="17643"/>
    <cellStyle name="40% - Accent5 23 3" xfId="17644"/>
    <cellStyle name="40% - Accent5 23 4" xfId="17645"/>
    <cellStyle name="40% - Accent5 24" xfId="17646"/>
    <cellStyle name="40% - Accent5 24 2" xfId="17647"/>
    <cellStyle name="40% - Accent5 24 3" xfId="17648"/>
    <cellStyle name="40% - Accent5 24 4" xfId="17649"/>
    <cellStyle name="40% - Accent5 25" xfId="17650"/>
    <cellStyle name="40% - Accent5 25 2" xfId="17651"/>
    <cellStyle name="40% - Accent5 25 3" xfId="17652"/>
    <cellStyle name="40% - Accent5 26" xfId="17653"/>
    <cellStyle name="40% - Accent5 26 2" xfId="17654"/>
    <cellStyle name="40% - Accent5 26 3" xfId="17655"/>
    <cellStyle name="40% - Accent5 27" xfId="17656"/>
    <cellStyle name="40% - Accent5 27 2" xfId="17657"/>
    <cellStyle name="40% - Accent5 27 3" xfId="17658"/>
    <cellStyle name="40% - Accent5 28" xfId="17659"/>
    <cellStyle name="40% - Accent5 28 2" xfId="17660"/>
    <cellStyle name="40% - Accent5 28 3" xfId="17661"/>
    <cellStyle name="40% - Accent5 29" xfId="17662"/>
    <cellStyle name="40% - Accent5 29 2" xfId="17663"/>
    <cellStyle name="40% - Accent5 29 3" xfId="17664"/>
    <cellStyle name="40% - Accent5 3" xfId="1522"/>
    <cellStyle name="40% - Accent5 3 10" xfId="17665"/>
    <cellStyle name="40% - Accent5 3 10 2" xfId="17666"/>
    <cellStyle name="40% - Accent5 3 10 3" xfId="17667"/>
    <cellStyle name="40% - Accent5 3 10 4" xfId="17668"/>
    <cellStyle name="40% - Accent5 3 10 5" xfId="17669"/>
    <cellStyle name="40% - Accent5 3 10 6" xfId="17670"/>
    <cellStyle name="40% - Accent5 3 10 7" xfId="17671"/>
    <cellStyle name="40% - Accent5 3 11" xfId="17672"/>
    <cellStyle name="40% - Accent5 3 11 2" xfId="17673"/>
    <cellStyle name="40% - Accent5 3 11 3" xfId="17674"/>
    <cellStyle name="40% - Accent5 3 11 4" xfId="17675"/>
    <cellStyle name="40% - Accent5 3 11 5" xfId="17676"/>
    <cellStyle name="40% - Accent5 3 11 6" xfId="17677"/>
    <cellStyle name="40% - Accent5 3 12" xfId="17678"/>
    <cellStyle name="40% - Accent5 3 12 2" xfId="17679"/>
    <cellStyle name="40% - Accent5 3 13" xfId="17680"/>
    <cellStyle name="40% - Accent5 3 14" xfId="17681"/>
    <cellStyle name="40% - Accent5 3 15" xfId="17682"/>
    <cellStyle name="40% - Accent5 3 16" xfId="17683"/>
    <cellStyle name="40% - Accent5 3 17" xfId="17684"/>
    <cellStyle name="40% - Accent5 3 18" xfId="17685"/>
    <cellStyle name="40% - Accent5 3 2" xfId="17686"/>
    <cellStyle name="40% - Accent5 3 2 2" xfId="17687"/>
    <cellStyle name="40% - Accent5 3 2 2 2" xfId="17688"/>
    <cellStyle name="40% - Accent5 3 2 2 3" xfId="17689"/>
    <cellStyle name="40% - Accent5 3 2 2 4" xfId="17690"/>
    <cellStyle name="40% - Accent5 3 2 2 5" xfId="17691"/>
    <cellStyle name="40% - Accent5 3 2 2 6" xfId="17692"/>
    <cellStyle name="40% - Accent5 3 2 2 7" xfId="17693"/>
    <cellStyle name="40% - Accent5 3 2 3" xfId="17694"/>
    <cellStyle name="40% - Accent5 3 2 3 2" xfId="17695"/>
    <cellStyle name="40% - Accent5 3 2 3 3" xfId="17696"/>
    <cellStyle name="40% - Accent5 3 2 3 4" xfId="17697"/>
    <cellStyle name="40% - Accent5 3 2 3 5" xfId="17698"/>
    <cellStyle name="40% - Accent5 3 2 3 6" xfId="17699"/>
    <cellStyle name="40% - Accent5 3 2 4" xfId="17700"/>
    <cellStyle name="40% - Accent5 3 2 5" xfId="17701"/>
    <cellStyle name="40% - Accent5 3 2 6" xfId="17702"/>
    <cellStyle name="40% - Accent5 3 2 7" xfId="17703"/>
    <cellStyle name="40% - Accent5 3 2 8" xfId="17704"/>
    <cellStyle name="40% - Accent5 3 2 9" xfId="17705"/>
    <cellStyle name="40% - Accent5 3 3" xfId="17706"/>
    <cellStyle name="40% - Accent5 3 3 2" xfId="17707"/>
    <cellStyle name="40% - Accent5 3 3 2 2" xfId="17708"/>
    <cellStyle name="40% - Accent5 3 3 2 3" xfId="17709"/>
    <cellStyle name="40% - Accent5 3 3 2 4" xfId="17710"/>
    <cellStyle name="40% - Accent5 3 3 2 5" xfId="17711"/>
    <cellStyle name="40% - Accent5 3 3 2 6" xfId="17712"/>
    <cellStyle name="40% - Accent5 3 3 2 7" xfId="17713"/>
    <cellStyle name="40% - Accent5 3 3 3" xfId="17714"/>
    <cellStyle name="40% - Accent5 3 3 3 2" xfId="17715"/>
    <cellStyle name="40% - Accent5 3 3 3 3" xfId="17716"/>
    <cellStyle name="40% - Accent5 3 3 3 4" xfId="17717"/>
    <cellStyle name="40% - Accent5 3 3 3 5" xfId="17718"/>
    <cellStyle name="40% - Accent5 3 3 3 6" xfId="17719"/>
    <cellStyle name="40% - Accent5 3 3 4" xfId="17720"/>
    <cellStyle name="40% - Accent5 3 3 5" xfId="17721"/>
    <cellStyle name="40% - Accent5 3 3 6" xfId="17722"/>
    <cellStyle name="40% - Accent5 3 3 7" xfId="17723"/>
    <cellStyle name="40% - Accent5 3 3 8" xfId="17724"/>
    <cellStyle name="40% - Accent5 3 3 9" xfId="17725"/>
    <cellStyle name="40% - Accent5 3 4" xfId="17726"/>
    <cellStyle name="40% - Accent5 3 4 2" xfId="17727"/>
    <cellStyle name="40% - Accent5 3 4 2 2" xfId="17728"/>
    <cellStyle name="40% - Accent5 3 4 2 3" xfId="17729"/>
    <cellStyle name="40% - Accent5 3 4 2 4" xfId="17730"/>
    <cellStyle name="40% - Accent5 3 4 2 5" xfId="17731"/>
    <cellStyle name="40% - Accent5 3 4 2 6" xfId="17732"/>
    <cellStyle name="40% - Accent5 3 4 2 7" xfId="17733"/>
    <cellStyle name="40% - Accent5 3 4 3" xfId="17734"/>
    <cellStyle name="40% - Accent5 3 4 3 2" xfId="17735"/>
    <cellStyle name="40% - Accent5 3 4 3 3" xfId="17736"/>
    <cellStyle name="40% - Accent5 3 4 3 4" xfId="17737"/>
    <cellStyle name="40% - Accent5 3 4 3 5" xfId="17738"/>
    <cellStyle name="40% - Accent5 3 4 3 6" xfId="17739"/>
    <cellStyle name="40% - Accent5 3 4 4" xfId="17740"/>
    <cellStyle name="40% - Accent5 3 4 5" xfId="17741"/>
    <cellStyle name="40% - Accent5 3 4 6" xfId="17742"/>
    <cellStyle name="40% - Accent5 3 4 7" xfId="17743"/>
    <cellStyle name="40% - Accent5 3 4 8" xfId="17744"/>
    <cellStyle name="40% - Accent5 3 4 9" xfId="17745"/>
    <cellStyle name="40% - Accent5 3 5" xfId="17746"/>
    <cellStyle name="40% - Accent5 3 5 2" xfId="17747"/>
    <cellStyle name="40% - Accent5 3 5 2 2" xfId="17748"/>
    <cellStyle name="40% - Accent5 3 5 2 3" xfId="17749"/>
    <cellStyle name="40% - Accent5 3 5 2 4" xfId="17750"/>
    <cellStyle name="40% - Accent5 3 5 2 5" xfId="17751"/>
    <cellStyle name="40% - Accent5 3 5 2 6" xfId="17752"/>
    <cellStyle name="40% - Accent5 3 5 2 7" xfId="17753"/>
    <cellStyle name="40% - Accent5 3 5 3" xfId="17754"/>
    <cellStyle name="40% - Accent5 3 5 3 2" xfId="17755"/>
    <cellStyle name="40% - Accent5 3 5 3 3" xfId="17756"/>
    <cellStyle name="40% - Accent5 3 5 3 4" xfId="17757"/>
    <cellStyle name="40% - Accent5 3 5 3 5" xfId="17758"/>
    <cellStyle name="40% - Accent5 3 5 3 6" xfId="17759"/>
    <cellStyle name="40% - Accent5 3 5 4" xfId="17760"/>
    <cellStyle name="40% - Accent5 3 5 5" xfId="17761"/>
    <cellStyle name="40% - Accent5 3 5 6" xfId="17762"/>
    <cellStyle name="40% - Accent5 3 5 7" xfId="17763"/>
    <cellStyle name="40% - Accent5 3 5 8" xfId="17764"/>
    <cellStyle name="40% - Accent5 3 5 9" xfId="17765"/>
    <cellStyle name="40% - Accent5 3 6" xfId="17766"/>
    <cellStyle name="40% - Accent5 3 6 2" xfId="17767"/>
    <cellStyle name="40% - Accent5 3 6 2 2" xfId="17768"/>
    <cellStyle name="40% - Accent5 3 6 2 3" xfId="17769"/>
    <cellStyle name="40% - Accent5 3 6 2 4" xfId="17770"/>
    <cellStyle name="40% - Accent5 3 6 2 5" xfId="17771"/>
    <cellStyle name="40% - Accent5 3 6 2 6" xfId="17772"/>
    <cellStyle name="40% - Accent5 3 6 2 7" xfId="17773"/>
    <cellStyle name="40% - Accent5 3 6 3" xfId="17774"/>
    <cellStyle name="40% - Accent5 3 6 3 2" xfId="17775"/>
    <cellStyle name="40% - Accent5 3 6 3 3" xfId="17776"/>
    <cellStyle name="40% - Accent5 3 6 3 4" xfId="17777"/>
    <cellStyle name="40% - Accent5 3 6 3 5" xfId="17778"/>
    <cellStyle name="40% - Accent5 3 6 3 6" xfId="17779"/>
    <cellStyle name="40% - Accent5 3 6 4" xfId="17780"/>
    <cellStyle name="40% - Accent5 3 6 5" xfId="17781"/>
    <cellStyle name="40% - Accent5 3 6 6" xfId="17782"/>
    <cellStyle name="40% - Accent5 3 6 7" xfId="17783"/>
    <cellStyle name="40% - Accent5 3 6 8" xfId="17784"/>
    <cellStyle name="40% - Accent5 3 6 9" xfId="17785"/>
    <cellStyle name="40% - Accent5 3 7" xfId="17786"/>
    <cellStyle name="40% - Accent5 3 7 2" xfId="17787"/>
    <cellStyle name="40% - Accent5 3 7 2 2" xfId="17788"/>
    <cellStyle name="40% - Accent5 3 7 2 3" xfId="17789"/>
    <cellStyle name="40% - Accent5 3 7 2 4" xfId="17790"/>
    <cellStyle name="40% - Accent5 3 7 2 5" xfId="17791"/>
    <cellStyle name="40% - Accent5 3 7 2 6" xfId="17792"/>
    <cellStyle name="40% - Accent5 3 7 2 7" xfId="17793"/>
    <cellStyle name="40% - Accent5 3 7 3" xfId="17794"/>
    <cellStyle name="40% - Accent5 3 7 3 2" xfId="17795"/>
    <cellStyle name="40% - Accent5 3 7 3 3" xfId="17796"/>
    <cellStyle name="40% - Accent5 3 7 3 4" xfId="17797"/>
    <cellStyle name="40% - Accent5 3 7 3 5" xfId="17798"/>
    <cellStyle name="40% - Accent5 3 7 3 6" xfId="17799"/>
    <cellStyle name="40% - Accent5 3 7 4" xfId="17800"/>
    <cellStyle name="40% - Accent5 3 7 5" xfId="17801"/>
    <cellStyle name="40% - Accent5 3 7 6" xfId="17802"/>
    <cellStyle name="40% - Accent5 3 7 7" xfId="17803"/>
    <cellStyle name="40% - Accent5 3 7 8" xfId="17804"/>
    <cellStyle name="40% - Accent5 3 7 9" xfId="17805"/>
    <cellStyle name="40% - Accent5 3 8" xfId="17806"/>
    <cellStyle name="40% - Accent5 3 8 2" xfId="17807"/>
    <cellStyle name="40% - Accent5 3 8 2 2" xfId="17808"/>
    <cellStyle name="40% - Accent5 3 8 2 3" xfId="17809"/>
    <cellStyle name="40% - Accent5 3 8 2 4" xfId="17810"/>
    <cellStyle name="40% - Accent5 3 8 2 5" xfId="17811"/>
    <cellStyle name="40% - Accent5 3 8 2 6" xfId="17812"/>
    <cellStyle name="40% - Accent5 3 8 2 7" xfId="17813"/>
    <cellStyle name="40% - Accent5 3 8 3" xfId="17814"/>
    <cellStyle name="40% - Accent5 3 8 3 2" xfId="17815"/>
    <cellStyle name="40% - Accent5 3 8 3 3" xfId="17816"/>
    <cellStyle name="40% - Accent5 3 8 3 4" xfId="17817"/>
    <cellStyle name="40% - Accent5 3 8 3 5" xfId="17818"/>
    <cellStyle name="40% - Accent5 3 8 3 6" xfId="17819"/>
    <cellStyle name="40% - Accent5 3 8 4" xfId="17820"/>
    <cellStyle name="40% - Accent5 3 8 5" xfId="17821"/>
    <cellStyle name="40% - Accent5 3 8 6" xfId="17822"/>
    <cellStyle name="40% - Accent5 3 8 7" xfId="17823"/>
    <cellStyle name="40% - Accent5 3 8 8" xfId="17824"/>
    <cellStyle name="40% - Accent5 3 8 9" xfId="17825"/>
    <cellStyle name="40% - Accent5 3 9" xfId="17826"/>
    <cellStyle name="40% - Accent5 3 9 2" xfId="17827"/>
    <cellStyle name="40% - Accent5 3 9 2 2" xfId="17828"/>
    <cellStyle name="40% - Accent5 3 9 2 3" xfId="17829"/>
    <cellStyle name="40% - Accent5 3 9 2 4" xfId="17830"/>
    <cellStyle name="40% - Accent5 3 9 2 5" xfId="17831"/>
    <cellStyle name="40% - Accent5 3 9 2 6" xfId="17832"/>
    <cellStyle name="40% - Accent5 3 9 3" xfId="17833"/>
    <cellStyle name="40% - Accent5 3 9 4" xfId="17834"/>
    <cellStyle name="40% - Accent5 3 9 5" xfId="17835"/>
    <cellStyle name="40% - Accent5 3 9 6" xfId="17836"/>
    <cellStyle name="40% - Accent5 3 9 7" xfId="17837"/>
    <cellStyle name="40% - Accent5 3 9 8" xfId="17838"/>
    <cellStyle name="40% - Accent5 30" xfId="17839"/>
    <cellStyle name="40% - Accent5 30 2" xfId="17840"/>
    <cellStyle name="40% - Accent5 31" xfId="17841"/>
    <cellStyle name="40% - Accent5 32" xfId="17842"/>
    <cellStyle name="40% - Accent5 33" xfId="17843"/>
    <cellStyle name="40% - Accent5 34" xfId="17844"/>
    <cellStyle name="40% - Accent5 4" xfId="17845"/>
    <cellStyle name="40% - Accent5 4 10" xfId="17846"/>
    <cellStyle name="40% - Accent5 4 10 2" xfId="17847"/>
    <cellStyle name="40% - Accent5 4 10 3" xfId="17848"/>
    <cellStyle name="40% - Accent5 4 10 4" xfId="17849"/>
    <cellStyle name="40% - Accent5 4 10 5" xfId="17850"/>
    <cellStyle name="40% - Accent5 4 10 6" xfId="17851"/>
    <cellStyle name="40% - Accent5 4 10 7" xfId="17852"/>
    <cellStyle name="40% - Accent5 4 11" xfId="17853"/>
    <cellStyle name="40% - Accent5 4 11 2" xfId="17854"/>
    <cellStyle name="40% - Accent5 4 11 3" xfId="17855"/>
    <cellStyle name="40% - Accent5 4 11 4" xfId="17856"/>
    <cellStyle name="40% - Accent5 4 11 5" xfId="17857"/>
    <cellStyle name="40% - Accent5 4 11 6" xfId="17858"/>
    <cellStyle name="40% - Accent5 4 12" xfId="17859"/>
    <cellStyle name="40% - Accent5 4 12 2" xfId="17860"/>
    <cellStyle name="40% - Accent5 4 13" xfId="17861"/>
    <cellStyle name="40% - Accent5 4 14" xfId="17862"/>
    <cellStyle name="40% - Accent5 4 15" xfId="17863"/>
    <cellStyle name="40% - Accent5 4 16" xfId="17864"/>
    <cellStyle name="40% - Accent5 4 17" xfId="17865"/>
    <cellStyle name="40% - Accent5 4 2" xfId="17866"/>
    <cellStyle name="40% - Accent5 4 2 2" xfId="17867"/>
    <cellStyle name="40% - Accent5 4 2 2 2" xfId="17868"/>
    <cellStyle name="40% - Accent5 4 2 2 3" xfId="17869"/>
    <cellStyle name="40% - Accent5 4 2 2 4" xfId="17870"/>
    <cellStyle name="40% - Accent5 4 2 2 5" xfId="17871"/>
    <cellStyle name="40% - Accent5 4 2 2 6" xfId="17872"/>
    <cellStyle name="40% - Accent5 4 2 2 7" xfId="17873"/>
    <cellStyle name="40% - Accent5 4 2 3" xfId="17874"/>
    <cellStyle name="40% - Accent5 4 2 3 2" xfId="17875"/>
    <cellStyle name="40% - Accent5 4 2 3 3" xfId="17876"/>
    <cellStyle name="40% - Accent5 4 2 3 4" xfId="17877"/>
    <cellStyle name="40% - Accent5 4 2 3 5" xfId="17878"/>
    <cellStyle name="40% - Accent5 4 2 3 6" xfId="17879"/>
    <cellStyle name="40% - Accent5 4 2 4" xfId="17880"/>
    <cellStyle name="40% - Accent5 4 2 4 2" xfId="17881"/>
    <cellStyle name="40% - Accent5 4 2 5" xfId="17882"/>
    <cellStyle name="40% - Accent5 4 2 6" xfId="17883"/>
    <cellStyle name="40% - Accent5 4 2 7" xfId="17884"/>
    <cellStyle name="40% - Accent5 4 2 8" xfId="17885"/>
    <cellStyle name="40% - Accent5 4 2 9" xfId="17886"/>
    <cellStyle name="40% - Accent5 4 3" xfId="17887"/>
    <cellStyle name="40% - Accent5 4 3 2" xfId="17888"/>
    <cellStyle name="40% - Accent5 4 3 2 2" xfId="17889"/>
    <cellStyle name="40% - Accent5 4 3 2 3" xfId="17890"/>
    <cellStyle name="40% - Accent5 4 3 2 4" xfId="17891"/>
    <cellStyle name="40% - Accent5 4 3 2 5" xfId="17892"/>
    <cellStyle name="40% - Accent5 4 3 2 6" xfId="17893"/>
    <cellStyle name="40% - Accent5 4 3 2 7" xfId="17894"/>
    <cellStyle name="40% - Accent5 4 3 3" xfId="17895"/>
    <cellStyle name="40% - Accent5 4 3 3 2" xfId="17896"/>
    <cellStyle name="40% - Accent5 4 3 3 3" xfId="17897"/>
    <cellStyle name="40% - Accent5 4 3 3 4" xfId="17898"/>
    <cellStyle name="40% - Accent5 4 3 3 5" xfId="17899"/>
    <cellStyle name="40% - Accent5 4 3 3 6" xfId="17900"/>
    <cellStyle name="40% - Accent5 4 3 4" xfId="17901"/>
    <cellStyle name="40% - Accent5 4 3 4 2" xfId="17902"/>
    <cellStyle name="40% - Accent5 4 3 5" xfId="17903"/>
    <cellStyle name="40% - Accent5 4 3 6" xfId="17904"/>
    <cellStyle name="40% - Accent5 4 3 7" xfId="17905"/>
    <cellStyle name="40% - Accent5 4 3 8" xfId="17906"/>
    <cellStyle name="40% - Accent5 4 3 9" xfId="17907"/>
    <cellStyle name="40% - Accent5 4 4" xfId="17908"/>
    <cellStyle name="40% - Accent5 4 4 2" xfId="17909"/>
    <cellStyle name="40% - Accent5 4 4 2 2" xfId="17910"/>
    <cellStyle name="40% - Accent5 4 4 2 3" xfId="17911"/>
    <cellStyle name="40% - Accent5 4 4 2 4" xfId="17912"/>
    <cellStyle name="40% - Accent5 4 4 2 5" xfId="17913"/>
    <cellStyle name="40% - Accent5 4 4 2 6" xfId="17914"/>
    <cellStyle name="40% - Accent5 4 4 2 7" xfId="17915"/>
    <cellStyle name="40% - Accent5 4 4 3" xfId="17916"/>
    <cellStyle name="40% - Accent5 4 4 3 2" xfId="17917"/>
    <cellStyle name="40% - Accent5 4 4 3 3" xfId="17918"/>
    <cellStyle name="40% - Accent5 4 4 3 4" xfId="17919"/>
    <cellStyle name="40% - Accent5 4 4 3 5" xfId="17920"/>
    <cellStyle name="40% - Accent5 4 4 3 6" xfId="17921"/>
    <cellStyle name="40% - Accent5 4 4 4" xfId="17922"/>
    <cellStyle name="40% - Accent5 4 4 5" xfId="17923"/>
    <cellStyle name="40% - Accent5 4 4 6" xfId="17924"/>
    <cellStyle name="40% - Accent5 4 4 7" xfId="17925"/>
    <cellStyle name="40% - Accent5 4 4 8" xfId="17926"/>
    <cellStyle name="40% - Accent5 4 4 9" xfId="17927"/>
    <cellStyle name="40% - Accent5 4 5" xfId="17928"/>
    <cellStyle name="40% - Accent5 4 5 2" xfId="17929"/>
    <cellStyle name="40% - Accent5 4 5 2 2" xfId="17930"/>
    <cellStyle name="40% - Accent5 4 5 2 3" xfId="17931"/>
    <cellStyle name="40% - Accent5 4 5 2 4" xfId="17932"/>
    <cellStyle name="40% - Accent5 4 5 2 5" xfId="17933"/>
    <cellStyle name="40% - Accent5 4 5 2 6" xfId="17934"/>
    <cellStyle name="40% - Accent5 4 5 2 7" xfId="17935"/>
    <cellStyle name="40% - Accent5 4 5 3" xfId="17936"/>
    <cellStyle name="40% - Accent5 4 5 3 2" xfId="17937"/>
    <cellStyle name="40% - Accent5 4 5 3 3" xfId="17938"/>
    <cellStyle name="40% - Accent5 4 5 3 4" xfId="17939"/>
    <cellStyle name="40% - Accent5 4 5 3 5" xfId="17940"/>
    <cellStyle name="40% - Accent5 4 5 3 6" xfId="17941"/>
    <cellStyle name="40% - Accent5 4 5 4" xfId="17942"/>
    <cellStyle name="40% - Accent5 4 5 5" xfId="17943"/>
    <cellStyle name="40% - Accent5 4 5 6" xfId="17944"/>
    <cellStyle name="40% - Accent5 4 5 7" xfId="17945"/>
    <cellStyle name="40% - Accent5 4 5 8" xfId="17946"/>
    <cellStyle name="40% - Accent5 4 5 9" xfId="17947"/>
    <cellStyle name="40% - Accent5 4 6" xfId="17948"/>
    <cellStyle name="40% - Accent5 4 6 2" xfId="17949"/>
    <cellStyle name="40% - Accent5 4 6 2 2" xfId="17950"/>
    <cellStyle name="40% - Accent5 4 6 2 3" xfId="17951"/>
    <cellStyle name="40% - Accent5 4 6 2 4" xfId="17952"/>
    <cellStyle name="40% - Accent5 4 6 2 5" xfId="17953"/>
    <cellStyle name="40% - Accent5 4 6 2 6" xfId="17954"/>
    <cellStyle name="40% - Accent5 4 6 2 7" xfId="17955"/>
    <cellStyle name="40% - Accent5 4 6 3" xfId="17956"/>
    <cellStyle name="40% - Accent5 4 6 3 2" xfId="17957"/>
    <cellStyle name="40% - Accent5 4 6 3 3" xfId="17958"/>
    <cellStyle name="40% - Accent5 4 6 3 4" xfId="17959"/>
    <cellStyle name="40% - Accent5 4 6 3 5" xfId="17960"/>
    <cellStyle name="40% - Accent5 4 6 3 6" xfId="17961"/>
    <cellStyle name="40% - Accent5 4 6 4" xfId="17962"/>
    <cellStyle name="40% - Accent5 4 6 5" xfId="17963"/>
    <cellStyle name="40% - Accent5 4 6 6" xfId="17964"/>
    <cellStyle name="40% - Accent5 4 6 7" xfId="17965"/>
    <cellStyle name="40% - Accent5 4 6 8" xfId="17966"/>
    <cellStyle name="40% - Accent5 4 6 9" xfId="17967"/>
    <cellStyle name="40% - Accent5 4 7" xfId="17968"/>
    <cellStyle name="40% - Accent5 4 7 2" xfId="17969"/>
    <cellStyle name="40% - Accent5 4 7 2 2" xfId="17970"/>
    <cellStyle name="40% - Accent5 4 7 2 3" xfId="17971"/>
    <cellStyle name="40% - Accent5 4 7 2 4" xfId="17972"/>
    <cellStyle name="40% - Accent5 4 7 2 5" xfId="17973"/>
    <cellStyle name="40% - Accent5 4 7 2 6" xfId="17974"/>
    <cellStyle name="40% - Accent5 4 7 2 7" xfId="17975"/>
    <cellStyle name="40% - Accent5 4 7 3" xfId="17976"/>
    <cellStyle name="40% - Accent5 4 7 3 2" xfId="17977"/>
    <cellStyle name="40% - Accent5 4 7 3 3" xfId="17978"/>
    <cellStyle name="40% - Accent5 4 7 3 4" xfId="17979"/>
    <cellStyle name="40% - Accent5 4 7 3 5" xfId="17980"/>
    <cellStyle name="40% - Accent5 4 7 3 6" xfId="17981"/>
    <cellStyle name="40% - Accent5 4 7 4" xfId="17982"/>
    <cellStyle name="40% - Accent5 4 7 5" xfId="17983"/>
    <cellStyle name="40% - Accent5 4 7 6" xfId="17984"/>
    <cellStyle name="40% - Accent5 4 7 7" xfId="17985"/>
    <cellStyle name="40% - Accent5 4 7 8" xfId="17986"/>
    <cellStyle name="40% - Accent5 4 7 9" xfId="17987"/>
    <cellStyle name="40% - Accent5 4 8" xfId="17988"/>
    <cellStyle name="40% - Accent5 4 8 2" xfId="17989"/>
    <cellStyle name="40% - Accent5 4 8 2 2" xfId="17990"/>
    <cellStyle name="40% - Accent5 4 8 2 3" xfId="17991"/>
    <cellStyle name="40% - Accent5 4 8 2 4" xfId="17992"/>
    <cellStyle name="40% - Accent5 4 8 2 5" xfId="17993"/>
    <cellStyle name="40% - Accent5 4 8 2 6" xfId="17994"/>
    <cellStyle name="40% - Accent5 4 8 2 7" xfId="17995"/>
    <cellStyle name="40% - Accent5 4 8 3" xfId="17996"/>
    <cellStyle name="40% - Accent5 4 8 3 2" xfId="17997"/>
    <cellStyle name="40% - Accent5 4 8 3 3" xfId="17998"/>
    <cellStyle name="40% - Accent5 4 8 3 4" xfId="17999"/>
    <cellStyle name="40% - Accent5 4 8 3 5" xfId="18000"/>
    <cellStyle name="40% - Accent5 4 8 3 6" xfId="18001"/>
    <cellStyle name="40% - Accent5 4 8 4" xfId="18002"/>
    <cellStyle name="40% - Accent5 4 8 5" xfId="18003"/>
    <cellStyle name="40% - Accent5 4 8 6" xfId="18004"/>
    <cellStyle name="40% - Accent5 4 8 7" xfId="18005"/>
    <cellStyle name="40% - Accent5 4 8 8" xfId="18006"/>
    <cellStyle name="40% - Accent5 4 8 9" xfId="18007"/>
    <cellStyle name="40% - Accent5 4 9" xfId="18008"/>
    <cellStyle name="40% - Accent5 4 9 2" xfId="18009"/>
    <cellStyle name="40% - Accent5 4 9 2 2" xfId="18010"/>
    <cellStyle name="40% - Accent5 4 9 2 3" xfId="18011"/>
    <cellStyle name="40% - Accent5 4 9 2 4" xfId="18012"/>
    <cellStyle name="40% - Accent5 4 9 2 5" xfId="18013"/>
    <cellStyle name="40% - Accent5 4 9 2 6" xfId="18014"/>
    <cellStyle name="40% - Accent5 4 9 3" xfId="18015"/>
    <cellStyle name="40% - Accent5 4 9 4" xfId="18016"/>
    <cellStyle name="40% - Accent5 4 9 5" xfId="18017"/>
    <cellStyle name="40% - Accent5 4 9 6" xfId="18018"/>
    <cellStyle name="40% - Accent5 4 9 7" xfId="18019"/>
    <cellStyle name="40% - Accent5 4 9 8" xfId="18020"/>
    <cellStyle name="40% - Accent5 5" xfId="18021"/>
    <cellStyle name="40% - Accent5 5 10" xfId="18022"/>
    <cellStyle name="40% - Accent5 5 10 2" xfId="18023"/>
    <cellStyle name="40% - Accent5 5 10 3" xfId="18024"/>
    <cellStyle name="40% - Accent5 5 10 4" xfId="18025"/>
    <cellStyle name="40% - Accent5 5 10 5" xfId="18026"/>
    <cellStyle name="40% - Accent5 5 10 6" xfId="18027"/>
    <cellStyle name="40% - Accent5 5 10 7" xfId="18028"/>
    <cellStyle name="40% - Accent5 5 11" xfId="18029"/>
    <cellStyle name="40% - Accent5 5 11 2" xfId="18030"/>
    <cellStyle name="40% - Accent5 5 11 3" xfId="18031"/>
    <cellStyle name="40% - Accent5 5 11 4" xfId="18032"/>
    <cellStyle name="40% - Accent5 5 11 5" xfId="18033"/>
    <cellStyle name="40% - Accent5 5 11 6" xfId="18034"/>
    <cellStyle name="40% - Accent5 5 12" xfId="18035"/>
    <cellStyle name="40% - Accent5 5 12 2" xfId="18036"/>
    <cellStyle name="40% - Accent5 5 13" xfId="18037"/>
    <cellStyle name="40% - Accent5 5 14" xfId="18038"/>
    <cellStyle name="40% - Accent5 5 15" xfId="18039"/>
    <cellStyle name="40% - Accent5 5 16" xfId="18040"/>
    <cellStyle name="40% - Accent5 5 17" xfId="18041"/>
    <cellStyle name="40% - Accent5 5 2" xfId="18042"/>
    <cellStyle name="40% - Accent5 5 2 2" xfId="18043"/>
    <cellStyle name="40% - Accent5 5 2 2 2" xfId="18044"/>
    <cellStyle name="40% - Accent5 5 2 2 3" xfId="18045"/>
    <cellStyle name="40% - Accent5 5 2 2 4" xfId="18046"/>
    <cellStyle name="40% - Accent5 5 2 2 5" xfId="18047"/>
    <cellStyle name="40% - Accent5 5 2 2 6" xfId="18048"/>
    <cellStyle name="40% - Accent5 5 2 2 7" xfId="18049"/>
    <cellStyle name="40% - Accent5 5 2 3" xfId="18050"/>
    <cellStyle name="40% - Accent5 5 2 3 2" xfId="18051"/>
    <cellStyle name="40% - Accent5 5 2 3 3" xfId="18052"/>
    <cellStyle name="40% - Accent5 5 2 3 4" xfId="18053"/>
    <cellStyle name="40% - Accent5 5 2 3 5" xfId="18054"/>
    <cellStyle name="40% - Accent5 5 2 3 6" xfId="18055"/>
    <cellStyle name="40% - Accent5 5 2 4" xfId="18056"/>
    <cellStyle name="40% - Accent5 5 2 4 2" xfId="18057"/>
    <cellStyle name="40% - Accent5 5 2 5" xfId="18058"/>
    <cellStyle name="40% - Accent5 5 2 6" xfId="18059"/>
    <cellStyle name="40% - Accent5 5 2 7" xfId="18060"/>
    <cellStyle name="40% - Accent5 5 2 8" xfId="18061"/>
    <cellStyle name="40% - Accent5 5 2 9" xfId="18062"/>
    <cellStyle name="40% - Accent5 5 3" xfId="18063"/>
    <cellStyle name="40% - Accent5 5 3 2" xfId="18064"/>
    <cellStyle name="40% - Accent5 5 3 2 2" xfId="18065"/>
    <cellStyle name="40% - Accent5 5 3 2 3" xfId="18066"/>
    <cellStyle name="40% - Accent5 5 3 2 4" xfId="18067"/>
    <cellStyle name="40% - Accent5 5 3 2 5" xfId="18068"/>
    <cellStyle name="40% - Accent5 5 3 2 6" xfId="18069"/>
    <cellStyle name="40% - Accent5 5 3 2 7" xfId="18070"/>
    <cellStyle name="40% - Accent5 5 3 3" xfId="18071"/>
    <cellStyle name="40% - Accent5 5 3 3 2" xfId="18072"/>
    <cellStyle name="40% - Accent5 5 3 3 3" xfId="18073"/>
    <cellStyle name="40% - Accent5 5 3 3 4" xfId="18074"/>
    <cellStyle name="40% - Accent5 5 3 3 5" xfId="18075"/>
    <cellStyle name="40% - Accent5 5 3 3 6" xfId="18076"/>
    <cellStyle name="40% - Accent5 5 3 4" xfId="18077"/>
    <cellStyle name="40% - Accent5 5 3 4 2" xfId="18078"/>
    <cellStyle name="40% - Accent5 5 3 5" xfId="18079"/>
    <cellStyle name="40% - Accent5 5 3 6" xfId="18080"/>
    <cellStyle name="40% - Accent5 5 3 7" xfId="18081"/>
    <cellStyle name="40% - Accent5 5 3 8" xfId="18082"/>
    <cellStyle name="40% - Accent5 5 3 9" xfId="18083"/>
    <cellStyle name="40% - Accent5 5 4" xfId="18084"/>
    <cellStyle name="40% - Accent5 5 4 2" xfId="18085"/>
    <cellStyle name="40% - Accent5 5 4 2 2" xfId="18086"/>
    <cellStyle name="40% - Accent5 5 4 2 3" xfId="18087"/>
    <cellStyle name="40% - Accent5 5 4 2 4" xfId="18088"/>
    <cellStyle name="40% - Accent5 5 4 2 5" xfId="18089"/>
    <cellStyle name="40% - Accent5 5 4 2 6" xfId="18090"/>
    <cellStyle name="40% - Accent5 5 4 2 7" xfId="18091"/>
    <cellStyle name="40% - Accent5 5 4 3" xfId="18092"/>
    <cellStyle name="40% - Accent5 5 4 3 2" xfId="18093"/>
    <cellStyle name="40% - Accent5 5 4 3 3" xfId="18094"/>
    <cellStyle name="40% - Accent5 5 4 3 4" xfId="18095"/>
    <cellStyle name="40% - Accent5 5 4 3 5" xfId="18096"/>
    <cellStyle name="40% - Accent5 5 4 3 6" xfId="18097"/>
    <cellStyle name="40% - Accent5 5 4 4" xfId="18098"/>
    <cellStyle name="40% - Accent5 5 4 5" xfId="18099"/>
    <cellStyle name="40% - Accent5 5 4 6" xfId="18100"/>
    <cellStyle name="40% - Accent5 5 4 7" xfId="18101"/>
    <cellStyle name="40% - Accent5 5 4 8" xfId="18102"/>
    <cellStyle name="40% - Accent5 5 4 9" xfId="18103"/>
    <cellStyle name="40% - Accent5 5 5" xfId="18104"/>
    <cellStyle name="40% - Accent5 5 5 2" xfId="18105"/>
    <cellStyle name="40% - Accent5 5 5 2 2" xfId="18106"/>
    <cellStyle name="40% - Accent5 5 5 2 3" xfId="18107"/>
    <cellStyle name="40% - Accent5 5 5 2 4" xfId="18108"/>
    <cellStyle name="40% - Accent5 5 5 2 5" xfId="18109"/>
    <cellStyle name="40% - Accent5 5 5 2 6" xfId="18110"/>
    <cellStyle name="40% - Accent5 5 5 2 7" xfId="18111"/>
    <cellStyle name="40% - Accent5 5 5 3" xfId="18112"/>
    <cellStyle name="40% - Accent5 5 5 3 2" xfId="18113"/>
    <cellStyle name="40% - Accent5 5 5 3 3" xfId="18114"/>
    <cellStyle name="40% - Accent5 5 5 3 4" xfId="18115"/>
    <cellStyle name="40% - Accent5 5 5 3 5" xfId="18116"/>
    <cellStyle name="40% - Accent5 5 5 3 6" xfId="18117"/>
    <cellStyle name="40% - Accent5 5 5 4" xfId="18118"/>
    <cellStyle name="40% - Accent5 5 5 5" xfId="18119"/>
    <cellStyle name="40% - Accent5 5 5 6" xfId="18120"/>
    <cellStyle name="40% - Accent5 5 5 7" xfId="18121"/>
    <cellStyle name="40% - Accent5 5 5 8" xfId="18122"/>
    <cellStyle name="40% - Accent5 5 5 9" xfId="18123"/>
    <cellStyle name="40% - Accent5 5 6" xfId="18124"/>
    <cellStyle name="40% - Accent5 5 6 2" xfId="18125"/>
    <cellStyle name="40% - Accent5 5 6 2 2" xfId="18126"/>
    <cellStyle name="40% - Accent5 5 6 2 3" xfId="18127"/>
    <cellStyle name="40% - Accent5 5 6 2 4" xfId="18128"/>
    <cellStyle name="40% - Accent5 5 6 2 5" xfId="18129"/>
    <cellStyle name="40% - Accent5 5 6 2 6" xfId="18130"/>
    <cellStyle name="40% - Accent5 5 6 2 7" xfId="18131"/>
    <cellStyle name="40% - Accent5 5 6 3" xfId="18132"/>
    <cellStyle name="40% - Accent5 5 6 3 2" xfId="18133"/>
    <cellStyle name="40% - Accent5 5 6 3 3" xfId="18134"/>
    <cellStyle name="40% - Accent5 5 6 3 4" xfId="18135"/>
    <cellStyle name="40% - Accent5 5 6 3 5" xfId="18136"/>
    <cellStyle name="40% - Accent5 5 6 3 6" xfId="18137"/>
    <cellStyle name="40% - Accent5 5 6 4" xfId="18138"/>
    <cellStyle name="40% - Accent5 5 6 5" xfId="18139"/>
    <cellStyle name="40% - Accent5 5 6 6" xfId="18140"/>
    <cellStyle name="40% - Accent5 5 6 7" xfId="18141"/>
    <cellStyle name="40% - Accent5 5 6 8" xfId="18142"/>
    <cellStyle name="40% - Accent5 5 6 9" xfId="18143"/>
    <cellStyle name="40% - Accent5 5 7" xfId="18144"/>
    <cellStyle name="40% - Accent5 5 7 2" xfId="18145"/>
    <cellStyle name="40% - Accent5 5 7 2 2" xfId="18146"/>
    <cellStyle name="40% - Accent5 5 7 2 3" xfId="18147"/>
    <cellStyle name="40% - Accent5 5 7 2 4" xfId="18148"/>
    <cellStyle name="40% - Accent5 5 7 2 5" xfId="18149"/>
    <cellStyle name="40% - Accent5 5 7 2 6" xfId="18150"/>
    <cellStyle name="40% - Accent5 5 7 2 7" xfId="18151"/>
    <cellStyle name="40% - Accent5 5 7 3" xfId="18152"/>
    <cellStyle name="40% - Accent5 5 7 3 2" xfId="18153"/>
    <cellStyle name="40% - Accent5 5 7 3 3" xfId="18154"/>
    <cellStyle name="40% - Accent5 5 7 3 4" xfId="18155"/>
    <cellStyle name="40% - Accent5 5 7 3 5" xfId="18156"/>
    <cellStyle name="40% - Accent5 5 7 3 6" xfId="18157"/>
    <cellStyle name="40% - Accent5 5 7 4" xfId="18158"/>
    <cellStyle name="40% - Accent5 5 7 5" xfId="18159"/>
    <cellStyle name="40% - Accent5 5 7 6" xfId="18160"/>
    <cellStyle name="40% - Accent5 5 7 7" xfId="18161"/>
    <cellStyle name="40% - Accent5 5 7 8" xfId="18162"/>
    <cellStyle name="40% - Accent5 5 7 9" xfId="18163"/>
    <cellStyle name="40% - Accent5 5 8" xfId="18164"/>
    <cellStyle name="40% - Accent5 5 8 2" xfId="18165"/>
    <cellStyle name="40% - Accent5 5 8 2 2" xfId="18166"/>
    <cellStyle name="40% - Accent5 5 8 2 3" xfId="18167"/>
    <cellStyle name="40% - Accent5 5 8 2 4" xfId="18168"/>
    <cellStyle name="40% - Accent5 5 8 2 5" xfId="18169"/>
    <cellStyle name="40% - Accent5 5 8 2 6" xfId="18170"/>
    <cellStyle name="40% - Accent5 5 8 2 7" xfId="18171"/>
    <cellStyle name="40% - Accent5 5 8 3" xfId="18172"/>
    <cellStyle name="40% - Accent5 5 8 3 2" xfId="18173"/>
    <cellStyle name="40% - Accent5 5 8 3 3" xfId="18174"/>
    <cellStyle name="40% - Accent5 5 8 3 4" xfId="18175"/>
    <cellStyle name="40% - Accent5 5 8 3 5" xfId="18176"/>
    <cellStyle name="40% - Accent5 5 8 3 6" xfId="18177"/>
    <cellStyle name="40% - Accent5 5 8 4" xfId="18178"/>
    <cellStyle name="40% - Accent5 5 8 5" xfId="18179"/>
    <cellStyle name="40% - Accent5 5 8 6" xfId="18180"/>
    <cellStyle name="40% - Accent5 5 8 7" xfId="18181"/>
    <cellStyle name="40% - Accent5 5 8 8" xfId="18182"/>
    <cellStyle name="40% - Accent5 5 8 9" xfId="18183"/>
    <cellStyle name="40% - Accent5 5 9" xfId="18184"/>
    <cellStyle name="40% - Accent5 5 9 2" xfId="18185"/>
    <cellStyle name="40% - Accent5 5 9 2 2" xfId="18186"/>
    <cellStyle name="40% - Accent5 5 9 2 3" xfId="18187"/>
    <cellStyle name="40% - Accent5 5 9 2 4" xfId="18188"/>
    <cellStyle name="40% - Accent5 5 9 2 5" xfId="18189"/>
    <cellStyle name="40% - Accent5 5 9 2 6" xfId="18190"/>
    <cellStyle name="40% - Accent5 5 9 3" xfId="18191"/>
    <cellStyle name="40% - Accent5 5 9 4" xfId="18192"/>
    <cellStyle name="40% - Accent5 5 9 5" xfId="18193"/>
    <cellStyle name="40% - Accent5 5 9 6" xfId="18194"/>
    <cellStyle name="40% - Accent5 5 9 7" xfId="18195"/>
    <cellStyle name="40% - Accent5 5 9 8" xfId="18196"/>
    <cellStyle name="40% - Accent5 6" xfId="18197"/>
    <cellStyle name="40% - Accent5 6 10" xfId="18198"/>
    <cellStyle name="40% - Accent5 6 10 2" xfId="18199"/>
    <cellStyle name="40% - Accent5 6 10 3" xfId="18200"/>
    <cellStyle name="40% - Accent5 6 10 4" xfId="18201"/>
    <cellStyle name="40% - Accent5 6 10 5" xfId="18202"/>
    <cellStyle name="40% - Accent5 6 10 6" xfId="18203"/>
    <cellStyle name="40% - Accent5 6 10 7" xfId="18204"/>
    <cellStyle name="40% - Accent5 6 11" xfId="18205"/>
    <cellStyle name="40% - Accent5 6 11 2" xfId="18206"/>
    <cellStyle name="40% - Accent5 6 11 3" xfId="18207"/>
    <cellStyle name="40% - Accent5 6 11 4" xfId="18208"/>
    <cellStyle name="40% - Accent5 6 11 5" xfId="18209"/>
    <cellStyle name="40% - Accent5 6 11 6" xfId="18210"/>
    <cellStyle name="40% - Accent5 6 12" xfId="18211"/>
    <cellStyle name="40% - Accent5 6 12 2" xfId="18212"/>
    <cellStyle name="40% - Accent5 6 13" xfId="18213"/>
    <cellStyle name="40% - Accent5 6 14" xfId="18214"/>
    <cellStyle name="40% - Accent5 6 15" xfId="18215"/>
    <cellStyle name="40% - Accent5 6 16" xfId="18216"/>
    <cellStyle name="40% - Accent5 6 17" xfId="18217"/>
    <cellStyle name="40% - Accent5 6 2" xfId="18218"/>
    <cellStyle name="40% - Accent5 6 2 2" xfId="18219"/>
    <cellStyle name="40% - Accent5 6 2 2 2" xfId="18220"/>
    <cellStyle name="40% - Accent5 6 2 2 3" xfId="18221"/>
    <cellStyle name="40% - Accent5 6 2 2 4" xfId="18222"/>
    <cellStyle name="40% - Accent5 6 2 2 5" xfId="18223"/>
    <cellStyle name="40% - Accent5 6 2 2 6" xfId="18224"/>
    <cellStyle name="40% - Accent5 6 2 2 7" xfId="18225"/>
    <cellStyle name="40% - Accent5 6 2 3" xfId="18226"/>
    <cellStyle name="40% - Accent5 6 2 3 2" xfId="18227"/>
    <cellStyle name="40% - Accent5 6 2 3 3" xfId="18228"/>
    <cellStyle name="40% - Accent5 6 2 3 4" xfId="18229"/>
    <cellStyle name="40% - Accent5 6 2 3 5" xfId="18230"/>
    <cellStyle name="40% - Accent5 6 2 3 6" xfId="18231"/>
    <cellStyle name="40% - Accent5 6 2 4" xfId="18232"/>
    <cellStyle name="40% - Accent5 6 2 4 2" xfId="18233"/>
    <cellStyle name="40% - Accent5 6 2 5" xfId="18234"/>
    <cellStyle name="40% - Accent5 6 2 6" xfId="18235"/>
    <cellStyle name="40% - Accent5 6 2 7" xfId="18236"/>
    <cellStyle name="40% - Accent5 6 2 8" xfId="18237"/>
    <cellStyle name="40% - Accent5 6 2 9" xfId="18238"/>
    <cellStyle name="40% - Accent5 6 3" xfId="18239"/>
    <cellStyle name="40% - Accent5 6 3 2" xfId="18240"/>
    <cellStyle name="40% - Accent5 6 3 2 2" xfId="18241"/>
    <cellStyle name="40% - Accent5 6 3 2 3" xfId="18242"/>
    <cellStyle name="40% - Accent5 6 3 2 4" xfId="18243"/>
    <cellStyle name="40% - Accent5 6 3 2 5" xfId="18244"/>
    <cellStyle name="40% - Accent5 6 3 2 6" xfId="18245"/>
    <cellStyle name="40% - Accent5 6 3 2 7" xfId="18246"/>
    <cellStyle name="40% - Accent5 6 3 3" xfId="18247"/>
    <cellStyle name="40% - Accent5 6 3 3 2" xfId="18248"/>
    <cellStyle name="40% - Accent5 6 3 3 3" xfId="18249"/>
    <cellStyle name="40% - Accent5 6 3 3 4" xfId="18250"/>
    <cellStyle name="40% - Accent5 6 3 3 5" xfId="18251"/>
    <cellStyle name="40% - Accent5 6 3 3 6" xfId="18252"/>
    <cellStyle name="40% - Accent5 6 3 4" xfId="18253"/>
    <cellStyle name="40% - Accent5 6 3 4 2" xfId="18254"/>
    <cellStyle name="40% - Accent5 6 3 5" xfId="18255"/>
    <cellStyle name="40% - Accent5 6 3 6" xfId="18256"/>
    <cellStyle name="40% - Accent5 6 3 7" xfId="18257"/>
    <cellStyle name="40% - Accent5 6 3 8" xfId="18258"/>
    <cellStyle name="40% - Accent5 6 3 9" xfId="18259"/>
    <cellStyle name="40% - Accent5 6 4" xfId="18260"/>
    <cellStyle name="40% - Accent5 6 4 2" xfId="18261"/>
    <cellStyle name="40% - Accent5 6 4 2 2" xfId="18262"/>
    <cellStyle name="40% - Accent5 6 4 2 3" xfId="18263"/>
    <cellStyle name="40% - Accent5 6 4 2 4" xfId="18264"/>
    <cellStyle name="40% - Accent5 6 4 2 5" xfId="18265"/>
    <cellStyle name="40% - Accent5 6 4 2 6" xfId="18266"/>
    <cellStyle name="40% - Accent5 6 4 2 7" xfId="18267"/>
    <cellStyle name="40% - Accent5 6 4 3" xfId="18268"/>
    <cellStyle name="40% - Accent5 6 4 3 2" xfId="18269"/>
    <cellStyle name="40% - Accent5 6 4 3 3" xfId="18270"/>
    <cellStyle name="40% - Accent5 6 4 3 4" xfId="18271"/>
    <cellStyle name="40% - Accent5 6 4 3 5" xfId="18272"/>
    <cellStyle name="40% - Accent5 6 4 3 6" xfId="18273"/>
    <cellStyle name="40% - Accent5 6 4 4" xfId="18274"/>
    <cellStyle name="40% - Accent5 6 4 5" xfId="18275"/>
    <cellStyle name="40% - Accent5 6 4 6" xfId="18276"/>
    <cellStyle name="40% - Accent5 6 4 7" xfId="18277"/>
    <cellStyle name="40% - Accent5 6 4 8" xfId="18278"/>
    <cellStyle name="40% - Accent5 6 4 9" xfId="18279"/>
    <cellStyle name="40% - Accent5 6 5" xfId="18280"/>
    <cellStyle name="40% - Accent5 6 5 2" xfId="18281"/>
    <cellStyle name="40% - Accent5 6 5 2 2" xfId="18282"/>
    <cellStyle name="40% - Accent5 6 5 2 3" xfId="18283"/>
    <cellStyle name="40% - Accent5 6 5 2 4" xfId="18284"/>
    <cellStyle name="40% - Accent5 6 5 2 5" xfId="18285"/>
    <cellStyle name="40% - Accent5 6 5 2 6" xfId="18286"/>
    <cellStyle name="40% - Accent5 6 5 2 7" xfId="18287"/>
    <cellStyle name="40% - Accent5 6 5 3" xfId="18288"/>
    <cellStyle name="40% - Accent5 6 5 3 2" xfId="18289"/>
    <cellStyle name="40% - Accent5 6 5 3 3" xfId="18290"/>
    <cellStyle name="40% - Accent5 6 5 3 4" xfId="18291"/>
    <cellStyle name="40% - Accent5 6 5 3 5" xfId="18292"/>
    <cellStyle name="40% - Accent5 6 5 3 6" xfId="18293"/>
    <cellStyle name="40% - Accent5 6 5 4" xfId="18294"/>
    <cellStyle name="40% - Accent5 6 5 5" xfId="18295"/>
    <cellStyle name="40% - Accent5 6 5 6" xfId="18296"/>
    <cellStyle name="40% - Accent5 6 5 7" xfId="18297"/>
    <cellStyle name="40% - Accent5 6 5 8" xfId="18298"/>
    <cellStyle name="40% - Accent5 6 5 9" xfId="18299"/>
    <cellStyle name="40% - Accent5 6 6" xfId="18300"/>
    <cellStyle name="40% - Accent5 6 6 2" xfId="18301"/>
    <cellStyle name="40% - Accent5 6 6 2 2" xfId="18302"/>
    <cellStyle name="40% - Accent5 6 6 2 3" xfId="18303"/>
    <cellStyle name="40% - Accent5 6 6 2 4" xfId="18304"/>
    <cellStyle name="40% - Accent5 6 6 2 5" xfId="18305"/>
    <cellStyle name="40% - Accent5 6 6 2 6" xfId="18306"/>
    <cellStyle name="40% - Accent5 6 6 2 7" xfId="18307"/>
    <cellStyle name="40% - Accent5 6 6 3" xfId="18308"/>
    <cellStyle name="40% - Accent5 6 6 3 2" xfId="18309"/>
    <cellStyle name="40% - Accent5 6 6 3 3" xfId="18310"/>
    <cellStyle name="40% - Accent5 6 6 3 4" xfId="18311"/>
    <cellStyle name="40% - Accent5 6 6 3 5" xfId="18312"/>
    <cellStyle name="40% - Accent5 6 6 3 6" xfId="18313"/>
    <cellStyle name="40% - Accent5 6 6 4" xfId="18314"/>
    <cellStyle name="40% - Accent5 6 6 5" xfId="18315"/>
    <cellStyle name="40% - Accent5 6 6 6" xfId="18316"/>
    <cellStyle name="40% - Accent5 6 6 7" xfId="18317"/>
    <cellStyle name="40% - Accent5 6 6 8" xfId="18318"/>
    <cellStyle name="40% - Accent5 6 6 9" xfId="18319"/>
    <cellStyle name="40% - Accent5 6 7" xfId="18320"/>
    <cellStyle name="40% - Accent5 6 7 2" xfId="18321"/>
    <cellStyle name="40% - Accent5 6 7 2 2" xfId="18322"/>
    <cellStyle name="40% - Accent5 6 7 2 3" xfId="18323"/>
    <cellStyle name="40% - Accent5 6 7 2 4" xfId="18324"/>
    <cellStyle name="40% - Accent5 6 7 2 5" xfId="18325"/>
    <cellStyle name="40% - Accent5 6 7 2 6" xfId="18326"/>
    <cellStyle name="40% - Accent5 6 7 2 7" xfId="18327"/>
    <cellStyle name="40% - Accent5 6 7 3" xfId="18328"/>
    <cellStyle name="40% - Accent5 6 7 3 2" xfId="18329"/>
    <cellStyle name="40% - Accent5 6 7 3 3" xfId="18330"/>
    <cellStyle name="40% - Accent5 6 7 3 4" xfId="18331"/>
    <cellStyle name="40% - Accent5 6 7 3 5" xfId="18332"/>
    <cellStyle name="40% - Accent5 6 7 3 6" xfId="18333"/>
    <cellStyle name="40% - Accent5 6 7 4" xfId="18334"/>
    <cellStyle name="40% - Accent5 6 7 5" xfId="18335"/>
    <cellStyle name="40% - Accent5 6 7 6" xfId="18336"/>
    <cellStyle name="40% - Accent5 6 7 7" xfId="18337"/>
    <cellStyle name="40% - Accent5 6 7 8" xfId="18338"/>
    <cellStyle name="40% - Accent5 6 7 9" xfId="18339"/>
    <cellStyle name="40% - Accent5 6 8" xfId="18340"/>
    <cellStyle name="40% - Accent5 6 8 2" xfId="18341"/>
    <cellStyle name="40% - Accent5 6 8 2 2" xfId="18342"/>
    <cellStyle name="40% - Accent5 6 8 2 3" xfId="18343"/>
    <cellStyle name="40% - Accent5 6 8 2 4" xfId="18344"/>
    <cellStyle name="40% - Accent5 6 8 2 5" xfId="18345"/>
    <cellStyle name="40% - Accent5 6 8 2 6" xfId="18346"/>
    <cellStyle name="40% - Accent5 6 8 2 7" xfId="18347"/>
    <cellStyle name="40% - Accent5 6 8 3" xfId="18348"/>
    <cellStyle name="40% - Accent5 6 8 3 2" xfId="18349"/>
    <cellStyle name="40% - Accent5 6 8 3 3" xfId="18350"/>
    <cellStyle name="40% - Accent5 6 8 3 4" xfId="18351"/>
    <cellStyle name="40% - Accent5 6 8 3 5" xfId="18352"/>
    <cellStyle name="40% - Accent5 6 8 3 6" xfId="18353"/>
    <cellStyle name="40% - Accent5 6 8 4" xfId="18354"/>
    <cellStyle name="40% - Accent5 6 8 5" xfId="18355"/>
    <cellStyle name="40% - Accent5 6 8 6" xfId="18356"/>
    <cellStyle name="40% - Accent5 6 8 7" xfId="18357"/>
    <cellStyle name="40% - Accent5 6 8 8" xfId="18358"/>
    <cellStyle name="40% - Accent5 6 8 9" xfId="18359"/>
    <cellStyle name="40% - Accent5 6 9" xfId="18360"/>
    <cellStyle name="40% - Accent5 6 9 2" xfId="18361"/>
    <cellStyle name="40% - Accent5 6 9 2 2" xfId="18362"/>
    <cellStyle name="40% - Accent5 6 9 2 3" xfId="18363"/>
    <cellStyle name="40% - Accent5 6 9 2 4" xfId="18364"/>
    <cellStyle name="40% - Accent5 6 9 2 5" xfId="18365"/>
    <cellStyle name="40% - Accent5 6 9 2 6" xfId="18366"/>
    <cellStyle name="40% - Accent5 6 9 3" xfId="18367"/>
    <cellStyle name="40% - Accent5 6 9 4" xfId="18368"/>
    <cellStyle name="40% - Accent5 6 9 5" xfId="18369"/>
    <cellStyle name="40% - Accent5 6 9 6" xfId="18370"/>
    <cellStyle name="40% - Accent5 6 9 7" xfId="18371"/>
    <cellStyle name="40% - Accent5 6 9 8" xfId="18372"/>
    <cellStyle name="40% - Accent5 7" xfId="18373"/>
    <cellStyle name="40% - Accent5 7 10" xfId="18374"/>
    <cellStyle name="40% - Accent5 7 10 2" xfId="18375"/>
    <cellStyle name="40% - Accent5 7 10 3" xfId="18376"/>
    <cellStyle name="40% - Accent5 7 10 4" xfId="18377"/>
    <cellStyle name="40% - Accent5 7 10 5" xfId="18378"/>
    <cellStyle name="40% - Accent5 7 10 6" xfId="18379"/>
    <cellStyle name="40% - Accent5 7 10 7" xfId="18380"/>
    <cellStyle name="40% - Accent5 7 11" xfId="18381"/>
    <cellStyle name="40% - Accent5 7 11 2" xfId="18382"/>
    <cellStyle name="40% - Accent5 7 11 3" xfId="18383"/>
    <cellStyle name="40% - Accent5 7 11 4" xfId="18384"/>
    <cellStyle name="40% - Accent5 7 11 5" xfId="18385"/>
    <cellStyle name="40% - Accent5 7 11 6" xfId="18386"/>
    <cellStyle name="40% - Accent5 7 12" xfId="18387"/>
    <cellStyle name="40% - Accent5 7 12 2" xfId="18388"/>
    <cellStyle name="40% - Accent5 7 13" xfId="18389"/>
    <cellStyle name="40% - Accent5 7 14" xfId="18390"/>
    <cellStyle name="40% - Accent5 7 15" xfId="18391"/>
    <cellStyle name="40% - Accent5 7 16" xfId="18392"/>
    <cellStyle name="40% - Accent5 7 17" xfId="18393"/>
    <cellStyle name="40% - Accent5 7 2" xfId="18394"/>
    <cellStyle name="40% - Accent5 7 2 2" xfId="18395"/>
    <cellStyle name="40% - Accent5 7 2 2 2" xfId="18396"/>
    <cellStyle name="40% - Accent5 7 2 2 3" xfId="18397"/>
    <cellStyle name="40% - Accent5 7 2 2 4" xfId="18398"/>
    <cellStyle name="40% - Accent5 7 2 2 5" xfId="18399"/>
    <cellStyle name="40% - Accent5 7 2 2 6" xfId="18400"/>
    <cellStyle name="40% - Accent5 7 2 2 7" xfId="18401"/>
    <cellStyle name="40% - Accent5 7 2 3" xfId="18402"/>
    <cellStyle name="40% - Accent5 7 2 3 2" xfId="18403"/>
    <cellStyle name="40% - Accent5 7 2 3 3" xfId="18404"/>
    <cellStyle name="40% - Accent5 7 2 3 4" xfId="18405"/>
    <cellStyle name="40% - Accent5 7 2 3 5" xfId="18406"/>
    <cellStyle name="40% - Accent5 7 2 3 6" xfId="18407"/>
    <cellStyle name="40% - Accent5 7 2 4" xfId="18408"/>
    <cellStyle name="40% - Accent5 7 2 4 2" xfId="18409"/>
    <cellStyle name="40% - Accent5 7 2 5" xfId="18410"/>
    <cellStyle name="40% - Accent5 7 2 6" xfId="18411"/>
    <cellStyle name="40% - Accent5 7 2 7" xfId="18412"/>
    <cellStyle name="40% - Accent5 7 2 8" xfId="18413"/>
    <cellStyle name="40% - Accent5 7 2 9" xfId="18414"/>
    <cellStyle name="40% - Accent5 7 3" xfId="18415"/>
    <cellStyle name="40% - Accent5 7 3 2" xfId="18416"/>
    <cellStyle name="40% - Accent5 7 3 2 2" xfId="18417"/>
    <cellStyle name="40% - Accent5 7 3 2 3" xfId="18418"/>
    <cellStyle name="40% - Accent5 7 3 2 4" xfId="18419"/>
    <cellStyle name="40% - Accent5 7 3 2 5" xfId="18420"/>
    <cellStyle name="40% - Accent5 7 3 2 6" xfId="18421"/>
    <cellStyle name="40% - Accent5 7 3 2 7" xfId="18422"/>
    <cellStyle name="40% - Accent5 7 3 3" xfId="18423"/>
    <cellStyle name="40% - Accent5 7 3 3 2" xfId="18424"/>
    <cellStyle name="40% - Accent5 7 3 3 3" xfId="18425"/>
    <cellStyle name="40% - Accent5 7 3 3 4" xfId="18426"/>
    <cellStyle name="40% - Accent5 7 3 3 5" xfId="18427"/>
    <cellStyle name="40% - Accent5 7 3 3 6" xfId="18428"/>
    <cellStyle name="40% - Accent5 7 3 4" xfId="18429"/>
    <cellStyle name="40% - Accent5 7 3 4 2" xfId="18430"/>
    <cellStyle name="40% - Accent5 7 3 5" xfId="18431"/>
    <cellStyle name="40% - Accent5 7 3 6" xfId="18432"/>
    <cellStyle name="40% - Accent5 7 3 7" xfId="18433"/>
    <cellStyle name="40% - Accent5 7 3 8" xfId="18434"/>
    <cellStyle name="40% - Accent5 7 3 9" xfId="18435"/>
    <cellStyle name="40% - Accent5 7 4" xfId="18436"/>
    <cellStyle name="40% - Accent5 7 4 2" xfId="18437"/>
    <cellStyle name="40% - Accent5 7 4 2 2" xfId="18438"/>
    <cellStyle name="40% - Accent5 7 4 2 3" xfId="18439"/>
    <cellStyle name="40% - Accent5 7 4 2 4" xfId="18440"/>
    <cellStyle name="40% - Accent5 7 4 2 5" xfId="18441"/>
    <cellStyle name="40% - Accent5 7 4 2 6" xfId="18442"/>
    <cellStyle name="40% - Accent5 7 4 2 7" xfId="18443"/>
    <cellStyle name="40% - Accent5 7 4 3" xfId="18444"/>
    <cellStyle name="40% - Accent5 7 4 3 2" xfId="18445"/>
    <cellStyle name="40% - Accent5 7 4 3 3" xfId="18446"/>
    <cellStyle name="40% - Accent5 7 4 3 4" xfId="18447"/>
    <cellStyle name="40% - Accent5 7 4 3 5" xfId="18448"/>
    <cellStyle name="40% - Accent5 7 4 3 6" xfId="18449"/>
    <cellStyle name="40% - Accent5 7 4 4" xfId="18450"/>
    <cellStyle name="40% - Accent5 7 4 5" xfId="18451"/>
    <cellStyle name="40% - Accent5 7 4 6" xfId="18452"/>
    <cellStyle name="40% - Accent5 7 4 7" xfId="18453"/>
    <cellStyle name="40% - Accent5 7 4 8" xfId="18454"/>
    <cellStyle name="40% - Accent5 7 4 9" xfId="18455"/>
    <cellStyle name="40% - Accent5 7 5" xfId="18456"/>
    <cellStyle name="40% - Accent5 7 5 2" xfId="18457"/>
    <cellStyle name="40% - Accent5 7 5 2 2" xfId="18458"/>
    <cellStyle name="40% - Accent5 7 5 2 3" xfId="18459"/>
    <cellStyle name="40% - Accent5 7 5 2 4" xfId="18460"/>
    <cellStyle name="40% - Accent5 7 5 2 5" xfId="18461"/>
    <cellStyle name="40% - Accent5 7 5 2 6" xfId="18462"/>
    <cellStyle name="40% - Accent5 7 5 2 7" xfId="18463"/>
    <cellStyle name="40% - Accent5 7 5 3" xfId="18464"/>
    <cellStyle name="40% - Accent5 7 5 3 2" xfId="18465"/>
    <cellStyle name="40% - Accent5 7 5 3 3" xfId="18466"/>
    <cellStyle name="40% - Accent5 7 5 3 4" xfId="18467"/>
    <cellStyle name="40% - Accent5 7 5 3 5" xfId="18468"/>
    <cellStyle name="40% - Accent5 7 5 3 6" xfId="18469"/>
    <cellStyle name="40% - Accent5 7 5 4" xfId="18470"/>
    <cellStyle name="40% - Accent5 7 5 5" xfId="18471"/>
    <cellStyle name="40% - Accent5 7 5 6" xfId="18472"/>
    <cellStyle name="40% - Accent5 7 5 7" xfId="18473"/>
    <cellStyle name="40% - Accent5 7 5 8" xfId="18474"/>
    <cellStyle name="40% - Accent5 7 5 9" xfId="18475"/>
    <cellStyle name="40% - Accent5 7 6" xfId="18476"/>
    <cellStyle name="40% - Accent5 7 6 2" xfId="18477"/>
    <cellStyle name="40% - Accent5 7 6 2 2" xfId="18478"/>
    <cellStyle name="40% - Accent5 7 6 2 3" xfId="18479"/>
    <cellStyle name="40% - Accent5 7 6 2 4" xfId="18480"/>
    <cellStyle name="40% - Accent5 7 6 2 5" xfId="18481"/>
    <cellStyle name="40% - Accent5 7 6 2 6" xfId="18482"/>
    <cellStyle name="40% - Accent5 7 6 2 7" xfId="18483"/>
    <cellStyle name="40% - Accent5 7 6 3" xfId="18484"/>
    <cellStyle name="40% - Accent5 7 6 3 2" xfId="18485"/>
    <cellStyle name="40% - Accent5 7 6 3 3" xfId="18486"/>
    <cellStyle name="40% - Accent5 7 6 3 4" xfId="18487"/>
    <cellStyle name="40% - Accent5 7 6 3 5" xfId="18488"/>
    <cellStyle name="40% - Accent5 7 6 3 6" xfId="18489"/>
    <cellStyle name="40% - Accent5 7 6 4" xfId="18490"/>
    <cellStyle name="40% - Accent5 7 6 5" xfId="18491"/>
    <cellStyle name="40% - Accent5 7 6 6" xfId="18492"/>
    <cellStyle name="40% - Accent5 7 6 7" xfId="18493"/>
    <cellStyle name="40% - Accent5 7 6 8" xfId="18494"/>
    <cellStyle name="40% - Accent5 7 6 9" xfId="18495"/>
    <cellStyle name="40% - Accent5 7 7" xfId="18496"/>
    <cellStyle name="40% - Accent5 7 7 2" xfId="18497"/>
    <cellStyle name="40% - Accent5 7 7 2 2" xfId="18498"/>
    <cellStyle name="40% - Accent5 7 7 2 3" xfId="18499"/>
    <cellStyle name="40% - Accent5 7 7 2 4" xfId="18500"/>
    <cellStyle name="40% - Accent5 7 7 2 5" xfId="18501"/>
    <cellStyle name="40% - Accent5 7 7 2 6" xfId="18502"/>
    <cellStyle name="40% - Accent5 7 7 2 7" xfId="18503"/>
    <cellStyle name="40% - Accent5 7 7 3" xfId="18504"/>
    <cellStyle name="40% - Accent5 7 7 3 2" xfId="18505"/>
    <cellStyle name="40% - Accent5 7 7 3 3" xfId="18506"/>
    <cellStyle name="40% - Accent5 7 7 3 4" xfId="18507"/>
    <cellStyle name="40% - Accent5 7 7 3 5" xfId="18508"/>
    <cellStyle name="40% - Accent5 7 7 3 6" xfId="18509"/>
    <cellStyle name="40% - Accent5 7 7 4" xfId="18510"/>
    <cellStyle name="40% - Accent5 7 7 5" xfId="18511"/>
    <cellStyle name="40% - Accent5 7 7 6" xfId="18512"/>
    <cellStyle name="40% - Accent5 7 7 7" xfId="18513"/>
    <cellStyle name="40% - Accent5 7 7 8" xfId="18514"/>
    <cellStyle name="40% - Accent5 7 7 9" xfId="18515"/>
    <cellStyle name="40% - Accent5 7 8" xfId="18516"/>
    <cellStyle name="40% - Accent5 7 8 2" xfId="18517"/>
    <cellStyle name="40% - Accent5 7 8 2 2" xfId="18518"/>
    <cellStyle name="40% - Accent5 7 8 2 3" xfId="18519"/>
    <cellStyle name="40% - Accent5 7 8 2 4" xfId="18520"/>
    <cellStyle name="40% - Accent5 7 8 2 5" xfId="18521"/>
    <cellStyle name="40% - Accent5 7 8 2 6" xfId="18522"/>
    <cellStyle name="40% - Accent5 7 8 2 7" xfId="18523"/>
    <cellStyle name="40% - Accent5 7 8 3" xfId="18524"/>
    <cellStyle name="40% - Accent5 7 8 3 2" xfId="18525"/>
    <cellStyle name="40% - Accent5 7 8 3 3" xfId="18526"/>
    <cellStyle name="40% - Accent5 7 8 3 4" xfId="18527"/>
    <cellStyle name="40% - Accent5 7 8 3 5" xfId="18528"/>
    <cellStyle name="40% - Accent5 7 8 3 6" xfId="18529"/>
    <cellStyle name="40% - Accent5 7 8 4" xfId="18530"/>
    <cellStyle name="40% - Accent5 7 8 5" xfId="18531"/>
    <cellStyle name="40% - Accent5 7 8 6" xfId="18532"/>
    <cellStyle name="40% - Accent5 7 8 7" xfId="18533"/>
    <cellStyle name="40% - Accent5 7 8 8" xfId="18534"/>
    <cellStyle name="40% - Accent5 7 8 9" xfId="18535"/>
    <cellStyle name="40% - Accent5 7 9" xfId="18536"/>
    <cellStyle name="40% - Accent5 7 9 2" xfId="18537"/>
    <cellStyle name="40% - Accent5 7 9 2 2" xfId="18538"/>
    <cellStyle name="40% - Accent5 7 9 2 3" xfId="18539"/>
    <cellStyle name="40% - Accent5 7 9 2 4" xfId="18540"/>
    <cellStyle name="40% - Accent5 7 9 2 5" xfId="18541"/>
    <cellStyle name="40% - Accent5 7 9 2 6" xfId="18542"/>
    <cellStyle name="40% - Accent5 7 9 3" xfId="18543"/>
    <cellStyle name="40% - Accent5 7 9 4" xfId="18544"/>
    <cellStyle name="40% - Accent5 7 9 5" xfId="18545"/>
    <cellStyle name="40% - Accent5 7 9 6" xfId="18546"/>
    <cellStyle name="40% - Accent5 7 9 7" xfId="18547"/>
    <cellStyle name="40% - Accent5 7 9 8" xfId="18548"/>
    <cellStyle name="40% - Accent5 8" xfId="18549"/>
    <cellStyle name="40% - Accent5 8 10" xfId="18550"/>
    <cellStyle name="40% - Accent5 8 10 2" xfId="18551"/>
    <cellStyle name="40% - Accent5 8 10 3" xfId="18552"/>
    <cellStyle name="40% - Accent5 8 10 4" xfId="18553"/>
    <cellStyle name="40% - Accent5 8 10 5" xfId="18554"/>
    <cellStyle name="40% - Accent5 8 10 6" xfId="18555"/>
    <cellStyle name="40% - Accent5 8 10 7" xfId="18556"/>
    <cellStyle name="40% - Accent5 8 11" xfId="18557"/>
    <cellStyle name="40% - Accent5 8 11 2" xfId="18558"/>
    <cellStyle name="40% - Accent5 8 11 3" xfId="18559"/>
    <cellStyle name="40% - Accent5 8 11 4" xfId="18560"/>
    <cellStyle name="40% - Accent5 8 11 5" xfId="18561"/>
    <cellStyle name="40% - Accent5 8 11 6" xfId="18562"/>
    <cellStyle name="40% - Accent5 8 12" xfId="18563"/>
    <cellStyle name="40% - Accent5 8 12 2" xfId="18564"/>
    <cellStyle name="40% - Accent5 8 13" xfId="18565"/>
    <cellStyle name="40% - Accent5 8 14" xfId="18566"/>
    <cellStyle name="40% - Accent5 8 15" xfId="18567"/>
    <cellStyle name="40% - Accent5 8 16" xfId="18568"/>
    <cellStyle name="40% - Accent5 8 17" xfId="18569"/>
    <cellStyle name="40% - Accent5 8 2" xfId="18570"/>
    <cellStyle name="40% - Accent5 8 2 2" xfId="18571"/>
    <cellStyle name="40% - Accent5 8 2 2 2" xfId="18572"/>
    <cellStyle name="40% - Accent5 8 2 2 3" xfId="18573"/>
    <cellStyle name="40% - Accent5 8 2 2 4" xfId="18574"/>
    <cellStyle name="40% - Accent5 8 2 2 5" xfId="18575"/>
    <cellStyle name="40% - Accent5 8 2 2 6" xfId="18576"/>
    <cellStyle name="40% - Accent5 8 2 2 7" xfId="18577"/>
    <cellStyle name="40% - Accent5 8 2 3" xfId="18578"/>
    <cellStyle name="40% - Accent5 8 2 3 2" xfId="18579"/>
    <cellStyle name="40% - Accent5 8 2 3 3" xfId="18580"/>
    <cellStyle name="40% - Accent5 8 2 3 4" xfId="18581"/>
    <cellStyle name="40% - Accent5 8 2 3 5" xfId="18582"/>
    <cellStyle name="40% - Accent5 8 2 3 6" xfId="18583"/>
    <cellStyle name="40% - Accent5 8 2 4" xfId="18584"/>
    <cellStyle name="40% - Accent5 8 2 4 2" xfId="18585"/>
    <cellStyle name="40% - Accent5 8 2 5" xfId="18586"/>
    <cellStyle name="40% - Accent5 8 2 6" xfId="18587"/>
    <cellStyle name="40% - Accent5 8 2 7" xfId="18588"/>
    <cellStyle name="40% - Accent5 8 2 8" xfId="18589"/>
    <cellStyle name="40% - Accent5 8 2 9" xfId="18590"/>
    <cellStyle name="40% - Accent5 8 3" xfId="18591"/>
    <cellStyle name="40% - Accent5 8 3 2" xfId="18592"/>
    <cellStyle name="40% - Accent5 8 3 2 2" xfId="18593"/>
    <cellStyle name="40% - Accent5 8 3 2 3" xfId="18594"/>
    <cellStyle name="40% - Accent5 8 3 2 4" xfId="18595"/>
    <cellStyle name="40% - Accent5 8 3 2 5" xfId="18596"/>
    <cellStyle name="40% - Accent5 8 3 2 6" xfId="18597"/>
    <cellStyle name="40% - Accent5 8 3 2 7" xfId="18598"/>
    <cellStyle name="40% - Accent5 8 3 3" xfId="18599"/>
    <cellStyle name="40% - Accent5 8 3 3 2" xfId="18600"/>
    <cellStyle name="40% - Accent5 8 3 3 3" xfId="18601"/>
    <cellStyle name="40% - Accent5 8 3 3 4" xfId="18602"/>
    <cellStyle name="40% - Accent5 8 3 3 5" xfId="18603"/>
    <cellStyle name="40% - Accent5 8 3 3 6" xfId="18604"/>
    <cellStyle name="40% - Accent5 8 3 4" xfId="18605"/>
    <cellStyle name="40% - Accent5 8 3 4 2" xfId="18606"/>
    <cellStyle name="40% - Accent5 8 3 5" xfId="18607"/>
    <cellStyle name="40% - Accent5 8 3 6" xfId="18608"/>
    <cellStyle name="40% - Accent5 8 3 7" xfId="18609"/>
    <cellStyle name="40% - Accent5 8 3 8" xfId="18610"/>
    <cellStyle name="40% - Accent5 8 3 9" xfId="18611"/>
    <cellStyle name="40% - Accent5 8 4" xfId="18612"/>
    <cellStyle name="40% - Accent5 8 4 2" xfId="18613"/>
    <cellStyle name="40% - Accent5 8 4 2 2" xfId="18614"/>
    <cellStyle name="40% - Accent5 8 4 2 3" xfId="18615"/>
    <cellStyle name="40% - Accent5 8 4 2 4" xfId="18616"/>
    <cellStyle name="40% - Accent5 8 4 2 5" xfId="18617"/>
    <cellStyle name="40% - Accent5 8 4 2 6" xfId="18618"/>
    <cellStyle name="40% - Accent5 8 4 2 7" xfId="18619"/>
    <cellStyle name="40% - Accent5 8 4 3" xfId="18620"/>
    <cellStyle name="40% - Accent5 8 4 3 2" xfId="18621"/>
    <cellStyle name="40% - Accent5 8 4 3 3" xfId="18622"/>
    <cellStyle name="40% - Accent5 8 4 3 4" xfId="18623"/>
    <cellStyle name="40% - Accent5 8 4 3 5" xfId="18624"/>
    <cellStyle name="40% - Accent5 8 4 3 6" xfId="18625"/>
    <cellStyle name="40% - Accent5 8 4 4" xfId="18626"/>
    <cellStyle name="40% - Accent5 8 4 5" xfId="18627"/>
    <cellStyle name="40% - Accent5 8 4 6" xfId="18628"/>
    <cellStyle name="40% - Accent5 8 4 7" xfId="18629"/>
    <cellStyle name="40% - Accent5 8 4 8" xfId="18630"/>
    <cellStyle name="40% - Accent5 8 4 9" xfId="18631"/>
    <cellStyle name="40% - Accent5 8 5" xfId="18632"/>
    <cellStyle name="40% - Accent5 8 5 2" xfId="18633"/>
    <cellStyle name="40% - Accent5 8 5 2 2" xfId="18634"/>
    <cellStyle name="40% - Accent5 8 5 2 3" xfId="18635"/>
    <cellStyle name="40% - Accent5 8 5 2 4" xfId="18636"/>
    <cellStyle name="40% - Accent5 8 5 2 5" xfId="18637"/>
    <cellStyle name="40% - Accent5 8 5 2 6" xfId="18638"/>
    <cellStyle name="40% - Accent5 8 5 2 7" xfId="18639"/>
    <cellStyle name="40% - Accent5 8 5 3" xfId="18640"/>
    <cellStyle name="40% - Accent5 8 5 3 2" xfId="18641"/>
    <cellStyle name="40% - Accent5 8 5 3 3" xfId="18642"/>
    <cellStyle name="40% - Accent5 8 5 3 4" xfId="18643"/>
    <cellStyle name="40% - Accent5 8 5 3 5" xfId="18644"/>
    <cellStyle name="40% - Accent5 8 5 3 6" xfId="18645"/>
    <cellStyle name="40% - Accent5 8 5 4" xfId="18646"/>
    <cellStyle name="40% - Accent5 8 5 5" xfId="18647"/>
    <cellStyle name="40% - Accent5 8 5 6" xfId="18648"/>
    <cellStyle name="40% - Accent5 8 5 7" xfId="18649"/>
    <cellStyle name="40% - Accent5 8 5 8" xfId="18650"/>
    <cellStyle name="40% - Accent5 8 5 9" xfId="18651"/>
    <cellStyle name="40% - Accent5 8 6" xfId="18652"/>
    <cellStyle name="40% - Accent5 8 6 2" xfId="18653"/>
    <cellStyle name="40% - Accent5 8 6 2 2" xfId="18654"/>
    <cellStyle name="40% - Accent5 8 6 2 3" xfId="18655"/>
    <cellStyle name="40% - Accent5 8 6 2 4" xfId="18656"/>
    <cellStyle name="40% - Accent5 8 6 2 5" xfId="18657"/>
    <cellStyle name="40% - Accent5 8 6 2 6" xfId="18658"/>
    <cellStyle name="40% - Accent5 8 6 2 7" xfId="18659"/>
    <cellStyle name="40% - Accent5 8 6 3" xfId="18660"/>
    <cellStyle name="40% - Accent5 8 6 3 2" xfId="18661"/>
    <cellStyle name="40% - Accent5 8 6 3 3" xfId="18662"/>
    <cellStyle name="40% - Accent5 8 6 3 4" xfId="18663"/>
    <cellStyle name="40% - Accent5 8 6 3 5" xfId="18664"/>
    <cellStyle name="40% - Accent5 8 6 3 6" xfId="18665"/>
    <cellStyle name="40% - Accent5 8 6 4" xfId="18666"/>
    <cellStyle name="40% - Accent5 8 6 5" xfId="18667"/>
    <cellStyle name="40% - Accent5 8 6 6" xfId="18668"/>
    <cellStyle name="40% - Accent5 8 6 7" xfId="18669"/>
    <cellStyle name="40% - Accent5 8 6 8" xfId="18670"/>
    <cellStyle name="40% - Accent5 8 6 9" xfId="18671"/>
    <cellStyle name="40% - Accent5 8 7" xfId="18672"/>
    <cellStyle name="40% - Accent5 8 7 2" xfId="18673"/>
    <cellStyle name="40% - Accent5 8 7 2 2" xfId="18674"/>
    <cellStyle name="40% - Accent5 8 7 2 3" xfId="18675"/>
    <cellStyle name="40% - Accent5 8 7 2 4" xfId="18676"/>
    <cellStyle name="40% - Accent5 8 7 2 5" xfId="18677"/>
    <cellStyle name="40% - Accent5 8 7 2 6" xfId="18678"/>
    <cellStyle name="40% - Accent5 8 7 2 7" xfId="18679"/>
    <cellStyle name="40% - Accent5 8 7 3" xfId="18680"/>
    <cellStyle name="40% - Accent5 8 7 3 2" xfId="18681"/>
    <cellStyle name="40% - Accent5 8 7 3 3" xfId="18682"/>
    <cellStyle name="40% - Accent5 8 7 3 4" xfId="18683"/>
    <cellStyle name="40% - Accent5 8 7 3 5" xfId="18684"/>
    <cellStyle name="40% - Accent5 8 7 3 6" xfId="18685"/>
    <cellStyle name="40% - Accent5 8 7 4" xfId="18686"/>
    <cellStyle name="40% - Accent5 8 7 5" xfId="18687"/>
    <cellStyle name="40% - Accent5 8 7 6" xfId="18688"/>
    <cellStyle name="40% - Accent5 8 7 7" xfId="18689"/>
    <cellStyle name="40% - Accent5 8 7 8" xfId="18690"/>
    <cellStyle name="40% - Accent5 8 7 9" xfId="18691"/>
    <cellStyle name="40% - Accent5 8 8" xfId="18692"/>
    <cellStyle name="40% - Accent5 8 8 2" xfId="18693"/>
    <cellStyle name="40% - Accent5 8 8 2 2" xfId="18694"/>
    <cellStyle name="40% - Accent5 8 8 2 3" xfId="18695"/>
    <cellStyle name="40% - Accent5 8 8 2 4" xfId="18696"/>
    <cellStyle name="40% - Accent5 8 8 2 5" xfId="18697"/>
    <cellStyle name="40% - Accent5 8 8 2 6" xfId="18698"/>
    <cellStyle name="40% - Accent5 8 8 2 7" xfId="18699"/>
    <cellStyle name="40% - Accent5 8 8 3" xfId="18700"/>
    <cellStyle name="40% - Accent5 8 8 3 2" xfId="18701"/>
    <cellStyle name="40% - Accent5 8 8 3 3" xfId="18702"/>
    <cellStyle name="40% - Accent5 8 8 3 4" xfId="18703"/>
    <cellStyle name="40% - Accent5 8 8 3 5" xfId="18704"/>
    <cellStyle name="40% - Accent5 8 8 3 6" xfId="18705"/>
    <cellStyle name="40% - Accent5 8 8 4" xfId="18706"/>
    <cellStyle name="40% - Accent5 8 8 5" xfId="18707"/>
    <cellStyle name="40% - Accent5 8 8 6" xfId="18708"/>
    <cellStyle name="40% - Accent5 8 8 7" xfId="18709"/>
    <cellStyle name="40% - Accent5 8 8 8" xfId="18710"/>
    <cellStyle name="40% - Accent5 8 8 9" xfId="18711"/>
    <cellStyle name="40% - Accent5 8 9" xfId="18712"/>
    <cellStyle name="40% - Accent5 8 9 2" xfId="18713"/>
    <cellStyle name="40% - Accent5 8 9 2 2" xfId="18714"/>
    <cellStyle name="40% - Accent5 8 9 2 3" xfId="18715"/>
    <cellStyle name="40% - Accent5 8 9 2 4" xfId="18716"/>
    <cellStyle name="40% - Accent5 8 9 2 5" xfId="18717"/>
    <cellStyle name="40% - Accent5 8 9 2 6" xfId="18718"/>
    <cellStyle name="40% - Accent5 8 9 3" xfId="18719"/>
    <cellStyle name="40% - Accent5 8 9 4" xfId="18720"/>
    <cellStyle name="40% - Accent5 8 9 5" xfId="18721"/>
    <cellStyle name="40% - Accent5 8 9 6" xfId="18722"/>
    <cellStyle name="40% - Accent5 8 9 7" xfId="18723"/>
    <cellStyle name="40% - Accent5 8 9 8" xfId="18724"/>
    <cellStyle name="40% - Accent5 9" xfId="18725"/>
    <cellStyle name="40% - Accent5 9 2" xfId="18726"/>
    <cellStyle name="40% - Accent5 9 3" xfId="18727"/>
    <cellStyle name="40% - Accent5 9 4" xfId="18728"/>
    <cellStyle name="40% - Accent6" xfId="18" builtinId="51" customBuiltin="1"/>
    <cellStyle name="40% - Accent6 10" xfId="18729"/>
    <cellStyle name="40% - Accent6 10 2" xfId="18730"/>
    <cellStyle name="40% - Accent6 10 2 2" xfId="18731"/>
    <cellStyle name="40% - Accent6 10 2 2 2" xfId="18732"/>
    <cellStyle name="40% - Accent6 10 2 3" xfId="18733"/>
    <cellStyle name="40% - Accent6 10 2 4" xfId="18734"/>
    <cellStyle name="40% - Accent6 10 2 5" xfId="18735"/>
    <cellStyle name="40% - Accent6 10 2 6" xfId="18736"/>
    <cellStyle name="40% - Accent6 10 2 7" xfId="18737"/>
    <cellStyle name="40% - Accent6 10 3" xfId="18738"/>
    <cellStyle name="40% - Accent6 10 3 2" xfId="18739"/>
    <cellStyle name="40% - Accent6 10 3 2 2" xfId="18740"/>
    <cellStyle name="40% - Accent6 10 3 3" xfId="18741"/>
    <cellStyle name="40% - Accent6 10 3 4" xfId="18742"/>
    <cellStyle name="40% - Accent6 10 3 5" xfId="18743"/>
    <cellStyle name="40% - Accent6 10 3 6" xfId="18744"/>
    <cellStyle name="40% - Accent6 10 4" xfId="18745"/>
    <cellStyle name="40% - Accent6 10 4 2" xfId="18746"/>
    <cellStyle name="40% - Accent6 10 5" xfId="18747"/>
    <cellStyle name="40% - Accent6 10 6" xfId="18748"/>
    <cellStyle name="40% - Accent6 10 7" xfId="18749"/>
    <cellStyle name="40% - Accent6 10 8" xfId="18750"/>
    <cellStyle name="40% - Accent6 10 9" xfId="18751"/>
    <cellStyle name="40% - Accent6 11" xfId="18752"/>
    <cellStyle name="40% - Accent6 11 2" xfId="18753"/>
    <cellStyle name="40% - Accent6 11 2 2" xfId="18754"/>
    <cellStyle name="40% - Accent6 11 2 2 2" xfId="18755"/>
    <cellStyle name="40% - Accent6 11 2 3" xfId="18756"/>
    <cellStyle name="40% - Accent6 11 2 4" xfId="18757"/>
    <cellStyle name="40% - Accent6 11 2 5" xfId="18758"/>
    <cellStyle name="40% - Accent6 11 2 6" xfId="18759"/>
    <cellStyle name="40% - Accent6 11 2 7" xfId="18760"/>
    <cellStyle name="40% - Accent6 11 3" xfId="18761"/>
    <cellStyle name="40% - Accent6 11 3 2" xfId="18762"/>
    <cellStyle name="40% - Accent6 11 3 2 2" xfId="18763"/>
    <cellStyle name="40% - Accent6 11 3 3" xfId="18764"/>
    <cellStyle name="40% - Accent6 11 3 4" xfId="18765"/>
    <cellStyle name="40% - Accent6 11 3 5" xfId="18766"/>
    <cellStyle name="40% - Accent6 11 3 6" xfId="18767"/>
    <cellStyle name="40% - Accent6 11 4" xfId="18768"/>
    <cellStyle name="40% - Accent6 11 4 2" xfId="18769"/>
    <cellStyle name="40% - Accent6 11 5" xfId="18770"/>
    <cellStyle name="40% - Accent6 11 6" xfId="18771"/>
    <cellStyle name="40% - Accent6 11 7" xfId="18772"/>
    <cellStyle name="40% - Accent6 11 8" xfId="18773"/>
    <cellStyle name="40% - Accent6 11 9" xfId="18774"/>
    <cellStyle name="40% - Accent6 12" xfId="18775"/>
    <cellStyle name="40% - Accent6 12 2" xfId="18776"/>
    <cellStyle name="40% - Accent6 12 2 2" xfId="18777"/>
    <cellStyle name="40% - Accent6 12 2 2 2" xfId="18778"/>
    <cellStyle name="40% - Accent6 12 2 3" xfId="18779"/>
    <cellStyle name="40% - Accent6 12 2 4" xfId="18780"/>
    <cellStyle name="40% - Accent6 12 2 5" xfId="18781"/>
    <cellStyle name="40% - Accent6 12 2 6" xfId="18782"/>
    <cellStyle name="40% - Accent6 12 2 7" xfId="18783"/>
    <cellStyle name="40% - Accent6 12 3" xfId="18784"/>
    <cellStyle name="40% - Accent6 12 3 2" xfId="18785"/>
    <cellStyle name="40% - Accent6 12 3 2 2" xfId="18786"/>
    <cellStyle name="40% - Accent6 12 3 3" xfId="18787"/>
    <cellStyle name="40% - Accent6 12 3 4" xfId="18788"/>
    <cellStyle name="40% - Accent6 12 3 5" xfId="18789"/>
    <cellStyle name="40% - Accent6 12 3 6" xfId="18790"/>
    <cellStyle name="40% - Accent6 12 4" xfId="18791"/>
    <cellStyle name="40% - Accent6 12 4 2" xfId="18792"/>
    <cellStyle name="40% - Accent6 12 5" xfId="18793"/>
    <cellStyle name="40% - Accent6 12 6" xfId="18794"/>
    <cellStyle name="40% - Accent6 12 7" xfId="18795"/>
    <cellStyle name="40% - Accent6 12 8" xfId="18796"/>
    <cellStyle name="40% - Accent6 12 9" xfId="18797"/>
    <cellStyle name="40% - Accent6 13" xfId="18798"/>
    <cellStyle name="40% - Accent6 13 2" xfId="18799"/>
    <cellStyle name="40% - Accent6 13 2 2" xfId="18800"/>
    <cellStyle name="40% - Accent6 13 2 2 2" xfId="18801"/>
    <cellStyle name="40% - Accent6 13 2 3" xfId="18802"/>
    <cellStyle name="40% - Accent6 13 2 4" xfId="18803"/>
    <cellStyle name="40% - Accent6 13 2 5" xfId="18804"/>
    <cellStyle name="40% - Accent6 13 2 6" xfId="18805"/>
    <cellStyle name="40% - Accent6 13 2 7" xfId="18806"/>
    <cellStyle name="40% - Accent6 13 3" xfId="18807"/>
    <cellStyle name="40% - Accent6 13 3 2" xfId="18808"/>
    <cellStyle name="40% - Accent6 13 3 2 2" xfId="18809"/>
    <cellStyle name="40% - Accent6 13 3 3" xfId="18810"/>
    <cellStyle name="40% - Accent6 13 3 4" xfId="18811"/>
    <cellStyle name="40% - Accent6 13 3 5" xfId="18812"/>
    <cellStyle name="40% - Accent6 13 3 6" xfId="18813"/>
    <cellStyle name="40% - Accent6 13 4" xfId="18814"/>
    <cellStyle name="40% - Accent6 13 4 2" xfId="18815"/>
    <cellStyle name="40% - Accent6 13 5" xfId="18816"/>
    <cellStyle name="40% - Accent6 13 6" xfId="18817"/>
    <cellStyle name="40% - Accent6 13 7" xfId="18818"/>
    <cellStyle name="40% - Accent6 13 8" xfId="18819"/>
    <cellStyle name="40% - Accent6 13 9" xfId="18820"/>
    <cellStyle name="40% - Accent6 14" xfId="18821"/>
    <cellStyle name="40% - Accent6 14 2" xfId="18822"/>
    <cellStyle name="40% - Accent6 14 2 2" xfId="18823"/>
    <cellStyle name="40% - Accent6 14 2 2 2" xfId="18824"/>
    <cellStyle name="40% - Accent6 14 2 3" xfId="18825"/>
    <cellStyle name="40% - Accent6 14 2 4" xfId="18826"/>
    <cellStyle name="40% - Accent6 14 2 5" xfId="18827"/>
    <cellStyle name="40% - Accent6 14 2 6" xfId="18828"/>
    <cellStyle name="40% - Accent6 14 2 7" xfId="18829"/>
    <cellStyle name="40% - Accent6 14 3" xfId="18830"/>
    <cellStyle name="40% - Accent6 14 3 2" xfId="18831"/>
    <cellStyle name="40% - Accent6 14 3 2 2" xfId="18832"/>
    <cellStyle name="40% - Accent6 14 3 3" xfId="18833"/>
    <cellStyle name="40% - Accent6 14 3 4" xfId="18834"/>
    <cellStyle name="40% - Accent6 14 3 5" xfId="18835"/>
    <cellStyle name="40% - Accent6 14 3 6" xfId="18836"/>
    <cellStyle name="40% - Accent6 14 4" xfId="18837"/>
    <cellStyle name="40% - Accent6 14 4 2" xfId="18838"/>
    <cellStyle name="40% - Accent6 14 5" xfId="18839"/>
    <cellStyle name="40% - Accent6 14 6" xfId="18840"/>
    <cellStyle name="40% - Accent6 14 7" xfId="18841"/>
    <cellStyle name="40% - Accent6 14 8" xfId="18842"/>
    <cellStyle name="40% - Accent6 14 9" xfId="18843"/>
    <cellStyle name="40% - Accent6 15" xfId="18844"/>
    <cellStyle name="40% - Accent6 15 2" xfId="18845"/>
    <cellStyle name="40% - Accent6 15 2 2" xfId="18846"/>
    <cellStyle name="40% - Accent6 15 2 2 2" xfId="18847"/>
    <cellStyle name="40% - Accent6 15 2 3" xfId="18848"/>
    <cellStyle name="40% - Accent6 15 2 4" xfId="18849"/>
    <cellStyle name="40% - Accent6 15 2 5" xfId="18850"/>
    <cellStyle name="40% - Accent6 15 2 6" xfId="18851"/>
    <cellStyle name="40% - Accent6 15 2 7" xfId="18852"/>
    <cellStyle name="40% - Accent6 15 3" xfId="18853"/>
    <cellStyle name="40% - Accent6 15 3 2" xfId="18854"/>
    <cellStyle name="40% - Accent6 15 3 2 2" xfId="18855"/>
    <cellStyle name="40% - Accent6 15 3 3" xfId="18856"/>
    <cellStyle name="40% - Accent6 15 3 4" xfId="18857"/>
    <cellStyle name="40% - Accent6 15 3 5" xfId="18858"/>
    <cellStyle name="40% - Accent6 15 3 6" xfId="18859"/>
    <cellStyle name="40% - Accent6 15 4" xfId="18860"/>
    <cellStyle name="40% - Accent6 15 4 2" xfId="18861"/>
    <cellStyle name="40% - Accent6 15 5" xfId="18862"/>
    <cellStyle name="40% - Accent6 15 6" xfId="18863"/>
    <cellStyle name="40% - Accent6 15 7" xfId="18864"/>
    <cellStyle name="40% - Accent6 15 8" xfId="18865"/>
    <cellStyle name="40% - Accent6 15 9" xfId="18866"/>
    <cellStyle name="40% - Accent6 16" xfId="18867"/>
    <cellStyle name="40% - Accent6 16 2" xfId="18868"/>
    <cellStyle name="40% - Accent6 16 2 2" xfId="18869"/>
    <cellStyle name="40% - Accent6 16 2 2 2" xfId="18870"/>
    <cellStyle name="40% - Accent6 16 2 3" xfId="18871"/>
    <cellStyle name="40% - Accent6 16 2 4" xfId="18872"/>
    <cellStyle name="40% - Accent6 16 2 5" xfId="18873"/>
    <cellStyle name="40% - Accent6 16 2 6" xfId="18874"/>
    <cellStyle name="40% - Accent6 16 2 7" xfId="18875"/>
    <cellStyle name="40% - Accent6 16 3" xfId="18876"/>
    <cellStyle name="40% - Accent6 16 3 2" xfId="18877"/>
    <cellStyle name="40% - Accent6 16 3 2 2" xfId="18878"/>
    <cellStyle name="40% - Accent6 16 3 3" xfId="18879"/>
    <cellStyle name="40% - Accent6 16 3 4" xfId="18880"/>
    <cellStyle name="40% - Accent6 16 3 5" xfId="18881"/>
    <cellStyle name="40% - Accent6 16 3 6" xfId="18882"/>
    <cellStyle name="40% - Accent6 16 4" xfId="18883"/>
    <cellStyle name="40% - Accent6 16 4 2" xfId="18884"/>
    <cellStyle name="40% - Accent6 16 5" xfId="18885"/>
    <cellStyle name="40% - Accent6 16 6" xfId="18886"/>
    <cellStyle name="40% - Accent6 16 7" xfId="18887"/>
    <cellStyle name="40% - Accent6 16 8" xfId="18888"/>
    <cellStyle name="40% - Accent6 16 9" xfId="18889"/>
    <cellStyle name="40% - Accent6 17" xfId="18890"/>
    <cellStyle name="40% - Accent6 17 2" xfId="18891"/>
    <cellStyle name="40% - Accent6 17 2 2" xfId="18892"/>
    <cellStyle name="40% - Accent6 17 2 2 2" xfId="18893"/>
    <cellStyle name="40% - Accent6 17 2 3" xfId="18894"/>
    <cellStyle name="40% - Accent6 17 2 4" xfId="18895"/>
    <cellStyle name="40% - Accent6 17 2 5" xfId="18896"/>
    <cellStyle name="40% - Accent6 17 2 6" xfId="18897"/>
    <cellStyle name="40% - Accent6 17 3" xfId="18898"/>
    <cellStyle name="40% - Accent6 17 3 2" xfId="18899"/>
    <cellStyle name="40% - Accent6 17 4" xfId="18900"/>
    <cellStyle name="40% - Accent6 17 4 2" xfId="18901"/>
    <cellStyle name="40% - Accent6 17 5" xfId="18902"/>
    <cellStyle name="40% - Accent6 17 6" xfId="18903"/>
    <cellStyle name="40% - Accent6 17 7" xfId="18904"/>
    <cellStyle name="40% - Accent6 17 8" xfId="18905"/>
    <cellStyle name="40% - Accent6 18" xfId="18906"/>
    <cellStyle name="40% - Accent6 18 2" xfId="18907"/>
    <cellStyle name="40% - Accent6 18 2 2" xfId="18908"/>
    <cellStyle name="40% - Accent6 18 3" xfId="18909"/>
    <cellStyle name="40% - Accent6 18 3 2" xfId="18910"/>
    <cellStyle name="40% - Accent6 18 4" xfId="18911"/>
    <cellStyle name="40% - Accent6 18 4 2" xfId="18912"/>
    <cellStyle name="40% - Accent6 18 5" xfId="18913"/>
    <cellStyle name="40% - Accent6 18 6" xfId="18914"/>
    <cellStyle name="40% - Accent6 18 7" xfId="18915"/>
    <cellStyle name="40% - Accent6 19" xfId="18916"/>
    <cellStyle name="40% - Accent6 19 2" xfId="18917"/>
    <cellStyle name="40% - Accent6 19 2 2" xfId="18918"/>
    <cellStyle name="40% - Accent6 19 3" xfId="18919"/>
    <cellStyle name="40% - Accent6 19 3 2" xfId="18920"/>
    <cellStyle name="40% - Accent6 19 4" xfId="18921"/>
    <cellStyle name="40% - Accent6 19 4 2" xfId="18922"/>
    <cellStyle name="40% - Accent6 19 5" xfId="18923"/>
    <cellStyle name="40% - Accent6 19 6" xfId="18924"/>
    <cellStyle name="40% - Accent6 2" xfId="385"/>
    <cellStyle name="40% - Accent6 2 10" xfId="18925"/>
    <cellStyle name="40% - Accent6 2 10 2" xfId="18926"/>
    <cellStyle name="40% - Accent6 2 10 2 2" xfId="18927"/>
    <cellStyle name="40% - Accent6 2 10 2 3" xfId="18928"/>
    <cellStyle name="40% - Accent6 2 10 2 4" xfId="18929"/>
    <cellStyle name="40% - Accent6 2 10 2 5" xfId="18930"/>
    <cellStyle name="40% - Accent6 2 10 2 6" xfId="18931"/>
    <cellStyle name="40% - Accent6 2 10 3" xfId="18932"/>
    <cellStyle name="40% - Accent6 2 10 3 2" xfId="18933"/>
    <cellStyle name="40% - Accent6 2 10 4" xfId="18934"/>
    <cellStyle name="40% - Accent6 2 10 5" xfId="18935"/>
    <cellStyle name="40% - Accent6 2 10 6" xfId="18936"/>
    <cellStyle name="40% - Accent6 2 10 7" xfId="18937"/>
    <cellStyle name="40% - Accent6 2 10 8" xfId="18938"/>
    <cellStyle name="40% - Accent6 2 11" xfId="18939"/>
    <cellStyle name="40% - Accent6 2 11 2" xfId="18940"/>
    <cellStyle name="40% - Accent6 2 11 2 2" xfId="18941"/>
    <cellStyle name="40% - Accent6 2 11 3" xfId="18942"/>
    <cellStyle name="40% - Accent6 2 11 4" xfId="18943"/>
    <cellStyle name="40% - Accent6 2 11 5" xfId="18944"/>
    <cellStyle name="40% - Accent6 2 11 6" xfId="18945"/>
    <cellStyle name="40% - Accent6 2 11 7" xfId="18946"/>
    <cellStyle name="40% - Accent6 2 12" xfId="18947"/>
    <cellStyle name="40% - Accent6 2 12 2" xfId="18948"/>
    <cellStyle name="40% - Accent6 2 12 2 2" xfId="18949"/>
    <cellStyle name="40% - Accent6 2 12 3" xfId="18950"/>
    <cellStyle name="40% - Accent6 2 12 4" xfId="18951"/>
    <cellStyle name="40% - Accent6 2 12 5" xfId="18952"/>
    <cellStyle name="40% - Accent6 2 12 6" xfId="18953"/>
    <cellStyle name="40% - Accent6 2 13" xfId="18954"/>
    <cellStyle name="40% - Accent6 2 13 2" xfId="18955"/>
    <cellStyle name="40% - Accent6 2 14" xfId="18956"/>
    <cellStyle name="40% - Accent6 2 14 2" xfId="18957"/>
    <cellStyle name="40% - Accent6 2 15" xfId="18958"/>
    <cellStyle name="40% - Accent6 2 15 2" xfId="18959"/>
    <cellStyle name="40% - Accent6 2 16" xfId="18960"/>
    <cellStyle name="40% - Accent6 2 16 2" xfId="18961"/>
    <cellStyle name="40% - Accent6 2 17" xfId="18962"/>
    <cellStyle name="40% - Accent6 2 17 2" xfId="18963"/>
    <cellStyle name="40% - Accent6 2 18" xfId="18964"/>
    <cellStyle name="40% - Accent6 2 19" xfId="18965"/>
    <cellStyle name="40% - Accent6 2 2" xfId="1524"/>
    <cellStyle name="40% - Accent6 2 2 2" xfId="1525"/>
    <cellStyle name="40% - Accent6 2 2 2 2" xfId="18966"/>
    <cellStyle name="40% - Accent6 2 2 2 3" xfId="18967"/>
    <cellStyle name="40% - Accent6 2 2 3" xfId="18968"/>
    <cellStyle name="40% - Accent6 2 2 4" xfId="18969"/>
    <cellStyle name="40% - Accent6 2 20" xfId="18970"/>
    <cellStyle name="40% - Accent6 2 21" xfId="18971"/>
    <cellStyle name="40% - Accent6 2 22" xfId="18972"/>
    <cellStyle name="40% - Accent6 2 23" xfId="18973"/>
    <cellStyle name="40% - Accent6 2 24" xfId="18974"/>
    <cellStyle name="40% - Accent6 2 25" xfId="18975"/>
    <cellStyle name="40% - Accent6 2 26" xfId="18976"/>
    <cellStyle name="40% - Accent6 2 27" xfId="18977"/>
    <cellStyle name="40% - Accent6 2 28" xfId="18978"/>
    <cellStyle name="40% - Accent6 2 29" xfId="18979"/>
    <cellStyle name="40% - Accent6 2 3" xfId="1526"/>
    <cellStyle name="40% - Accent6 2 3 10" xfId="18980"/>
    <cellStyle name="40% - Accent6 2 3 11" xfId="18981"/>
    <cellStyle name="40% - Accent6 2 3 2" xfId="1527"/>
    <cellStyle name="40% - Accent6 2 3 2 2" xfId="18982"/>
    <cellStyle name="40% - Accent6 2 3 2 3" xfId="18983"/>
    <cellStyle name="40% - Accent6 2 3 2 4" xfId="18984"/>
    <cellStyle name="40% - Accent6 2 3 2 5" xfId="18985"/>
    <cellStyle name="40% - Accent6 2 3 2 6" xfId="18986"/>
    <cellStyle name="40% - Accent6 2 3 2 7" xfId="18987"/>
    <cellStyle name="40% - Accent6 2 3 2 8" xfId="18988"/>
    <cellStyle name="40% - Accent6 2 3 2 9" xfId="18989"/>
    <cellStyle name="40% - Accent6 2 3 3" xfId="18990"/>
    <cellStyle name="40% - Accent6 2 3 3 2" xfId="18991"/>
    <cellStyle name="40% - Accent6 2 3 3 3" xfId="18992"/>
    <cellStyle name="40% - Accent6 2 3 3 4" xfId="18993"/>
    <cellStyle name="40% - Accent6 2 3 3 5" xfId="18994"/>
    <cellStyle name="40% - Accent6 2 3 3 6" xfId="18995"/>
    <cellStyle name="40% - Accent6 2 3 4" xfId="18996"/>
    <cellStyle name="40% - Accent6 2 3 4 2" xfId="18997"/>
    <cellStyle name="40% - Accent6 2 3 5" xfId="18998"/>
    <cellStyle name="40% - Accent6 2 3 6" xfId="18999"/>
    <cellStyle name="40% - Accent6 2 3 7" xfId="19000"/>
    <cellStyle name="40% - Accent6 2 3 8" xfId="19001"/>
    <cellStyle name="40% - Accent6 2 3 9" xfId="19002"/>
    <cellStyle name="40% - Accent6 2 30" xfId="19003"/>
    <cellStyle name="40% - Accent6 2 31" xfId="19004"/>
    <cellStyle name="40% - Accent6 2 32" xfId="19005"/>
    <cellStyle name="40% - Accent6 2 33" xfId="19006"/>
    <cellStyle name="40% - Accent6 2 34" xfId="19007"/>
    <cellStyle name="40% - Accent6 2 35" xfId="19008"/>
    <cellStyle name="40% - Accent6 2 4" xfId="1528"/>
    <cellStyle name="40% - Accent6 2 4 10" xfId="19009"/>
    <cellStyle name="40% - Accent6 2 4 11" xfId="19010"/>
    <cellStyle name="40% - Accent6 2 4 2" xfId="19011"/>
    <cellStyle name="40% - Accent6 2 4 2 2" xfId="19012"/>
    <cellStyle name="40% - Accent6 2 4 2 3" xfId="19013"/>
    <cellStyle name="40% - Accent6 2 4 2 4" xfId="19014"/>
    <cellStyle name="40% - Accent6 2 4 2 5" xfId="19015"/>
    <cellStyle name="40% - Accent6 2 4 2 6" xfId="19016"/>
    <cellStyle name="40% - Accent6 2 4 2 7" xfId="19017"/>
    <cellStyle name="40% - Accent6 2 4 3" xfId="19018"/>
    <cellStyle name="40% - Accent6 2 4 3 2" xfId="19019"/>
    <cellStyle name="40% - Accent6 2 4 3 3" xfId="19020"/>
    <cellStyle name="40% - Accent6 2 4 3 4" xfId="19021"/>
    <cellStyle name="40% - Accent6 2 4 3 5" xfId="19022"/>
    <cellStyle name="40% - Accent6 2 4 3 6" xfId="19023"/>
    <cellStyle name="40% - Accent6 2 4 4" xfId="19024"/>
    <cellStyle name="40% - Accent6 2 4 4 2" xfId="19025"/>
    <cellStyle name="40% - Accent6 2 4 5" xfId="19026"/>
    <cellStyle name="40% - Accent6 2 4 6" xfId="19027"/>
    <cellStyle name="40% - Accent6 2 4 7" xfId="19028"/>
    <cellStyle name="40% - Accent6 2 4 8" xfId="19029"/>
    <cellStyle name="40% - Accent6 2 4 9" xfId="19030"/>
    <cellStyle name="40% - Accent6 2 5" xfId="1529"/>
    <cellStyle name="40% - Accent6 2 5 10" xfId="19031"/>
    <cellStyle name="40% - Accent6 2 5 11" xfId="19032"/>
    <cellStyle name="40% - Accent6 2 5 2" xfId="19033"/>
    <cellStyle name="40% - Accent6 2 5 2 2" xfId="19034"/>
    <cellStyle name="40% - Accent6 2 5 2 3" xfId="19035"/>
    <cellStyle name="40% - Accent6 2 5 2 4" xfId="19036"/>
    <cellStyle name="40% - Accent6 2 5 2 5" xfId="19037"/>
    <cellStyle name="40% - Accent6 2 5 2 6" xfId="19038"/>
    <cellStyle name="40% - Accent6 2 5 2 7" xfId="19039"/>
    <cellStyle name="40% - Accent6 2 5 3" xfId="19040"/>
    <cellStyle name="40% - Accent6 2 5 3 2" xfId="19041"/>
    <cellStyle name="40% - Accent6 2 5 3 3" xfId="19042"/>
    <cellStyle name="40% - Accent6 2 5 3 4" xfId="19043"/>
    <cellStyle name="40% - Accent6 2 5 3 5" xfId="19044"/>
    <cellStyle name="40% - Accent6 2 5 3 6" xfId="19045"/>
    <cellStyle name="40% - Accent6 2 5 4" xfId="19046"/>
    <cellStyle name="40% - Accent6 2 5 4 2" xfId="19047"/>
    <cellStyle name="40% - Accent6 2 5 5" xfId="19048"/>
    <cellStyle name="40% - Accent6 2 5 6" xfId="19049"/>
    <cellStyle name="40% - Accent6 2 5 7" xfId="19050"/>
    <cellStyle name="40% - Accent6 2 5 8" xfId="19051"/>
    <cellStyle name="40% - Accent6 2 5 9" xfId="19052"/>
    <cellStyle name="40% - Accent6 2 6" xfId="1530"/>
    <cellStyle name="40% - Accent6 2 6 10" xfId="19053"/>
    <cellStyle name="40% - Accent6 2 6 11" xfId="19054"/>
    <cellStyle name="40% - Accent6 2 6 2" xfId="19055"/>
    <cellStyle name="40% - Accent6 2 6 2 2" xfId="19056"/>
    <cellStyle name="40% - Accent6 2 6 2 3" xfId="19057"/>
    <cellStyle name="40% - Accent6 2 6 2 4" xfId="19058"/>
    <cellStyle name="40% - Accent6 2 6 2 5" xfId="19059"/>
    <cellStyle name="40% - Accent6 2 6 2 6" xfId="19060"/>
    <cellStyle name="40% - Accent6 2 6 2 7" xfId="19061"/>
    <cellStyle name="40% - Accent6 2 6 3" xfId="19062"/>
    <cellStyle name="40% - Accent6 2 6 3 2" xfId="19063"/>
    <cellStyle name="40% - Accent6 2 6 3 3" xfId="19064"/>
    <cellStyle name="40% - Accent6 2 6 3 4" xfId="19065"/>
    <cellStyle name="40% - Accent6 2 6 3 5" xfId="19066"/>
    <cellStyle name="40% - Accent6 2 6 3 6" xfId="19067"/>
    <cellStyle name="40% - Accent6 2 6 4" xfId="19068"/>
    <cellStyle name="40% - Accent6 2 6 4 2" xfId="19069"/>
    <cellStyle name="40% - Accent6 2 6 5" xfId="19070"/>
    <cellStyle name="40% - Accent6 2 6 6" xfId="19071"/>
    <cellStyle name="40% - Accent6 2 6 7" xfId="19072"/>
    <cellStyle name="40% - Accent6 2 6 8" xfId="19073"/>
    <cellStyle name="40% - Accent6 2 6 9" xfId="19074"/>
    <cellStyle name="40% - Accent6 2 7" xfId="1523"/>
    <cellStyle name="40% - Accent6 2 7 10" xfId="19075"/>
    <cellStyle name="40% - Accent6 2 7 2" xfId="19076"/>
    <cellStyle name="40% - Accent6 2 7 2 2" xfId="19077"/>
    <cellStyle name="40% - Accent6 2 7 2 3" xfId="19078"/>
    <cellStyle name="40% - Accent6 2 7 2 4" xfId="19079"/>
    <cellStyle name="40% - Accent6 2 7 2 5" xfId="19080"/>
    <cellStyle name="40% - Accent6 2 7 2 6" xfId="19081"/>
    <cellStyle name="40% - Accent6 2 7 2 7" xfId="19082"/>
    <cellStyle name="40% - Accent6 2 7 3" xfId="19083"/>
    <cellStyle name="40% - Accent6 2 7 3 2" xfId="19084"/>
    <cellStyle name="40% - Accent6 2 7 3 3" xfId="19085"/>
    <cellStyle name="40% - Accent6 2 7 3 4" xfId="19086"/>
    <cellStyle name="40% - Accent6 2 7 3 5" xfId="19087"/>
    <cellStyle name="40% - Accent6 2 7 3 6" xfId="19088"/>
    <cellStyle name="40% - Accent6 2 7 4" xfId="19089"/>
    <cellStyle name="40% - Accent6 2 7 4 2" xfId="19090"/>
    <cellStyle name="40% - Accent6 2 7 5" xfId="19091"/>
    <cellStyle name="40% - Accent6 2 7 6" xfId="19092"/>
    <cellStyle name="40% - Accent6 2 7 7" xfId="19093"/>
    <cellStyle name="40% - Accent6 2 7 8" xfId="19094"/>
    <cellStyle name="40% - Accent6 2 7 9" xfId="19095"/>
    <cellStyle name="40% - Accent6 2 8" xfId="19096"/>
    <cellStyle name="40% - Accent6 2 8 2" xfId="19097"/>
    <cellStyle name="40% - Accent6 2 8 2 2" xfId="19098"/>
    <cellStyle name="40% - Accent6 2 8 2 3" xfId="19099"/>
    <cellStyle name="40% - Accent6 2 8 2 4" xfId="19100"/>
    <cellStyle name="40% - Accent6 2 8 2 5" xfId="19101"/>
    <cellStyle name="40% - Accent6 2 8 2 6" xfId="19102"/>
    <cellStyle name="40% - Accent6 2 8 2 7" xfId="19103"/>
    <cellStyle name="40% - Accent6 2 8 3" xfId="19104"/>
    <cellStyle name="40% - Accent6 2 8 3 2" xfId="19105"/>
    <cellStyle name="40% - Accent6 2 8 3 3" xfId="19106"/>
    <cellStyle name="40% - Accent6 2 8 3 4" xfId="19107"/>
    <cellStyle name="40% - Accent6 2 8 3 5" xfId="19108"/>
    <cellStyle name="40% - Accent6 2 8 3 6" xfId="19109"/>
    <cellStyle name="40% - Accent6 2 8 4" xfId="19110"/>
    <cellStyle name="40% - Accent6 2 8 4 2" xfId="19111"/>
    <cellStyle name="40% - Accent6 2 8 5" xfId="19112"/>
    <cellStyle name="40% - Accent6 2 8 6" xfId="19113"/>
    <cellStyle name="40% - Accent6 2 8 7" xfId="19114"/>
    <cellStyle name="40% - Accent6 2 8 8" xfId="19115"/>
    <cellStyle name="40% - Accent6 2 8 9" xfId="19116"/>
    <cellStyle name="40% - Accent6 2 9" xfId="19117"/>
    <cellStyle name="40% - Accent6 2 9 2" xfId="19118"/>
    <cellStyle name="40% - Accent6 2 9 2 2" xfId="19119"/>
    <cellStyle name="40% - Accent6 2 9 2 3" xfId="19120"/>
    <cellStyle name="40% - Accent6 2 9 2 4" xfId="19121"/>
    <cellStyle name="40% - Accent6 2 9 2 5" xfId="19122"/>
    <cellStyle name="40% - Accent6 2 9 2 6" xfId="19123"/>
    <cellStyle name="40% - Accent6 2 9 2 7" xfId="19124"/>
    <cellStyle name="40% - Accent6 2 9 3" xfId="19125"/>
    <cellStyle name="40% - Accent6 2 9 3 2" xfId="19126"/>
    <cellStyle name="40% - Accent6 2 9 3 3" xfId="19127"/>
    <cellStyle name="40% - Accent6 2 9 3 4" xfId="19128"/>
    <cellStyle name="40% - Accent6 2 9 3 5" xfId="19129"/>
    <cellStyle name="40% - Accent6 2 9 3 6" xfId="19130"/>
    <cellStyle name="40% - Accent6 2 9 4" xfId="19131"/>
    <cellStyle name="40% - Accent6 2 9 4 2" xfId="19132"/>
    <cellStyle name="40% - Accent6 2 9 5" xfId="19133"/>
    <cellStyle name="40% - Accent6 2 9 6" xfId="19134"/>
    <cellStyle name="40% - Accent6 2 9 7" xfId="19135"/>
    <cellStyle name="40% - Accent6 2 9 8" xfId="19136"/>
    <cellStyle name="40% - Accent6 2 9 9" xfId="19137"/>
    <cellStyle name="40% - Accent6 20" xfId="19138"/>
    <cellStyle name="40% - Accent6 20 2" xfId="19139"/>
    <cellStyle name="40% - Accent6 20 3" xfId="19140"/>
    <cellStyle name="40% - Accent6 20 4" xfId="19141"/>
    <cellStyle name="40% - Accent6 21" xfId="19142"/>
    <cellStyle name="40% - Accent6 21 2" xfId="19143"/>
    <cellStyle name="40% - Accent6 21 3" xfId="19144"/>
    <cellStyle name="40% - Accent6 21 4" xfId="19145"/>
    <cellStyle name="40% - Accent6 22" xfId="19146"/>
    <cellStyle name="40% - Accent6 22 2" xfId="19147"/>
    <cellStyle name="40% - Accent6 22 3" xfId="19148"/>
    <cellStyle name="40% - Accent6 22 4" xfId="19149"/>
    <cellStyle name="40% - Accent6 23" xfId="19150"/>
    <cellStyle name="40% - Accent6 23 2" xfId="19151"/>
    <cellStyle name="40% - Accent6 23 3" xfId="19152"/>
    <cellStyle name="40% - Accent6 23 4" xfId="19153"/>
    <cellStyle name="40% - Accent6 24" xfId="19154"/>
    <cellStyle name="40% - Accent6 24 2" xfId="19155"/>
    <cellStyle name="40% - Accent6 24 3" xfId="19156"/>
    <cellStyle name="40% - Accent6 24 4" xfId="19157"/>
    <cellStyle name="40% - Accent6 25" xfId="19158"/>
    <cellStyle name="40% - Accent6 25 2" xfId="19159"/>
    <cellStyle name="40% - Accent6 25 3" xfId="19160"/>
    <cellStyle name="40% - Accent6 26" xfId="19161"/>
    <cellStyle name="40% - Accent6 26 2" xfId="19162"/>
    <cellStyle name="40% - Accent6 26 3" xfId="19163"/>
    <cellStyle name="40% - Accent6 27" xfId="19164"/>
    <cellStyle name="40% - Accent6 27 2" xfId="19165"/>
    <cellStyle name="40% - Accent6 27 3" xfId="19166"/>
    <cellStyle name="40% - Accent6 28" xfId="19167"/>
    <cellStyle name="40% - Accent6 28 2" xfId="19168"/>
    <cellStyle name="40% - Accent6 28 3" xfId="19169"/>
    <cellStyle name="40% - Accent6 29" xfId="19170"/>
    <cellStyle name="40% - Accent6 29 2" xfId="19171"/>
    <cellStyle name="40% - Accent6 29 3" xfId="19172"/>
    <cellStyle name="40% - Accent6 3" xfId="1531"/>
    <cellStyle name="40% - Accent6 3 10" xfId="19173"/>
    <cellStyle name="40% - Accent6 3 10 2" xfId="19174"/>
    <cellStyle name="40% - Accent6 3 10 3" xfId="19175"/>
    <cellStyle name="40% - Accent6 3 10 4" xfId="19176"/>
    <cellStyle name="40% - Accent6 3 10 5" xfId="19177"/>
    <cellStyle name="40% - Accent6 3 10 6" xfId="19178"/>
    <cellStyle name="40% - Accent6 3 10 7" xfId="19179"/>
    <cellStyle name="40% - Accent6 3 11" xfId="19180"/>
    <cellStyle name="40% - Accent6 3 11 2" xfId="19181"/>
    <cellStyle name="40% - Accent6 3 11 3" xfId="19182"/>
    <cellStyle name="40% - Accent6 3 11 4" xfId="19183"/>
    <cellStyle name="40% - Accent6 3 11 5" xfId="19184"/>
    <cellStyle name="40% - Accent6 3 11 6" xfId="19185"/>
    <cellStyle name="40% - Accent6 3 12" xfId="19186"/>
    <cellStyle name="40% - Accent6 3 12 2" xfId="19187"/>
    <cellStyle name="40% - Accent6 3 13" xfId="19188"/>
    <cellStyle name="40% - Accent6 3 14" xfId="19189"/>
    <cellStyle name="40% - Accent6 3 15" xfId="19190"/>
    <cellStyle name="40% - Accent6 3 16" xfId="19191"/>
    <cellStyle name="40% - Accent6 3 17" xfId="19192"/>
    <cellStyle name="40% - Accent6 3 18" xfId="19193"/>
    <cellStyle name="40% - Accent6 3 2" xfId="19194"/>
    <cellStyle name="40% - Accent6 3 2 2" xfId="19195"/>
    <cellStyle name="40% - Accent6 3 2 2 2" xfId="19196"/>
    <cellStyle name="40% - Accent6 3 2 2 3" xfId="19197"/>
    <cellStyle name="40% - Accent6 3 2 2 4" xfId="19198"/>
    <cellStyle name="40% - Accent6 3 2 2 5" xfId="19199"/>
    <cellStyle name="40% - Accent6 3 2 2 6" xfId="19200"/>
    <cellStyle name="40% - Accent6 3 2 2 7" xfId="19201"/>
    <cellStyle name="40% - Accent6 3 2 3" xfId="19202"/>
    <cellStyle name="40% - Accent6 3 2 3 2" xfId="19203"/>
    <cellStyle name="40% - Accent6 3 2 3 3" xfId="19204"/>
    <cellStyle name="40% - Accent6 3 2 3 4" xfId="19205"/>
    <cellStyle name="40% - Accent6 3 2 3 5" xfId="19206"/>
    <cellStyle name="40% - Accent6 3 2 3 6" xfId="19207"/>
    <cellStyle name="40% - Accent6 3 2 4" xfId="19208"/>
    <cellStyle name="40% - Accent6 3 2 5" xfId="19209"/>
    <cellStyle name="40% - Accent6 3 2 6" xfId="19210"/>
    <cellStyle name="40% - Accent6 3 2 7" xfId="19211"/>
    <cellStyle name="40% - Accent6 3 2 8" xfId="19212"/>
    <cellStyle name="40% - Accent6 3 2 9" xfId="19213"/>
    <cellStyle name="40% - Accent6 3 3" xfId="19214"/>
    <cellStyle name="40% - Accent6 3 3 2" xfId="19215"/>
    <cellStyle name="40% - Accent6 3 3 2 2" xfId="19216"/>
    <cellStyle name="40% - Accent6 3 3 2 3" xfId="19217"/>
    <cellStyle name="40% - Accent6 3 3 2 4" xfId="19218"/>
    <cellStyle name="40% - Accent6 3 3 2 5" xfId="19219"/>
    <cellStyle name="40% - Accent6 3 3 2 6" xfId="19220"/>
    <cellStyle name="40% - Accent6 3 3 2 7" xfId="19221"/>
    <cellStyle name="40% - Accent6 3 3 3" xfId="19222"/>
    <cellStyle name="40% - Accent6 3 3 3 2" xfId="19223"/>
    <cellStyle name="40% - Accent6 3 3 3 3" xfId="19224"/>
    <cellStyle name="40% - Accent6 3 3 3 4" xfId="19225"/>
    <cellStyle name="40% - Accent6 3 3 3 5" xfId="19226"/>
    <cellStyle name="40% - Accent6 3 3 3 6" xfId="19227"/>
    <cellStyle name="40% - Accent6 3 3 4" xfId="19228"/>
    <cellStyle name="40% - Accent6 3 3 5" xfId="19229"/>
    <cellStyle name="40% - Accent6 3 3 6" xfId="19230"/>
    <cellStyle name="40% - Accent6 3 3 7" xfId="19231"/>
    <cellStyle name="40% - Accent6 3 3 8" xfId="19232"/>
    <cellStyle name="40% - Accent6 3 3 9" xfId="19233"/>
    <cellStyle name="40% - Accent6 3 4" xfId="19234"/>
    <cellStyle name="40% - Accent6 3 4 2" xfId="19235"/>
    <cellStyle name="40% - Accent6 3 4 2 2" xfId="19236"/>
    <cellStyle name="40% - Accent6 3 4 2 3" xfId="19237"/>
    <cellStyle name="40% - Accent6 3 4 2 4" xfId="19238"/>
    <cellStyle name="40% - Accent6 3 4 2 5" xfId="19239"/>
    <cellStyle name="40% - Accent6 3 4 2 6" xfId="19240"/>
    <cellStyle name="40% - Accent6 3 4 2 7" xfId="19241"/>
    <cellStyle name="40% - Accent6 3 4 3" xfId="19242"/>
    <cellStyle name="40% - Accent6 3 4 3 2" xfId="19243"/>
    <cellStyle name="40% - Accent6 3 4 3 3" xfId="19244"/>
    <cellStyle name="40% - Accent6 3 4 3 4" xfId="19245"/>
    <cellStyle name="40% - Accent6 3 4 3 5" xfId="19246"/>
    <cellStyle name="40% - Accent6 3 4 3 6" xfId="19247"/>
    <cellStyle name="40% - Accent6 3 4 4" xfId="19248"/>
    <cellStyle name="40% - Accent6 3 4 5" xfId="19249"/>
    <cellStyle name="40% - Accent6 3 4 6" xfId="19250"/>
    <cellStyle name="40% - Accent6 3 4 7" xfId="19251"/>
    <cellStyle name="40% - Accent6 3 4 8" xfId="19252"/>
    <cellStyle name="40% - Accent6 3 4 9" xfId="19253"/>
    <cellStyle name="40% - Accent6 3 5" xfId="19254"/>
    <cellStyle name="40% - Accent6 3 5 2" xfId="19255"/>
    <cellStyle name="40% - Accent6 3 5 2 2" xfId="19256"/>
    <cellStyle name="40% - Accent6 3 5 2 3" xfId="19257"/>
    <cellStyle name="40% - Accent6 3 5 2 4" xfId="19258"/>
    <cellStyle name="40% - Accent6 3 5 2 5" xfId="19259"/>
    <cellStyle name="40% - Accent6 3 5 2 6" xfId="19260"/>
    <cellStyle name="40% - Accent6 3 5 2 7" xfId="19261"/>
    <cellStyle name="40% - Accent6 3 5 3" xfId="19262"/>
    <cellStyle name="40% - Accent6 3 5 3 2" xfId="19263"/>
    <cellStyle name="40% - Accent6 3 5 3 3" xfId="19264"/>
    <cellStyle name="40% - Accent6 3 5 3 4" xfId="19265"/>
    <cellStyle name="40% - Accent6 3 5 3 5" xfId="19266"/>
    <cellStyle name="40% - Accent6 3 5 3 6" xfId="19267"/>
    <cellStyle name="40% - Accent6 3 5 4" xfId="19268"/>
    <cellStyle name="40% - Accent6 3 5 5" xfId="19269"/>
    <cellStyle name="40% - Accent6 3 5 6" xfId="19270"/>
    <cellStyle name="40% - Accent6 3 5 7" xfId="19271"/>
    <cellStyle name="40% - Accent6 3 5 8" xfId="19272"/>
    <cellStyle name="40% - Accent6 3 5 9" xfId="19273"/>
    <cellStyle name="40% - Accent6 3 6" xfId="19274"/>
    <cellStyle name="40% - Accent6 3 6 2" xfId="19275"/>
    <cellStyle name="40% - Accent6 3 6 2 2" xfId="19276"/>
    <cellStyle name="40% - Accent6 3 6 2 3" xfId="19277"/>
    <cellStyle name="40% - Accent6 3 6 2 4" xfId="19278"/>
    <cellStyle name="40% - Accent6 3 6 2 5" xfId="19279"/>
    <cellStyle name="40% - Accent6 3 6 2 6" xfId="19280"/>
    <cellStyle name="40% - Accent6 3 6 2 7" xfId="19281"/>
    <cellStyle name="40% - Accent6 3 6 3" xfId="19282"/>
    <cellStyle name="40% - Accent6 3 6 3 2" xfId="19283"/>
    <cellStyle name="40% - Accent6 3 6 3 3" xfId="19284"/>
    <cellStyle name="40% - Accent6 3 6 3 4" xfId="19285"/>
    <cellStyle name="40% - Accent6 3 6 3 5" xfId="19286"/>
    <cellStyle name="40% - Accent6 3 6 3 6" xfId="19287"/>
    <cellStyle name="40% - Accent6 3 6 4" xfId="19288"/>
    <cellStyle name="40% - Accent6 3 6 5" xfId="19289"/>
    <cellStyle name="40% - Accent6 3 6 6" xfId="19290"/>
    <cellStyle name="40% - Accent6 3 6 7" xfId="19291"/>
    <cellStyle name="40% - Accent6 3 6 8" xfId="19292"/>
    <cellStyle name="40% - Accent6 3 6 9" xfId="19293"/>
    <cellStyle name="40% - Accent6 3 7" xfId="19294"/>
    <cellStyle name="40% - Accent6 3 7 2" xfId="19295"/>
    <cellStyle name="40% - Accent6 3 7 2 2" xfId="19296"/>
    <cellStyle name="40% - Accent6 3 7 2 3" xfId="19297"/>
    <cellStyle name="40% - Accent6 3 7 2 4" xfId="19298"/>
    <cellStyle name="40% - Accent6 3 7 2 5" xfId="19299"/>
    <cellStyle name="40% - Accent6 3 7 2 6" xfId="19300"/>
    <cellStyle name="40% - Accent6 3 7 2 7" xfId="19301"/>
    <cellStyle name="40% - Accent6 3 7 3" xfId="19302"/>
    <cellStyle name="40% - Accent6 3 7 3 2" xfId="19303"/>
    <cellStyle name="40% - Accent6 3 7 3 3" xfId="19304"/>
    <cellStyle name="40% - Accent6 3 7 3 4" xfId="19305"/>
    <cellStyle name="40% - Accent6 3 7 3 5" xfId="19306"/>
    <cellStyle name="40% - Accent6 3 7 3 6" xfId="19307"/>
    <cellStyle name="40% - Accent6 3 7 4" xfId="19308"/>
    <cellStyle name="40% - Accent6 3 7 5" xfId="19309"/>
    <cellStyle name="40% - Accent6 3 7 6" xfId="19310"/>
    <cellStyle name="40% - Accent6 3 7 7" xfId="19311"/>
    <cellStyle name="40% - Accent6 3 7 8" xfId="19312"/>
    <cellStyle name="40% - Accent6 3 7 9" xfId="19313"/>
    <cellStyle name="40% - Accent6 3 8" xfId="19314"/>
    <cellStyle name="40% - Accent6 3 8 2" xfId="19315"/>
    <cellStyle name="40% - Accent6 3 8 2 2" xfId="19316"/>
    <cellStyle name="40% - Accent6 3 8 2 3" xfId="19317"/>
    <cellStyle name="40% - Accent6 3 8 2 4" xfId="19318"/>
    <cellStyle name="40% - Accent6 3 8 2 5" xfId="19319"/>
    <cellStyle name="40% - Accent6 3 8 2 6" xfId="19320"/>
    <cellStyle name="40% - Accent6 3 8 2 7" xfId="19321"/>
    <cellStyle name="40% - Accent6 3 8 3" xfId="19322"/>
    <cellStyle name="40% - Accent6 3 8 3 2" xfId="19323"/>
    <cellStyle name="40% - Accent6 3 8 3 3" xfId="19324"/>
    <cellStyle name="40% - Accent6 3 8 3 4" xfId="19325"/>
    <cellStyle name="40% - Accent6 3 8 3 5" xfId="19326"/>
    <cellStyle name="40% - Accent6 3 8 3 6" xfId="19327"/>
    <cellStyle name="40% - Accent6 3 8 4" xfId="19328"/>
    <cellStyle name="40% - Accent6 3 8 5" xfId="19329"/>
    <cellStyle name="40% - Accent6 3 8 6" xfId="19330"/>
    <cellStyle name="40% - Accent6 3 8 7" xfId="19331"/>
    <cellStyle name="40% - Accent6 3 8 8" xfId="19332"/>
    <cellStyle name="40% - Accent6 3 8 9" xfId="19333"/>
    <cellStyle name="40% - Accent6 3 9" xfId="19334"/>
    <cellStyle name="40% - Accent6 3 9 2" xfId="19335"/>
    <cellStyle name="40% - Accent6 3 9 2 2" xfId="19336"/>
    <cellStyle name="40% - Accent6 3 9 2 3" xfId="19337"/>
    <cellStyle name="40% - Accent6 3 9 2 4" xfId="19338"/>
    <cellStyle name="40% - Accent6 3 9 2 5" xfId="19339"/>
    <cellStyle name="40% - Accent6 3 9 2 6" xfId="19340"/>
    <cellStyle name="40% - Accent6 3 9 3" xfId="19341"/>
    <cellStyle name="40% - Accent6 3 9 4" xfId="19342"/>
    <cellStyle name="40% - Accent6 3 9 5" xfId="19343"/>
    <cellStyle name="40% - Accent6 3 9 6" xfId="19344"/>
    <cellStyle name="40% - Accent6 3 9 7" xfId="19345"/>
    <cellStyle name="40% - Accent6 3 9 8" xfId="19346"/>
    <cellStyle name="40% - Accent6 30" xfId="19347"/>
    <cellStyle name="40% - Accent6 30 2" xfId="19348"/>
    <cellStyle name="40% - Accent6 31" xfId="19349"/>
    <cellStyle name="40% - Accent6 32" xfId="19350"/>
    <cellStyle name="40% - Accent6 33" xfId="19351"/>
    <cellStyle name="40% - Accent6 34" xfId="19352"/>
    <cellStyle name="40% - Accent6 4" xfId="19353"/>
    <cellStyle name="40% - Accent6 4 10" xfId="19354"/>
    <cellStyle name="40% - Accent6 4 10 2" xfId="19355"/>
    <cellStyle name="40% - Accent6 4 10 3" xfId="19356"/>
    <cellStyle name="40% - Accent6 4 10 4" xfId="19357"/>
    <cellStyle name="40% - Accent6 4 10 5" xfId="19358"/>
    <cellStyle name="40% - Accent6 4 10 6" xfId="19359"/>
    <cellStyle name="40% - Accent6 4 10 7" xfId="19360"/>
    <cellStyle name="40% - Accent6 4 11" xfId="19361"/>
    <cellStyle name="40% - Accent6 4 11 2" xfId="19362"/>
    <cellStyle name="40% - Accent6 4 11 3" xfId="19363"/>
    <cellStyle name="40% - Accent6 4 11 4" xfId="19364"/>
    <cellStyle name="40% - Accent6 4 11 5" xfId="19365"/>
    <cellStyle name="40% - Accent6 4 11 6" xfId="19366"/>
    <cellStyle name="40% - Accent6 4 12" xfId="19367"/>
    <cellStyle name="40% - Accent6 4 12 2" xfId="19368"/>
    <cellStyle name="40% - Accent6 4 13" xfId="19369"/>
    <cellStyle name="40% - Accent6 4 14" xfId="19370"/>
    <cellStyle name="40% - Accent6 4 15" xfId="19371"/>
    <cellStyle name="40% - Accent6 4 16" xfId="19372"/>
    <cellStyle name="40% - Accent6 4 17" xfId="19373"/>
    <cellStyle name="40% - Accent6 4 2" xfId="19374"/>
    <cellStyle name="40% - Accent6 4 2 2" xfId="19375"/>
    <cellStyle name="40% - Accent6 4 2 2 2" xfId="19376"/>
    <cellStyle name="40% - Accent6 4 2 2 3" xfId="19377"/>
    <cellStyle name="40% - Accent6 4 2 2 4" xfId="19378"/>
    <cellStyle name="40% - Accent6 4 2 2 5" xfId="19379"/>
    <cellStyle name="40% - Accent6 4 2 2 6" xfId="19380"/>
    <cellStyle name="40% - Accent6 4 2 2 7" xfId="19381"/>
    <cellStyle name="40% - Accent6 4 2 3" xfId="19382"/>
    <cellStyle name="40% - Accent6 4 2 3 2" xfId="19383"/>
    <cellStyle name="40% - Accent6 4 2 3 3" xfId="19384"/>
    <cellStyle name="40% - Accent6 4 2 3 4" xfId="19385"/>
    <cellStyle name="40% - Accent6 4 2 3 5" xfId="19386"/>
    <cellStyle name="40% - Accent6 4 2 3 6" xfId="19387"/>
    <cellStyle name="40% - Accent6 4 2 4" xfId="19388"/>
    <cellStyle name="40% - Accent6 4 2 4 2" xfId="19389"/>
    <cellStyle name="40% - Accent6 4 2 5" xfId="19390"/>
    <cellStyle name="40% - Accent6 4 2 6" xfId="19391"/>
    <cellStyle name="40% - Accent6 4 2 7" xfId="19392"/>
    <cellStyle name="40% - Accent6 4 2 8" xfId="19393"/>
    <cellStyle name="40% - Accent6 4 2 9" xfId="19394"/>
    <cellStyle name="40% - Accent6 4 3" xfId="19395"/>
    <cellStyle name="40% - Accent6 4 3 2" xfId="19396"/>
    <cellStyle name="40% - Accent6 4 3 2 2" xfId="19397"/>
    <cellStyle name="40% - Accent6 4 3 2 3" xfId="19398"/>
    <cellStyle name="40% - Accent6 4 3 2 4" xfId="19399"/>
    <cellStyle name="40% - Accent6 4 3 2 5" xfId="19400"/>
    <cellStyle name="40% - Accent6 4 3 2 6" xfId="19401"/>
    <cellStyle name="40% - Accent6 4 3 2 7" xfId="19402"/>
    <cellStyle name="40% - Accent6 4 3 3" xfId="19403"/>
    <cellStyle name="40% - Accent6 4 3 3 2" xfId="19404"/>
    <cellStyle name="40% - Accent6 4 3 3 3" xfId="19405"/>
    <cellStyle name="40% - Accent6 4 3 3 4" xfId="19406"/>
    <cellStyle name="40% - Accent6 4 3 3 5" xfId="19407"/>
    <cellStyle name="40% - Accent6 4 3 3 6" xfId="19408"/>
    <cellStyle name="40% - Accent6 4 3 4" xfId="19409"/>
    <cellStyle name="40% - Accent6 4 3 4 2" xfId="19410"/>
    <cellStyle name="40% - Accent6 4 3 5" xfId="19411"/>
    <cellStyle name="40% - Accent6 4 3 6" xfId="19412"/>
    <cellStyle name="40% - Accent6 4 3 7" xfId="19413"/>
    <cellStyle name="40% - Accent6 4 3 8" xfId="19414"/>
    <cellStyle name="40% - Accent6 4 3 9" xfId="19415"/>
    <cellStyle name="40% - Accent6 4 4" xfId="19416"/>
    <cellStyle name="40% - Accent6 4 4 2" xfId="19417"/>
    <cellStyle name="40% - Accent6 4 4 2 2" xfId="19418"/>
    <cellStyle name="40% - Accent6 4 4 2 3" xfId="19419"/>
    <cellStyle name="40% - Accent6 4 4 2 4" xfId="19420"/>
    <cellStyle name="40% - Accent6 4 4 2 5" xfId="19421"/>
    <cellStyle name="40% - Accent6 4 4 2 6" xfId="19422"/>
    <cellStyle name="40% - Accent6 4 4 2 7" xfId="19423"/>
    <cellStyle name="40% - Accent6 4 4 3" xfId="19424"/>
    <cellStyle name="40% - Accent6 4 4 3 2" xfId="19425"/>
    <cellStyle name="40% - Accent6 4 4 3 3" xfId="19426"/>
    <cellStyle name="40% - Accent6 4 4 3 4" xfId="19427"/>
    <cellStyle name="40% - Accent6 4 4 3 5" xfId="19428"/>
    <cellStyle name="40% - Accent6 4 4 3 6" xfId="19429"/>
    <cellStyle name="40% - Accent6 4 4 4" xfId="19430"/>
    <cellStyle name="40% - Accent6 4 4 5" xfId="19431"/>
    <cellStyle name="40% - Accent6 4 4 6" xfId="19432"/>
    <cellStyle name="40% - Accent6 4 4 7" xfId="19433"/>
    <cellStyle name="40% - Accent6 4 4 8" xfId="19434"/>
    <cellStyle name="40% - Accent6 4 4 9" xfId="19435"/>
    <cellStyle name="40% - Accent6 4 5" xfId="19436"/>
    <cellStyle name="40% - Accent6 4 5 2" xfId="19437"/>
    <cellStyle name="40% - Accent6 4 5 2 2" xfId="19438"/>
    <cellStyle name="40% - Accent6 4 5 2 3" xfId="19439"/>
    <cellStyle name="40% - Accent6 4 5 2 4" xfId="19440"/>
    <cellStyle name="40% - Accent6 4 5 2 5" xfId="19441"/>
    <cellStyle name="40% - Accent6 4 5 2 6" xfId="19442"/>
    <cellStyle name="40% - Accent6 4 5 2 7" xfId="19443"/>
    <cellStyle name="40% - Accent6 4 5 3" xfId="19444"/>
    <cellStyle name="40% - Accent6 4 5 3 2" xfId="19445"/>
    <cellStyle name="40% - Accent6 4 5 3 3" xfId="19446"/>
    <cellStyle name="40% - Accent6 4 5 3 4" xfId="19447"/>
    <cellStyle name="40% - Accent6 4 5 3 5" xfId="19448"/>
    <cellStyle name="40% - Accent6 4 5 3 6" xfId="19449"/>
    <cellStyle name="40% - Accent6 4 5 4" xfId="19450"/>
    <cellStyle name="40% - Accent6 4 5 5" xfId="19451"/>
    <cellStyle name="40% - Accent6 4 5 6" xfId="19452"/>
    <cellStyle name="40% - Accent6 4 5 7" xfId="19453"/>
    <cellStyle name="40% - Accent6 4 5 8" xfId="19454"/>
    <cellStyle name="40% - Accent6 4 5 9" xfId="19455"/>
    <cellStyle name="40% - Accent6 4 6" xfId="19456"/>
    <cellStyle name="40% - Accent6 4 6 2" xfId="19457"/>
    <cellStyle name="40% - Accent6 4 6 2 2" xfId="19458"/>
    <cellStyle name="40% - Accent6 4 6 2 3" xfId="19459"/>
    <cellStyle name="40% - Accent6 4 6 2 4" xfId="19460"/>
    <cellStyle name="40% - Accent6 4 6 2 5" xfId="19461"/>
    <cellStyle name="40% - Accent6 4 6 2 6" xfId="19462"/>
    <cellStyle name="40% - Accent6 4 6 2 7" xfId="19463"/>
    <cellStyle name="40% - Accent6 4 6 3" xfId="19464"/>
    <cellStyle name="40% - Accent6 4 6 3 2" xfId="19465"/>
    <cellStyle name="40% - Accent6 4 6 3 3" xfId="19466"/>
    <cellStyle name="40% - Accent6 4 6 3 4" xfId="19467"/>
    <cellStyle name="40% - Accent6 4 6 3 5" xfId="19468"/>
    <cellStyle name="40% - Accent6 4 6 3 6" xfId="19469"/>
    <cellStyle name="40% - Accent6 4 6 4" xfId="19470"/>
    <cellStyle name="40% - Accent6 4 6 5" xfId="19471"/>
    <cellStyle name="40% - Accent6 4 6 6" xfId="19472"/>
    <cellStyle name="40% - Accent6 4 6 7" xfId="19473"/>
    <cellStyle name="40% - Accent6 4 6 8" xfId="19474"/>
    <cellStyle name="40% - Accent6 4 6 9" xfId="19475"/>
    <cellStyle name="40% - Accent6 4 7" xfId="19476"/>
    <cellStyle name="40% - Accent6 4 7 2" xfId="19477"/>
    <cellStyle name="40% - Accent6 4 7 2 2" xfId="19478"/>
    <cellStyle name="40% - Accent6 4 7 2 3" xfId="19479"/>
    <cellStyle name="40% - Accent6 4 7 2 4" xfId="19480"/>
    <cellStyle name="40% - Accent6 4 7 2 5" xfId="19481"/>
    <cellStyle name="40% - Accent6 4 7 2 6" xfId="19482"/>
    <cellStyle name="40% - Accent6 4 7 2 7" xfId="19483"/>
    <cellStyle name="40% - Accent6 4 7 3" xfId="19484"/>
    <cellStyle name="40% - Accent6 4 7 3 2" xfId="19485"/>
    <cellStyle name="40% - Accent6 4 7 3 3" xfId="19486"/>
    <cellStyle name="40% - Accent6 4 7 3 4" xfId="19487"/>
    <cellStyle name="40% - Accent6 4 7 3 5" xfId="19488"/>
    <cellStyle name="40% - Accent6 4 7 3 6" xfId="19489"/>
    <cellStyle name="40% - Accent6 4 7 4" xfId="19490"/>
    <cellStyle name="40% - Accent6 4 7 5" xfId="19491"/>
    <cellStyle name="40% - Accent6 4 7 6" xfId="19492"/>
    <cellStyle name="40% - Accent6 4 7 7" xfId="19493"/>
    <cellStyle name="40% - Accent6 4 7 8" xfId="19494"/>
    <cellStyle name="40% - Accent6 4 7 9" xfId="19495"/>
    <cellStyle name="40% - Accent6 4 8" xfId="19496"/>
    <cellStyle name="40% - Accent6 4 8 2" xfId="19497"/>
    <cellStyle name="40% - Accent6 4 8 2 2" xfId="19498"/>
    <cellStyle name="40% - Accent6 4 8 2 3" xfId="19499"/>
    <cellStyle name="40% - Accent6 4 8 2 4" xfId="19500"/>
    <cellStyle name="40% - Accent6 4 8 2 5" xfId="19501"/>
    <cellStyle name="40% - Accent6 4 8 2 6" xfId="19502"/>
    <cellStyle name="40% - Accent6 4 8 2 7" xfId="19503"/>
    <cellStyle name="40% - Accent6 4 8 3" xfId="19504"/>
    <cellStyle name="40% - Accent6 4 8 3 2" xfId="19505"/>
    <cellStyle name="40% - Accent6 4 8 3 3" xfId="19506"/>
    <cellStyle name="40% - Accent6 4 8 3 4" xfId="19507"/>
    <cellStyle name="40% - Accent6 4 8 3 5" xfId="19508"/>
    <cellStyle name="40% - Accent6 4 8 3 6" xfId="19509"/>
    <cellStyle name="40% - Accent6 4 8 4" xfId="19510"/>
    <cellStyle name="40% - Accent6 4 8 5" xfId="19511"/>
    <cellStyle name="40% - Accent6 4 8 6" xfId="19512"/>
    <cellStyle name="40% - Accent6 4 8 7" xfId="19513"/>
    <cellStyle name="40% - Accent6 4 8 8" xfId="19514"/>
    <cellStyle name="40% - Accent6 4 8 9" xfId="19515"/>
    <cellStyle name="40% - Accent6 4 9" xfId="19516"/>
    <cellStyle name="40% - Accent6 4 9 2" xfId="19517"/>
    <cellStyle name="40% - Accent6 4 9 2 2" xfId="19518"/>
    <cellStyle name="40% - Accent6 4 9 2 3" xfId="19519"/>
    <cellStyle name="40% - Accent6 4 9 2 4" xfId="19520"/>
    <cellStyle name="40% - Accent6 4 9 2 5" xfId="19521"/>
    <cellStyle name="40% - Accent6 4 9 2 6" xfId="19522"/>
    <cellStyle name="40% - Accent6 4 9 3" xfId="19523"/>
    <cellStyle name="40% - Accent6 4 9 4" xfId="19524"/>
    <cellStyle name="40% - Accent6 4 9 5" xfId="19525"/>
    <cellStyle name="40% - Accent6 4 9 6" xfId="19526"/>
    <cellStyle name="40% - Accent6 4 9 7" xfId="19527"/>
    <cellStyle name="40% - Accent6 4 9 8" xfId="19528"/>
    <cellStyle name="40% - Accent6 5" xfId="19529"/>
    <cellStyle name="40% - Accent6 5 10" xfId="19530"/>
    <cellStyle name="40% - Accent6 5 10 2" xfId="19531"/>
    <cellStyle name="40% - Accent6 5 10 3" xfId="19532"/>
    <cellStyle name="40% - Accent6 5 10 4" xfId="19533"/>
    <cellStyle name="40% - Accent6 5 10 5" xfId="19534"/>
    <cellStyle name="40% - Accent6 5 10 6" xfId="19535"/>
    <cellStyle name="40% - Accent6 5 10 7" xfId="19536"/>
    <cellStyle name="40% - Accent6 5 11" xfId="19537"/>
    <cellStyle name="40% - Accent6 5 11 2" xfId="19538"/>
    <cellStyle name="40% - Accent6 5 11 3" xfId="19539"/>
    <cellStyle name="40% - Accent6 5 11 4" xfId="19540"/>
    <cellStyle name="40% - Accent6 5 11 5" xfId="19541"/>
    <cellStyle name="40% - Accent6 5 11 6" xfId="19542"/>
    <cellStyle name="40% - Accent6 5 12" xfId="19543"/>
    <cellStyle name="40% - Accent6 5 12 2" xfId="19544"/>
    <cellStyle name="40% - Accent6 5 13" xfId="19545"/>
    <cellStyle name="40% - Accent6 5 14" xfId="19546"/>
    <cellStyle name="40% - Accent6 5 15" xfId="19547"/>
    <cellStyle name="40% - Accent6 5 16" xfId="19548"/>
    <cellStyle name="40% - Accent6 5 17" xfId="19549"/>
    <cellStyle name="40% - Accent6 5 2" xfId="19550"/>
    <cellStyle name="40% - Accent6 5 2 2" xfId="19551"/>
    <cellStyle name="40% - Accent6 5 2 2 2" xfId="19552"/>
    <cellStyle name="40% - Accent6 5 2 2 3" xfId="19553"/>
    <cellStyle name="40% - Accent6 5 2 2 4" xfId="19554"/>
    <cellStyle name="40% - Accent6 5 2 2 5" xfId="19555"/>
    <cellStyle name="40% - Accent6 5 2 2 6" xfId="19556"/>
    <cellStyle name="40% - Accent6 5 2 2 7" xfId="19557"/>
    <cellStyle name="40% - Accent6 5 2 3" xfId="19558"/>
    <cellStyle name="40% - Accent6 5 2 3 2" xfId="19559"/>
    <cellStyle name="40% - Accent6 5 2 3 3" xfId="19560"/>
    <cellStyle name="40% - Accent6 5 2 3 4" xfId="19561"/>
    <cellStyle name="40% - Accent6 5 2 3 5" xfId="19562"/>
    <cellStyle name="40% - Accent6 5 2 3 6" xfId="19563"/>
    <cellStyle name="40% - Accent6 5 2 4" xfId="19564"/>
    <cellStyle name="40% - Accent6 5 2 4 2" xfId="19565"/>
    <cellStyle name="40% - Accent6 5 2 5" xfId="19566"/>
    <cellStyle name="40% - Accent6 5 2 6" xfId="19567"/>
    <cellStyle name="40% - Accent6 5 2 7" xfId="19568"/>
    <cellStyle name="40% - Accent6 5 2 8" xfId="19569"/>
    <cellStyle name="40% - Accent6 5 2 9" xfId="19570"/>
    <cellStyle name="40% - Accent6 5 3" xfId="19571"/>
    <cellStyle name="40% - Accent6 5 3 2" xfId="19572"/>
    <cellStyle name="40% - Accent6 5 3 2 2" xfId="19573"/>
    <cellStyle name="40% - Accent6 5 3 2 3" xfId="19574"/>
    <cellStyle name="40% - Accent6 5 3 2 4" xfId="19575"/>
    <cellStyle name="40% - Accent6 5 3 2 5" xfId="19576"/>
    <cellStyle name="40% - Accent6 5 3 2 6" xfId="19577"/>
    <cellStyle name="40% - Accent6 5 3 2 7" xfId="19578"/>
    <cellStyle name="40% - Accent6 5 3 3" xfId="19579"/>
    <cellStyle name="40% - Accent6 5 3 3 2" xfId="19580"/>
    <cellStyle name="40% - Accent6 5 3 3 3" xfId="19581"/>
    <cellStyle name="40% - Accent6 5 3 3 4" xfId="19582"/>
    <cellStyle name="40% - Accent6 5 3 3 5" xfId="19583"/>
    <cellStyle name="40% - Accent6 5 3 3 6" xfId="19584"/>
    <cellStyle name="40% - Accent6 5 3 4" xfId="19585"/>
    <cellStyle name="40% - Accent6 5 3 4 2" xfId="19586"/>
    <cellStyle name="40% - Accent6 5 3 5" xfId="19587"/>
    <cellStyle name="40% - Accent6 5 3 6" xfId="19588"/>
    <cellStyle name="40% - Accent6 5 3 7" xfId="19589"/>
    <cellStyle name="40% - Accent6 5 3 8" xfId="19590"/>
    <cellStyle name="40% - Accent6 5 3 9" xfId="19591"/>
    <cellStyle name="40% - Accent6 5 4" xfId="19592"/>
    <cellStyle name="40% - Accent6 5 4 2" xfId="19593"/>
    <cellStyle name="40% - Accent6 5 4 2 2" xfId="19594"/>
    <cellStyle name="40% - Accent6 5 4 2 3" xfId="19595"/>
    <cellStyle name="40% - Accent6 5 4 2 4" xfId="19596"/>
    <cellStyle name="40% - Accent6 5 4 2 5" xfId="19597"/>
    <cellStyle name="40% - Accent6 5 4 2 6" xfId="19598"/>
    <cellStyle name="40% - Accent6 5 4 2 7" xfId="19599"/>
    <cellStyle name="40% - Accent6 5 4 3" xfId="19600"/>
    <cellStyle name="40% - Accent6 5 4 3 2" xfId="19601"/>
    <cellStyle name="40% - Accent6 5 4 3 3" xfId="19602"/>
    <cellStyle name="40% - Accent6 5 4 3 4" xfId="19603"/>
    <cellStyle name="40% - Accent6 5 4 3 5" xfId="19604"/>
    <cellStyle name="40% - Accent6 5 4 3 6" xfId="19605"/>
    <cellStyle name="40% - Accent6 5 4 4" xfId="19606"/>
    <cellStyle name="40% - Accent6 5 4 5" xfId="19607"/>
    <cellStyle name="40% - Accent6 5 4 6" xfId="19608"/>
    <cellStyle name="40% - Accent6 5 4 7" xfId="19609"/>
    <cellStyle name="40% - Accent6 5 4 8" xfId="19610"/>
    <cellStyle name="40% - Accent6 5 4 9" xfId="19611"/>
    <cellStyle name="40% - Accent6 5 5" xfId="19612"/>
    <cellStyle name="40% - Accent6 5 5 2" xfId="19613"/>
    <cellStyle name="40% - Accent6 5 5 2 2" xfId="19614"/>
    <cellStyle name="40% - Accent6 5 5 2 3" xfId="19615"/>
    <cellStyle name="40% - Accent6 5 5 2 4" xfId="19616"/>
    <cellStyle name="40% - Accent6 5 5 2 5" xfId="19617"/>
    <cellStyle name="40% - Accent6 5 5 2 6" xfId="19618"/>
    <cellStyle name="40% - Accent6 5 5 2 7" xfId="19619"/>
    <cellStyle name="40% - Accent6 5 5 3" xfId="19620"/>
    <cellStyle name="40% - Accent6 5 5 3 2" xfId="19621"/>
    <cellStyle name="40% - Accent6 5 5 3 3" xfId="19622"/>
    <cellStyle name="40% - Accent6 5 5 3 4" xfId="19623"/>
    <cellStyle name="40% - Accent6 5 5 3 5" xfId="19624"/>
    <cellStyle name="40% - Accent6 5 5 3 6" xfId="19625"/>
    <cellStyle name="40% - Accent6 5 5 4" xfId="19626"/>
    <cellStyle name="40% - Accent6 5 5 5" xfId="19627"/>
    <cellStyle name="40% - Accent6 5 5 6" xfId="19628"/>
    <cellStyle name="40% - Accent6 5 5 7" xfId="19629"/>
    <cellStyle name="40% - Accent6 5 5 8" xfId="19630"/>
    <cellStyle name="40% - Accent6 5 5 9" xfId="19631"/>
    <cellStyle name="40% - Accent6 5 6" xfId="19632"/>
    <cellStyle name="40% - Accent6 5 6 2" xfId="19633"/>
    <cellStyle name="40% - Accent6 5 6 2 2" xfId="19634"/>
    <cellStyle name="40% - Accent6 5 6 2 3" xfId="19635"/>
    <cellStyle name="40% - Accent6 5 6 2 4" xfId="19636"/>
    <cellStyle name="40% - Accent6 5 6 2 5" xfId="19637"/>
    <cellStyle name="40% - Accent6 5 6 2 6" xfId="19638"/>
    <cellStyle name="40% - Accent6 5 6 2 7" xfId="19639"/>
    <cellStyle name="40% - Accent6 5 6 3" xfId="19640"/>
    <cellStyle name="40% - Accent6 5 6 3 2" xfId="19641"/>
    <cellStyle name="40% - Accent6 5 6 3 3" xfId="19642"/>
    <cellStyle name="40% - Accent6 5 6 3 4" xfId="19643"/>
    <cellStyle name="40% - Accent6 5 6 3 5" xfId="19644"/>
    <cellStyle name="40% - Accent6 5 6 3 6" xfId="19645"/>
    <cellStyle name="40% - Accent6 5 6 4" xfId="19646"/>
    <cellStyle name="40% - Accent6 5 6 5" xfId="19647"/>
    <cellStyle name="40% - Accent6 5 6 6" xfId="19648"/>
    <cellStyle name="40% - Accent6 5 6 7" xfId="19649"/>
    <cellStyle name="40% - Accent6 5 6 8" xfId="19650"/>
    <cellStyle name="40% - Accent6 5 6 9" xfId="19651"/>
    <cellStyle name="40% - Accent6 5 7" xfId="19652"/>
    <cellStyle name="40% - Accent6 5 7 2" xfId="19653"/>
    <cellStyle name="40% - Accent6 5 7 2 2" xfId="19654"/>
    <cellStyle name="40% - Accent6 5 7 2 3" xfId="19655"/>
    <cellStyle name="40% - Accent6 5 7 2 4" xfId="19656"/>
    <cellStyle name="40% - Accent6 5 7 2 5" xfId="19657"/>
    <cellStyle name="40% - Accent6 5 7 2 6" xfId="19658"/>
    <cellStyle name="40% - Accent6 5 7 2 7" xfId="19659"/>
    <cellStyle name="40% - Accent6 5 7 3" xfId="19660"/>
    <cellStyle name="40% - Accent6 5 7 3 2" xfId="19661"/>
    <cellStyle name="40% - Accent6 5 7 3 3" xfId="19662"/>
    <cellStyle name="40% - Accent6 5 7 3 4" xfId="19663"/>
    <cellStyle name="40% - Accent6 5 7 3 5" xfId="19664"/>
    <cellStyle name="40% - Accent6 5 7 3 6" xfId="19665"/>
    <cellStyle name="40% - Accent6 5 7 4" xfId="19666"/>
    <cellStyle name="40% - Accent6 5 7 5" xfId="19667"/>
    <cellStyle name="40% - Accent6 5 7 6" xfId="19668"/>
    <cellStyle name="40% - Accent6 5 7 7" xfId="19669"/>
    <cellStyle name="40% - Accent6 5 7 8" xfId="19670"/>
    <cellStyle name="40% - Accent6 5 7 9" xfId="19671"/>
    <cellStyle name="40% - Accent6 5 8" xfId="19672"/>
    <cellStyle name="40% - Accent6 5 8 2" xfId="19673"/>
    <cellStyle name="40% - Accent6 5 8 2 2" xfId="19674"/>
    <cellStyle name="40% - Accent6 5 8 2 3" xfId="19675"/>
    <cellStyle name="40% - Accent6 5 8 2 4" xfId="19676"/>
    <cellStyle name="40% - Accent6 5 8 2 5" xfId="19677"/>
    <cellStyle name="40% - Accent6 5 8 2 6" xfId="19678"/>
    <cellStyle name="40% - Accent6 5 8 2 7" xfId="19679"/>
    <cellStyle name="40% - Accent6 5 8 3" xfId="19680"/>
    <cellStyle name="40% - Accent6 5 8 3 2" xfId="19681"/>
    <cellStyle name="40% - Accent6 5 8 3 3" xfId="19682"/>
    <cellStyle name="40% - Accent6 5 8 3 4" xfId="19683"/>
    <cellStyle name="40% - Accent6 5 8 3 5" xfId="19684"/>
    <cellStyle name="40% - Accent6 5 8 3 6" xfId="19685"/>
    <cellStyle name="40% - Accent6 5 8 4" xfId="19686"/>
    <cellStyle name="40% - Accent6 5 8 5" xfId="19687"/>
    <cellStyle name="40% - Accent6 5 8 6" xfId="19688"/>
    <cellStyle name="40% - Accent6 5 8 7" xfId="19689"/>
    <cellStyle name="40% - Accent6 5 8 8" xfId="19690"/>
    <cellStyle name="40% - Accent6 5 8 9" xfId="19691"/>
    <cellStyle name="40% - Accent6 5 9" xfId="19692"/>
    <cellStyle name="40% - Accent6 5 9 2" xfId="19693"/>
    <cellStyle name="40% - Accent6 5 9 2 2" xfId="19694"/>
    <cellStyle name="40% - Accent6 5 9 2 3" xfId="19695"/>
    <cellStyle name="40% - Accent6 5 9 2 4" xfId="19696"/>
    <cellStyle name="40% - Accent6 5 9 2 5" xfId="19697"/>
    <cellStyle name="40% - Accent6 5 9 2 6" xfId="19698"/>
    <cellStyle name="40% - Accent6 5 9 3" xfId="19699"/>
    <cellStyle name="40% - Accent6 5 9 4" xfId="19700"/>
    <cellStyle name="40% - Accent6 5 9 5" xfId="19701"/>
    <cellStyle name="40% - Accent6 5 9 6" xfId="19702"/>
    <cellStyle name="40% - Accent6 5 9 7" xfId="19703"/>
    <cellStyle name="40% - Accent6 5 9 8" xfId="19704"/>
    <cellStyle name="40% - Accent6 6" xfId="19705"/>
    <cellStyle name="40% - Accent6 6 10" xfId="19706"/>
    <cellStyle name="40% - Accent6 6 10 2" xfId="19707"/>
    <cellStyle name="40% - Accent6 6 10 3" xfId="19708"/>
    <cellStyle name="40% - Accent6 6 10 4" xfId="19709"/>
    <cellStyle name="40% - Accent6 6 10 5" xfId="19710"/>
    <cellStyle name="40% - Accent6 6 10 6" xfId="19711"/>
    <cellStyle name="40% - Accent6 6 10 7" xfId="19712"/>
    <cellStyle name="40% - Accent6 6 11" xfId="19713"/>
    <cellStyle name="40% - Accent6 6 11 2" xfId="19714"/>
    <cellStyle name="40% - Accent6 6 11 3" xfId="19715"/>
    <cellStyle name="40% - Accent6 6 11 4" xfId="19716"/>
    <cellStyle name="40% - Accent6 6 11 5" xfId="19717"/>
    <cellStyle name="40% - Accent6 6 11 6" xfId="19718"/>
    <cellStyle name="40% - Accent6 6 12" xfId="19719"/>
    <cellStyle name="40% - Accent6 6 12 2" xfId="19720"/>
    <cellStyle name="40% - Accent6 6 13" xfId="19721"/>
    <cellStyle name="40% - Accent6 6 14" xfId="19722"/>
    <cellStyle name="40% - Accent6 6 15" xfId="19723"/>
    <cellStyle name="40% - Accent6 6 16" xfId="19724"/>
    <cellStyle name="40% - Accent6 6 17" xfId="19725"/>
    <cellStyle name="40% - Accent6 6 2" xfId="19726"/>
    <cellStyle name="40% - Accent6 6 2 2" xfId="19727"/>
    <cellStyle name="40% - Accent6 6 2 2 2" xfId="19728"/>
    <cellStyle name="40% - Accent6 6 2 2 3" xfId="19729"/>
    <cellStyle name="40% - Accent6 6 2 2 4" xfId="19730"/>
    <cellStyle name="40% - Accent6 6 2 2 5" xfId="19731"/>
    <cellStyle name="40% - Accent6 6 2 2 6" xfId="19732"/>
    <cellStyle name="40% - Accent6 6 2 2 7" xfId="19733"/>
    <cellStyle name="40% - Accent6 6 2 3" xfId="19734"/>
    <cellStyle name="40% - Accent6 6 2 3 2" xfId="19735"/>
    <cellStyle name="40% - Accent6 6 2 3 3" xfId="19736"/>
    <cellStyle name="40% - Accent6 6 2 3 4" xfId="19737"/>
    <cellStyle name="40% - Accent6 6 2 3 5" xfId="19738"/>
    <cellStyle name="40% - Accent6 6 2 3 6" xfId="19739"/>
    <cellStyle name="40% - Accent6 6 2 4" xfId="19740"/>
    <cellStyle name="40% - Accent6 6 2 4 2" xfId="19741"/>
    <cellStyle name="40% - Accent6 6 2 5" xfId="19742"/>
    <cellStyle name="40% - Accent6 6 2 6" xfId="19743"/>
    <cellStyle name="40% - Accent6 6 2 7" xfId="19744"/>
    <cellStyle name="40% - Accent6 6 2 8" xfId="19745"/>
    <cellStyle name="40% - Accent6 6 2 9" xfId="19746"/>
    <cellStyle name="40% - Accent6 6 3" xfId="19747"/>
    <cellStyle name="40% - Accent6 6 3 2" xfId="19748"/>
    <cellStyle name="40% - Accent6 6 3 2 2" xfId="19749"/>
    <cellStyle name="40% - Accent6 6 3 2 3" xfId="19750"/>
    <cellStyle name="40% - Accent6 6 3 2 4" xfId="19751"/>
    <cellStyle name="40% - Accent6 6 3 2 5" xfId="19752"/>
    <cellStyle name="40% - Accent6 6 3 2 6" xfId="19753"/>
    <cellStyle name="40% - Accent6 6 3 2 7" xfId="19754"/>
    <cellStyle name="40% - Accent6 6 3 3" xfId="19755"/>
    <cellStyle name="40% - Accent6 6 3 3 2" xfId="19756"/>
    <cellStyle name="40% - Accent6 6 3 3 3" xfId="19757"/>
    <cellStyle name="40% - Accent6 6 3 3 4" xfId="19758"/>
    <cellStyle name="40% - Accent6 6 3 3 5" xfId="19759"/>
    <cellStyle name="40% - Accent6 6 3 3 6" xfId="19760"/>
    <cellStyle name="40% - Accent6 6 3 4" xfId="19761"/>
    <cellStyle name="40% - Accent6 6 3 4 2" xfId="19762"/>
    <cellStyle name="40% - Accent6 6 3 5" xfId="19763"/>
    <cellStyle name="40% - Accent6 6 3 6" xfId="19764"/>
    <cellStyle name="40% - Accent6 6 3 7" xfId="19765"/>
    <cellStyle name="40% - Accent6 6 3 8" xfId="19766"/>
    <cellStyle name="40% - Accent6 6 3 9" xfId="19767"/>
    <cellStyle name="40% - Accent6 6 4" xfId="19768"/>
    <cellStyle name="40% - Accent6 6 4 2" xfId="19769"/>
    <cellStyle name="40% - Accent6 6 4 2 2" xfId="19770"/>
    <cellStyle name="40% - Accent6 6 4 2 3" xfId="19771"/>
    <cellStyle name="40% - Accent6 6 4 2 4" xfId="19772"/>
    <cellStyle name="40% - Accent6 6 4 2 5" xfId="19773"/>
    <cellStyle name="40% - Accent6 6 4 2 6" xfId="19774"/>
    <cellStyle name="40% - Accent6 6 4 2 7" xfId="19775"/>
    <cellStyle name="40% - Accent6 6 4 3" xfId="19776"/>
    <cellStyle name="40% - Accent6 6 4 3 2" xfId="19777"/>
    <cellStyle name="40% - Accent6 6 4 3 3" xfId="19778"/>
    <cellStyle name="40% - Accent6 6 4 3 4" xfId="19779"/>
    <cellStyle name="40% - Accent6 6 4 3 5" xfId="19780"/>
    <cellStyle name="40% - Accent6 6 4 3 6" xfId="19781"/>
    <cellStyle name="40% - Accent6 6 4 4" xfId="19782"/>
    <cellStyle name="40% - Accent6 6 4 5" xfId="19783"/>
    <cellStyle name="40% - Accent6 6 4 6" xfId="19784"/>
    <cellStyle name="40% - Accent6 6 4 7" xfId="19785"/>
    <cellStyle name="40% - Accent6 6 4 8" xfId="19786"/>
    <cellStyle name="40% - Accent6 6 4 9" xfId="19787"/>
    <cellStyle name="40% - Accent6 6 5" xfId="19788"/>
    <cellStyle name="40% - Accent6 6 5 2" xfId="19789"/>
    <cellStyle name="40% - Accent6 6 5 2 2" xfId="19790"/>
    <cellStyle name="40% - Accent6 6 5 2 3" xfId="19791"/>
    <cellStyle name="40% - Accent6 6 5 2 4" xfId="19792"/>
    <cellStyle name="40% - Accent6 6 5 2 5" xfId="19793"/>
    <cellStyle name="40% - Accent6 6 5 2 6" xfId="19794"/>
    <cellStyle name="40% - Accent6 6 5 2 7" xfId="19795"/>
    <cellStyle name="40% - Accent6 6 5 3" xfId="19796"/>
    <cellStyle name="40% - Accent6 6 5 3 2" xfId="19797"/>
    <cellStyle name="40% - Accent6 6 5 3 3" xfId="19798"/>
    <cellStyle name="40% - Accent6 6 5 3 4" xfId="19799"/>
    <cellStyle name="40% - Accent6 6 5 3 5" xfId="19800"/>
    <cellStyle name="40% - Accent6 6 5 3 6" xfId="19801"/>
    <cellStyle name="40% - Accent6 6 5 4" xfId="19802"/>
    <cellStyle name="40% - Accent6 6 5 5" xfId="19803"/>
    <cellStyle name="40% - Accent6 6 5 6" xfId="19804"/>
    <cellStyle name="40% - Accent6 6 5 7" xfId="19805"/>
    <cellStyle name="40% - Accent6 6 5 8" xfId="19806"/>
    <cellStyle name="40% - Accent6 6 5 9" xfId="19807"/>
    <cellStyle name="40% - Accent6 6 6" xfId="19808"/>
    <cellStyle name="40% - Accent6 6 6 2" xfId="19809"/>
    <cellStyle name="40% - Accent6 6 6 2 2" xfId="19810"/>
    <cellStyle name="40% - Accent6 6 6 2 3" xfId="19811"/>
    <cellStyle name="40% - Accent6 6 6 2 4" xfId="19812"/>
    <cellStyle name="40% - Accent6 6 6 2 5" xfId="19813"/>
    <cellStyle name="40% - Accent6 6 6 2 6" xfId="19814"/>
    <cellStyle name="40% - Accent6 6 6 2 7" xfId="19815"/>
    <cellStyle name="40% - Accent6 6 6 3" xfId="19816"/>
    <cellStyle name="40% - Accent6 6 6 3 2" xfId="19817"/>
    <cellStyle name="40% - Accent6 6 6 3 3" xfId="19818"/>
    <cellStyle name="40% - Accent6 6 6 3 4" xfId="19819"/>
    <cellStyle name="40% - Accent6 6 6 3 5" xfId="19820"/>
    <cellStyle name="40% - Accent6 6 6 3 6" xfId="19821"/>
    <cellStyle name="40% - Accent6 6 6 4" xfId="19822"/>
    <cellStyle name="40% - Accent6 6 6 5" xfId="19823"/>
    <cellStyle name="40% - Accent6 6 6 6" xfId="19824"/>
    <cellStyle name="40% - Accent6 6 6 7" xfId="19825"/>
    <cellStyle name="40% - Accent6 6 6 8" xfId="19826"/>
    <cellStyle name="40% - Accent6 6 6 9" xfId="19827"/>
    <cellStyle name="40% - Accent6 6 7" xfId="19828"/>
    <cellStyle name="40% - Accent6 6 7 2" xfId="19829"/>
    <cellStyle name="40% - Accent6 6 7 2 2" xfId="19830"/>
    <cellStyle name="40% - Accent6 6 7 2 3" xfId="19831"/>
    <cellStyle name="40% - Accent6 6 7 2 4" xfId="19832"/>
    <cellStyle name="40% - Accent6 6 7 2 5" xfId="19833"/>
    <cellStyle name="40% - Accent6 6 7 2 6" xfId="19834"/>
    <cellStyle name="40% - Accent6 6 7 2 7" xfId="19835"/>
    <cellStyle name="40% - Accent6 6 7 3" xfId="19836"/>
    <cellStyle name="40% - Accent6 6 7 3 2" xfId="19837"/>
    <cellStyle name="40% - Accent6 6 7 3 3" xfId="19838"/>
    <cellStyle name="40% - Accent6 6 7 3 4" xfId="19839"/>
    <cellStyle name="40% - Accent6 6 7 3 5" xfId="19840"/>
    <cellStyle name="40% - Accent6 6 7 3 6" xfId="19841"/>
    <cellStyle name="40% - Accent6 6 7 4" xfId="19842"/>
    <cellStyle name="40% - Accent6 6 7 5" xfId="19843"/>
    <cellStyle name="40% - Accent6 6 7 6" xfId="19844"/>
    <cellStyle name="40% - Accent6 6 7 7" xfId="19845"/>
    <cellStyle name="40% - Accent6 6 7 8" xfId="19846"/>
    <cellStyle name="40% - Accent6 6 7 9" xfId="19847"/>
    <cellStyle name="40% - Accent6 6 8" xfId="19848"/>
    <cellStyle name="40% - Accent6 6 8 2" xfId="19849"/>
    <cellStyle name="40% - Accent6 6 8 2 2" xfId="19850"/>
    <cellStyle name="40% - Accent6 6 8 2 3" xfId="19851"/>
    <cellStyle name="40% - Accent6 6 8 2 4" xfId="19852"/>
    <cellStyle name="40% - Accent6 6 8 2 5" xfId="19853"/>
    <cellStyle name="40% - Accent6 6 8 2 6" xfId="19854"/>
    <cellStyle name="40% - Accent6 6 8 2 7" xfId="19855"/>
    <cellStyle name="40% - Accent6 6 8 3" xfId="19856"/>
    <cellStyle name="40% - Accent6 6 8 3 2" xfId="19857"/>
    <cellStyle name="40% - Accent6 6 8 3 3" xfId="19858"/>
    <cellStyle name="40% - Accent6 6 8 3 4" xfId="19859"/>
    <cellStyle name="40% - Accent6 6 8 3 5" xfId="19860"/>
    <cellStyle name="40% - Accent6 6 8 3 6" xfId="19861"/>
    <cellStyle name="40% - Accent6 6 8 4" xfId="19862"/>
    <cellStyle name="40% - Accent6 6 8 5" xfId="19863"/>
    <cellStyle name="40% - Accent6 6 8 6" xfId="19864"/>
    <cellStyle name="40% - Accent6 6 8 7" xfId="19865"/>
    <cellStyle name="40% - Accent6 6 8 8" xfId="19866"/>
    <cellStyle name="40% - Accent6 6 8 9" xfId="19867"/>
    <cellStyle name="40% - Accent6 6 9" xfId="19868"/>
    <cellStyle name="40% - Accent6 6 9 2" xfId="19869"/>
    <cellStyle name="40% - Accent6 6 9 2 2" xfId="19870"/>
    <cellStyle name="40% - Accent6 6 9 2 3" xfId="19871"/>
    <cellStyle name="40% - Accent6 6 9 2 4" xfId="19872"/>
    <cellStyle name="40% - Accent6 6 9 2 5" xfId="19873"/>
    <cellStyle name="40% - Accent6 6 9 2 6" xfId="19874"/>
    <cellStyle name="40% - Accent6 6 9 3" xfId="19875"/>
    <cellStyle name="40% - Accent6 6 9 4" xfId="19876"/>
    <cellStyle name="40% - Accent6 6 9 5" xfId="19877"/>
    <cellStyle name="40% - Accent6 6 9 6" xfId="19878"/>
    <cellStyle name="40% - Accent6 6 9 7" xfId="19879"/>
    <cellStyle name="40% - Accent6 6 9 8" xfId="19880"/>
    <cellStyle name="40% - Accent6 7" xfId="19881"/>
    <cellStyle name="40% - Accent6 7 10" xfId="19882"/>
    <cellStyle name="40% - Accent6 7 10 2" xfId="19883"/>
    <cellStyle name="40% - Accent6 7 10 3" xfId="19884"/>
    <cellStyle name="40% - Accent6 7 10 4" xfId="19885"/>
    <cellStyle name="40% - Accent6 7 10 5" xfId="19886"/>
    <cellStyle name="40% - Accent6 7 10 6" xfId="19887"/>
    <cellStyle name="40% - Accent6 7 10 7" xfId="19888"/>
    <cellStyle name="40% - Accent6 7 11" xfId="19889"/>
    <cellStyle name="40% - Accent6 7 11 2" xfId="19890"/>
    <cellStyle name="40% - Accent6 7 11 3" xfId="19891"/>
    <cellStyle name="40% - Accent6 7 11 4" xfId="19892"/>
    <cellStyle name="40% - Accent6 7 11 5" xfId="19893"/>
    <cellStyle name="40% - Accent6 7 11 6" xfId="19894"/>
    <cellStyle name="40% - Accent6 7 12" xfId="19895"/>
    <cellStyle name="40% - Accent6 7 12 2" xfId="19896"/>
    <cellStyle name="40% - Accent6 7 13" xfId="19897"/>
    <cellStyle name="40% - Accent6 7 14" xfId="19898"/>
    <cellStyle name="40% - Accent6 7 15" xfId="19899"/>
    <cellStyle name="40% - Accent6 7 16" xfId="19900"/>
    <cellStyle name="40% - Accent6 7 17" xfId="19901"/>
    <cellStyle name="40% - Accent6 7 2" xfId="19902"/>
    <cellStyle name="40% - Accent6 7 2 2" xfId="19903"/>
    <cellStyle name="40% - Accent6 7 2 2 2" xfId="19904"/>
    <cellStyle name="40% - Accent6 7 2 2 3" xfId="19905"/>
    <cellStyle name="40% - Accent6 7 2 2 4" xfId="19906"/>
    <cellStyle name="40% - Accent6 7 2 2 5" xfId="19907"/>
    <cellStyle name="40% - Accent6 7 2 2 6" xfId="19908"/>
    <cellStyle name="40% - Accent6 7 2 2 7" xfId="19909"/>
    <cellStyle name="40% - Accent6 7 2 3" xfId="19910"/>
    <cellStyle name="40% - Accent6 7 2 3 2" xfId="19911"/>
    <cellStyle name="40% - Accent6 7 2 3 3" xfId="19912"/>
    <cellStyle name="40% - Accent6 7 2 3 4" xfId="19913"/>
    <cellStyle name="40% - Accent6 7 2 3 5" xfId="19914"/>
    <cellStyle name="40% - Accent6 7 2 3 6" xfId="19915"/>
    <cellStyle name="40% - Accent6 7 2 4" xfId="19916"/>
    <cellStyle name="40% - Accent6 7 2 4 2" xfId="19917"/>
    <cellStyle name="40% - Accent6 7 2 5" xfId="19918"/>
    <cellStyle name="40% - Accent6 7 2 6" xfId="19919"/>
    <cellStyle name="40% - Accent6 7 2 7" xfId="19920"/>
    <cellStyle name="40% - Accent6 7 2 8" xfId="19921"/>
    <cellStyle name="40% - Accent6 7 2 9" xfId="19922"/>
    <cellStyle name="40% - Accent6 7 3" xfId="19923"/>
    <cellStyle name="40% - Accent6 7 3 2" xfId="19924"/>
    <cellStyle name="40% - Accent6 7 3 2 2" xfId="19925"/>
    <cellStyle name="40% - Accent6 7 3 2 3" xfId="19926"/>
    <cellStyle name="40% - Accent6 7 3 2 4" xfId="19927"/>
    <cellStyle name="40% - Accent6 7 3 2 5" xfId="19928"/>
    <cellStyle name="40% - Accent6 7 3 2 6" xfId="19929"/>
    <cellStyle name="40% - Accent6 7 3 2 7" xfId="19930"/>
    <cellStyle name="40% - Accent6 7 3 3" xfId="19931"/>
    <cellStyle name="40% - Accent6 7 3 3 2" xfId="19932"/>
    <cellStyle name="40% - Accent6 7 3 3 3" xfId="19933"/>
    <cellStyle name="40% - Accent6 7 3 3 4" xfId="19934"/>
    <cellStyle name="40% - Accent6 7 3 3 5" xfId="19935"/>
    <cellStyle name="40% - Accent6 7 3 3 6" xfId="19936"/>
    <cellStyle name="40% - Accent6 7 3 4" xfId="19937"/>
    <cellStyle name="40% - Accent6 7 3 4 2" xfId="19938"/>
    <cellStyle name="40% - Accent6 7 3 5" xfId="19939"/>
    <cellStyle name="40% - Accent6 7 3 6" xfId="19940"/>
    <cellStyle name="40% - Accent6 7 3 7" xfId="19941"/>
    <cellStyle name="40% - Accent6 7 3 8" xfId="19942"/>
    <cellStyle name="40% - Accent6 7 3 9" xfId="19943"/>
    <cellStyle name="40% - Accent6 7 4" xfId="19944"/>
    <cellStyle name="40% - Accent6 7 4 2" xfId="19945"/>
    <cellStyle name="40% - Accent6 7 4 2 2" xfId="19946"/>
    <cellStyle name="40% - Accent6 7 4 2 3" xfId="19947"/>
    <cellStyle name="40% - Accent6 7 4 2 4" xfId="19948"/>
    <cellStyle name="40% - Accent6 7 4 2 5" xfId="19949"/>
    <cellStyle name="40% - Accent6 7 4 2 6" xfId="19950"/>
    <cellStyle name="40% - Accent6 7 4 2 7" xfId="19951"/>
    <cellStyle name="40% - Accent6 7 4 3" xfId="19952"/>
    <cellStyle name="40% - Accent6 7 4 3 2" xfId="19953"/>
    <cellStyle name="40% - Accent6 7 4 3 3" xfId="19954"/>
    <cellStyle name="40% - Accent6 7 4 3 4" xfId="19955"/>
    <cellStyle name="40% - Accent6 7 4 3 5" xfId="19956"/>
    <cellStyle name="40% - Accent6 7 4 3 6" xfId="19957"/>
    <cellStyle name="40% - Accent6 7 4 4" xfId="19958"/>
    <cellStyle name="40% - Accent6 7 4 5" xfId="19959"/>
    <cellStyle name="40% - Accent6 7 4 6" xfId="19960"/>
    <cellStyle name="40% - Accent6 7 4 7" xfId="19961"/>
    <cellStyle name="40% - Accent6 7 4 8" xfId="19962"/>
    <cellStyle name="40% - Accent6 7 4 9" xfId="19963"/>
    <cellStyle name="40% - Accent6 7 5" xfId="19964"/>
    <cellStyle name="40% - Accent6 7 5 2" xfId="19965"/>
    <cellStyle name="40% - Accent6 7 5 2 2" xfId="19966"/>
    <cellStyle name="40% - Accent6 7 5 2 3" xfId="19967"/>
    <cellStyle name="40% - Accent6 7 5 2 4" xfId="19968"/>
    <cellStyle name="40% - Accent6 7 5 2 5" xfId="19969"/>
    <cellStyle name="40% - Accent6 7 5 2 6" xfId="19970"/>
    <cellStyle name="40% - Accent6 7 5 2 7" xfId="19971"/>
    <cellStyle name="40% - Accent6 7 5 3" xfId="19972"/>
    <cellStyle name="40% - Accent6 7 5 3 2" xfId="19973"/>
    <cellStyle name="40% - Accent6 7 5 3 3" xfId="19974"/>
    <cellStyle name="40% - Accent6 7 5 3 4" xfId="19975"/>
    <cellStyle name="40% - Accent6 7 5 3 5" xfId="19976"/>
    <cellStyle name="40% - Accent6 7 5 3 6" xfId="19977"/>
    <cellStyle name="40% - Accent6 7 5 4" xfId="19978"/>
    <cellStyle name="40% - Accent6 7 5 5" xfId="19979"/>
    <cellStyle name="40% - Accent6 7 5 6" xfId="19980"/>
    <cellStyle name="40% - Accent6 7 5 7" xfId="19981"/>
    <cellStyle name="40% - Accent6 7 5 8" xfId="19982"/>
    <cellStyle name="40% - Accent6 7 5 9" xfId="19983"/>
    <cellStyle name="40% - Accent6 7 6" xfId="19984"/>
    <cellStyle name="40% - Accent6 7 6 2" xfId="19985"/>
    <cellStyle name="40% - Accent6 7 6 2 2" xfId="19986"/>
    <cellStyle name="40% - Accent6 7 6 2 3" xfId="19987"/>
    <cellStyle name="40% - Accent6 7 6 2 4" xfId="19988"/>
    <cellStyle name="40% - Accent6 7 6 2 5" xfId="19989"/>
    <cellStyle name="40% - Accent6 7 6 2 6" xfId="19990"/>
    <cellStyle name="40% - Accent6 7 6 2 7" xfId="19991"/>
    <cellStyle name="40% - Accent6 7 6 3" xfId="19992"/>
    <cellStyle name="40% - Accent6 7 6 3 2" xfId="19993"/>
    <cellStyle name="40% - Accent6 7 6 3 3" xfId="19994"/>
    <cellStyle name="40% - Accent6 7 6 3 4" xfId="19995"/>
    <cellStyle name="40% - Accent6 7 6 3 5" xfId="19996"/>
    <cellStyle name="40% - Accent6 7 6 3 6" xfId="19997"/>
    <cellStyle name="40% - Accent6 7 6 4" xfId="19998"/>
    <cellStyle name="40% - Accent6 7 6 5" xfId="19999"/>
    <cellStyle name="40% - Accent6 7 6 6" xfId="20000"/>
    <cellStyle name="40% - Accent6 7 6 7" xfId="20001"/>
    <cellStyle name="40% - Accent6 7 6 8" xfId="20002"/>
    <cellStyle name="40% - Accent6 7 6 9" xfId="20003"/>
    <cellStyle name="40% - Accent6 7 7" xfId="20004"/>
    <cellStyle name="40% - Accent6 7 7 2" xfId="20005"/>
    <cellStyle name="40% - Accent6 7 7 2 2" xfId="20006"/>
    <cellStyle name="40% - Accent6 7 7 2 3" xfId="20007"/>
    <cellStyle name="40% - Accent6 7 7 2 4" xfId="20008"/>
    <cellStyle name="40% - Accent6 7 7 2 5" xfId="20009"/>
    <cellStyle name="40% - Accent6 7 7 2 6" xfId="20010"/>
    <cellStyle name="40% - Accent6 7 7 2 7" xfId="20011"/>
    <cellStyle name="40% - Accent6 7 7 3" xfId="20012"/>
    <cellStyle name="40% - Accent6 7 7 3 2" xfId="20013"/>
    <cellStyle name="40% - Accent6 7 7 3 3" xfId="20014"/>
    <cellStyle name="40% - Accent6 7 7 3 4" xfId="20015"/>
    <cellStyle name="40% - Accent6 7 7 3 5" xfId="20016"/>
    <cellStyle name="40% - Accent6 7 7 3 6" xfId="20017"/>
    <cellStyle name="40% - Accent6 7 7 4" xfId="20018"/>
    <cellStyle name="40% - Accent6 7 7 5" xfId="20019"/>
    <cellStyle name="40% - Accent6 7 7 6" xfId="20020"/>
    <cellStyle name="40% - Accent6 7 7 7" xfId="20021"/>
    <cellStyle name="40% - Accent6 7 7 8" xfId="20022"/>
    <cellStyle name="40% - Accent6 7 7 9" xfId="20023"/>
    <cellStyle name="40% - Accent6 7 8" xfId="20024"/>
    <cellStyle name="40% - Accent6 7 8 2" xfId="20025"/>
    <cellStyle name="40% - Accent6 7 8 2 2" xfId="20026"/>
    <cellStyle name="40% - Accent6 7 8 2 3" xfId="20027"/>
    <cellStyle name="40% - Accent6 7 8 2 4" xfId="20028"/>
    <cellStyle name="40% - Accent6 7 8 2 5" xfId="20029"/>
    <cellStyle name="40% - Accent6 7 8 2 6" xfId="20030"/>
    <cellStyle name="40% - Accent6 7 8 2 7" xfId="20031"/>
    <cellStyle name="40% - Accent6 7 8 3" xfId="20032"/>
    <cellStyle name="40% - Accent6 7 8 3 2" xfId="20033"/>
    <cellStyle name="40% - Accent6 7 8 3 3" xfId="20034"/>
    <cellStyle name="40% - Accent6 7 8 3 4" xfId="20035"/>
    <cellStyle name="40% - Accent6 7 8 3 5" xfId="20036"/>
    <cellStyle name="40% - Accent6 7 8 3 6" xfId="20037"/>
    <cellStyle name="40% - Accent6 7 8 4" xfId="20038"/>
    <cellStyle name="40% - Accent6 7 8 5" xfId="20039"/>
    <cellStyle name="40% - Accent6 7 8 6" xfId="20040"/>
    <cellStyle name="40% - Accent6 7 8 7" xfId="20041"/>
    <cellStyle name="40% - Accent6 7 8 8" xfId="20042"/>
    <cellStyle name="40% - Accent6 7 8 9" xfId="20043"/>
    <cellStyle name="40% - Accent6 7 9" xfId="20044"/>
    <cellStyle name="40% - Accent6 7 9 2" xfId="20045"/>
    <cellStyle name="40% - Accent6 7 9 2 2" xfId="20046"/>
    <cellStyle name="40% - Accent6 7 9 2 3" xfId="20047"/>
    <cellStyle name="40% - Accent6 7 9 2 4" xfId="20048"/>
    <cellStyle name="40% - Accent6 7 9 2 5" xfId="20049"/>
    <cellStyle name="40% - Accent6 7 9 2 6" xfId="20050"/>
    <cellStyle name="40% - Accent6 7 9 3" xfId="20051"/>
    <cellStyle name="40% - Accent6 7 9 4" xfId="20052"/>
    <cellStyle name="40% - Accent6 7 9 5" xfId="20053"/>
    <cellStyle name="40% - Accent6 7 9 6" xfId="20054"/>
    <cellStyle name="40% - Accent6 7 9 7" xfId="20055"/>
    <cellStyle name="40% - Accent6 7 9 8" xfId="20056"/>
    <cellStyle name="40% - Accent6 8" xfId="20057"/>
    <cellStyle name="40% - Accent6 8 10" xfId="20058"/>
    <cellStyle name="40% - Accent6 8 10 2" xfId="20059"/>
    <cellStyle name="40% - Accent6 8 10 3" xfId="20060"/>
    <cellStyle name="40% - Accent6 8 10 4" xfId="20061"/>
    <cellStyle name="40% - Accent6 8 10 5" xfId="20062"/>
    <cellStyle name="40% - Accent6 8 10 6" xfId="20063"/>
    <cellStyle name="40% - Accent6 8 10 7" xfId="20064"/>
    <cellStyle name="40% - Accent6 8 11" xfId="20065"/>
    <cellStyle name="40% - Accent6 8 11 2" xfId="20066"/>
    <cellStyle name="40% - Accent6 8 11 3" xfId="20067"/>
    <cellStyle name="40% - Accent6 8 11 4" xfId="20068"/>
    <cellStyle name="40% - Accent6 8 11 5" xfId="20069"/>
    <cellStyle name="40% - Accent6 8 11 6" xfId="20070"/>
    <cellStyle name="40% - Accent6 8 12" xfId="20071"/>
    <cellStyle name="40% - Accent6 8 12 2" xfId="20072"/>
    <cellStyle name="40% - Accent6 8 13" xfId="20073"/>
    <cellStyle name="40% - Accent6 8 14" xfId="20074"/>
    <cellStyle name="40% - Accent6 8 15" xfId="20075"/>
    <cellStyle name="40% - Accent6 8 16" xfId="20076"/>
    <cellStyle name="40% - Accent6 8 17" xfId="20077"/>
    <cellStyle name="40% - Accent6 8 2" xfId="20078"/>
    <cellStyle name="40% - Accent6 8 2 2" xfId="20079"/>
    <cellStyle name="40% - Accent6 8 2 2 2" xfId="20080"/>
    <cellStyle name="40% - Accent6 8 2 2 3" xfId="20081"/>
    <cellStyle name="40% - Accent6 8 2 2 4" xfId="20082"/>
    <cellStyle name="40% - Accent6 8 2 2 5" xfId="20083"/>
    <cellStyle name="40% - Accent6 8 2 2 6" xfId="20084"/>
    <cellStyle name="40% - Accent6 8 2 2 7" xfId="20085"/>
    <cellStyle name="40% - Accent6 8 2 3" xfId="20086"/>
    <cellStyle name="40% - Accent6 8 2 3 2" xfId="20087"/>
    <cellStyle name="40% - Accent6 8 2 3 3" xfId="20088"/>
    <cellStyle name="40% - Accent6 8 2 3 4" xfId="20089"/>
    <cellStyle name="40% - Accent6 8 2 3 5" xfId="20090"/>
    <cellStyle name="40% - Accent6 8 2 3 6" xfId="20091"/>
    <cellStyle name="40% - Accent6 8 2 4" xfId="20092"/>
    <cellStyle name="40% - Accent6 8 2 4 2" xfId="20093"/>
    <cellStyle name="40% - Accent6 8 2 5" xfId="20094"/>
    <cellStyle name="40% - Accent6 8 2 6" xfId="20095"/>
    <cellStyle name="40% - Accent6 8 2 7" xfId="20096"/>
    <cellStyle name="40% - Accent6 8 2 8" xfId="20097"/>
    <cellStyle name="40% - Accent6 8 2 9" xfId="20098"/>
    <cellStyle name="40% - Accent6 8 3" xfId="20099"/>
    <cellStyle name="40% - Accent6 8 3 2" xfId="20100"/>
    <cellStyle name="40% - Accent6 8 3 2 2" xfId="20101"/>
    <cellStyle name="40% - Accent6 8 3 2 3" xfId="20102"/>
    <cellStyle name="40% - Accent6 8 3 2 4" xfId="20103"/>
    <cellStyle name="40% - Accent6 8 3 2 5" xfId="20104"/>
    <cellStyle name="40% - Accent6 8 3 2 6" xfId="20105"/>
    <cellStyle name="40% - Accent6 8 3 2 7" xfId="20106"/>
    <cellStyle name="40% - Accent6 8 3 3" xfId="20107"/>
    <cellStyle name="40% - Accent6 8 3 3 2" xfId="20108"/>
    <cellStyle name="40% - Accent6 8 3 3 3" xfId="20109"/>
    <cellStyle name="40% - Accent6 8 3 3 4" xfId="20110"/>
    <cellStyle name="40% - Accent6 8 3 3 5" xfId="20111"/>
    <cellStyle name="40% - Accent6 8 3 3 6" xfId="20112"/>
    <cellStyle name="40% - Accent6 8 3 4" xfId="20113"/>
    <cellStyle name="40% - Accent6 8 3 4 2" xfId="20114"/>
    <cellStyle name="40% - Accent6 8 3 5" xfId="20115"/>
    <cellStyle name="40% - Accent6 8 3 6" xfId="20116"/>
    <cellStyle name="40% - Accent6 8 3 7" xfId="20117"/>
    <cellStyle name="40% - Accent6 8 3 8" xfId="20118"/>
    <cellStyle name="40% - Accent6 8 3 9" xfId="20119"/>
    <cellStyle name="40% - Accent6 8 4" xfId="20120"/>
    <cellStyle name="40% - Accent6 8 4 2" xfId="20121"/>
    <cellStyle name="40% - Accent6 8 4 2 2" xfId="20122"/>
    <cellStyle name="40% - Accent6 8 4 2 3" xfId="20123"/>
    <cellStyle name="40% - Accent6 8 4 2 4" xfId="20124"/>
    <cellStyle name="40% - Accent6 8 4 2 5" xfId="20125"/>
    <cellStyle name="40% - Accent6 8 4 2 6" xfId="20126"/>
    <cellStyle name="40% - Accent6 8 4 2 7" xfId="20127"/>
    <cellStyle name="40% - Accent6 8 4 3" xfId="20128"/>
    <cellStyle name="40% - Accent6 8 4 3 2" xfId="20129"/>
    <cellStyle name="40% - Accent6 8 4 3 3" xfId="20130"/>
    <cellStyle name="40% - Accent6 8 4 3 4" xfId="20131"/>
    <cellStyle name="40% - Accent6 8 4 3 5" xfId="20132"/>
    <cellStyle name="40% - Accent6 8 4 3 6" xfId="20133"/>
    <cellStyle name="40% - Accent6 8 4 4" xfId="20134"/>
    <cellStyle name="40% - Accent6 8 4 5" xfId="20135"/>
    <cellStyle name="40% - Accent6 8 4 6" xfId="20136"/>
    <cellStyle name="40% - Accent6 8 4 7" xfId="20137"/>
    <cellStyle name="40% - Accent6 8 4 8" xfId="20138"/>
    <cellStyle name="40% - Accent6 8 4 9" xfId="20139"/>
    <cellStyle name="40% - Accent6 8 5" xfId="20140"/>
    <cellStyle name="40% - Accent6 8 5 2" xfId="20141"/>
    <cellStyle name="40% - Accent6 8 5 2 2" xfId="20142"/>
    <cellStyle name="40% - Accent6 8 5 2 3" xfId="20143"/>
    <cellStyle name="40% - Accent6 8 5 2 4" xfId="20144"/>
    <cellStyle name="40% - Accent6 8 5 2 5" xfId="20145"/>
    <cellStyle name="40% - Accent6 8 5 2 6" xfId="20146"/>
    <cellStyle name="40% - Accent6 8 5 2 7" xfId="20147"/>
    <cellStyle name="40% - Accent6 8 5 3" xfId="20148"/>
    <cellStyle name="40% - Accent6 8 5 3 2" xfId="20149"/>
    <cellStyle name="40% - Accent6 8 5 3 3" xfId="20150"/>
    <cellStyle name="40% - Accent6 8 5 3 4" xfId="20151"/>
    <cellStyle name="40% - Accent6 8 5 3 5" xfId="20152"/>
    <cellStyle name="40% - Accent6 8 5 3 6" xfId="20153"/>
    <cellStyle name="40% - Accent6 8 5 4" xfId="20154"/>
    <cellStyle name="40% - Accent6 8 5 5" xfId="20155"/>
    <cellStyle name="40% - Accent6 8 5 6" xfId="20156"/>
    <cellStyle name="40% - Accent6 8 5 7" xfId="20157"/>
    <cellStyle name="40% - Accent6 8 5 8" xfId="20158"/>
    <cellStyle name="40% - Accent6 8 5 9" xfId="20159"/>
    <cellStyle name="40% - Accent6 8 6" xfId="20160"/>
    <cellStyle name="40% - Accent6 8 6 2" xfId="20161"/>
    <cellStyle name="40% - Accent6 8 6 2 2" xfId="20162"/>
    <cellStyle name="40% - Accent6 8 6 2 3" xfId="20163"/>
    <cellStyle name="40% - Accent6 8 6 2 4" xfId="20164"/>
    <cellStyle name="40% - Accent6 8 6 2 5" xfId="20165"/>
    <cellStyle name="40% - Accent6 8 6 2 6" xfId="20166"/>
    <cellStyle name="40% - Accent6 8 6 2 7" xfId="20167"/>
    <cellStyle name="40% - Accent6 8 6 3" xfId="20168"/>
    <cellStyle name="40% - Accent6 8 6 3 2" xfId="20169"/>
    <cellStyle name="40% - Accent6 8 6 3 3" xfId="20170"/>
    <cellStyle name="40% - Accent6 8 6 3 4" xfId="20171"/>
    <cellStyle name="40% - Accent6 8 6 3 5" xfId="20172"/>
    <cellStyle name="40% - Accent6 8 6 3 6" xfId="20173"/>
    <cellStyle name="40% - Accent6 8 6 4" xfId="20174"/>
    <cellStyle name="40% - Accent6 8 6 5" xfId="20175"/>
    <cellStyle name="40% - Accent6 8 6 6" xfId="20176"/>
    <cellStyle name="40% - Accent6 8 6 7" xfId="20177"/>
    <cellStyle name="40% - Accent6 8 6 8" xfId="20178"/>
    <cellStyle name="40% - Accent6 8 6 9" xfId="20179"/>
    <cellStyle name="40% - Accent6 8 7" xfId="20180"/>
    <cellStyle name="40% - Accent6 8 7 2" xfId="20181"/>
    <cellStyle name="40% - Accent6 8 7 2 2" xfId="20182"/>
    <cellStyle name="40% - Accent6 8 7 2 3" xfId="20183"/>
    <cellStyle name="40% - Accent6 8 7 2 4" xfId="20184"/>
    <cellStyle name="40% - Accent6 8 7 2 5" xfId="20185"/>
    <cellStyle name="40% - Accent6 8 7 2 6" xfId="20186"/>
    <cellStyle name="40% - Accent6 8 7 2 7" xfId="20187"/>
    <cellStyle name="40% - Accent6 8 7 3" xfId="20188"/>
    <cellStyle name="40% - Accent6 8 7 3 2" xfId="20189"/>
    <cellStyle name="40% - Accent6 8 7 3 3" xfId="20190"/>
    <cellStyle name="40% - Accent6 8 7 3 4" xfId="20191"/>
    <cellStyle name="40% - Accent6 8 7 3 5" xfId="20192"/>
    <cellStyle name="40% - Accent6 8 7 3 6" xfId="20193"/>
    <cellStyle name="40% - Accent6 8 7 4" xfId="20194"/>
    <cellStyle name="40% - Accent6 8 7 5" xfId="20195"/>
    <cellStyle name="40% - Accent6 8 7 6" xfId="20196"/>
    <cellStyle name="40% - Accent6 8 7 7" xfId="20197"/>
    <cellStyle name="40% - Accent6 8 7 8" xfId="20198"/>
    <cellStyle name="40% - Accent6 8 7 9" xfId="20199"/>
    <cellStyle name="40% - Accent6 8 8" xfId="20200"/>
    <cellStyle name="40% - Accent6 8 8 2" xfId="20201"/>
    <cellStyle name="40% - Accent6 8 8 2 2" xfId="20202"/>
    <cellStyle name="40% - Accent6 8 8 2 3" xfId="20203"/>
    <cellStyle name="40% - Accent6 8 8 2 4" xfId="20204"/>
    <cellStyle name="40% - Accent6 8 8 2 5" xfId="20205"/>
    <cellStyle name="40% - Accent6 8 8 2 6" xfId="20206"/>
    <cellStyle name="40% - Accent6 8 8 2 7" xfId="20207"/>
    <cellStyle name="40% - Accent6 8 8 3" xfId="20208"/>
    <cellStyle name="40% - Accent6 8 8 3 2" xfId="20209"/>
    <cellStyle name="40% - Accent6 8 8 3 3" xfId="20210"/>
    <cellStyle name="40% - Accent6 8 8 3 4" xfId="20211"/>
    <cellStyle name="40% - Accent6 8 8 3 5" xfId="20212"/>
    <cellStyle name="40% - Accent6 8 8 3 6" xfId="20213"/>
    <cellStyle name="40% - Accent6 8 8 4" xfId="20214"/>
    <cellStyle name="40% - Accent6 8 8 5" xfId="20215"/>
    <cellStyle name="40% - Accent6 8 8 6" xfId="20216"/>
    <cellStyle name="40% - Accent6 8 8 7" xfId="20217"/>
    <cellStyle name="40% - Accent6 8 8 8" xfId="20218"/>
    <cellStyle name="40% - Accent6 8 8 9" xfId="20219"/>
    <cellStyle name="40% - Accent6 8 9" xfId="20220"/>
    <cellStyle name="40% - Accent6 8 9 2" xfId="20221"/>
    <cellStyle name="40% - Accent6 8 9 2 2" xfId="20222"/>
    <cellStyle name="40% - Accent6 8 9 2 3" xfId="20223"/>
    <cellStyle name="40% - Accent6 8 9 2 4" xfId="20224"/>
    <cellStyle name="40% - Accent6 8 9 2 5" xfId="20225"/>
    <cellStyle name="40% - Accent6 8 9 2 6" xfId="20226"/>
    <cellStyle name="40% - Accent6 8 9 3" xfId="20227"/>
    <cellStyle name="40% - Accent6 8 9 4" xfId="20228"/>
    <cellStyle name="40% - Accent6 8 9 5" xfId="20229"/>
    <cellStyle name="40% - Accent6 8 9 6" xfId="20230"/>
    <cellStyle name="40% - Accent6 8 9 7" xfId="20231"/>
    <cellStyle name="40% - Accent6 8 9 8" xfId="20232"/>
    <cellStyle name="40% - Accent6 9" xfId="20233"/>
    <cellStyle name="40% - Accent6 9 2" xfId="20234"/>
    <cellStyle name="40% - Accent6 9 3" xfId="20235"/>
    <cellStyle name="40% - Accent6 9 4" xfId="20236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37"/>
    <cellStyle name="60% - Accent1 10 2" xfId="20238"/>
    <cellStyle name="60% - Accent1 10 3" xfId="20239"/>
    <cellStyle name="60% - Accent1 11" xfId="20240"/>
    <cellStyle name="60% - Accent1 11 2" xfId="20241"/>
    <cellStyle name="60% - Accent1 11 3" xfId="20242"/>
    <cellStyle name="60% - Accent1 12" xfId="20243"/>
    <cellStyle name="60% - Accent1 12 2" xfId="20244"/>
    <cellStyle name="60% - Accent1 12 3" xfId="20245"/>
    <cellStyle name="60% - Accent1 13" xfId="20246"/>
    <cellStyle name="60% - Accent1 13 2" xfId="20247"/>
    <cellStyle name="60% - Accent1 13 3" xfId="20248"/>
    <cellStyle name="60% - Accent1 14" xfId="20249"/>
    <cellStyle name="60% - Accent1 14 2" xfId="20250"/>
    <cellStyle name="60% - Accent1 14 3" xfId="20251"/>
    <cellStyle name="60% - Accent1 15" xfId="20252"/>
    <cellStyle name="60% - Accent1 15 2" xfId="20253"/>
    <cellStyle name="60% - Accent1 15 3" xfId="20254"/>
    <cellStyle name="60% - Accent1 16" xfId="20255"/>
    <cellStyle name="60% - Accent1 16 2" xfId="20256"/>
    <cellStyle name="60% - Accent1 16 3" xfId="20257"/>
    <cellStyle name="60% - Accent1 17" xfId="20258"/>
    <cellStyle name="60% - Accent1 17 2" xfId="20259"/>
    <cellStyle name="60% - Accent1 17 3" xfId="20260"/>
    <cellStyle name="60% - Accent1 18" xfId="20261"/>
    <cellStyle name="60% - Accent1 18 2" xfId="20262"/>
    <cellStyle name="60% - Accent1 18 3" xfId="20263"/>
    <cellStyle name="60% - Accent1 19" xfId="20264"/>
    <cellStyle name="60% - Accent1 19 2" xfId="20265"/>
    <cellStyle name="60% - Accent1 19 3" xfId="20266"/>
    <cellStyle name="60% - Accent1 2" xfId="386"/>
    <cellStyle name="60% - Accent1 2 10" xfId="20267"/>
    <cellStyle name="60% - Accent1 2 11" xfId="20268"/>
    <cellStyle name="60% - Accent1 2 12" xfId="20269"/>
    <cellStyle name="60% - Accent1 2 13" xfId="20270"/>
    <cellStyle name="60% - Accent1 2 14" xfId="20271"/>
    <cellStyle name="60% - Accent1 2 15" xfId="20272"/>
    <cellStyle name="60% - Accent1 2 16" xfId="20273"/>
    <cellStyle name="60% - Accent1 2 17" xfId="20274"/>
    <cellStyle name="60% - Accent1 2 18" xfId="20275"/>
    <cellStyle name="60% - Accent1 2 19" xfId="20276"/>
    <cellStyle name="60% - Accent1 2 2" xfId="1532"/>
    <cellStyle name="60% - Accent1 2 2 2" xfId="20277"/>
    <cellStyle name="60% - Accent1 2 20" xfId="20278"/>
    <cellStyle name="60% - Accent1 2 21" xfId="20279"/>
    <cellStyle name="60% - Accent1 2 22" xfId="20280"/>
    <cellStyle name="60% - Accent1 2 23" xfId="20281"/>
    <cellStyle name="60% - Accent1 2 24" xfId="20282"/>
    <cellStyle name="60% - Accent1 2 25" xfId="20283"/>
    <cellStyle name="60% - Accent1 2 26" xfId="20284"/>
    <cellStyle name="60% - Accent1 2 27" xfId="20285"/>
    <cellStyle name="60% - Accent1 2 28" xfId="20286"/>
    <cellStyle name="60% - Accent1 2 29" xfId="20287"/>
    <cellStyle name="60% - Accent1 2 3" xfId="20288"/>
    <cellStyle name="60% - Accent1 2 30" xfId="20289"/>
    <cellStyle name="60% - Accent1 2 31" xfId="20290"/>
    <cellStyle name="60% - Accent1 2 32" xfId="20291"/>
    <cellStyle name="60% - Accent1 2 33" xfId="20292"/>
    <cellStyle name="60% - Accent1 2 4" xfId="20293"/>
    <cellStyle name="60% - Accent1 2 5" xfId="20294"/>
    <cellStyle name="60% - Accent1 2 6" xfId="20295"/>
    <cellStyle name="60% - Accent1 2 7" xfId="20296"/>
    <cellStyle name="60% - Accent1 2 8" xfId="20297"/>
    <cellStyle name="60% - Accent1 2 9" xfId="20298"/>
    <cellStyle name="60% - Accent1 20" xfId="20299"/>
    <cellStyle name="60% - Accent1 20 2" xfId="20300"/>
    <cellStyle name="60% - Accent1 20 3" xfId="20301"/>
    <cellStyle name="60% - Accent1 21" xfId="20302"/>
    <cellStyle name="60% - Accent1 21 2" xfId="20303"/>
    <cellStyle name="60% - Accent1 21 3" xfId="20304"/>
    <cellStyle name="60% - Accent1 22" xfId="20305"/>
    <cellStyle name="60% - Accent1 22 2" xfId="20306"/>
    <cellStyle name="60% - Accent1 22 3" xfId="20307"/>
    <cellStyle name="60% - Accent1 23" xfId="20308"/>
    <cellStyle name="60% - Accent1 23 2" xfId="20309"/>
    <cellStyle name="60% - Accent1 23 3" xfId="20310"/>
    <cellStyle name="60% - Accent1 24" xfId="20311"/>
    <cellStyle name="60% - Accent1 24 2" xfId="20312"/>
    <cellStyle name="60% - Accent1 24 3" xfId="20313"/>
    <cellStyle name="60% - Accent1 25" xfId="20314"/>
    <cellStyle name="60% - Accent1 25 2" xfId="20315"/>
    <cellStyle name="60% - Accent1 25 3" xfId="20316"/>
    <cellStyle name="60% - Accent1 26" xfId="20317"/>
    <cellStyle name="60% - Accent1 26 2" xfId="20318"/>
    <cellStyle name="60% - Accent1 26 3" xfId="20319"/>
    <cellStyle name="60% - Accent1 27" xfId="20320"/>
    <cellStyle name="60% - Accent1 27 2" xfId="20321"/>
    <cellStyle name="60% - Accent1 27 3" xfId="20322"/>
    <cellStyle name="60% - Accent1 28" xfId="20323"/>
    <cellStyle name="60% - Accent1 28 2" xfId="20324"/>
    <cellStyle name="60% - Accent1 28 3" xfId="20325"/>
    <cellStyle name="60% - Accent1 29" xfId="20326"/>
    <cellStyle name="60% - Accent1 29 2" xfId="20327"/>
    <cellStyle name="60% - Accent1 29 3" xfId="20328"/>
    <cellStyle name="60% - Accent1 3" xfId="1533"/>
    <cellStyle name="60% - Accent1 3 2" xfId="20329"/>
    <cellStyle name="60% - Accent1 30" xfId="20330"/>
    <cellStyle name="60% - Accent1 30 2" xfId="20331"/>
    <cellStyle name="60% - Accent1 31" xfId="20332"/>
    <cellStyle name="60% - Accent1 32" xfId="20333"/>
    <cellStyle name="60% - Accent1 33" xfId="20334"/>
    <cellStyle name="60% - Accent1 4" xfId="20335"/>
    <cellStyle name="60% - Accent1 4 2" xfId="20336"/>
    <cellStyle name="60% - Accent1 4 3" xfId="20337"/>
    <cellStyle name="60% - Accent1 5" xfId="20338"/>
    <cellStyle name="60% - Accent1 5 2" xfId="20339"/>
    <cellStyle name="60% - Accent1 5 3" xfId="20340"/>
    <cellStyle name="60% - Accent1 6" xfId="20341"/>
    <cellStyle name="60% - Accent1 6 2" xfId="20342"/>
    <cellStyle name="60% - Accent1 6 3" xfId="20343"/>
    <cellStyle name="60% - Accent1 7" xfId="20344"/>
    <cellStyle name="60% - Accent1 7 2" xfId="20345"/>
    <cellStyle name="60% - Accent1 7 3" xfId="20346"/>
    <cellStyle name="60% - Accent1 8" xfId="20347"/>
    <cellStyle name="60% - Accent1 8 2" xfId="20348"/>
    <cellStyle name="60% - Accent1 8 3" xfId="20349"/>
    <cellStyle name="60% - Accent1 9" xfId="20350"/>
    <cellStyle name="60% - Accent1 9 2" xfId="20351"/>
    <cellStyle name="60% - Accent1 9 3" xfId="20352"/>
    <cellStyle name="60% - Accent2" xfId="26" builtinId="36" customBuiltin="1"/>
    <cellStyle name="60% - Accent2 10" xfId="20353"/>
    <cellStyle name="60% - Accent2 10 2" xfId="20354"/>
    <cellStyle name="60% - Accent2 10 3" xfId="20355"/>
    <cellStyle name="60% - Accent2 11" xfId="20356"/>
    <cellStyle name="60% - Accent2 11 2" xfId="20357"/>
    <cellStyle name="60% - Accent2 11 3" xfId="20358"/>
    <cellStyle name="60% - Accent2 12" xfId="20359"/>
    <cellStyle name="60% - Accent2 12 2" xfId="20360"/>
    <cellStyle name="60% - Accent2 12 3" xfId="20361"/>
    <cellStyle name="60% - Accent2 13" xfId="20362"/>
    <cellStyle name="60% - Accent2 13 2" xfId="20363"/>
    <cellStyle name="60% - Accent2 13 3" xfId="20364"/>
    <cellStyle name="60% - Accent2 14" xfId="20365"/>
    <cellStyle name="60% - Accent2 14 2" xfId="20366"/>
    <cellStyle name="60% - Accent2 14 3" xfId="20367"/>
    <cellStyle name="60% - Accent2 15" xfId="20368"/>
    <cellStyle name="60% - Accent2 15 2" xfId="20369"/>
    <cellStyle name="60% - Accent2 15 3" xfId="20370"/>
    <cellStyle name="60% - Accent2 16" xfId="20371"/>
    <cellStyle name="60% - Accent2 16 2" xfId="20372"/>
    <cellStyle name="60% - Accent2 16 3" xfId="20373"/>
    <cellStyle name="60% - Accent2 17" xfId="20374"/>
    <cellStyle name="60% - Accent2 17 2" xfId="20375"/>
    <cellStyle name="60% - Accent2 17 3" xfId="20376"/>
    <cellStyle name="60% - Accent2 18" xfId="20377"/>
    <cellStyle name="60% - Accent2 18 2" xfId="20378"/>
    <cellStyle name="60% - Accent2 18 3" xfId="20379"/>
    <cellStyle name="60% - Accent2 19" xfId="20380"/>
    <cellStyle name="60% - Accent2 19 2" xfId="20381"/>
    <cellStyle name="60% - Accent2 19 3" xfId="20382"/>
    <cellStyle name="60% - Accent2 2" xfId="387"/>
    <cellStyle name="60% - Accent2 2 10" xfId="20383"/>
    <cellStyle name="60% - Accent2 2 11" xfId="20384"/>
    <cellStyle name="60% - Accent2 2 12" xfId="20385"/>
    <cellStyle name="60% - Accent2 2 13" xfId="20386"/>
    <cellStyle name="60% - Accent2 2 14" xfId="20387"/>
    <cellStyle name="60% - Accent2 2 15" xfId="20388"/>
    <cellStyle name="60% - Accent2 2 16" xfId="20389"/>
    <cellStyle name="60% - Accent2 2 17" xfId="20390"/>
    <cellStyle name="60% - Accent2 2 18" xfId="20391"/>
    <cellStyle name="60% - Accent2 2 19" xfId="20392"/>
    <cellStyle name="60% - Accent2 2 2" xfId="1534"/>
    <cellStyle name="60% - Accent2 2 2 2" xfId="20393"/>
    <cellStyle name="60% - Accent2 2 20" xfId="20394"/>
    <cellStyle name="60% - Accent2 2 21" xfId="20395"/>
    <cellStyle name="60% - Accent2 2 22" xfId="20396"/>
    <cellStyle name="60% - Accent2 2 23" xfId="20397"/>
    <cellStyle name="60% - Accent2 2 24" xfId="20398"/>
    <cellStyle name="60% - Accent2 2 25" xfId="20399"/>
    <cellStyle name="60% - Accent2 2 26" xfId="20400"/>
    <cellStyle name="60% - Accent2 2 27" xfId="20401"/>
    <cellStyle name="60% - Accent2 2 28" xfId="20402"/>
    <cellStyle name="60% - Accent2 2 29" xfId="20403"/>
    <cellStyle name="60% - Accent2 2 3" xfId="20404"/>
    <cellStyle name="60% - Accent2 2 30" xfId="20405"/>
    <cellStyle name="60% - Accent2 2 31" xfId="20406"/>
    <cellStyle name="60% - Accent2 2 32" xfId="20407"/>
    <cellStyle name="60% - Accent2 2 33" xfId="20408"/>
    <cellStyle name="60% - Accent2 2 4" xfId="20409"/>
    <cellStyle name="60% - Accent2 2 5" xfId="20410"/>
    <cellStyle name="60% - Accent2 2 6" xfId="20411"/>
    <cellStyle name="60% - Accent2 2 7" xfId="20412"/>
    <cellStyle name="60% - Accent2 2 8" xfId="20413"/>
    <cellStyle name="60% - Accent2 2 9" xfId="20414"/>
    <cellStyle name="60% - Accent2 20" xfId="20415"/>
    <cellStyle name="60% - Accent2 20 2" xfId="20416"/>
    <cellStyle name="60% - Accent2 20 3" xfId="20417"/>
    <cellStyle name="60% - Accent2 21" xfId="20418"/>
    <cellStyle name="60% - Accent2 21 2" xfId="20419"/>
    <cellStyle name="60% - Accent2 21 3" xfId="20420"/>
    <cellStyle name="60% - Accent2 22" xfId="20421"/>
    <cellStyle name="60% - Accent2 22 2" xfId="20422"/>
    <cellStyle name="60% - Accent2 22 3" xfId="20423"/>
    <cellStyle name="60% - Accent2 23" xfId="20424"/>
    <cellStyle name="60% - Accent2 23 2" xfId="20425"/>
    <cellStyle name="60% - Accent2 23 3" xfId="20426"/>
    <cellStyle name="60% - Accent2 24" xfId="20427"/>
    <cellStyle name="60% - Accent2 24 2" xfId="20428"/>
    <cellStyle name="60% - Accent2 24 3" xfId="20429"/>
    <cellStyle name="60% - Accent2 25" xfId="20430"/>
    <cellStyle name="60% - Accent2 25 2" xfId="20431"/>
    <cellStyle name="60% - Accent2 25 3" xfId="20432"/>
    <cellStyle name="60% - Accent2 26" xfId="20433"/>
    <cellStyle name="60% - Accent2 26 2" xfId="20434"/>
    <cellStyle name="60% - Accent2 26 3" xfId="20435"/>
    <cellStyle name="60% - Accent2 27" xfId="20436"/>
    <cellStyle name="60% - Accent2 27 2" xfId="20437"/>
    <cellStyle name="60% - Accent2 27 3" xfId="20438"/>
    <cellStyle name="60% - Accent2 28" xfId="20439"/>
    <cellStyle name="60% - Accent2 28 2" xfId="20440"/>
    <cellStyle name="60% - Accent2 28 3" xfId="20441"/>
    <cellStyle name="60% - Accent2 29" xfId="20442"/>
    <cellStyle name="60% - Accent2 29 2" xfId="20443"/>
    <cellStyle name="60% - Accent2 29 3" xfId="20444"/>
    <cellStyle name="60% - Accent2 3" xfId="1535"/>
    <cellStyle name="60% - Accent2 3 2" xfId="20445"/>
    <cellStyle name="60% - Accent2 30" xfId="20446"/>
    <cellStyle name="60% - Accent2 30 2" xfId="20447"/>
    <cellStyle name="60% - Accent2 31" xfId="20448"/>
    <cellStyle name="60% - Accent2 32" xfId="20449"/>
    <cellStyle name="60% - Accent2 4" xfId="20450"/>
    <cellStyle name="60% - Accent2 4 2" xfId="20451"/>
    <cellStyle name="60% - Accent2 4 3" xfId="20452"/>
    <cellStyle name="60% - Accent2 5" xfId="20453"/>
    <cellStyle name="60% - Accent2 5 2" xfId="20454"/>
    <cellStyle name="60% - Accent2 5 3" xfId="20455"/>
    <cellStyle name="60% - Accent2 6" xfId="20456"/>
    <cellStyle name="60% - Accent2 6 2" xfId="20457"/>
    <cellStyle name="60% - Accent2 6 3" xfId="20458"/>
    <cellStyle name="60% - Accent2 7" xfId="20459"/>
    <cellStyle name="60% - Accent2 7 2" xfId="20460"/>
    <cellStyle name="60% - Accent2 7 3" xfId="20461"/>
    <cellStyle name="60% - Accent2 8" xfId="20462"/>
    <cellStyle name="60% - Accent2 8 2" xfId="20463"/>
    <cellStyle name="60% - Accent2 8 3" xfId="20464"/>
    <cellStyle name="60% - Accent2 9" xfId="20465"/>
    <cellStyle name="60% - Accent2 9 2" xfId="20466"/>
    <cellStyle name="60% - Accent2 9 3" xfId="20467"/>
    <cellStyle name="60% - Accent3" xfId="27" builtinId="40" customBuiltin="1"/>
    <cellStyle name="60% - Accent3 10" xfId="20468"/>
    <cellStyle name="60% - Accent3 10 2" xfId="20469"/>
    <cellStyle name="60% - Accent3 10 3" xfId="20470"/>
    <cellStyle name="60% - Accent3 11" xfId="20471"/>
    <cellStyle name="60% - Accent3 11 2" xfId="20472"/>
    <cellStyle name="60% - Accent3 11 3" xfId="20473"/>
    <cellStyle name="60% - Accent3 12" xfId="20474"/>
    <cellStyle name="60% - Accent3 12 2" xfId="20475"/>
    <cellStyle name="60% - Accent3 12 3" xfId="20476"/>
    <cellStyle name="60% - Accent3 13" xfId="20477"/>
    <cellStyle name="60% - Accent3 13 2" xfId="20478"/>
    <cellStyle name="60% - Accent3 13 3" xfId="20479"/>
    <cellStyle name="60% - Accent3 14" xfId="20480"/>
    <cellStyle name="60% - Accent3 14 2" xfId="20481"/>
    <cellStyle name="60% - Accent3 14 3" xfId="20482"/>
    <cellStyle name="60% - Accent3 15" xfId="20483"/>
    <cellStyle name="60% - Accent3 15 2" xfId="20484"/>
    <cellStyle name="60% - Accent3 15 3" xfId="20485"/>
    <cellStyle name="60% - Accent3 16" xfId="20486"/>
    <cellStyle name="60% - Accent3 16 2" xfId="20487"/>
    <cellStyle name="60% - Accent3 16 3" xfId="20488"/>
    <cellStyle name="60% - Accent3 17" xfId="20489"/>
    <cellStyle name="60% - Accent3 17 2" xfId="20490"/>
    <cellStyle name="60% - Accent3 17 3" xfId="20491"/>
    <cellStyle name="60% - Accent3 18" xfId="20492"/>
    <cellStyle name="60% - Accent3 18 2" xfId="20493"/>
    <cellStyle name="60% - Accent3 18 3" xfId="20494"/>
    <cellStyle name="60% - Accent3 19" xfId="20495"/>
    <cellStyle name="60% - Accent3 19 2" xfId="20496"/>
    <cellStyle name="60% - Accent3 19 3" xfId="20497"/>
    <cellStyle name="60% - Accent3 2" xfId="388"/>
    <cellStyle name="60% - Accent3 2 10" xfId="20498"/>
    <cellStyle name="60% - Accent3 2 11" xfId="20499"/>
    <cellStyle name="60% - Accent3 2 12" xfId="20500"/>
    <cellStyle name="60% - Accent3 2 13" xfId="20501"/>
    <cellStyle name="60% - Accent3 2 14" xfId="20502"/>
    <cellStyle name="60% - Accent3 2 15" xfId="20503"/>
    <cellStyle name="60% - Accent3 2 16" xfId="20504"/>
    <cellStyle name="60% - Accent3 2 17" xfId="20505"/>
    <cellStyle name="60% - Accent3 2 18" xfId="20506"/>
    <cellStyle name="60% - Accent3 2 19" xfId="20507"/>
    <cellStyle name="60% - Accent3 2 2" xfId="1536"/>
    <cellStyle name="60% - Accent3 2 2 2" xfId="20508"/>
    <cellStyle name="60% - Accent3 2 20" xfId="20509"/>
    <cellStyle name="60% - Accent3 2 21" xfId="20510"/>
    <cellStyle name="60% - Accent3 2 22" xfId="20511"/>
    <cellStyle name="60% - Accent3 2 23" xfId="20512"/>
    <cellStyle name="60% - Accent3 2 24" xfId="20513"/>
    <cellStyle name="60% - Accent3 2 25" xfId="20514"/>
    <cellStyle name="60% - Accent3 2 26" xfId="20515"/>
    <cellStyle name="60% - Accent3 2 27" xfId="20516"/>
    <cellStyle name="60% - Accent3 2 28" xfId="20517"/>
    <cellStyle name="60% - Accent3 2 29" xfId="20518"/>
    <cellStyle name="60% - Accent3 2 3" xfId="20519"/>
    <cellStyle name="60% - Accent3 2 30" xfId="20520"/>
    <cellStyle name="60% - Accent3 2 31" xfId="20521"/>
    <cellStyle name="60% - Accent3 2 32" xfId="20522"/>
    <cellStyle name="60% - Accent3 2 33" xfId="20523"/>
    <cellStyle name="60% - Accent3 2 4" xfId="20524"/>
    <cellStyle name="60% - Accent3 2 5" xfId="20525"/>
    <cellStyle name="60% - Accent3 2 6" xfId="20526"/>
    <cellStyle name="60% - Accent3 2 7" xfId="20527"/>
    <cellStyle name="60% - Accent3 2 8" xfId="20528"/>
    <cellStyle name="60% - Accent3 2 9" xfId="20529"/>
    <cellStyle name="60% - Accent3 20" xfId="20530"/>
    <cellStyle name="60% - Accent3 20 2" xfId="20531"/>
    <cellStyle name="60% - Accent3 20 3" xfId="20532"/>
    <cellStyle name="60% - Accent3 21" xfId="20533"/>
    <cellStyle name="60% - Accent3 21 2" xfId="20534"/>
    <cellStyle name="60% - Accent3 21 3" xfId="20535"/>
    <cellStyle name="60% - Accent3 22" xfId="20536"/>
    <cellStyle name="60% - Accent3 22 2" xfId="20537"/>
    <cellStyle name="60% - Accent3 22 3" xfId="20538"/>
    <cellStyle name="60% - Accent3 23" xfId="20539"/>
    <cellStyle name="60% - Accent3 23 2" xfId="20540"/>
    <cellStyle name="60% - Accent3 23 3" xfId="20541"/>
    <cellStyle name="60% - Accent3 24" xfId="20542"/>
    <cellStyle name="60% - Accent3 24 2" xfId="20543"/>
    <cellStyle name="60% - Accent3 24 3" xfId="20544"/>
    <cellStyle name="60% - Accent3 25" xfId="20545"/>
    <cellStyle name="60% - Accent3 25 2" xfId="20546"/>
    <cellStyle name="60% - Accent3 25 3" xfId="20547"/>
    <cellStyle name="60% - Accent3 26" xfId="20548"/>
    <cellStyle name="60% - Accent3 26 2" xfId="20549"/>
    <cellStyle name="60% - Accent3 26 3" xfId="20550"/>
    <cellStyle name="60% - Accent3 27" xfId="20551"/>
    <cellStyle name="60% - Accent3 27 2" xfId="20552"/>
    <cellStyle name="60% - Accent3 27 3" xfId="20553"/>
    <cellStyle name="60% - Accent3 28" xfId="20554"/>
    <cellStyle name="60% - Accent3 28 2" xfId="20555"/>
    <cellStyle name="60% - Accent3 28 3" xfId="20556"/>
    <cellStyle name="60% - Accent3 29" xfId="20557"/>
    <cellStyle name="60% - Accent3 29 2" xfId="20558"/>
    <cellStyle name="60% - Accent3 29 3" xfId="20559"/>
    <cellStyle name="60% - Accent3 3" xfId="1537"/>
    <cellStyle name="60% - Accent3 3 2" xfId="20560"/>
    <cellStyle name="60% - Accent3 30" xfId="20561"/>
    <cellStyle name="60% - Accent3 30 2" xfId="20562"/>
    <cellStyle name="60% - Accent3 31" xfId="20563"/>
    <cellStyle name="60% - Accent3 32" xfId="20564"/>
    <cellStyle name="60% - Accent3 33" xfId="20565"/>
    <cellStyle name="60% - Accent3 4" xfId="20566"/>
    <cellStyle name="60% - Accent3 4 2" xfId="20567"/>
    <cellStyle name="60% - Accent3 4 3" xfId="20568"/>
    <cellStyle name="60% - Accent3 5" xfId="20569"/>
    <cellStyle name="60% - Accent3 5 2" xfId="20570"/>
    <cellStyle name="60% - Accent3 5 3" xfId="20571"/>
    <cellStyle name="60% - Accent3 6" xfId="20572"/>
    <cellStyle name="60% - Accent3 6 2" xfId="20573"/>
    <cellStyle name="60% - Accent3 6 3" xfId="20574"/>
    <cellStyle name="60% - Accent3 7" xfId="20575"/>
    <cellStyle name="60% - Accent3 7 2" xfId="20576"/>
    <cellStyle name="60% - Accent3 7 3" xfId="20577"/>
    <cellStyle name="60% - Accent3 8" xfId="20578"/>
    <cellStyle name="60% - Accent3 8 2" xfId="20579"/>
    <cellStyle name="60% - Accent3 8 3" xfId="20580"/>
    <cellStyle name="60% - Accent3 9" xfId="20581"/>
    <cellStyle name="60% - Accent3 9 2" xfId="20582"/>
    <cellStyle name="60% - Accent3 9 3" xfId="20583"/>
    <cellStyle name="60% - Accent4" xfId="28" builtinId="44" customBuiltin="1"/>
    <cellStyle name="60% - Accent4 10" xfId="20584"/>
    <cellStyle name="60% - Accent4 10 2" xfId="20585"/>
    <cellStyle name="60% - Accent4 10 3" xfId="20586"/>
    <cellStyle name="60% - Accent4 11" xfId="20587"/>
    <cellStyle name="60% - Accent4 11 2" xfId="20588"/>
    <cellStyle name="60% - Accent4 11 3" xfId="20589"/>
    <cellStyle name="60% - Accent4 12" xfId="20590"/>
    <cellStyle name="60% - Accent4 12 2" xfId="20591"/>
    <cellStyle name="60% - Accent4 12 3" xfId="20592"/>
    <cellStyle name="60% - Accent4 13" xfId="20593"/>
    <cellStyle name="60% - Accent4 13 2" xfId="20594"/>
    <cellStyle name="60% - Accent4 13 3" xfId="20595"/>
    <cellStyle name="60% - Accent4 14" xfId="20596"/>
    <cellStyle name="60% - Accent4 14 2" xfId="20597"/>
    <cellStyle name="60% - Accent4 14 3" xfId="20598"/>
    <cellStyle name="60% - Accent4 15" xfId="20599"/>
    <cellStyle name="60% - Accent4 15 2" xfId="20600"/>
    <cellStyle name="60% - Accent4 15 3" xfId="20601"/>
    <cellStyle name="60% - Accent4 16" xfId="20602"/>
    <cellStyle name="60% - Accent4 16 2" xfId="20603"/>
    <cellStyle name="60% - Accent4 16 3" xfId="20604"/>
    <cellStyle name="60% - Accent4 17" xfId="20605"/>
    <cellStyle name="60% - Accent4 17 2" xfId="20606"/>
    <cellStyle name="60% - Accent4 17 3" xfId="20607"/>
    <cellStyle name="60% - Accent4 18" xfId="20608"/>
    <cellStyle name="60% - Accent4 18 2" xfId="20609"/>
    <cellStyle name="60% - Accent4 18 3" xfId="20610"/>
    <cellStyle name="60% - Accent4 19" xfId="20611"/>
    <cellStyle name="60% - Accent4 19 2" xfId="20612"/>
    <cellStyle name="60% - Accent4 19 3" xfId="20613"/>
    <cellStyle name="60% - Accent4 2" xfId="389"/>
    <cellStyle name="60% - Accent4 2 10" xfId="20614"/>
    <cellStyle name="60% - Accent4 2 11" xfId="20615"/>
    <cellStyle name="60% - Accent4 2 12" xfId="20616"/>
    <cellStyle name="60% - Accent4 2 13" xfId="20617"/>
    <cellStyle name="60% - Accent4 2 14" xfId="20618"/>
    <cellStyle name="60% - Accent4 2 15" xfId="20619"/>
    <cellStyle name="60% - Accent4 2 16" xfId="20620"/>
    <cellStyle name="60% - Accent4 2 17" xfId="20621"/>
    <cellStyle name="60% - Accent4 2 18" xfId="20622"/>
    <cellStyle name="60% - Accent4 2 19" xfId="20623"/>
    <cellStyle name="60% - Accent4 2 2" xfId="1538"/>
    <cellStyle name="60% - Accent4 2 2 2" xfId="20624"/>
    <cellStyle name="60% - Accent4 2 20" xfId="20625"/>
    <cellStyle name="60% - Accent4 2 21" xfId="20626"/>
    <cellStyle name="60% - Accent4 2 22" xfId="20627"/>
    <cellStyle name="60% - Accent4 2 23" xfId="20628"/>
    <cellStyle name="60% - Accent4 2 24" xfId="20629"/>
    <cellStyle name="60% - Accent4 2 25" xfId="20630"/>
    <cellStyle name="60% - Accent4 2 26" xfId="20631"/>
    <cellStyle name="60% - Accent4 2 27" xfId="20632"/>
    <cellStyle name="60% - Accent4 2 28" xfId="20633"/>
    <cellStyle name="60% - Accent4 2 29" xfId="20634"/>
    <cellStyle name="60% - Accent4 2 3" xfId="20635"/>
    <cellStyle name="60% - Accent4 2 30" xfId="20636"/>
    <cellStyle name="60% - Accent4 2 31" xfId="20637"/>
    <cellStyle name="60% - Accent4 2 32" xfId="20638"/>
    <cellStyle name="60% - Accent4 2 33" xfId="20639"/>
    <cellStyle name="60% - Accent4 2 4" xfId="20640"/>
    <cellStyle name="60% - Accent4 2 5" xfId="20641"/>
    <cellStyle name="60% - Accent4 2 6" xfId="20642"/>
    <cellStyle name="60% - Accent4 2 7" xfId="20643"/>
    <cellStyle name="60% - Accent4 2 8" xfId="20644"/>
    <cellStyle name="60% - Accent4 2 9" xfId="20645"/>
    <cellStyle name="60% - Accent4 20" xfId="20646"/>
    <cellStyle name="60% - Accent4 20 2" xfId="20647"/>
    <cellStyle name="60% - Accent4 20 3" xfId="20648"/>
    <cellStyle name="60% - Accent4 21" xfId="20649"/>
    <cellStyle name="60% - Accent4 21 2" xfId="20650"/>
    <cellStyle name="60% - Accent4 21 3" xfId="20651"/>
    <cellStyle name="60% - Accent4 22" xfId="20652"/>
    <cellStyle name="60% - Accent4 22 2" xfId="20653"/>
    <cellStyle name="60% - Accent4 22 3" xfId="20654"/>
    <cellStyle name="60% - Accent4 23" xfId="20655"/>
    <cellStyle name="60% - Accent4 23 2" xfId="20656"/>
    <cellStyle name="60% - Accent4 23 3" xfId="20657"/>
    <cellStyle name="60% - Accent4 24" xfId="20658"/>
    <cellStyle name="60% - Accent4 24 2" xfId="20659"/>
    <cellStyle name="60% - Accent4 24 3" xfId="20660"/>
    <cellStyle name="60% - Accent4 25" xfId="20661"/>
    <cellStyle name="60% - Accent4 25 2" xfId="20662"/>
    <cellStyle name="60% - Accent4 25 3" xfId="20663"/>
    <cellStyle name="60% - Accent4 26" xfId="20664"/>
    <cellStyle name="60% - Accent4 26 2" xfId="20665"/>
    <cellStyle name="60% - Accent4 26 3" xfId="20666"/>
    <cellStyle name="60% - Accent4 27" xfId="20667"/>
    <cellStyle name="60% - Accent4 27 2" xfId="20668"/>
    <cellStyle name="60% - Accent4 27 3" xfId="20669"/>
    <cellStyle name="60% - Accent4 28" xfId="20670"/>
    <cellStyle name="60% - Accent4 28 2" xfId="20671"/>
    <cellStyle name="60% - Accent4 28 3" xfId="20672"/>
    <cellStyle name="60% - Accent4 29" xfId="20673"/>
    <cellStyle name="60% - Accent4 29 2" xfId="20674"/>
    <cellStyle name="60% - Accent4 29 3" xfId="20675"/>
    <cellStyle name="60% - Accent4 3" xfId="1539"/>
    <cellStyle name="60% - Accent4 3 2" xfId="20676"/>
    <cellStyle name="60% - Accent4 30" xfId="20677"/>
    <cellStyle name="60% - Accent4 30 2" xfId="20678"/>
    <cellStyle name="60% - Accent4 31" xfId="20679"/>
    <cellStyle name="60% - Accent4 32" xfId="20680"/>
    <cellStyle name="60% - Accent4 33" xfId="20681"/>
    <cellStyle name="60% - Accent4 4" xfId="20682"/>
    <cellStyle name="60% - Accent4 4 2" xfId="20683"/>
    <cellStyle name="60% - Accent4 4 3" xfId="20684"/>
    <cellStyle name="60% - Accent4 5" xfId="20685"/>
    <cellStyle name="60% - Accent4 5 2" xfId="20686"/>
    <cellStyle name="60% - Accent4 5 3" xfId="20687"/>
    <cellStyle name="60% - Accent4 6" xfId="20688"/>
    <cellStyle name="60% - Accent4 6 2" xfId="20689"/>
    <cellStyle name="60% - Accent4 6 3" xfId="20690"/>
    <cellStyle name="60% - Accent4 7" xfId="20691"/>
    <cellStyle name="60% - Accent4 7 2" xfId="20692"/>
    <cellStyle name="60% - Accent4 7 3" xfId="20693"/>
    <cellStyle name="60% - Accent4 8" xfId="20694"/>
    <cellStyle name="60% - Accent4 8 2" xfId="20695"/>
    <cellStyle name="60% - Accent4 8 3" xfId="20696"/>
    <cellStyle name="60% - Accent4 9" xfId="20697"/>
    <cellStyle name="60% - Accent4 9 2" xfId="20698"/>
    <cellStyle name="60% - Accent4 9 3" xfId="20699"/>
    <cellStyle name="60% - Accent5" xfId="29" builtinId="48" customBuiltin="1"/>
    <cellStyle name="60% - Accent5 10" xfId="20700"/>
    <cellStyle name="60% - Accent5 10 2" xfId="20701"/>
    <cellStyle name="60% - Accent5 10 3" xfId="20702"/>
    <cellStyle name="60% - Accent5 11" xfId="20703"/>
    <cellStyle name="60% - Accent5 11 2" xfId="20704"/>
    <cellStyle name="60% - Accent5 11 3" xfId="20705"/>
    <cellStyle name="60% - Accent5 12" xfId="20706"/>
    <cellStyle name="60% - Accent5 12 2" xfId="20707"/>
    <cellStyle name="60% - Accent5 12 3" xfId="20708"/>
    <cellStyle name="60% - Accent5 13" xfId="20709"/>
    <cellStyle name="60% - Accent5 13 2" xfId="20710"/>
    <cellStyle name="60% - Accent5 13 3" xfId="20711"/>
    <cellStyle name="60% - Accent5 14" xfId="20712"/>
    <cellStyle name="60% - Accent5 14 2" xfId="20713"/>
    <cellStyle name="60% - Accent5 14 3" xfId="20714"/>
    <cellStyle name="60% - Accent5 15" xfId="20715"/>
    <cellStyle name="60% - Accent5 15 2" xfId="20716"/>
    <cellStyle name="60% - Accent5 15 3" xfId="20717"/>
    <cellStyle name="60% - Accent5 16" xfId="20718"/>
    <cellStyle name="60% - Accent5 16 2" xfId="20719"/>
    <cellStyle name="60% - Accent5 16 3" xfId="20720"/>
    <cellStyle name="60% - Accent5 17" xfId="20721"/>
    <cellStyle name="60% - Accent5 17 2" xfId="20722"/>
    <cellStyle name="60% - Accent5 17 3" xfId="20723"/>
    <cellStyle name="60% - Accent5 18" xfId="20724"/>
    <cellStyle name="60% - Accent5 18 2" xfId="20725"/>
    <cellStyle name="60% - Accent5 18 3" xfId="20726"/>
    <cellStyle name="60% - Accent5 19" xfId="20727"/>
    <cellStyle name="60% - Accent5 19 2" xfId="20728"/>
    <cellStyle name="60% - Accent5 19 3" xfId="20729"/>
    <cellStyle name="60% - Accent5 2" xfId="390"/>
    <cellStyle name="60% - Accent5 2 10" xfId="20730"/>
    <cellStyle name="60% - Accent5 2 11" xfId="20731"/>
    <cellStyle name="60% - Accent5 2 12" xfId="20732"/>
    <cellStyle name="60% - Accent5 2 13" xfId="20733"/>
    <cellStyle name="60% - Accent5 2 14" xfId="20734"/>
    <cellStyle name="60% - Accent5 2 15" xfId="20735"/>
    <cellStyle name="60% - Accent5 2 16" xfId="20736"/>
    <cellStyle name="60% - Accent5 2 17" xfId="20737"/>
    <cellStyle name="60% - Accent5 2 18" xfId="20738"/>
    <cellStyle name="60% - Accent5 2 19" xfId="20739"/>
    <cellStyle name="60% - Accent5 2 2" xfId="1540"/>
    <cellStyle name="60% - Accent5 2 2 2" xfId="20740"/>
    <cellStyle name="60% - Accent5 2 20" xfId="20741"/>
    <cellStyle name="60% - Accent5 2 21" xfId="20742"/>
    <cellStyle name="60% - Accent5 2 22" xfId="20743"/>
    <cellStyle name="60% - Accent5 2 23" xfId="20744"/>
    <cellStyle name="60% - Accent5 2 24" xfId="20745"/>
    <cellStyle name="60% - Accent5 2 25" xfId="20746"/>
    <cellStyle name="60% - Accent5 2 26" xfId="20747"/>
    <cellStyle name="60% - Accent5 2 27" xfId="20748"/>
    <cellStyle name="60% - Accent5 2 28" xfId="20749"/>
    <cellStyle name="60% - Accent5 2 29" xfId="20750"/>
    <cellStyle name="60% - Accent5 2 3" xfId="20751"/>
    <cellStyle name="60% - Accent5 2 30" xfId="20752"/>
    <cellStyle name="60% - Accent5 2 31" xfId="20753"/>
    <cellStyle name="60% - Accent5 2 32" xfId="20754"/>
    <cellStyle name="60% - Accent5 2 33" xfId="20755"/>
    <cellStyle name="60% - Accent5 2 4" xfId="20756"/>
    <cellStyle name="60% - Accent5 2 5" xfId="20757"/>
    <cellStyle name="60% - Accent5 2 6" xfId="20758"/>
    <cellStyle name="60% - Accent5 2 7" xfId="20759"/>
    <cellStyle name="60% - Accent5 2 8" xfId="20760"/>
    <cellStyle name="60% - Accent5 2 9" xfId="20761"/>
    <cellStyle name="60% - Accent5 20" xfId="20762"/>
    <cellStyle name="60% - Accent5 20 2" xfId="20763"/>
    <cellStyle name="60% - Accent5 20 3" xfId="20764"/>
    <cellStyle name="60% - Accent5 21" xfId="20765"/>
    <cellStyle name="60% - Accent5 21 2" xfId="20766"/>
    <cellStyle name="60% - Accent5 21 3" xfId="20767"/>
    <cellStyle name="60% - Accent5 22" xfId="20768"/>
    <cellStyle name="60% - Accent5 22 2" xfId="20769"/>
    <cellStyle name="60% - Accent5 22 3" xfId="20770"/>
    <cellStyle name="60% - Accent5 23" xfId="20771"/>
    <cellStyle name="60% - Accent5 23 2" xfId="20772"/>
    <cellStyle name="60% - Accent5 23 3" xfId="20773"/>
    <cellStyle name="60% - Accent5 24" xfId="20774"/>
    <cellStyle name="60% - Accent5 24 2" xfId="20775"/>
    <cellStyle name="60% - Accent5 24 3" xfId="20776"/>
    <cellStyle name="60% - Accent5 25" xfId="20777"/>
    <cellStyle name="60% - Accent5 25 2" xfId="20778"/>
    <cellStyle name="60% - Accent5 25 3" xfId="20779"/>
    <cellStyle name="60% - Accent5 26" xfId="20780"/>
    <cellStyle name="60% - Accent5 26 2" xfId="20781"/>
    <cellStyle name="60% - Accent5 26 3" xfId="20782"/>
    <cellStyle name="60% - Accent5 27" xfId="20783"/>
    <cellStyle name="60% - Accent5 27 2" xfId="20784"/>
    <cellStyle name="60% - Accent5 27 3" xfId="20785"/>
    <cellStyle name="60% - Accent5 28" xfId="20786"/>
    <cellStyle name="60% - Accent5 28 2" xfId="20787"/>
    <cellStyle name="60% - Accent5 28 3" xfId="20788"/>
    <cellStyle name="60% - Accent5 29" xfId="20789"/>
    <cellStyle name="60% - Accent5 29 2" xfId="20790"/>
    <cellStyle name="60% - Accent5 29 3" xfId="20791"/>
    <cellStyle name="60% - Accent5 3" xfId="1541"/>
    <cellStyle name="60% - Accent5 3 2" xfId="20792"/>
    <cellStyle name="60% - Accent5 30" xfId="20793"/>
    <cellStyle name="60% - Accent5 30 2" xfId="20794"/>
    <cellStyle name="60% - Accent5 31" xfId="20795"/>
    <cellStyle name="60% - Accent5 32" xfId="20796"/>
    <cellStyle name="60% - Accent5 33" xfId="20797"/>
    <cellStyle name="60% - Accent5 4" xfId="20798"/>
    <cellStyle name="60% - Accent5 4 2" xfId="20799"/>
    <cellStyle name="60% - Accent5 4 3" xfId="20800"/>
    <cellStyle name="60% - Accent5 5" xfId="20801"/>
    <cellStyle name="60% - Accent5 5 2" xfId="20802"/>
    <cellStyle name="60% - Accent5 5 3" xfId="20803"/>
    <cellStyle name="60% - Accent5 6" xfId="20804"/>
    <cellStyle name="60% - Accent5 6 2" xfId="20805"/>
    <cellStyle name="60% - Accent5 6 3" xfId="20806"/>
    <cellStyle name="60% - Accent5 7" xfId="20807"/>
    <cellStyle name="60% - Accent5 7 2" xfId="20808"/>
    <cellStyle name="60% - Accent5 7 3" xfId="20809"/>
    <cellStyle name="60% - Accent5 8" xfId="20810"/>
    <cellStyle name="60% - Accent5 8 2" xfId="20811"/>
    <cellStyle name="60% - Accent5 8 3" xfId="20812"/>
    <cellStyle name="60% - Accent5 9" xfId="20813"/>
    <cellStyle name="60% - Accent5 9 2" xfId="20814"/>
    <cellStyle name="60% - Accent5 9 3" xfId="20815"/>
    <cellStyle name="60% - Accent6" xfId="30" builtinId="52" customBuiltin="1"/>
    <cellStyle name="60% - Accent6 10" xfId="20816"/>
    <cellStyle name="60% - Accent6 10 2" xfId="20817"/>
    <cellStyle name="60% - Accent6 10 3" xfId="20818"/>
    <cellStyle name="60% - Accent6 11" xfId="20819"/>
    <cellStyle name="60% - Accent6 11 2" xfId="20820"/>
    <cellStyle name="60% - Accent6 11 3" xfId="20821"/>
    <cellStyle name="60% - Accent6 12" xfId="20822"/>
    <cellStyle name="60% - Accent6 12 2" xfId="20823"/>
    <cellStyle name="60% - Accent6 12 3" xfId="20824"/>
    <cellStyle name="60% - Accent6 13" xfId="20825"/>
    <cellStyle name="60% - Accent6 13 2" xfId="20826"/>
    <cellStyle name="60% - Accent6 13 3" xfId="20827"/>
    <cellStyle name="60% - Accent6 14" xfId="20828"/>
    <cellStyle name="60% - Accent6 14 2" xfId="20829"/>
    <cellStyle name="60% - Accent6 14 3" xfId="20830"/>
    <cellStyle name="60% - Accent6 15" xfId="20831"/>
    <cellStyle name="60% - Accent6 15 2" xfId="20832"/>
    <cellStyle name="60% - Accent6 15 3" xfId="20833"/>
    <cellStyle name="60% - Accent6 16" xfId="20834"/>
    <cellStyle name="60% - Accent6 16 2" xfId="20835"/>
    <cellStyle name="60% - Accent6 16 3" xfId="20836"/>
    <cellStyle name="60% - Accent6 17" xfId="20837"/>
    <cellStyle name="60% - Accent6 17 2" xfId="20838"/>
    <cellStyle name="60% - Accent6 17 3" xfId="20839"/>
    <cellStyle name="60% - Accent6 18" xfId="20840"/>
    <cellStyle name="60% - Accent6 18 2" xfId="20841"/>
    <cellStyle name="60% - Accent6 18 3" xfId="20842"/>
    <cellStyle name="60% - Accent6 19" xfId="20843"/>
    <cellStyle name="60% - Accent6 19 2" xfId="20844"/>
    <cellStyle name="60% - Accent6 19 3" xfId="20845"/>
    <cellStyle name="60% - Accent6 2" xfId="391"/>
    <cellStyle name="60% - Accent6 2 10" xfId="20846"/>
    <cellStyle name="60% - Accent6 2 11" xfId="20847"/>
    <cellStyle name="60% - Accent6 2 12" xfId="20848"/>
    <cellStyle name="60% - Accent6 2 13" xfId="20849"/>
    <cellStyle name="60% - Accent6 2 14" xfId="20850"/>
    <cellStyle name="60% - Accent6 2 15" xfId="20851"/>
    <cellStyle name="60% - Accent6 2 16" xfId="20852"/>
    <cellStyle name="60% - Accent6 2 17" xfId="20853"/>
    <cellStyle name="60% - Accent6 2 18" xfId="20854"/>
    <cellStyle name="60% - Accent6 2 19" xfId="20855"/>
    <cellStyle name="60% - Accent6 2 2" xfId="1542"/>
    <cellStyle name="60% - Accent6 2 2 2" xfId="20856"/>
    <cellStyle name="60% - Accent6 2 20" xfId="20857"/>
    <cellStyle name="60% - Accent6 2 21" xfId="20858"/>
    <cellStyle name="60% - Accent6 2 22" xfId="20859"/>
    <cellStyle name="60% - Accent6 2 23" xfId="20860"/>
    <cellStyle name="60% - Accent6 2 24" xfId="20861"/>
    <cellStyle name="60% - Accent6 2 25" xfId="20862"/>
    <cellStyle name="60% - Accent6 2 26" xfId="20863"/>
    <cellStyle name="60% - Accent6 2 27" xfId="20864"/>
    <cellStyle name="60% - Accent6 2 28" xfId="20865"/>
    <cellStyle name="60% - Accent6 2 29" xfId="20866"/>
    <cellStyle name="60% - Accent6 2 3" xfId="20867"/>
    <cellStyle name="60% - Accent6 2 30" xfId="20868"/>
    <cellStyle name="60% - Accent6 2 31" xfId="20869"/>
    <cellStyle name="60% - Accent6 2 32" xfId="20870"/>
    <cellStyle name="60% - Accent6 2 33" xfId="20871"/>
    <cellStyle name="60% - Accent6 2 4" xfId="20872"/>
    <cellStyle name="60% - Accent6 2 5" xfId="20873"/>
    <cellStyle name="60% - Accent6 2 6" xfId="20874"/>
    <cellStyle name="60% - Accent6 2 7" xfId="20875"/>
    <cellStyle name="60% - Accent6 2 8" xfId="20876"/>
    <cellStyle name="60% - Accent6 2 9" xfId="20877"/>
    <cellStyle name="60% - Accent6 20" xfId="20878"/>
    <cellStyle name="60% - Accent6 20 2" xfId="20879"/>
    <cellStyle name="60% - Accent6 20 3" xfId="20880"/>
    <cellStyle name="60% - Accent6 21" xfId="20881"/>
    <cellStyle name="60% - Accent6 21 2" xfId="20882"/>
    <cellStyle name="60% - Accent6 21 3" xfId="20883"/>
    <cellStyle name="60% - Accent6 22" xfId="20884"/>
    <cellStyle name="60% - Accent6 22 2" xfId="20885"/>
    <cellStyle name="60% - Accent6 22 3" xfId="20886"/>
    <cellStyle name="60% - Accent6 23" xfId="20887"/>
    <cellStyle name="60% - Accent6 23 2" xfId="20888"/>
    <cellStyle name="60% - Accent6 23 3" xfId="20889"/>
    <cellStyle name="60% - Accent6 24" xfId="20890"/>
    <cellStyle name="60% - Accent6 24 2" xfId="20891"/>
    <cellStyle name="60% - Accent6 24 3" xfId="20892"/>
    <cellStyle name="60% - Accent6 25" xfId="20893"/>
    <cellStyle name="60% - Accent6 25 2" xfId="20894"/>
    <cellStyle name="60% - Accent6 25 3" xfId="20895"/>
    <cellStyle name="60% - Accent6 26" xfId="20896"/>
    <cellStyle name="60% - Accent6 26 2" xfId="20897"/>
    <cellStyle name="60% - Accent6 26 3" xfId="20898"/>
    <cellStyle name="60% - Accent6 27" xfId="20899"/>
    <cellStyle name="60% - Accent6 27 2" xfId="20900"/>
    <cellStyle name="60% - Accent6 27 3" xfId="20901"/>
    <cellStyle name="60% - Accent6 28" xfId="20902"/>
    <cellStyle name="60% - Accent6 28 2" xfId="20903"/>
    <cellStyle name="60% - Accent6 28 3" xfId="20904"/>
    <cellStyle name="60% - Accent6 29" xfId="20905"/>
    <cellStyle name="60% - Accent6 29 2" xfId="20906"/>
    <cellStyle name="60% - Accent6 29 3" xfId="20907"/>
    <cellStyle name="60% - Accent6 3" xfId="1543"/>
    <cellStyle name="60% - Accent6 3 2" xfId="20908"/>
    <cellStyle name="60% - Accent6 30" xfId="20909"/>
    <cellStyle name="60% - Accent6 30 2" xfId="20910"/>
    <cellStyle name="60% - Accent6 31" xfId="20911"/>
    <cellStyle name="60% - Accent6 32" xfId="20912"/>
    <cellStyle name="60% - Accent6 33" xfId="20913"/>
    <cellStyle name="60% - Accent6 4" xfId="20914"/>
    <cellStyle name="60% - Accent6 4 2" xfId="20915"/>
    <cellStyle name="60% - Accent6 4 3" xfId="20916"/>
    <cellStyle name="60% - Accent6 5" xfId="20917"/>
    <cellStyle name="60% - Accent6 5 2" xfId="20918"/>
    <cellStyle name="60% - Accent6 5 3" xfId="20919"/>
    <cellStyle name="60% - Accent6 6" xfId="20920"/>
    <cellStyle name="60% - Accent6 6 2" xfId="20921"/>
    <cellStyle name="60% - Accent6 6 3" xfId="20922"/>
    <cellStyle name="60% - Accent6 7" xfId="20923"/>
    <cellStyle name="60% - Accent6 7 2" xfId="20924"/>
    <cellStyle name="60% - Accent6 7 3" xfId="20925"/>
    <cellStyle name="60% - Accent6 8" xfId="20926"/>
    <cellStyle name="60% - Accent6 8 2" xfId="20927"/>
    <cellStyle name="60% - Accent6 8 3" xfId="20928"/>
    <cellStyle name="60% - Accent6 9" xfId="20929"/>
    <cellStyle name="60% - Accent6 9 2" xfId="20930"/>
    <cellStyle name="60% - Accent6 9 3" xfId="2093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32"/>
    <cellStyle name="Accent1 10 2" xfId="20933"/>
    <cellStyle name="Accent1 10 3" xfId="20934"/>
    <cellStyle name="Accent1 11" xfId="20935"/>
    <cellStyle name="Accent1 11 2" xfId="20936"/>
    <cellStyle name="Accent1 11 3" xfId="20937"/>
    <cellStyle name="Accent1 12" xfId="20938"/>
    <cellStyle name="Accent1 12 2" xfId="20939"/>
    <cellStyle name="Accent1 12 3" xfId="20940"/>
    <cellStyle name="Accent1 13" xfId="20941"/>
    <cellStyle name="Accent1 13 2" xfId="20942"/>
    <cellStyle name="Accent1 13 3" xfId="20943"/>
    <cellStyle name="Accent1 14" xfId="20944"/>
    <cellStyle name="Accent1 14 2" xfId="20945"/>
    <cellStyle name="Accent1 14 3" xfId="20946"/>
    <cellStyle name="Accent1 15" xfId="20947"/>
    <cellStyle name="Accent1 15 2" xfId="20948"/>
    <cellStyle name="Accent1 15 3" xfId="20949"/>
    <cellStyle name="Accent1 16" xfId="20950"/>
    <cellStyle name="Accent1 16 2" xfId="20951"/>
    <cellStyle name="Accent1 16 3" xfId="20952"/>
    <cellStyle name="Accent1 17" xfId="20953"/>
    <cellStyle name="Accent1 17 2" xfId="20954"/>
    <cellStyle name="Accent1 17 3" xfId="20955"/>
    <cellStyle name="Accent1 18" xfId="20956"/>
    <cellStyle name="Accent1 18 2" xfId="20957"/>
    <cellStyle name="Accent1 18 3" xfId="20958"/>
    <cellStyle name="Accent1 19" xfId="20959"/>
    <cellStyle name="Accent1 19 2" xfId="20960"/>
    <cellStyle name="Accent1 19 3" xfId="20961"/>
    <cellStyle name="Accent1 2" xfId="392"/>
    <cellStyle name="Accent1 2 10" xfId="20962"/>
    <cellStyle name="Accent1 2 11" xfId="20963"/>
    <cellStyle name="Accent1 2 12" xfId="20964"/>
    <cellStyle name="Accent1 2 13" xfId="20965"/>
    <cellStyle name="Accent1 2 14" xfId="20966"/>
    <cellStyle name="Accent1 2 15" xfId="20967"/>
    <cellStyle name="Accent1 2 16" xfId="20968"/>
    <cellStyle name="Accent1 2 17" xfId="20969"/>
    <cellStyle name="Accent1 2 18" xfId="20970"/>
    <cellStyle name="Accent1 2 19" xfId="20971"/>
    <cellStyle name="Accent1 2 2" xfId="1544"/>
    <cellStyle name="Accent1 2 2 2" xfId="20972"/>
    <cellStyle name="Accent1 2 20" xfId="20973"/>
    <cellStyle name="Accent1 2 21" xfId="20974"/>
    <cellStyle name="Accent1 2 22" xfId="20975"/>
    <cellStyle name="Accent1 2 23" xfId="20976"/>
    <cellStyle name="Accent1 2 24" xfId="20977"/>
    <cellStyle name="Accent1 2 25" xfId="20978"/>
    <cellStyle name="Accent1 2 26" xfId="20979"/>
    <cellStyle name="Accent1 2 27" xfId="20980"/>
    <cellStyle name="Accent1 2 28" xfId="20981"/>
    <cellStyle name="Accent1 2 29" xfId="20982"/>
    <cellStyle name="Accent1 2 3" xfId="20983"/>
    <cellStyle name="Accent1 2 30" xfId="20984"/>
    <cellStyle name="Accent1 2 31" xfId="20985"/>
    <cellStyle name="Accent1 2 32" xfId="20986"/>
    <cellStyle name="Accent1 2 33" xfId="20987"/>
    <cellStyle name="Accent1 2 4" xfId="20988"/>
    <cellStyle name="Accent1 2 5" xfId="20989"/>
    <cellStyle name="Accent1 2 6" xfId="20990"/>
    <cellStyle name="Accent1 2 7" xfId="20991"/>
    <cellStyle name="Accent1 2 8" xfId="20992"/>
    <cellStyle name="Accent1 2 9" xfId="20993"/>
    <cellStyle name="Accent1 20" xfId="20994"/>
    <cellStyle name="Accent1 20 2" xfId="20995"/>
    <cellStyle name="Accent1 20 3" xfId="20996"/>
    <cellStyle name="Accent1 21" xfId="20997"/>
    <cellStyle name="Accent1 21 2" xfId="20998"/>
    <cellStyle name="Accent1 21 3" xfId="20999"/>
    <cellStyle name="Accent1 22" xfId="21000"/>
    <cellStyle name="Accent1 22 2" xfId="21001"/>
    <cellStyle name="Accent1 22 3" xfId="21002"/>
    <cellStyle name="Accent1 23" xfId="21003"/>
    <cellStyle name="Accent1 23 2" xfId="21004"/>
    <cellStyle name="Accent1 23 3" xfId="21005"/>
    <cellStyle name="Accent1 24" xfId="21006"/>
    <cellStyle name="Accent1 24 2" xfId="21007"/>
    <cellStyle name="Accent1 24 3" xfId="21008"/>
    <cellStyle name="Accent1 25" xfId="21009"/>
    <cellStyle name="Accent1 25 2" xfId="21010"/>
    <cellStyle name="Accent1 25 3" xfId="21011"/>
    <cellStyle name="Accent1 26" xfId="21012"/>
    <cellStyle name="Accent1 26 2" xfId="21013"/>
    <cellStyle name="Accent1 26 3" xfId="21014"/>
    <cellStyle name="Accent1 27" xfId="21015"/>
    <cellStyle name="Accent1 27 2" xfId="21016"/>
    <cellStyle name="Accent1 27 3" xfId="21017"/>
    <cellStyle name="Accent1 28" xfId="21018"/>
    <cellStyle name="Accent1 28 2" xfId="21019"/>
    <cellStyle name="Accent1 28 3" xfId="21020"/>
    <cellStyle name="Accent1 29" xfId="21021"/>
    <cellStyle name="Accent1 29 2" xfId="21022"/>
    <cellStyle name="Accent1 29 3" xfId="21023"/>
    <cellStyle name="Accent1 3" xfId="1545"/>
    <cellStyle name="Accent1 3 2" xfId="21024"/>
    <cellStyle name="Accent1 30" xfId="21025"/>
    <cellStyle name="Accent1 30 2" xfId="21026"/>
    <cellStyle name="Accent1 31" xfId="21027"/>
    <cellStyle name="Accent1 32" xfId="21028"/>
    <cellStyle name="Accent1 33" xfId="21029"/>
    <cellStyle name="Accent1 4" xfId="21030"/>
    <cellStyle name="Accent1 4 2" xfId="21031"/>
    <cellStyle name="Accent1 4 3" xfId="21032"/>
    <cellStyle name="Accent1 5" xfId="21033"/>
    <cellStyle name="Accent1 5 2" xfId="21034"/>
    <cellStyle name="Accent1 5 3" xfId="21035"/>
    <cellStyle name="Accent1 6" xfId="21036"/>
    <cellStyle name="Accent1 6 2" xfId="21037"/>
    <cellStyle name="Accent1 6 3" xfId="21038"/>
    <cellStyle name="Accent1 7" xfId="21039"/>
    <cellStyle name="Accent1 7 2" xfId="21040"/>
    <cellStyle name="Accent1 7 3" xfId="21041"/>
    <cellStyle name="Accent1 8" xfId="21042"/>
    <cellStyle name="Accent1 8 2" xfId="21043"/>
    <cellStyle name="Accent1 8 3" xfId="21044"/>
    <cellStyle name="Accent1 9" xfId="21045"/>
    <cellStyle name="Accent1 9 2" xfId="21046"/>
    <cellStyle name="Accent1 9 3" xfId="21047"/>
    <cellStyle name="Accent2" xfId="38" builtinId="33" customBuiltin="1"/>
    <cellStyle name="Accent2 10" xfId="21048"/>
    <cellStyle name="Accent2 10 2" xfId="21049"/>
    <cellStyle name="Accent2 10 3" xfId="21050"/>
    <cellStyle name="Accent2 11" xfId="21051"/>
    <cellStyle name="Accent2 11 2" xfId="21052"/>
    <cellStyle name="Accent2 11 3" xfId="21053"/>
    <cellStyle name="Accent2 12" xfId="21054"/>
    <cellStyle name="Accent2 12 2" xfId="21055"/>
    <cellStyle name="Accent2 12 3" xfId="21056"/>
    <cellStyle name="Accent2 13" xfId="21057"/>
    <cellStyle name="Accent2 13 2" xfId="21058"/>
    <cellStyle name="Accent2 13 3" xfId="21059"/>
    <cellStyle name="Accent2 14" xfId="21060"/>
    <cellStyle name="Accent2 14 2" xfId="21061"/>
    <cellStyle name="Accent2 14 3" xfId="21062"/>
    <cellStyle name="Accent2 15" xfId="21063"/>
    <cellStyle name="Accent2 15 2" xfId="21064"/>
    <cellStyle name="Accent2 15 3" xfId="21065"/>
    <cellStyle name="Accent2 16" xfId="21066"/>
    <cellStyle name="Accent2 16 2" xfId="21067"/>
    <cellStyle name="Accent2 16 3" xfId="21068"/>
    <cellStyle name="Accent2 17" xfId="21069"/>
    <cellStyle name="Accent2 17 2" xfId="21070"/>
    <cellStyle name="Accent2 17 3" xfId="21071"/>
    <cellStyle name="Accent2 18" xfId="21072"/>
    <cellStyle name="Accent2 18 2" xfId="21073"/>
    <cellStyle name="Accent2 18 3" xfId="21074"/>
    <cellStyle name="Accent2 19" xfId="21075"/>
    <cellStyle name="Accent2 19 2" xfId="21076"/>
    <cellStyle name="Accent2 19 3" xfId="21077"/>
    <cellStyle name="Accent2 2" xfId="393"/>
    <cellStyle name="Accent2 2 10" xfId="21078"/>
    <cellStyle name="Accent2 2 11" xfId="21079"/>
    <cellStyle name="Accent2 2 12" xfId="21080"/>
    <cellStyle name="Accent2 2 13" xfId="21081"/>
    <cellStyle name="Accent2 2 14" xfId="21082"/>
    <cellStyle name="Accent2 2 15" xfId="21083"/>
    <cellStyle name="Accent2 2 16" xfId="21084"/>
    <cellStyle name="Accent2 2 17" xfId="21085"/>
    <cellStyle name="Accent2 2 18" xfId="21086"/>
    <cellStyle name="Accent2 2 19" xfId="21087"/>
    <cellStyle name="Accent2 2 2" xfId="1546"/>
    <cellStyle name="Accent2 2 2 2" xfId="21088"/>
    <cellStyle name="Accent2 2 20" xfId="21089"/>
    <cellStyle name="Accent2 2 21" xfId="21090"/>
    <cellStyle name="Accent2 2 22" xfId="21091"/>
    <cellStyle name="Accent2 2 23" xfId="21092"/>
    <cellStyle name="Accent2 2 24" xfId="21093"/>
    <cellStyle name="Accent2 2 25" xfId="21094"/>
    <cellStyle name="Accent2 2 26" xfId="21095"/>
    <cellStyle name="Accent2 2 27" xfId="21096"/>
    <cellStyle name="Accent2 2 28" xfId="21097"/>
    <cellStyle name="Accent2 2 29" xfId="21098"/>
    <cellStyle name="Accent2 2 3" xfId="21099"/>
    <cellStyle name="Accent2 2 30" xfId="21100"/>
    <cellStyle name="Accent2 2 31" xfId="21101"/>
    <cellStyle name="Accent2 2 32" xfId="21102"/>
    <cellStyle name="Accent2 2 33" xfId="21103"/>
    <cellStyle name="Accent2 2 4" xfId="21104"/>
    <cellStyle name="Accent2 2 5" xfId="21105"/>
    <cellStyle name="Accent2 2 6" xfId="21106"/>
    <cellStyle name="Accent2 2 7" xfId="21107"/>
    <cellStyle name="Accent2 2 8" xfId="21108"/>
    <cellStyle name="Accent2 2 9" xfId="21109"/>
    <cellStyle name="Accent2 20" xfId="21110"/>
    <cellStyle name="Accent2 20 2" xfId="21111"/>
    <cellStyle name="Accent2 20 3" xfId="21112"/>
    <cellStyle name="Accent2 21" xfId="21113"/>
    <cellStyle name="Accent2 21 2" xfId="21114"/>
    <cellStyle name="Accent2 21 3" xfId="21115"/>
    <cellStyle name="Accent2 22" xfId="21116"/>
    <cellStyle name="Accent2 22 2" xfId="21117"/>
    <cellStyle name="Accent2 22 3" xfId="21118"/>
    <cellStyle name="Accent2 23" xfId="21119"/>
    <cellStyle name="Accent2 23 2" xfId="21120"/>
    <cellStyle name="Accent2 23 3" xfId="21121"/>
    <cellStyle name="Accent2 24" xfId="21122"/>
    <cellStyle name="Accent2 24 2" xfId="21123"/>
    <cellStyle name="Accent2 24 3" xfId="21124"/>
    <cellStyle name="Accent2 25" xfId="21125"/>
    <cellStyle name="Accent2 25 2" xfId="21126"/>
    <cellStyle name="Accent2 25 3" xfId="21127"/>
    <cellStyle name="Accent2 26" xfId="21128"/>
    <cellStyle name="Accent2 26 2" xfId="21129"/>
    <cellStyle name="Accent2 26 3" xfId="21130"/>
    <cellStyle name="Accent2 27" xfId="21131"/>
    <cellStyle name="Accent2 27 2" xfId="21132"/>
    <cellStyle name="Accent2 27 3" xfId="21133"/>
    <cellStyle name="Accent2 28" xfId="21134"/>
    <cellStyle name="Accent2 28 2" xfId="21135"/>
    <cellStyle name="Accent2 28 3" xfId="21136"/>
    <cellStyle name="Accent2 29" xfId="21137"/>
    <cellStyle name="Accent2 29 2" xfId="21138"/>
    <cellStyle name="Accent2 29 3" xfId="21139"/>
    <cellStyle name="Accent2 3" xfId="1547"/>
    <cellStyle name="Accent2 3 2" xfId="21140"/>
    <cellStyle name="Accent2 30" xfId="21141"/>
    <cellStyle name="Accent2 30 2" xfId="21142"/>
    <cellStyle name="Accent2 31" xfId="21143"/>
    <cellStyle name="Accent2 32" xfId="21144"/>
    <cellStyle name="Accent2 4" xfId="21145"/>
    <cellStyle name="Accent2 4 2" xfId="21146"/>
    <cellStyle name="Accent2 4 3" xfId="21147"/>
    <cellStyle name="Accent2 5" xfId="21148"/>
    <cellStyle name="Accent2 5 2" xfId="21149"/>
    <cellStyle name="Accent2 5 3" xfId="21150"/>
    <cellStyle name="Accent2 6" xfId="21151"/>
    <cellStyle name="Accent2 6 2" xfId="21152"/>
    <cellStyle name="Accent2 6 3" xfId="21153"/>
    <cellStyle name="Accent2 7" xfId="21154"/>
    <cellStyle name="Accent2 7 2" xfId="21155"/>
    <cellStyle name="Accent2 7 3" xfId="21156"/>
    <cellStyle name="Accent2 8" xfId="21157"/>
    <cellStyle name="Accent2 8 2" xfId="21158"/>
    <cellStyle name="Accent2 8 3" xfId="21159"/>
    <cellStyle name="Accent2 9" xfId="21160"/>
    <cellStyle name="Accent2 9 2" xfId="21161"/>
    <cellStyle name="Accent2 9 3" xfId="21162"/>
    <cellStyle name="Accent3" xfId="39" builtinId="37" customBuiltin="1"/>
    <cellStyle name="Accent3 10" xfId="21163"/>
    <cellStyle name="Accent3 10 2" xfId="21164"/>
    <cellStyle name="Accent3 10 3" xfId="21165"/>
    <cellStyle name="Accent3 11" xfId="21166"/>
    <cellStyle name="Accent3 11 2" xfId="21167"/>
    <cellStyle name="Accent3 11 3" xfId="21168"/>
    <cellStyle name="Accent3 12" xfId="21169"/>
    <cellStyle name="Accent3 12 2" xfId="21170"/>
    <cellStyle name="Accent3 12 3" xfId="21171"/>
    <cellStyle name="Accent3 13" xfId="21172"/>
    <cellStyle name="Accent3 13 2" xfId="21173"/>
    <cellStyle name="Accent3 13 3" xfId="21174"/>
    <cellStyle name="Accent3 14" xfId="21175"/>
    <cellStyle name="Accent3 14 2" xfId="21176"/>
    <cellStyle name="Accent3 14 3" xfId="21177"/>
    <cellStyle name="Accent3 15" xfId="21178"/>
    <cellStyle name="Accent3 15 2" xfId="21179"/>
    <cellStyle name="Accent3 15 3" xfId="21180"/>
    <cellStyle name="Accent3 16" xfId="21181"/>
    <cellStyle name="Accent3 16 2" xfId="21182"/>
    <cellStyle name="Accent3 16 3" xfId="21183"/>
    <cellStyle name="Accent3 17" xfId="21184"/>
    <cellStyle name="Accent3 17 2" xfId="21185"/>
    <cellStyle name="Accent3 17 3" xfId="21186"/>
    <cellStyle name="Accent3 18" xfId="21187"/>
    <cellStyle name="Accent3 18 2" xfId="21188"/>
    <cellStyle name="Accent3 18 3" xfId="21189"/>
    <cellStyle name="Accent3 19" xfId="21190"/>
    <cellStyle name="Accent3 19 2" xfId="21191"/>
    <cellStyle name="Accent3 19 3" xfId="21192"/>
    <cellStyle name="Accent3 2" xfId="394"/>
    <cellStyle name="Accent3 2 10" xfId="21193"/>
    <cellStyle name="Accent3 2 11" xfId="21194"/>
    <cellStyle name="Accent3 2 12" xfId="21195"/>
    <cellStyle name="Accent3 2 13" xfId="21196"/>
    <cellStyle name="Accent3 2 14" xfId="21197"/>
    <cellStyle name="Accent3 2 15" xfId="21198"/>
    <cellStyle name="Accent3 2 16" xfId="21199"/>
    <cellStyle name="Accent3 2 17" xfId="21200"/>
    <cellStyle name="Accent3 2 18" xfId="21201"/>
    <cellStyle name="Accent3 2 19" xfId="21202"/>
    <cellStyle name="Accent3 2 2" xfId="1548"/>
    <cellStyle name="Accent3 2 2 2" xfId="21203"/>
    <cellStyle name="Accent3 2 20" xfId="21204"/>
    <cellStyle name="Accent3 2 21" xfId="21205"/>
    <cellStyle name="Accent3 2 22" xfId="21206"/>
    <cellStyle name="Accent3 2 23" xfId="21207"/>
    <cellStyle name="Accent3 2 24" xfId="21208"/>
    <cellStyle name="Accent3 2 25" xfId="21209"/>
    <cellStyle name="Accent3 2 26" xfId="21210"/>
    <cellStyle name="Accent3 2 27" xfId="21211"/>
    <cellStyle name="Accent3 2 28" xfId="21212"/>
    <cellStyle name="Accent3 2 29" xfId="21213"/>
    <cellStyle name="Accent3 2 3" xfId="21214"/>
    <cellStyle name="Accent3 2 30" xfId="21215"/>
    <cellStyle name="Accent3 2 31" xfId="21216"/>
    <cellStyle name="Accent3 2 32" xfId="21217"/>
    <cellStyle name="Accent3 2 33" xfId="21218"/>
    <cellStyle name="Accent3 2 4" xfId="21219"/>
    <cellStyle name="Accent3 2 5" xfId="21220"/>
    <cellStyle name="Accent3 2 6" xfId="21221"/>
    <cellStyle name="Accent3 2 7" xfId="21222"/>
    <cellStyle name="Accent3 2 8" xfId="21223"/>
    <cellStyle name="Accent3 2 9" xfId="21224"/>
    <cellStyle name="Accent3 20" xfId="21225"/>
    <cellStyle name="Accent3 20 2" xfId="21226"/>
    <cellStyle name="Accent3 20 3" xfId="21227"/>
    <cellStyle name="Accent3 21" xfId="21228"/>
    <cellStyle name="Accent3 21 2" xfId="21229"/>
    <cellStyle name="Accent3 21 3" xfId="21230"/>
    <cellStyle name="Accent3 22" xfId="21231"/>
    <cellStyle name="Accent3 22 2" xfId="21232"/>
    <cellStyle name="Accent3 22 3" xfId="21233"/>
    <cellStyle name="Accent3 23" xfId="21234"/>
    <cellStyle name="Accent3 23 2" xfId="21235"/>
    <cellStyle name="Accent3 23 3" xfId="21236"/>
    <cellStyle name="Accent3 24" xfId="21237"/>
    <cellStyle name="Accent3 24 2" xfId="21238"/>
    <cellStyle name="Accent3 24 3" xfId="21239"/>
    <cellStyle name="Accent3 25" xfId="21240"/>
    <cellStyle name="Accent3 25 2" xfId="21241"/>
    <cellStyle name="Accent3 25 3" xfId="21242"/>
    <cellStyle name="Accent3 26" xfId="21243"/>
    <cellStyle name="Accent3 26 2" xfId="21244"/>
    <cellStyle name="Accent3 26 3" xfId="21245"/>
    <cellStyle name="Accent3 27" xfId="21246"/>
    <cellStyle name="Accent3 27 2" xfId="21247"/>
    <cellStyle name="Accent3 27 3" xfId="21248"/>
    <cellStyle name="Accent3 28" xfId="21249"/>
    <cellStyle name="Accent3 28 2" xfId="21250"/>
    <cellStyle name="Accent3 28 3" xfId="21251"/>
    <cellStyle name="Accent3 29" xfId="21252"/>
    <cellStyle name="Accent3 29 2" xfId="21253"/>
    <cellStyle name="Accent3 29 3" xfId="21254"/>
    <cellStyle name="Accent3 3" xfId="1549"/>
    <cellStyle name="Accent3 3 2" xfId="21255"/>
    <cellStyle name="Accent3 30" xfId="21256"/>
    <cellStyle name="Accent3 30 2" xfId="21257"/>
    <cellStyle name="Accent3 31" xfId="21258"/>
    <cellStyle name="Accent3 32" xfId="21259"/>
    <cellStyle name="Accent3 4" xfId="21260"/>
    <cellStyle name="Accent3 4 2" xfId="21261"/>
    <cellStyle name="Accent3 4 3" xfId="21262"/>
    <cellStyle name="Accent3 5" xfId="21263"/>
    <cellStyle name="Accent3 5 2" xfId="21264"/>
    <cellStyle name="Accent3 5 3" xfId="21265"/>
    <cellStyle name="Accent3 6" xfId="21266"/>
    <cellStyle name="Accent3 6 2" xfId="21267"/>
    <cellStyle name="Accent3 6 3" xfId="21268"/>
    <cellStyle name="Accent3 7" xfId="21269"/>
    <cellStyle name="Accent3 7 2" xfId="21270"/>
    <cellStyle name="Accent3 7 3" xfId="21271"/>
    <cellStyle name="Accent3 8" xfId="21272"/>
    <cellStyle name="Accent3 8 2" xfId="21273"/>
    <cellStyle name="Accent3 8 3" xfId="21274"/>
    <cellStyle name="Accent3 9" xfId="21275"/>
    <cellStyle name="Accent3 9 2" xfId="21276"/>
    <cellStyle name="Accent3 9 3" xfId="21277"/>
    <cellStyle name="Accent4" xfId="40" builtinId="41" customBuiltin="1"/>
    <cellStyle name="Accent4 10" xfId="21278"/>
    <cellStyle name="Accent4 10 2" xfId="21279"/>
    <cellStyle name="Accent4 10 3" xfId="21280"/>
    <cellStyle name="Accent4 11" xfId="21281"/>
    <cellStyle name="Accent4 11 2" xfId="21282"/>
    <cellStyle name="Accent4 11 3" xfId="21283"/>
    <cellStyle name="Accent4 12" xfId="21284"/>
    <cellStyle name="Accent4 12 2" xfId="21285"/>
    <cellStyle name="Accent4 12 3" xfId="21286"/>
    <cellStyle name="Accent4 13" xfId="21287"/>
    <cellStyle name="Accent4 13 2" xfId="21288"/>
    <cellStyle name="Accent4 13 3" xfId="21289"/>
    <cellStyle name="Accent4 14" xfId="21290"/>
    <cellStyle name="Accent4 14 2" xfId="21291"/>
    <cellStyle name="Accent4 14 3" xfId="21292"/>
    <cellStyle name="Accent4 15" xfId="21293"/>
    <cellStyle name="Accent4 15 2" xfId="21294"/>
    <cellStyle name="Accent4 15 3" xfId="21295"/>
    <cellStyle name="Accent4 16" xfId="21296"/>
    <cellStyle name="Accent4 16 2" xfId="21297"/>
    <cellStyle name="Accent4 16 3" xfId="21298"/>
    <cellStyle name="Accent4 17" xfId="21299"/>
    <cellStyle name="Accent4 17 2" xfId="21300"/>
    <cellStyle name="Accent4 17 3" xfId="21301"/>
    <cellStyle name="Accent4 18" xfId="21302"/>
    <cellStyle name="Accent4 18 2" xfId="21303"/>
    <cellStyle name="Accent4 18 3" xfId="21304"/>
    <cellStyle name="Accent4 19" xfId="21305"/>
    <cellStyle name="Accent4 19 2" xfId="21306"/>
    <cellStyle name="Accent4 19 3" xfId="21307"/>
    <cellStyle name="Accent4 2" xfId="395"/>
    <cellStyle name="Accent4 2 10" xfId="21308"/>
    <cellStyle name="Accent4 2 11" xfId="21309"/>
    <cellStyle name="Accent4 2 12" xfId="21310"/>
    <cellStyle name="Accent4 2 13" xfId="21311"/>
    <cellStyle name="Accent4 2 14" xfId="21312"/>
    <cellStyle name="Accent4 2 15" xfId="21313"/>
    <cellStyle name="Accent4 2 16" xfId="21314"/>
    <cellStyle name="Accent4 2 17" xfId="21315"/>
    <cellStyle name="Accent4 2 18" xfId="21316"/>
    <cellStyle name="Accent4 2 19" xfId="21317"/>
    <cellStyle name="Accent4 2 2" xfId="1550"/>
    <cellStyle name="Accent4 2 2 2" xfId="21318"/>
    <cellStyle name="Accent4 2 20" xfId="21319"/>
    <cellStyle name="Accent4 2 21" xfId="21320"/>
    <cellStyle name="Accent4 2 22" xfId="21321"/>
    <cellStyle name="Accent4 2 23" xfId="21322"/>
    <cellStyle name="Accent4 2 24" xfId="21323"/>
    <cellStyle name="Accent4 2 25" xfId="21324"/>
    <cellStyle name="Accent4 2 26" xfId="21325"/>
    <cellStyle name="Accent4 2 27" xfId="21326"/>
    <cellStyle name="Accent4 2 28" xfId="21327"/>
    <cellStyle name="Accent4 2 29" xfId="21328"/>
    <cellStyle name="Accent4 2 3" xfId="21329"/>
    <cellStyle name="Accent4 2 30" xfId="21330"/>
    <cellStyle name="Accent4 2 31" xfId="21331"/>
    <cellStyle name="Accent4 2 32" xfId="21332"/>
    <cellStyle name="Accent4 2 33" xfId="21333"/>
    <cellStyle name="Accent4 2 4" xfId="21334"/>
    <cellStyle name="Accent4 2 5" xfId="21335"/>
    <cellStyle name="Accent4 2 6" xfId="21336"/>
    <cellStyle name="Accent4 2 7" xfId="21337"/>
    <cellStyle name="Accent4 2 8" xfId="21338"/>
    <cellStyle name="Accent4 2 9" xfId="21339"/>
    <cellStyle name="Accent4 20" xfId="21340"/>
    <cellStyle name="Accent4 20 2" xfId="21341"/>
    <cellStyle name="Accent4 20 3" xfId="21342"/>
    <cellStyle name="Accent4 21" xfId="21343"/>
    <cellStyle name="Accent4 21 2" xfId="21344"/>
    <cellStyle name="Accent4 21 3" xfId="21345"/>
    <cellStyle name="Accent4 22" xfId="21346"/>
    <cellStyle name="Accent4 22 2" xfId="21347"/>
    <cellStyle name="Accent4 22 3" xfId="21348"/>
    <cellStyle name="Accent4 23" xfId="21349"/>
    <cellStyle name="Accent4 23 2" xfId="21350"/>
    <cellStyle name="Accent4 23 3" xfId="21351"/>
    <cellStyle name="Accent4 24" xfId="21352"/>
    <cellStyle name="Accent4 24 2" xfId="21353"/>
    <cellStyle name="Accent4 24 3" xfId="21354"/>
    <cellStyle name="Accent4 25" xfId="21355"/>
    <cellStyle name="Accent4 25 2" xfId="21356"/>
    <cellStyle name="Accent4 25 3" xfId="21357"/>
    <cellStyle name="Accent4 26" xfId="21358"/>
    <cellStyle name="Accent4 26 2" xfId="21359"/>
    <cellStyle name="Accent4 26 3" xfId="21360"/>
    <cellStyle name="Accent4 27" xfId="21361"/>
    <cellStyle name="Accent4 27 2" xfId="21362"/>
    <cellStyle name="Accent4 27 3" xfId="21363"/>
    <cellStyle name="Accent4 28" xfId="21364"/>
    <cellStyle name="Accent4 28 2" xfId="21365"/>
    <cellStyle name="Accent4 28 3" xfId="21366"/>
    <cellStyle name="Accent4 29" xfId="21367"/>
    <cellStyle name="Accent4 29 2" xfId="21368"/>
    <cellStyle name="Accent4 29 3" xfId="21369"/>
    <cellStyle name="Accent4 3" xfId="1551"/>
    <cellStyle name="Accent4 3 2" xfId="21370"/>
    <cellStyle name="Accent4 30" xfId="21371"/>
    <cellStyle name="Accent4 30 2" xfId="21372"/>
    <cellStyle name="Accent4 31" xfId="21373"/>
    <cellStyle name="Accent4 32" xfId="21374"/>
    <cellStyle name="Accent4 33" xfId="21375"/>
    <cellStyle name="Accent4 4" xfId="21376"/>
    <cellStyle name="Accent4 4 2" xfId="21377"/>
    <cellStyle name="Accent4 4 3" xfId="21378"/>
    <cellStyle name="Accent4 5" xfId="21379"/>
    <cellStyle name="Accent4 5 2" xfId="21380"/>
    <cellStyle name="Accent4 5 3" xfId="21381"/>
    <cellStyle name="Accent4 6" xfId="21382"/>
    <cellStyle name="Accent4 6 2" xfId="21383"/>
    <cellStyle name="Accent4 6 3" xfId="21384"/>
    <cellStyle name="Accent4 7" xfId="21385"/>
    <cellStyle name="Accent4 7 2" xfId="21386"/>
    <cellStyle name="Accent4 7 3" xfId="21387"/>
    <cellStyle name="Accent4 8" xfId="21388"/>
    <cellStyle name="Accent4 8 2" xfId="21389"/>
    <cellStyle name="Accent4 8 3" xfId="21390"/>
    <cellStyle name="Accent4 9" xfId="21391"/>
    <cellStyle name="Accent4 9 2" xfId="21392"/>
    <cellStyle name="Accent4 9 3" xfId="21393"/>
    <cellStyle name="Accent5" xfId="41" builtinId="45" customBuiltin="1"/>
    <cellStyle name="Accent5 10" xfId="21394"/>
    <cellStyle name="Accent5 10 2" xfId="21395"/>
    <cellStyle name="Accent5 10 3" xfId="21396"/>
    <cellStyle name="Accent5 11" xfId="21397"/>
    <cellStyle name="Accent5 11 2" xfId="21398"/>
    <cellStyle name="Accent5 11 3" xfId="21399"/>
    <cellStyle name="Accent5 12" xfId="21400"/>
    <cellStyle name="Accent5 12 2" xfId="21401"/>
    <cellStyle name="Accent5 12 3" xfId="21402"/>
    <cellStyle name="Accent5 13" xfId="21403"/>
    <cellStyle name="Accent5 13 2" xfId="21404"/>
    <cellStyle name="Accent5 13 3" xfId="21405"/>
    <cellStyle name="Accent5 14" xfId="21406"/>
    <cellStyle name="Accent5 14 2" xfId="21407"/>
    <cellStyle name="Accent5 14 3" xfId="21408"/>
    <cellStyle name="Accent5 15" xfId="21409"/>
    <cellStyle name="Accent5 15 2" xfId="21410"/>
    <cellStyle name="Accent5 15 3" xfId="21411"/>
    <cellStyle name="Accent5 16" xfId="21412"/>
    <cellStyle name="Accent5 16 2" xfId="21413"/>
    <cellStyle name="Accent5 16 3" xfId="21414"/>
    <cellStyle name="Accent5 17" xfId="21415"/>
    <cellStyle name="Accent5 17 2" xfId="21416"/>
    <cellStyle name="Accent5 17 3" xfId="21417"/>
    <cellStyle name="Accent5 18" xfId="21418"/>
    <cellStyle name="Accent5 18 2" xfId="21419"/>
    <cellStyle name="Accent5 18 3" xfId="21420"/>
    <cellStyle name="Accent5 19" xfId="21421"/>
    <cellStyle name="Accent5 19 2" xfId="21422"/>
    <cellStyle name="Accent5 19 3" xfId="21423"/>
    <cellStyle name="Accent5 2" xfId="396"/>
    <cellStyle name="Accent5 2 10" xfId="21424"/>
    <cellStyle name="Accent5 2 11" xfId="21425"/>
    <cellStyle name="Accent5 2 12" xfId="21426"/>
    <cellStyle name="Accent5 2 13" xfId="21427"/>
    <cellStyle name="Accent5 2 14" xfId="21428"/>
    <cellStyle name="Accent5 2 15" xfId="21429"/>
    <cellStyle name="Accent5 2 16" xfId="21430"/>
    <cellStyle name="Accent5 2 17" xfId="21431"/>
    <cellStyle name="Accent5 2 18" xfId="21432"/>
    <cellStyle name="Accent5 2 19" xfId="21433"/>
    <cellStyle name="Accent5 2 2" xfId="1552"/>
    <cellStyle name="Accent5 2 2 2" xfId="21434"/>
    <cellStyle name="Accent5 2 20" xfId="21435"/>
    <cellStyle name="Accent5 2 21" xfId="21436"/>
    <cellStyle name="Accent5 2 22" xfId="21437"/>
    <cellStyle name="Accent5 2 23" xfId="21438"/>
    <cellStyle name="Accent5 2 24" xfId="21439"/>
    <cellStyle name="Accent5 2 25" xfId="21440"/>
    <cellStyle name="Accent5 2 26" xfId="21441"/>
    <cellStyle name="Accent5 2 27" xfId="21442"/>
    <cellStyle name="Accent5 2 28" xfId="21443"/>
    <cellStyle name="Accent5 2 29" xfId="21444"/>
    <cellStyle name="Accent5 2 3" xfId="21445"/>
    <cellStyle name="Accent5 2 30" xfId="21446"/>
    <cellStyle name="Accent5 2 31" xfId="21447"/>
    <cellStyle name="Accent5 2 32" xfId="21448"/>
    <cellStyle name="Accent5 2 33" xfId="21449"/>
    <cellStyle name="Accent5 2 4" xfId="21450"/>
    <cellStyle name="Accent5 2 5" xfId="21451"/>
    <cellStyle name="Accent5 2 6" xfId="21452"/>
    <cellStyle name="Accent5 2 7" xfId="21453"/>
    <cellStyle name="Accent5 2 8" xfId="21454"/>
    <cellStyle name="Accent5 2 9" xfId="21455"/>
    <cellStyle name="Accent5 20" xfId="21456"/>
    <cellStyle name="Accent5 20 2" xfId="21457"/>
    <cellStyle name="Accent5 20 3" xfId="21458"/>
    <cellStyle name="Accent5 21" xfId="21459"/>
    <cellStyle name="Accent5 21 2" xfId="21460"/>
    <cellStyle name="Accent5 21 3" xfId="21461"/>
    <cellStyle name="Accent5 22" xfId="21462"/>
    <cellStyle name="Accent5 22 2" xfId="21463"/>
    <cellStyle name="Accent5 22 3" xfId="21464"/>
    <cellStyle name="Accent5 23" xfId="21465"/>
    <cellStyle name="Accent5 23 2" xfId="21466"/>
    <cellStyle name="Accent5 23 3" xfId="21467"/>
    <cellStyle name="Accent5 24" xfId="21468"/>
    <cellStyle name="Accent5 24 2" xfId="21469"/>
    <cellStyle name="Accent5 24 3" xfId="21470"/>
    <cellStyle name="Accent5 25" xfId="21471"/>
    <cellStyle name="Accent5 25 2" xfId="21472"/>
    <cellStyle name="Accent5 25 3" xfId="21473"/>
    <cellStyle name="Accent5 26" xfId="21474"/>
    <cellStyle name="Accent5 26 2" xfId="21475"/>
    <cellStyle name="Accent5 26 3" xfId="21476"/>
    <cellStyle name="Accent5 27" xfId="21477"/>
    <cellStyle name="Accent5 27 2" xfId="21478"/>
    <cellStyle name="Accent5 27 3" xfId="21479"/>
    <cellStyle name="Accent5 28" xfId="21480"/>
    <cellStyle name="Accent5 28 2" xfId="21481"/>
    <cellStyle name="Accent5 28 3" xfId="21482"/>
    <cellStyle name="Accent5 29" xfId="21483"/>
    <cellStyle name="Accent5 29 2" xfId="21484"/>
    <cellStyle name="Accent5 29 3" xfId="21485"/>
    <cellStyle name="Accent5 3" xfId="1553"/>
    <cellStyle name="Accent5 3 2" xfId="21486"/>
    <cellStyle name="Accent5 30" xfId="21487"/>
    <cellStyle name="Accent5 30 2" xfId="21488"/>
    <cellStyle name="Accent5 31" xfId="21489"/>
    <cellStyle name="Accent5 32" xfId="21490"/>
    <cellStyle name="Accent5 4" xfId="21491"/>
    <cellStyle name="Accent5 4 2" xfId="21492"/>
    <cellStyle name="Accent5 4 3" xfId="21493"/>
    <cellStyle name="Accent5 5" xfId="21494"/>
    <cellStyle name="Accent5 5 2" xfId="21495"/>
    <cellStyle name="Accent5 5 3" xfId="21496"/>
    <cellStyle name="Accent5 6" xfId="21497"/>
    <cellStyle name="Accent5 6 2" xfId="21498"/>
    <cellStyle name="Accent5 6 3" xfId="21499"/>
    <cellStyle name="Accent5 7" xfId="21500"/>
    <cellStyle name="Accent5 7 2" xfId="21501"/>
    <cellStyle name="Accent5 7 3" xfId="21502"/>
    <cellStyle name="Accent5 8" xfId="21503"/>
    <cellStyle name="Accent5 8 2" xfId="21504"/>
    <cellStyle name="Accent5 8 3" xfId="21505"/>
    <cellStyle name="Accent5 9" xfId="21506"/>
    <cellStyle name="Accent5 9 2" xfId="21507"/>
    <cellStyle name="Accent5 9 3" xfId="21508"/>
    <cellStyle name="Accent6" xfId="42" builtinId="49" customBuiltin="1"/>
    <cellStyle name="Accent6 10" xfId="21509"/>
    <cellStyle name="Accent6 10 2" xfId="21510"/>
    <cellStyle name="Accent6 10 3" xfId="21511"/>
    <cellStyle name="Accent6 11" xfId="21512"/>
    <cellStyle name="Accent6 11 2" xfId="21513"/>
    <cellStyle name="Accent6 11 3" xfId="21514"/>
    <cellStyle name="Accent6 12" xfId="21515"/>
    <cellStyle name="Accent6 12 2" xfId="21516"/>
    <cellStyle name="Accent6 12 3" xfId="21517"/>
    <cellStyle name="Accent6 13" xfId="21518"/>
    <cellStyle name="Accent6 13 2" xfId="21519"/>
    <cellStyle name="Accent6 13 3" xfId="21520"/>
    <cellStyle name="Accent6 14" xfId="21521"/>
    <cellStyle name="Accent6 14 2" xfId="21522"/>
    <cellStyle name="Accent6 14 3" xfId="21523"/>
    <cellStyle name="Accent6 15" xfId="21524"/>
    <cellStyle name="Accent6 15 2" xfId="21525"/>
    <cellStyle name="Accent6 15 3" xfId="21526"/>
    <cellStyle name="Accent6 16" xfId="21527"/>
    <cellStyle name="Accent6 16 2" xfId="21528"/>
    <cellStyle name="Accent6 16 3" xfId="21529"/>
    <cellStyle name="Accent6 17" xfId="21530"/>
    <cellStyle name="Accent6 17 2" xfId="21531"/>
    <cellStyle name="Accent6 17 3" xfId="21532"/>
    <cellStyle name="Accent6 18" xfId="21533"/>
    <cellStyle name="Accent6 18 2" xfId="21534"/>
    <cellStyle name="Accent6 18 3" xfId="21535"/>
    <cellStyle name="Accent6 19" xfId="21536"/>
    <cellStyle name="Accent6 19 2" xfId="21537"/>
    <cellStyle name="Accent6 19 3" xfId="21538"/>
    <cellStyle name="Accent6 2" xfId="397"/>
    <cellStyle name="Accent6 2 10" xfId="21539"/>
    <cellStyle name="Accent6 2 11" xfId="21540"/>
    <cellStyle name="Accent6 2 12" xfId="21541"/>
    <cellStyle name="Accent6 2 13" xfId="21542"/>
    <cellStyle name="Accent6 2 14" xfId="21543"/>
    <cellStyle name="Accent6 2 15" xfId="21544"/>
    <cellStyle name="Accent6 2 16" xfId="21545"/>
    <cellStyle name="Accent6 2 17" xfId="21546"/>
    <cellStyle name="Accent6 2 18" xfId="21547"/>
    <cellStyle name="Accent6 2 19" xfId="21548"/>
    <cellStyle name="Accent6 2 2" xfId="1554"/>
    <cellStyle name="Accent6 2 2 2" xfId="21549"/>
    <cellStyle name="Accent6 2 20" xfId="21550"/>
    <cellStyle name="Accent6 2 21" xfId="21551"/>
    <cellStyle name="Accent6 2 22" xfId="21552"/>
    <cellStyle name="Accent6 2 23" xfId="21553"/>
    <cellStyle name="Accent6 2 24" xfId="21554"/>
    <cellStyle name="Accent6 2 25" xfId="21555"/>
    <cellStyle name="Accent6 2 26" xfId="21556"/>
    <cellStyle name="Accent6 2 27" xfId="21557"/>
    <cellStyle name="Accent6 2 28" xfId="21558"/>
    <cellStyle name="Accent6 2 29" xfId="21559"/>
    <cellStyle name="Accent6 2 3" xfId="21560"/>
    <cellStyle name="Accent6 2 30" xfId="21561"/>
    <cellStyle name="Accent6 2 31" xfId="21562"/>
    <cellStyle name="Accent6 2 32" xfId="21563"/>
    <cellStyle name="Accent6 2 33" xfId="21564"/>
    <cellStyle name="Accent6 2 4" xfId="21565"/>
    <cellStyle name="Accent6 2 5" xfId="21566"/>
    <cellStyle name="Accent6 2 6" xfId="21567"/>
    <cellStyle name="Accent6 2 7" xfId="21568"/>
    <cellStyle name="Accent6 2 8" xfId="21569"/>
    <cellStyle name="Accent6 2 9" xfId="21570"/>
    <cellStyle name="Accent6 20" xfId="21571"/>
    <cellStyle name="Accent6 20 2" xfId="21572"/>
    <cellStyle name="Accent6 20 3" xfId="21573"/>
    <cellStyle name="Accent6 21" xfId="21574"/>
    <cellStyle name="Accent6 21 2" xfId="21575"/>
    <cellStyle name="Accent6 21 3" xfId="21576"/>
    <cellStyle name="Accent6 22" xfId="21577"/>
    <cellStyle name="Accent6 22 2" xfId="21578"/>
    <cellStyle name="Accent6 22 3" xfId="21579"/>
    <cellStyle name="Accent6 23" xfId="21580"/>
    <cellStyle name="Accent6 23 2" xfId="21581"/>
    <cellStyle name="Accent6 23 3" xfId="21582"/>
    <cellStyle name="Accent6 24" xfId="21583"/>
    <cellStyle name="Accent6 24 2" xfId="21584"/>
    <cellStyle name="Accent6 24 3" xfId="21585"/>
    <cellStyle name="Accent6 25" xfId="21586"/>
    <cellStyle name="Accent6 25 2" xfId="21587"/>
    <cellStyle name="Accent6 25 3" xfId="21588"/>
    <cellStyle name="Accent6 26" xfId="21589"/>
    <cellStyle name="Accent6 26 2" xfId="21590"/>
    <cellStyle name="Accent6 26 3" xfId="21591"/>
    <cellStyle name="Accent6 27" xfId="21592"/>
    <cellStyle name="Accent6 27 2" xfId="21593"/>
    <cellStyle name="Accent6 27 3" xfId="21594"/>
    <cellStyle name="Accent6 28" xfId="21595"/>
    <cellStyle name="Accent6 28 2" xfId="21596"/>
    <cellStyle name="Accent6 28 3" xfId="21597"/>
    <cellStyle name="Accent6 29" xfId="21598"/>
    <cellStyle name="Accent6 29 2" xfId="21599"/>
    <cellStyle name="Accent6 29 3" xfId="21600"/>
    <cellStyle name="Accent6 3" xfId="1555"/>
    <cellStyle name="Accent6 3 2" xfId="21601"/>
    <cellStyle name="Accent6 30" xfId="21602"/>
    <cellStyle name="Accent6 30 2" xfId="21603"/>
    <cellStyle name="Accent6 31" xfId="21604"/>
    <cellStyle name="Accent6 32" xfId="21605"/>
    <cellStyle name="Accent6 4" xfId="21606"/>
    <cellStyle name="Accent6 4 2" xfId="21607"/>
    <cellStyle name="Accent6 4 3" xfId="21608"/>
    <cellStyle name="Accent6 5" xfId="21609"/>
    <cellStyle name="Accent6 5 2" xfId="21610"/>
    <cellStyle name="Accent6 5 3" xfId="21611"/>
    <cellStyle name="Accent6 6" xfId="21612"/>
    <cellStyle name="Accent6 6 2" xfId="21613"/>
    <cellStyle name="Accent6 6 3" xfId="21614"/>
    <cellStyle name="Accent6 7" xfId="21615"/>
    <cellStyle name="Accent6 7 2" xfId="21616"/>
    <cellStyle name="Accent6 7 3" xfId="21617"/>
    <cellStyle name="Accent6 8" xfId="21618"/>
    <cellStyle name="Accent6 8 2" xfId="21619"/>
    <cellStyle name="Accent6 8 3" xfId="21620"/>
    <cellStyle name="Accent6 9" xfId="21621"/>
    <cellStyle name="Accent6 9 2" xfId="21622"/>
    <cellStyle name="Accent6 9 3" xfId="21623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24"/>
    <cellStyle name="Bad 10 2" xfId="21625"/>
    <cellStyle name="Bad 10 3" xfId="21626"/>
    <cellStyle name="Bad 11" xfId="21627"/>
    <cellStyle name="Bad 11 2" xfId="21628"/>
    <cellStyle name="Bad 11 3" xfId="21629"/>
    <cellStyle name="Bad 12" xfId="21630"/>
    <cellStyle name="Bad 12 2" xfId="21631"/>
    <cellStyle name="Bad 12 3" xfId="21632"/>
    <cellStyle name="Bad 13" xfId="21633"/>
    <cellStyle name="Bad 13 2" xfId="21634"/>
    <cellStyle name="Bad 13 3" xfId="21635"/>
    <cellStyle name="Bad 14" xfId="21636"/>
    <cellStyle name="Bad 14 2" xfId="21637"/>
    <cellStyle name="Bad 14 3" xfId="21638"/>
    <cellStyle name="Bad 15" xfId="21639"/>
    <cellStyle name="Bad 15 2" xfId="21640"/>
    <cellStyle name="Bad 15 3" xfId="21641"/>
    <cellStyle name="Bad 16" xfId="21642"/>
    <cellStyle name="Bad 16 2" xfId="21643"/>
    <cellStyle name="Bad 16 3" xfId="21644"/>
    <cellStyle name="Bad 17" xfId="21645"/>
    <cellStyle name="Bad 17 2" xfId="21646"/>
    <cellStyle name="Bad 17 3" xfId="21647"/>
    <cellStyle name="Bad 18" xfId="21648"/>
    <cellStyle name="Bad 18 2" xfId="21649"/>
    <cellStyle name="Bad 18 3" xfId="21650"/>
    <cellStyle name="Bad 19" xfId="21651"/>
    <cellStyle name="Bad 19 2" xfId="21652"/>
    <cellStyle name="Bad 19 3" xfId="21653"/>
    <cellStyle name="Bad 2" xfId="398"/>
    <cellStyle name="Bad 2 10" xfId="21654"/>
    <cellStyle name="Bad 2 11" xfId="21655"/>
    <cellStyle name="Bad 2 12" xfId="21656"/>
    <cellStyle name="Bad 2 13" xfId="21657"/>
    <cellStyle name="Bad 2 14" xfId="21658"/>
    <cellStyle name="Bad 2 15" xfId="21659"/>
    <cellStyle name="Bad 2 16" xfId="21660"/>
    <cellStyle name="Bad 2 17" xfId="21661"/>
    <cellStyle name="Bad 2 18" xfId="21662"/>
    <cellStyle name="Bad 2 19" xfId="21663"/>
    <cellStyle name="Bad 2 2" xfId="1556"/>
    <cellStyle name="Bad 2 2 2" xfId="21664"/>
    <cellStyle name="Bad 2 20" xfId="21665"/>
    <cellStyle name="Bad 2 21" xfId="21666"/>
    <cellStyle name="Bad 2 22" xfId="21667"/>
    <cellStyle name="Bad 2 23" xfId="21668"/>
    <cellStyle name="Bad 2 24" xfId="21669"/>
    <cellStyle name="Bad 2 25" xfId="21670"/>
    <cellStyle name="Bad 2 26" xfId="21671"/>
    <cellStyle name="Bad 2 27" xfId="21672"/>
    <cellStyle name="Bad 2 28" xfId="21673"/>
    <cellStyle name="Bad 2 29" xfId="21674"/>
    <cellStyle name="Bad 2 3" xfId="21675"/>
    <cellStyle name="Bad 2 30" xfId="21676"/>
    <cellStyle name="Bad 2 31" xfId="21677"/>
    <cellStyle name="Bad 2 32" xfId="21678"/>
    <cellStyle name="Bad 2 33" xfId="21679"/>
    <cellStyle name="Bad 2 4" xfId="21680"/>
    <cellStyle name="Bad 2 5" xfId="21681"/>
    <cellStyle name="Bad 2 6" xfId="21682"/>
    <cellStyle name="Bad 2 7" xfId="21683"/>
    <cellStyle name="Bad 2 8" xfId="21684"/>
    <cellStyle name="Bad 2 9" xfId="21685"/>
    <cellStyle name="Bad 20" xfId="21686"/>
    <cellStyle name="Bad 20 2" xfId="21687"/>
    <cellStyle name="Bad 20 3" xfId="21688"/>
    <cellStyle name="Bad 21" xfId="21689"/>
    <cellStyle name="Bad 21 2" xfId="21690"/>
    <cellStyle name="Bad 21 3" xfId="21691"/>
    <cellStyle name="Bad 22" xfId="21692"/>
    <cellStyle name="Bad 22 2" xfId="21693"/>
    <cellStyle name="Bad 22 3" xfId="21694"/>
    <cellStyle name="Bad 23" xfId="21695"/>
    <cellStyle name="Bad 23 2" xfId="21696"/>
    <cellStyle name="Bad 23 3" xfId="21697"/>
    <cellStyle name="Bad 24" xfId="21698"/>
    <cellStyle name="Bad 24 2" xfId="21699"/>
    <cellStyle name="Bad 24 3" xfId="21700"/>
    <cellStyle name="Bad 25" xfId="21701"/>
    <cellStyle name="Bad 25 2" xfId="21702"/>
    <cellStyle name="Bad 25 3" xfId="21703"/>
    <cellStyle name="Bad 26" xfId="21704"/>
    <cellStyle name="Bad 26 2" xfId="21705"/>
    <cellStyle name="Bad 26 3" xfId="21706"/>
    <cellStyle name="Bad 27" xfId="21707"/>
    <cellStyle name="Bad 27 2" xfId="21708"/>
    <cellStyle name="Bad 27 3" xfId="21709"/>
    <cellStyle name="Bad 28" xfId="21710"/>
    <cellStyle name="Bad 28 2" xfId="21711"/>
    <cellStyle name="Bad 28 3" xfId="21712"/>
    <cellStyle name="Bad 29" xfId="21713"/>
    <cellStyle name="Bad 29 2" xfId="21714"/>
    <cellStyle name="Bad 29 3" xfId="21715"/>
    <cellStyle name="Bad 3" xfId="1557"/>
    <cellStyle name="Bad 3 2" xfId="21716"/>
    <cellStyle name="Bad 30" xfId="21717"/>
    <cellStyle name="Bad 30 2" xfId="21718"/>
    <cellStyle name="Bad 31" xfId="21719"/>
    <cellStyle name="Bad 32" xfId="21720"/>
    <cellStyle name="Bad 33" xfId="21721"/>
    <cellStyle name="Bad 4" xfId="21722"/>
    <cellStyle name="Bad 4 2" xfId="21723"/>
    <cellStyle name="Bad 4 3" xfId="21724"/>
    <cellStyle name="Bad 5" xfId="21725"/>
    <cellStyle name="Bad 5 2" xfId="21726"/>
    <cellStyle name="Bad 5 3" xfId="21727"/>
    <cellStyle name="Bad 6" xfId="21728"/>
    <cellStyle name="Bad 6 2" xfId="21729"/>
    <cellStyle name="Bad 6 3" xfId="21730"/>
    <cellStyle name="Bad 7" xfId="21731"/>
    <cellStyle name="Bad 7 2" xfId="21732"/>
    <cellStyle name="Bad 7 3" xfId="21733"/>
    <cellStyle name="Bad 8" xfId="21734"/>
    <cellStyle name="Bad 8 2" xfId="21735"/>
    <cellStyle name="Bad 8 3" xfId="21736"/>
    <cellStyle name="Bad 9" xfId="21737"/>
    <cellStyle name="Bad 9 2" xfId="21738"/>
    <cellStyle name="Bad 9 3" xfId="21739"/>
    <cellStyle name="blp_column_header" xfId="1558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40"/>
    <cellStyle name="Calculation 10 2" xfId="21741"/>
    <cellStyle name="Calculation 10 3" xfId="21742"/>
    <cellStyle name="Calculation 11" xfId="21743"/>
    <cellStyle name="Calculation 11 2" xfId="21744"/>
    <cellStyle name="Calculation 11 3" xfId="21745"/>
    <cellStyle name="Calculation 12" xfId="21746"/>
    <cellStyle name="Calculation 12 2" xfId="21747"/>
    <cellStyle name="Calculation 12 3" xfId="21748"/>
    <cellStyle name="Calculation 13" xfId="21749"/>
    <cellStyle name="Calculation 13 2" xfId="21750"/>
    <cellStyle name="Calculation 13 3" xfId="21751"/>
    <cellStyle name="Calculation 14" xfId="21752"/>
    <cellStyle name="Calculation 14 2" xfId="21753"/>
    <cellStyle name="Calculation 14 3" xfId="21754"/>
    <cellStyle name="Calculation 15" xfId="21755"/>
    <cellStyle name="Calculation 15 2" xfId="21756"/>
    <cellStyle name="Calculation 15 3" xfId="21757"/>
    <cellStyle name="Calculation 16" xfId="21758"/>
    <cellStyle name="Calculation 16 2" xfId="21759"/>
    <cellStyle name="Calculation 16 3" xfId="21760"/>
    <cellStyle name="Calculation 17" xfId="21761"/>
    <cellStyle name="Calculation 17 2" xfId="21762"/>
    <cellStyle name="Calculation 17 3" xfId="21763"/>
    <cellStyle name="Calculation 18" xfId="21764"/>
    <cellStyle name="Calculation 18 2" xfId="21765"/>
    <cellStyle name="Calculation 18 3" xfId="21766"/>
    <cellStyle name="Calculation 19" xfId="21767"/>
    <cellStyle name="Calculation 19 2" xfId="21768"/>
    <cellStyle name="Calculation 19 3" xfId="21769"/>
    <cellStyle name="Calculation 2" xfId="399"/>
    <cellStyle name="Calculation 2 10" xfId="21770"/>
    <cellStyle name="Calculation 2 11" xfId="21771"/>
    <cellStyle name="Calculation 2 12" xfId="21772"/>
    <cellStyle name="Calculation 2 13" xfId="21773"/>
    <cellStyle name="Calculation 2 14" xfId="21774"/>
    <cellStyle name="Calculation 2 15" xfId="21775"/>
    <cellStyle name="Calculation 2 16" xfId="21776"/>
    <cellStyle name="Calculation 2 17" xfId="21777"/>
    <cellStyle name="Calculation 2 18" xfId="21778"/>
    <cellStyle name="Calculation 2 19" xfId="21779"/>
    <cellStyle name="Calculation 2 2" xfId="1559"/>
    <cellStyle name="Calculation 2 2 2" xfId="21780"/>
    <cellStyle name="Calculation 2 20" xfId="21781"/>
    <cellStyle name="Calculation 2 21" xfId="21782"/>
    <cellStyle name="Calculation 2 22" xfId="21783"/>
    <cellStyle name="Calculation 2 23" xfId="21784"/>
    <cellStyle name="Calculation 2 24" xfId="21785"/>
    <cellStyle name="Calculation 2 25" xfId="21786"/>
    <cellStyle name="Calculation 2 26" xfId="21787"/>
    <cellStyle name="Calculation 2 27" xfId="21788"/>
    <cellStyle name="Calculation 2 28" xfId="21789"/>
    <cellStyle name="Calculation 2 29" xfId="21790"/>
    <cellStyle name="Calculation 2 3" xfId="1801"/>
    <cellStyle name="Calculation 2 3 2" xfId="21791"/>
    <cellStyle name="Calculation 2 30" xfId="21792"/>
    <cellStyle name="Calculation 2 31" xfId="21793"/>
    <cellStyle name="Calculation 2 32" xfId="21794"/>
    <cellStyle name="Calculation 2 33" xfId="21795"/>
    <cellStyle name="Calculation 2 4" xfId="21796"/>
    <cellStyle name="Calculation 2 5" xfId="21797"/>
    <cellStyle name="Calculation 2 6" xfId="21798"/>
    <cellStyle name="Calculation 2 7" xfId="21799"/>
    <cellStyle name="Calculation 2 8" xfId="21800"/>
    <cellStyle name="Calculation 2 9" xfId="21801"/>
    <cellStyle name="Calculation 20" xfId="21802"/>
    <cellStyle name="Calculation 20 2" xfId="21803"/>
    <cellStyle name="Calculation 20 3" xfId="21804"/>
    <cellStyle name="Calculation 21" xfId="21805"/>
    <cellStyle name="Calculation 21 2" xfId="21806"/>
    <cellStyle name="Calculation 21 3" xfId="21807"/>
    <cellStyle name="Calculation 22" xfId="21808"/>
    <cellStyle name="Calculation 22 2" xfId="21809"/>
    <cellStyle name="Calculation 22 3" xfId="21810"/>
    <cellStyle name="Calculation 23" xfId="21811"/>
    <cellStyle name="Calculation 23 2" xfId="21812"/>
    <cellStyle name="Calculation 23 3" xfId="21813"/>
    <cellStyle name="Calculation 24" xfId="21814"/>
    <cellStyle name="Calculation 24 2" xfId="21815"/>
    <cellStyle name="Calculation 24 3" xfId="21816"/>
    <cellStyle name="Calculation 25" xfId="21817"/>
    <cellStyle name="Calculation 25 2" xfId="21818"/>
    <cellStyle name="Calculation 25 3" xfId="21819"/>
    <cellStyle name="Calculation 26" xfId="21820"/>
    <cellStyle name="Calculation 26 2" xfId="21821"/>
    <cellStyle name="Calculation 26 3" xfId="21822"/>
    <cellStyle name="Calculation 27" xfId="21823"/>
    <cellStyle name="Calculation 27 2" xfId="21824"/>
    <cellStyle name="Calculation 27 3" xfId="21825"/>
    <cellStyle name="Calculation 28" xfId="21826"/>
    <cellStyle name="Calculation 28 2" xfId="21827"/>
    <cellStyle name="Calculation 28 3" xfId="21828"/>
    <cellStyle name="Calculation 29" xfId="21829"/>
    <cellStyle name="Calculation 29 2" xfId="21830"/>
    <cellStyle name="Calculation 29 3" xfId="21831"/>
    <cellStyle name="Calculation 3" xfId="1560"/>
    <cellStyle name="Calculation 3 2" xfId="21832"/>
    <cellStyle name="Calculation 30" xfId="21833"/>
    <cellStyle name="Calculation 30 2" xfId="21834"/>
    <cellStyle name="Calculation 31" xfId="21835"/>
    <cellStyle name="Calculation 32" xfId="21836"/>
    <cellStyle name="Calculation 33" xfId="21837"/>
    <cellStyle name="Calculation 4" xfId="21838"/>
    <cellStyle name="Calculation 4 2" xfId="21839"/>
    <cellStyle name="Calculation 4 3" xfId="21840"/>
    <cellStyle name="Calculation 5" xfId="21841"/>
    <cellStyle name="Calculation 5 2" xfId="21842"/>
    <cellStyle name="Calculation 5 3" xfId="21843"/>
    <cellStyle name="Calculation 6" xfId="21844"/>
    <cellStyle name="Calculation 6 2" xfId="21845"/>
    <cellStyle name="Calculation 6 3" xfId="21846"/>
    <cellStyle name="Calculation 7" xfId="21847"/>
    <cellStyle name="Calculation 7 2" xfId="21848"/>
    <cellStyle name="Calculation 7 3" xfId="21849"/>
    <cellStyle name="Calculation 8" xfId="21850"/>
    <cellStyle name="Calculation 8 2" xfId="21851"/>
    <cellStyle name="Calculation 8 3" xfId="21852"/>
    <cellStyle name="Calculation 9" xfId="21853"/>
    <cellStyle name="Calculation 9 2" xfId="21854"/>
    <cellStyle name="Calculation 9 3" xfId="21855"/>
    <cellStyle name="Cella collegata" xfId="46"/>
    <cellStyle name="Cella da controllare" xfId="47"/>
    <cellStyle name="Check Cell" xfId="48" builtinId="23" customBuiltin="1"/>
    <cellStyle name="Check Cell 10" xfId="21856"/>
    <cellStyle name="Check Cell 10 2" xfId="21857"/>
    <cellStyle name="Check Cell 10 3" xfId="21858"/>
    <cellStyle name="Check Cell 11" xfId="21859"/>
    <cellStyle name="Check Cell 11 2" xfId="21860"/>
    <cellStyle name="Check Cell 11 3" xfId="21861"/>
    <cellStyle name="Check Cell 12" xfId="21862"/>
    <cellStyle name="Check Cell 12 2" xfId="21863"/>
    <cellStyle name="Check Cell 12 3" xfId="21864"/>
    <cellStyle name="Check Cell 13" xfId="21865"/>
    <cellStyle name="Check Cell 13 2" xfId="21866"/>
    <cellStyle name="Check Cell 13 3" xfId="21867"/>
    <cellStyle name="Check Cell 14" xfId="21868"/>
    <cellStyle name="Check Cell 14 2" xfId="21869"/>
    <cellStyle name="Check Cell 14 3" xfId="21870"/>
    <cellStyle name="Check Cell 15" xfId="21871"/>
    <cellStyle name="Check Cell 15 2" xfId="21872"/>
    <cellStyle name="Check Cell 15 3" xfId="21873"/>
    <cellStyle name="Check Cell 16" xfId="21874"/>
    <cellStyle name="Check Cell 16 2" xfId="21875"/>
    <cellStyle name="Check Cell 16 3" xfId="21876"/>
    <cellStyle name="Check Cell 17" xfId="21877"/>
    <cellStyle name="Check Cell 17 2" xfId="21878"/>
    <cellStyle name="Check Cell 17 3" xfId="21879"/>
    <cellStyle name="Check Cell 18" xfId="21880"/>
    <cellStyle name="Check Cell 18 2" xfId="21881"/>
    <cellStyle name="Check Cell 18 3" xfId="21882"/>
    <cellStyle name="Check Cell 19" xfId="21883"/>
    <cellStyle name="Check Cell 19 2" xfId="21884"/>
    <cellStyle name="Check Cell 19 3" xfId="21885"/>
    <cellStyle name="Check Cell 2" xfId="400"/>
    <cellStyle name="Check Cell 2 10" xfId="21886"/>
    <cellStyle name="Check Cell 2 11" xfId="21887"/>
    <cellStyle name="Check Cell 2 12" xfId="21888"/>
    <cellStyle name="Check Cell 2 13" xfId="21889"/>
    <cellStyle name="Check Cell 2 14" xfId="21890"/>
    <cellStyle name="Check Cell 2 15" xfId="21891"/>
    <cellStyle name="Check Cell 2 16" xfId="21892"/>
    <cellStyle name="Check Cell 2 17" xfId="21893"/>
    <cellStyle name="Check Cell 2 18" xfId="21894"/>
    <cellStyle name="Check Cell 2 19" xfId="21895"/>
    <cellStyle name="Check Cell 2 2" xfId="1561"/>
    <cellStyle name="Check Cell 2 2 2" xfId="21896"/>
    <cellStyle name="Check Cell 2 20" xfId="21897"/>
    <cellStyle name="Check Cell 2 21" xfId="21898"/>
    <cellStyle name="Check Cell 2 22" xfId="21899"/>
    <cellStyle name="Check Cell 2 23" xfId="21900"/>
    <cellStyle name="Check Cell 2 24" xfId="21901"/>
    <cellStyle name="Check Cell 2 25" xfId="21902"/>
    <cellStyle name="Check Cell 2 26" xfId="21903"/>
    <cellStyle name="Check Cell 2 27" xfId="21904"/>
    <cellStyle name="Check Cell 2 28" xfId="21905"/>
    <cellStyle name="Check Cell 2 29" xfId="21906"/>
    <cellStyle name="Check Cell 2 3" xfId="21907"/>
    <cellStyle name="Check Cell 2 30" xfId="21908"/>
    <cellStyle name="Check Cell 2 31" xfId="21909"/>
    <cellStyle name="Check Cell 2 32" xfId="21910"/>
    <cellStyle name="Check Cell 2 33" xfId="21911"/>
    <cellStyle name="Check Cell 2 4" xfId="21912"/>
    <cellStyle name="Check Cell 2 5" xfId="21913"/>
    <cellStyle name="Check Cell 2 6" xfId="21914"/>
    <cellStyle name="Check Cell 2 7" xfId="21915"/>
    <cellStyle name="Check Cell 2 8" xfId="21916"/>
    <cellStyle name="Check Cell 2 9" xfId="21917"/>
    <cellStyle name="Check Cell 20" xfId="21918"/>
    <cellStyle name="Check Cell 20 2" xfId="21919"/>
    <cellStyle name="Check Cell 20 3" xfId="21920"/>
    <cellStyle name="Check Cell 21" xfId="21921"/>
    <cellStyle name="Check Cell 21 2" xfId="21922"/>
    <cellStyle name="Check Cell 21 3" xfId="21923"/>
    <cellStyle name="Check Cell 22" xfId="21924"/>
    <cellStyle name="Check Cell 22 2" xfId="21925"/>
    <cellStyle name="Check Cell 22 3" xfId="21926"/>
    <cellStyle name="Check Cell 23" xfId="21927"/>
    <cellStyle name="Check Cell 23 2" xfId="21928"/>
    <cellStyle name="Check Cell 23 3" xfId="21929"/>
    <cellStyle name="Check Cell 24" xfId="21930"/>
    <cellStyle name="Check Cell 24 2" xfId="21931"/>
    <cellStyle name="Check Cell 24 3" xfId="21932"/>
    <cellStyle name="Check Cell 25" xfId="21933"/>
    <cellStyle name="Check Cell 25 2" xfId="21934"/>
    <cellStyle name="Check Cell 25 3" xfId="21935"/>
    <cellStyle name="Check Cell 26" xfId="21936"/>
    <cellStyle name="Check Cell 26 2" xfId="21937"/>
    <cellStyle name="Check Cell 26 3" xfId="21938"/>
    <cellStyle name="Check Cell 27" xfId="21939"/>
    <cellStyle name="Check Cell 27 2" xfId="21940"/>
    <cellStyle name="Check Cell 27 3" xfId="21941"/>
    <cellStyle name="Check Cell 28" xfId="21942"/>
    <cellStyle name="Check Cell 28 2" xfId="21943"/>
    <cellStyle name="Check Cell 28 3" xfId="21944"/>
    <cellStyle name="Check Cell 29" xfId="21945"/>
    <cellStyle name="Check Cell 29 2" xfId="21946"/>
    <cellStyle name="Check Cell 29 3" xfId="21947"/>
    <cellStyle name="Check Cell 3" xfId="1562"/>
    <cellStyle name="Check Cell 3 2" xfId="21948"/>
    <cellStyle name="Check Cell 30" xfId="21949"/>
    <cellStyle name="Check Cell 30 2" xfId="21950"/>
    <cellStyle name="Check Cell 31" xfId="21951"/>
    <cellStyle name="Check Cell 32" xfId="21952"/>
    <cellStyle name="Check Cell 33" xfId="21953"/>
    <cellStyle name="Check Cell 4" xfId="21954"/>
    <cellStyle name="Check Cell 4 2" xfId="21955"/>
    <cellStyle name="Check Cell 4 3" xfId="21956"/>
    <cellStyle name="Check Cell 5" xfId="21957"/>
    <cellStyle name="Check Cell 5 2" xfId="21958"/>
    <cellStyle name="Check Cell 5 3" xfId="21959"/>
    <cellStyle name="Check Cell 6" xfId="21960"/>
    <cellStyle name="Check Cell 6 2" xfId="21961"/>
    <cellStyle name="Check Cell 6 3" xfId="21962"/>
    <cellStyle name="Check Cell 7" xfId="21963"/>
    <cellStyle name="Check Cell 7 2" xfId="21964"/>
    <cellStyle name="Check Cell 7 3" xfId="21965"/>
    <cellStyle name="Check Cell 8" xfId="21966"/>
    <cellStyle name="Check Cell 8 2" xfId="21967"/>
    <cellStyle name="Check Cell 8 3" xfId="21968"/>
    <cellStyle name="Check Cell 9" xfId="21969"/>
    <cellStyle name="Check Cell 9 2" xfId="21970"/>
    <cellStyle name="Check Cell 9 3" xfId="21971"/>
    <cellStyle name="Ciccio" xfId="21972"/>
    <cellStyle name="Ciccio 2" xfId="21973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74"/>
    <cellStyle name="Column Heading 2" xfId="21975"/>
    <cellStyle name="Column Heading 3" xfId="21976"/>
    <cellStyle name="Column Heading 4" xfId="21977"/>
    <cellStyle name="Comma" xfId="709" builtinId="3"/>
    <cellStyle name="Comma [0] 2" xfId="21978"/>
    <cellStyle name="Comma 2" xfId="1564"/>
    <cellStyle name="Comma 2 2" xfId="1565"/>
    <cellStyle name="Comma 2 2 2" xfId="1566"/>
    <cellStyle name="Comma 2 2 2 2" xfId="1567"/>
    <cellStyle name="Comma 2 2 2 2 2" xfId="21979"/>
    <cellStyle name="Comma 2 2 2 3" xfId="21980"/>
    <cellStyle name="Comma 2 2 3" xfId="1568"/>
    <cellStyle name="Comma 2 2 3 2" xfId="1569"/>
    <cellStyle name="Comma 2 2 3 2 2" xfId="21981"/>
    <cellStyle name="Comma 2 2 3 3" xfId="21982"/>
    <cellStyle name="Comma 2 2 4" xfId="1570"/>
    <cellStyle name="Comma 2 2 4 2" xfId="21983"/>
    <cellStyle name="Comma 2 2 5" xfId="1571"/>
    <cellStyle name="Comma 2 2 5 2" xfId="21984"/>
    <cellStyle name="Comma 2 2 6" xfId="1572"/>
    <cellStyle name="Comma 2 2 6 2" xfId="21985"/>
    <cellStyle name="Comma 2 2 7" xfId="21986"/>
    <cellStyle name="Comma 2 2 8" xfId="21987"/>
    <cellStyle name="Comma 2 3" xfId="1573"/>
    <cellStyle name="Comma 2 3 2" xfId="1574"/>
    <cellStyle name="Comma 2 3 2 2" xfId="1575"/>
    <cellStyle name="Comma 2 3 2 2 2" xfId="21988"/>
    <cellStyle name="Comma 2 3 2 3" xfId="21989"/>
    <cellStyle name="Comma 2 3 3" xfId="1576"/>
    <cellStyle name="Comma 2 3 3 2" xfId="1577"/>
    <cellStyle name="Comma 2 3 3 2 2" xfId="21990"/>
    <cellStyle name="Comma 2 3 3 3" xfId="21991"/>
    <cellStyle name="Comma 2 3 4" xfId="1578"/>
    <cellStyle name="Comma 2 3 4 2" xfId="21992"/>
    <cellStyle name="Comma 2 3 5" xfId="1579"/>
    <cellStyle name="Comma 2 3 5 2" xfId="21993"/>
    <cellStyle name="Comma 2 3 6" xfId="1580"/>
    <cellStyle name="Comma 2 3 6 2" xfId="21994"/>
    <cellStyle name="Comma 2 3 7" xfId="21995"/>
    <cellStyle name="Comma 2 4" xfId="1581"/>
    <cellStyle name="Comma 2 4 2" xfId="1582"/>
    <cellStyle name="Comma 2 4 2 2" xfId="1583"/>
    <cellStyle name="Comma 2 4 2 2 2" xfId="21996"/>
    <cellStyle name="Comma 2 4 2 3" xfId="21997"/>
    <cellStyle name="Comma 2 4 3" xfId="1584"/>
    <cellStyle name="Comma 2 4 3 2" xfId="1585"/>
    <cellStyle name="Comma 2 4 3 2 2" xfId="21998"/>
    <cellStyle name="Comma 2 4 3 3" xfId="21999"/>
    <cellStyle name="Comma 2 4 4" xfId="1586"/>
    <cellStyle name="Comma 2 4 4 2" xfId="22000"/>
    <cellStyle name="Comma 2 4 5" xfId="1587"/>
    <cellStyle name="Comma 2 4 5 2" xfId="22001"/>
    <cellStyle name="Comma 2 4 6" xfId="1588"/>
    <cellStyle name="Comma 2 4 6 2" xfId="22002"/>
    <cellStyle name="Comma 2 4 7" xfId="22003"/>
    <cellStyle name="Comma 2 5" xfId="1589"/>
    <cellStyle name="Comma 2 6" xfId="1590"/>
    <cellStyle name="Comma 2 6 2" xfId="1591"/>
    <cellStyle name="Comma 2 6 2 2" xfId="22004"/>
    <cellStyle name="Comma 2 6 3" xfId="22005"/>
    <cellStyle name="Comma 2 7" xfId="1592"/>
    <cellStyle name="Comma 2 7 2" xfId="1593"/>
    <cellStyle name="Comma 2 7 2 2" xfId="22006"/>
    <cellStyle name="Comma 2 7 3" xfId="22007"/>
    <cellStyle name="Comma 2 8" xfId="1594"/>
    <cellStyle name="Comma 2 8 2" xfId="22008"/>
    <cellStyle name="Comma 2 9" xfId="1595"/>
    <cellStyle name="Comma 2 9 2" xfId="22009"/>
    <cellStyle name="Comma 3" xfId="1596"/>
    <cellStyle name="Comma 3 2" xfId="22010"/>
    <cellStyle name="Comma 4" xfId="1563"/>
    <cellStyle name="Comma 4 2" xfId="22011"/>
    <cellStyle name="Comma 5" xfId="22012"/>
    <cellStyle name="Comma 5 2" xfId="22013"/>
    <cellStyle name="Comma 5 3" xfId="22014"/>
    <cellStyle name="Comma 5 4" xfId="22015"/>
    <cellStyle name="Comma 5 5" xfId="22016"/>
    <cellStyle name="Comma 6" xfId="22017"/>
    <cellStyle name="Comma 7" xfId="22018"/>
    <cellStyle name="Comma 8" xfId="22019"/>
    <cellStyle name="Comma 9" xfId="22020"/>
    <cellStyle name="Comma0" xfId="284"/>
    <cellStyle name="Comma0 2" xfId="285"/>
    <cellStyle name="Comma0 2 2" xfId="1202"/>
    <cellStyle name="Comma0 3" xfId="401"/>
    <cellStyle name="Comma0 3 2" xfId="1225"/>
    <cellStyle name="Comma0 4" xfId="792"/>
    <cellStyle name="Comma0 4 2" xfId="1325"/>
    <cellStyle name="Currency 2" xfId="22021"/>
    <cellStyle name="Currency 3" xfId="22022"/>
    <cellStyle name="Currency 3 2" xfId="22023"/>
    <cellStyle name="Currency 3 3" xfId="22024"/>
    <cellStyle name="Currency 3 4" xfId="22025"/>
    <cellStyle name="Currency0" xfId="286"/>
    <cellStyle name="Currency0 2" xfId="287"/>
    <cellStyle name="Currency0 2 2" xfId="1204"/>
    <cellStyle name="Currency0 3" xfId="402"/>
    <cellStyle name="Currency0 3 2" xfId="1226"/>
    <cellStyle name="Currency0 4" xfId="613"/>
    <cellStyle name="Currency0 5" xfId="793"/>
    <cellStyle name="Currency0 5 2" xfId="1326"/>
    <cellStyle name="Currency0 6" xfId="1203"/>
    <cellStyle name="Currency0_France" xfId="349"/>
    <cellStyle name="Data" xfId="288"/>
    <cellStyle name="Data 2" xfId="1802"/>
    <cellStyle name="Data1" xfId="289"/>
    <cellStyle name="Data2" xfId="290"/>
    <cellStyle name="Data3" xfId="291"/>
    <cellStyle name="Data3 2" xfId="1205"/>
    <cellStyle name="Data3 3" xfId="1905"/>
    <cellStyle name="Data4" xfId="292"/>
    <cellStyle name="Data5" xfId="293"/>
    <cellStyle name="Data5 2" xfId="1206"/>
    <cellStyle name="Data5 2 2" xfId="2000"/>
    <cellStyle name="Data5 3" xfId="2121"/>
    <cellStyle name="Data5 4" xfId="1803"/>
    <cellStyle name="DataFeed" xfId="22026"/>
    <cellStyle name="DataFeed 2" xfId="22027"/>
    <cellStyle name="Date" xfId="294"/>
    <cellStyle name="Date 10" xfId="22028"/>
    <cellStyle name="Date 10 10" xfId="22029"/>
    <cellStyle name="Date 10 100" xfId="22030"/>
    <cellStyle name="Date 10 101" xfId="22031"/>
    <cellStyle name="Date 10 102" xfId="22032"/>
    <cellStyle name="Date 10 103" xfId="22033"/>
    <cellStyle name="Date 10 104" xfId="22034"/>
    <cellStyle name="Date 10 105" xfId="22035"/>
    <cellStyle name="Date 10 106" xfId="22036"/>
    <cellStyle name="Date 10 107" xfId="22037"/>
    <cellStyle name="Date 10 108" xfId="22038"/>
    <cellStyle name="Date 10 109" xfId="22039"/>
    <cellStyle name="Date 10 11" xfId="22040"/>
    <cellStyle name="Date 10 110" xfId="22041"/>
    <cellStyle name="Date 10 111" xfId="22042"/>
    <cellStyle name="Date 10 112" xfId="22043"/>
    <cellStyle name="Date 10 113" xfId="22044"/>
    <cellStyle name="Date 10 114" xfId="22045"/>
    <cellStyle name="Date 10 115" xfId="22046"/>
    <cellStyle name="Date 10 116" xfId="22047"/>
    <cellStyle name="Date 10 12" xfId="22048"/>
    <cellStyle name="Date 10 13" xfId="22049"/>
    <cellStyle name="Date 10 14" xfId="22050"/>
    <cellStyle name="Date 10 15" xfId="22051"/>
    <cellStyle name="Date 10 16" xfId="22052"/>
    <cellStyle name="Date 10 17" xfId="22053"/>
    <cellStyle name="Date 10 18" xfId="22054"/>
    <cellStyle name="Date 10 19" xfId="22055"/>
    <cellStyle name="Date 10 2" xfId="22056"/>
    <cellStyle name="Date 10 20" xfId="22057"/>
    <cellStyle name="Date 10 21" xfId="22058"/>
    <cellStyle name="Date 10 22" xfId="22059"/>
    <cellStyle name="Date 10 23" xfId="22060"/>
    <cellStyle name="Date 10 24" xfId="22061"/>
    <cellStyle name="Date 10 25" xfId="22062"/>
    <cellStyle name="Date 10 26" xfId="22063"/>
    <cellStyle name="Date 10 27" xfId="22064"/>
    <cellStyle name="Date 10 28" xfId="22065"/>
    <cellStyle name="Date 10 29" xfId="22066"/>
    <cellStyle name="Date 10 3" xfId="22067"/>
    <cellStyle name="Date 10 30" xfId="22068"/>
    <cellStyle name="Date 10 31" xfId="22069"/>
    <cellStyle name="Date 10 32" xfId="22070"/>
    <cellStyle name="Date 10 33" xfId="22071"/>
    <cellStyle name="Date 10 34" xfId="22072"/>
    <cellStyle name="Date 10 35" xfId="22073"/>
    <cellStyle name="Date 10 36" xfId="22074"/>
    <cellStyle name="Date 10 37" xfId="22075"/>
    <cellStyle name="Date 10 38" xfId="22076"/>
    <cellStyle name="Date 10 39" xfId="22077"/>
    <cellStyle name="Date 10 4" xfId="22078"/>
    <cellStyle name="Date 10 40" xfId="22079"/>
    <cellStyle name="Date 10 41" xfId="22080"/>
    <cellStyle name="Date 10 42" xfId="22081"/>
    <cellStyle name="Date 10 43" xfId="22082"/>
    <cellStyle name="Date 10 44" xfId="22083"/>
    <cellStyle name="Date 10 45" xfId="22084"/>
    <cellStyle name="Date 10 46" xfId="22085"/>
    <cellStyle name="Date 10 47" xfId="22086"/>
    <cellStyle name="Date 10 48" xfId="22087"/>
    <cellStyle name="Date 10 49" xfId="22088"/>
    <cellStyle name="Date 10 5" xfId="22089"/>
    <cellStyle name="Date 10 50" xfId="22090"/>
    <cellStyle name="Date 10 51" xfId="22091"/>
    <cellStyle name="Date 10 52" xfId="22092"/>
    <cellStyle name="Date 10 53" xfId="22093"/>
    <cellStyle name="Date 10 54" xfId="22094"/>
    <cellStyle name="Date 10 55" xfId="22095"/>
    <cellStyle name="Date 10 56" xfId="22096"/>
    <cellStyle name="Date 10 57" xfId="22097"/>
    <cellStyle name="Date 10 58" xfId="22098"/>
    <cellStyle name="Date 10 59" xfId="22099"/>
    <cellStyle name="Date 10 6" xfId="22100"/>
    <cellStyle name="Date 10 60" xfId="22101"/>
    <cellStyle name="Date 10 61" xfId="22102"/>
    <cellStyle name="Date 10 62" xfId="22103"/>
    <cellStyle name="Date 10 63" xfId="22104"/>
    <cellStyle name="Date 10 64" xfId="22105"/>
    <cellStyle name="Date 10 65" xfId="22106"/>
    <cellStyle name="Date 10 66" xfId="22107"/>
    <cellStyle name="Date 10 67" xfId="22108"/>
    <cellStyle name="Date 10 68" xfId="22109"/>
    <cellStyle name="Date 10 69" xfId="22110"/>
    <cellStyle name="Date 10 7" xfId="22111"/>
    <cellStyle name="Date 10 70" xfId="22112"/>
    <cellStyle name="Date 10 71" xfId="22113"/>
    <cellStyle name="Date 10 72" xfId="22114"/>
    <cellStyle name="Date 10 73" xfId="22115"/>
    <cellStyle name="Date 10 74" xfId="22116"/>
    <cellStyle name="Date 10 75" xfId="22117"/>
    <cellStyle name="Date 10 76" xfId="22118"/>
    <cellStyle name="Date 10 77" xfId="22119"/>
    <cellStyle name="Date 10 78" xfId="22120"/>
    <cellStyle name="Date 10 79" xfId="22121"/>
    <cellStyle name="Date 10 8" xfId="22122"/>
    <cellStyle name="Date 10 80" xfId="22123"/>
    <cellStyle name="Date 10 81" xfId="22124"/>
    <cellStyle name="Date 10 82" xfId="22125"/>
    <cellStyle name="Date 10 83" xfId="22126"/>
    <cellStyle name="Date 10 84" xfId="22127"/>
    <cellStyle name="Date 10 85" xfId="22128"/>
    <cellStyle name="Date 10 86" xfId="22129"/>
    <cellStyle name="Date 10 87" xfId="22130"/>
    <cellStyle name="Date 10 88" xfId="22131"/>
    <cellStyle name="Date 10 89" xfId="22132"/>
    <cellStyle name="Date 10 9" xfId="22133"/>
    <cellStyle name="Date 10 90" xfId="22134"/>
    <cellStyle name="Date 10 91" xfId="22135"/>
    <cellStyle name="Date 10 92" xfId="22136"/>
    <cellStyle name="Date 10 93" xfId="22137"/>
    <cellStyle name="Date 10 94" xfId="22138"/>
    <cellStyle name="Date 10 95" xfId="22139"/>
    <cellStyle name="Date 10 96" xfId="22140"/>
    <cellStyle name="Date 10 97" xfId="22141"/>
    <cellStyle name="Date 10 98" xfId="22142"/>
    <cellStyle name="Date 10 99" xfId="22143"/>
    <cellStyle name="Date 10_NYMEX FUTURES" xfId="22144"/>
    <cellStyle name="Date 11" xfId="22145"/>
    <cellStyle name="Date 11 10" xfId="22146"/>
    <cellStyle name="Date 11 100" xfId="22147"/>
    <cellStyle name="Date 11 101" xfId="22148"/>
    <cellStyle name="Date 11 102" xfId="22149"/>
    <cellStyle name="Date 11 103" xfId="22150"/>
    <cellStyle name="Date 11 104" xfId="22151"/>
    <cellStyle name="Date 11 105" xfId="22152"/>
    <cellStyle name="Date 11 106" xfId="22153"/>
    <cellStyle name="Date 11 107" xfId="22154"/>
    <cellStyle name="Date 11 108" xfId="22155"/>
    <cellStyle name="Date 11 109" xfId="22156"/>
    <cellStyle name="Date 11 11" xfId="22157"/>
    <cellStyle name="Date 11 110" xfId="22158"/>
    <cellStyle name="Date 11 111" xfId="22159"/>
    <cellStyle name="Date 11 112" xfId="22160"/>
    <cellStyle name="Date 11 113" xfId="22161"/>
    <cellStyle name="Date 11 114" xfId="22162"/>
    <cellStyle name="Date 11 115" xfId="22163"/>
    <cellStyle name="Date 11 116" xfId="22164"/>
    <cellStyle name="Date 11 12" xfId="22165"/>
    <cellStyle name="Date 11 13" xfId="22166"/>
    <cellStyle name="Date 11 14" xfId="22167"/>
    <cellStyle name="Date 11 15" xfId="22168"/>
    <cellStyle name="Date 11 16" xfId="22169"/>
    <cellStyle name="Date 11 17" xfId="22170"/>
    <cellStyle name="Date 11 18" xfId="22171"/>
    <cellStyle name="Date 11 19" xfId="22172"/>
    <cellStyle name="Date 11 2" xfId="22173"/>
    <cellStyle name="Date 11 20" xfId="22174"/>
    <cellStyle name="Date 11 21" xfId="22175"/>
    <cellStyle name="Date 11 22" xfId="22176"/>
    <cellStyle name="Date 11 23" xfId="22177"/>
    <cellStyle name="Date 11 24" xfId="22178"/>
    <cellStyle name="Date 11 25" xfId="22179"/>
    <cellStyle name="Date 11 26" xfId="22180"/>
    <cellStyle name="Date 11 27" xfId="22181"/>
    <cellStyle name="Date 11 28" xfId="22182"/>
    <cellStyle name="Date 11 29" xfId="22183"/>
    <cellStyle name="Date 11 3" xfId="22184"/>
    <cellStyle name="Date 11 30" xfId="22185"/>
    <cellStyle name="Date 11 31" xfId="22186"/>
    <cellStyle name="Date 11 32" xfId="22187"/>
    <cellStyle name="Date 11 33" xfId="22188"/>
    <cellStyle name="Date 11 34" xfId="22189"/>
    <cellStyle name="Date 11 35" xfId="22190"/>
    <cellStyle name="Date 11 36" xfId="22191"/>
    <cellStyle name="Date 11 37" xfId="22192"/>
    <cellStyle name="Date 11 38" xfId="22193"/>
    <cellStyle name="Date 11 39" xfId="22194"/>
    <cellStyle name="Date 11 4" xfId="22195"/>
    <cellStyle name="Date 11 40" xfId="22196"/>
    <cellStyle name="Date 11 41" xfId="22197"/>
    <cellStyle name="Date 11 42" xfId="22198"/>
    <cellStyle name="Date 11 43" xfId="22199"/>
    <cellStyle name="Date 11 44" xfId="22200"/>
    <cellStyle name="Date 11 45" xfId="22201"/>
    <cellStyle name="Date 11 46" xfId="22202"/>
    <cellStyle name="Date 11 47" xfId="22203"/>
    <cellStyle name="Date 11 48" xfId="22204"/>
    <cellStyle name="Date 11 49" xfId="22205"/>
    <cellStyle name="Date 11 5" xfId="22206"/>
    <cellStyle name="Date 11 50" xfId="22207"/>
    <cellStyle name="Date 11 51" xfId="22208"/>
    <cellStyle name="Date 11 52" xfId="22209"/>
    <cellStyle name="Date 11 53" xfId="22210"/>
    <cellStyle name="Date 11 54" xfId="22211"/>
    <cellStyle name="Date 11 55" xfId="22212"/>
    <cellStyle name="Date 11 56" xfId="22213"/>
    <cellStyle name="Date 11 57" xfId="22214"/>
    <cellStyle name="Date 11 58" xfId="22215"/>
    <cellStyle name="Date 11 59" xfId="22216"/>
    <cellStyle name="Date 11 6" xfId="22217"/>
    <cellStyle name="Date 11 60" xfId="22218"/>
    <cellStyle name="Date 11 61" xfId="22219"/>
    <cellStyle name="Date 11 62" xfId="22220"/>
    <cellStyle name="Date 11 63" xfId="22221"/>
    <cellStyle name="Date 11 64" xfId="22222"/>
    <cellStyle name="Date 11 65" xfId="22223"/>
    <cellStyle name="Date 11 66" xfId="22224"/>
    <cellStyle name="Date 11 67" xfId="22225"/>
    <cellStyle name="Date 11 68" xfId="22226"/>
    <cellStyle name="Date 11 69" xfId="22227"/>
    <cellStyle name="Date 11 7" xfId="22228"/>
    <cellStyle name="Date 11 70" xfId="22229"/>
    <cellStyle name="Date 11 71" xfId="22230"/>
    <cellStyle name="Date 11 72" xfId="22231"/>
    <cellStyle name="Date 11 73" xfId="22232"/>
    <cellStyle name="Date 11 74" xfId="22233"/>
    <cellStyle name="Date 11 75" xfId="22234"/>
    <cellStyle name="Date 11 76" xfId="22235"/>
    <cellStyle name="Date 11 77" xfId="22236"/>
    <cellStyle name="Date 11 78" xfId="22237"/>
    <cellStyle name="Date 11 79" xfId="22238"/>
    <cellStyle name="Date 11 8" xfId="22239"/>
    <cellStyle name="Date 11 80" xfId="22240"/>
    <cellStyle name="Date 11 81" xfId="22241"/>
    <cellStyle name="Date 11 82" xfId="22242"/>
    <cellStyle name="Date 11 83" xfId="22243"/>
    <cellStyle name="Date 11 84" xfId="22244"/>
    <cellStyle name="Date 11 85" xfId="22245"/>
    <cellStyle name="Date 11 86" xfId="22246"/>
    <cellStyle name="Date 11 87" xfId="22247"/>
    <cellStyle name="Date 11 88" xfId="22248"/>
    <cellStyle name="Date 11 89" xfId="22249"/>
    <cellStyle name="Date 11 9" xfId="22250"/>
    <cellStyle name="Date 11 90" xfId="22251"/>
    <cellStyle name="Date 11 91" xfId="22252"/>
    <cellStyle name="Date 11 92" xfId="22253"/>
    <cellStyle name="Date 11 93" xfId="22254"/>
    <cellStyle name="Date 11 94" xfId="22255"/>
    <cellStyle name="Date 11 95" xfId="22256"/>
    <cellStyle name="Date 11 96" xfId="22257"/>
    <cellStyle name="Date 11 97" xfId="22258"/>
    <cellStyle name="Date 11 98" xfId="22259"/>
    <cellStyle name="Date 11 99" xfId="22260"/>
    <cellStyle name="Date 11_NYMEX FUTURES" xfId="22261"/>
    <cellStyle name="Date 12" xfId="22262"/>
    <cellStyle name="Date 12 10" xfId="22263"/>
    <cellStyle name="Date 12 100" xfId="22264"/>
    <cellStyle name="Date 12 101" xfId="22265"/>
    <cellStyle name="Date 12 102" xfId="22266"/>
    <cellStyle name="Date 12 103" xfId="22267"/>
    <cellStyle name="Date 12 104" xfId="22268"/>
    <cellStyle name="Date 12 105" xfId="22269"/>
    <cellStyle name="Date 12 106" xfId="22270"/>
    <cellStyle name="Date 12 107" xfId="22271"/>
    <cellStyle name="Date 12 108" xfId="22272"/>
    <cellStyle name="Date 12 109" xfId="22273"/>
    <cellStyle name="Date 12 11" xfId="22274"/>
    <cellStyle name="Date 12 110" xfId="22275"/>
    <cellStyle name="Date 12 111" xfId="22276"/>
    <cellStyle name="Date 12 112" xfId="22277"/>
    <cellStyle name="Date 12 113" xfId="22278"/>
    <cellStyle name="Date 12 114" xfId="22279"/>
    <cellStyle name="Date 12 115" xfId="22280"/>
    <cellStyle name="Date 12 116" xfId="22281"/>
    <cellStyle name="Date 12 12" xfId="22282"/>
    <cellStyle name="Date 12 13" xfId="22283"/>
    <cellStyle name="Date 12 14" xfId="22284"/>
    <cellStyle name="Date 12 15" xfId="22285"/>
    <cellStyle name="Date 12 16" xfId="22286"/>
    <cellStyle name="Date 12 17" xfId="22287"/>
    <cellStyle name="Date 12 18" xfId="22288"/>
    <cellStyle name="Date 12 19" xfId="22289"/>
    <cellStyle name="Date 12 2" xfId="22290"/>
    <cellStyle name="Date 12 20" xfId="22291"/>
    <cellStyle name="Date 12 21" xfId="22292"/>
    <cellStyle name="Date 12 22" xfId="22293"/>
    <cellStyle name="Date 12 23" xfId="22294"/>
    <cellStyle name="Date 12 24" xfId="22295"/>
    <cellStyle name="Date 12 25" xfId="22296"/>
    <cellStyle name="Date 12 26" xfId="22297"/>
    <cellStyle name="Date 12 27" xfId="22298"/>
    <cellStyle name="Date 12 28" xfId="22299"/>
    <cellStyle name="Date 12 29" xfId="22300"/>
    <cellStyle name="Date 12 3" xfId="22301"/>
    <cellStyle name="Date 12 30" xfId="22302"/>
    <cellStyle name="Date 12 31" xfId="22303"/>
    <cellStyle name="Date 12 32" xfId="22304"/>
    <cellStyle name="Date 12 33" xfId="22305"/>
    <cellStyle name="Date 12 34" xfId="22306"/>
    <cellStyle name="Date 12 35" xfId="22307"/>
    <cellStyle name="Date 12 36" xfId="22308"/>
    <cellStyle name="Date 12 37" xfId="22309"/>
    <cellStyle name="Date 12 38" xfId="22310"/>
    <cellStyle name="Date 12 39" xfId="22311"/>
    <cellStyle name="Date 12 4" xfId="22312"/>
    <cellStyle name="Date 12 40" xfId="22313"/>
    <cellStyle name="Date 12 41" xfId="22314"/>
    <cellStyle name="Date 12 42" xfId="22315"/>
    <cellStyle name="Date 12 43" xfId="22316"/>
    <cellStyle name="Date 12 44" xfId="22317"/>
    <cellStyle name="Date 12 45" xfId="22318"/>
    <cellStyle name="Date 12 46" xfId="22319"/>
    <cellStyle name="Date 12 47" xfId="22320"/>
    <cellStyle name="Date 12 48" xfId="22321"/>
    <cellStyle name="Date 12 49" xfId="22322"/>
    <cellStyle name="Date 12 5" xfId="22323"/>
    <cellStyle name="Date 12 50" xfId="22324"/>
    <cellStyle name="Date 12 51" xfId="22325"/>
    <cellStyle name="Date 12 52" xfId="22326"/>
    <cellStyle name="Date 12 53" xfId="22327"/>
    <cellStyle name="Date 12 54" xfId="22328"/>
    <cellStyle name="Date 12 55" xfId="22329"/>
    <cellStyle name="Date 12 56" xfId="22330"/>
    <cellStyle name="Date 12 57" xfId="22331"/>
    <cellStyle name="Date 12 58" xfId="22332"/>
    <cellStyle name="Date 12 59" xfId="22333"/>
    <cellStyle name="Date 12 6" xfId="22334"/>
    <cellStyle name="Date 12 60" xfId="22335"/>
    <cellStyle name="Date 12 61" xfId="22336"/>
    <cellStyle name="Date 12 62" xfId="22337"/>
    <cellStyle name="Date 12 63" xfId="22338"/>
    <cellStyle name="Date 12 64" xfId="22339"/>
    <cellStyle name="Date 12 65" xfId="22340"/>
    <cellStyle name="Date 12 66" xfId="22341"/>
    <cellStyle name="Date 12 67" xfId="22342"/>
    <cellStyle name="Date 12 68" xfId="22343"/>
    <cellStyle name="Date 12 69" xfId="22344"/>
    <cellStyle name="Date 12 7" xfId="22345"/>
    <cellStyle name="Date 12 70" xfId="22346"/>
    <cellStyle name="Date 12 71" xfId="22347"/>
    <cellStyle name="Date 12 72" xfId="22348"/>
    <cellStyle name="Date 12 73" xfId="22349"/>
    <cellStyle name="Date 12 74" xfId="22350"/>
    <cellStyle name="Date 12 75" xfId="22351"/>
    <cellStyle name="Date 12 76" xfId="22352"/>
    <cellStyle name="Date 12 77" xfId="22353"/>
    <cellStyle name="Date 12 78" xfId="22354"/>
    <cellStyle name="Date 12 79" xfId="22355"/>
    <cellStyle name="Date 12 8" xfId="22356"/>
    <cellStyle name="Date 12 80" xfId="22357"/>
    <cellStyle name="Date 12 81" xfId="22358"/>
    <cellStyle name="Date 12 82" xfId="22359"/>
    <cellStyle name="Date 12 83" xfId="22360"/>
    <cellStyle name="Date 12 84" xfId="22361"/>
    <cellStyle name="Date 12 85" xfId="22362"/>
    <cellStyle name="Date 12 86" xfId="22363"/>
    <cellStyle name="Date 12 87" xfId="22364"/>
    <cellStyle name="Date 12 88" xfId="22365"/>
    <cellStyle name="Date 12 89" xfId="22366"/>
    <cellStyle name="Date 12 9" xfId="22367"/>
    <cellStyle name="Date 12 90" xfId="22368"/>
    <cellStyle name="Date 12 91" xfId="22369"/>
    <cellStyle name="Date 12 92" xfId="22370"/>
    <cellStyle name="Date 12 93" xfId="22371"/>
    <cellStyle name="Date 12 94" xfId="22372"/>
    <cellStyle name="Date 12 95" xfId="22373"/>
    <cellStyle name="Date 12 96" xfId="22374"/>
    <cellStyle name="Date 12 97" xfId="22375"/>
    <cellStyle name="Date 12 98" xfId="22376"/>
    <cellStyle name="Date 12 99" xfId="22377"/>
    <cellStyle name="Date 12_NYMEX FUTURES" xfId="22378"/>
    <cellStyle name="Date 13" xfId="22379"/>
    <cellStyle name="Date 13 10" xfId="22380"/>
    <cellStyle name="Date 13 100" xfId="22381"/>
    <cellStyle name="Date 13 101" xfId="22382"/>
    <cellStyle name="Date 13 102" xfId="22383"/>
    <cellStyle name="Date 13 103" xfId="22384"/>
    <cellStyle name="Date 13 104" xfId="22385"/>
    <cellStyle name="Date 13 105" xfId="22386"/>
    <cellStyle name="Date 13 106" xfId="22387"/>
    <cellStyle name="Date 13 107" xfId="22388"/>
    <cellStyle name="Date 13 108" xfId="22389"/>
    <cellStyle name="Date 13 109" xfId="22390"/>
    <cellStyle name="Date 13 11" xfId="22391"/>
    <cellStyle name="Date 13 110" xfId="22392"/>
    <cellStyle name="Date 13 111" xfId="22393"/>
    <cellStyle name="Date 13 112" xfId="22394"/>
    <cellStyle name="Date 13 113" xfId="22395"/>
    <cellStyle name="Date 13 114" xfId="22396"/>
    <cellStyle name="Date 13 115" xfId="22397"/>
    <cellStyle name="Date 13 116" xfId="22398"/>
    <cellStyle name="Date 13 12" xfId="22399"/>
    <cellStyle name="Date 13 13" xfId="22400"/>
    <cellStyle name="Date 13 14" xfId="22401"/>
    <cellStyle name="Date 13 15" xfId="22402"/>
    <cellStyle name="Date 13 16" xfId="22403"/>
    <cellStyle name="Date 13 17" xfId="22404"/>
    <cellStyle name="Date 13 18" xfId="22405"/>
    <cellStyle name="Date 13 19" xfId="22406"/>
    <cellStyle name="Date 13 2" xfId="22407"/>
    <cellStyle name="Date 13 20" xfId="22408"/>
    <cellStyle name="Date 13 21" xfId="22409"/>
    <cellStyle name="Date 13 22" xfId="22410"/>
    <cellStyle name="Date 13 23" xfId="22411"/>
    <cellStyle name="Date 13 24" xfId="22412"/>
    <cellStyle name="Date 13 25" xfId="22413"/>
    <cellStyle name="Date 13 26" xfId="22414"/>
    <cellStyle name="Date 13 27" xfId="22415"/>
    <cellStyle name="Date 13 28" xfId="22416"/>
    <cellStyle name="Date 13 29" xfId="22417"/>
    <cellStyle name="Date 13 3" xfId="22418"/>
    <cellStyle name="Date 13 30" xfId="22419"/>
    <cellStyle name="Date 13 31" xfId="22420"/>
    <cellStyle name="Date 13 32" xfId="22421"/>
    <cellStyle name="Date 13 33" xfId="22422"/>
    <cellStyle name="Date 13 34" xfId="22423"/>
    <cellStyle name="Date 13 35" xfId="22424"/>
    <cellStyle name="Date 13 36" xfId="22425"/>
    <cellStyle name="Date 13 37" xfId="22426"/>
    <cellStyle name="Date 13 38" xfId="22427"/>
    <cellStyle name="Date 13 39" xfId="22428"/>
    <cellStyle name="Date 13 4" xfId="22429"/>
    <cellStyle name="Date 13 40" xfId="22430"/>
    <cellStyle name="Date 13 41" xfId="22431"/>
    <cellStyle name="Date 13 42" xfId="22432"/>
    <cellStyle name="Date 13 43" xfId="22433"/>
    <cellStyle name="Date 13 44" xfId="22434"/>
    <cellStyle name="Date 13 45" xfId="22435"/>
    <cellStyle name="Date 13 46" xfId="22436"/>
    <cellStyle name="Date 13 47" xfId="22437"/>
    <cellStyle name="Date 13 48" xfId="22438"/>
    <cellStyle name="Date 13 49" xfId="22439"/>
    <cellStyle name="Date 13 5" xfId="22440"/>
    <cellStyle name="Date 13 50" xfId="22441"/>
    <cellStyle name="Date 13 51" xfId="22442"/>
    <cellStyle name="Date 13 52" xfId="22443"/>
    <cellStyle name="Date 13 53" xfId="22444"/>
    <cellStyle name="Date 13 54" xfId="22445"/>
    <cellStyle name="Date 13 55" xfId="22446"/>
    <cellStyle name="Date 13 56" xfId="22447"/>
    <cellStyle name="Date 13 57" xfId="22448"/>
    <cellStyle name="Date 13 58" xfId="22449"/>
    <cellStyle name="Date 13 59" xfId="22450"/>
    <cellStyle name="Date 13 6" xfId="22451"/>
    <cellStyle name="Date 13 60" xfId="22452"/>
    <cellStyle name="Date 13 61" xfId="22453"/>
    <cellStyle name="Date 13 62" xfId="22454"/>
    <cellStyle name="Date 13 63" xfId="22455"/>
    <cellStyle name="Date 13 64" xfId="22456"/>
    <cellStyle name="Date 13 65" xfId="22457"/>
    <cellStyle name="Date 13 66" xfId="22458"/>
    <cellStyle name="Date 13 67" xfId="22459"/>
    <cellStyle name="Date 13 68" xfId="22460"/>
    <cellStyle name="Date 13 69" xfId="22461"/>
    <cellStyle name="Date 13 7" xfId="22462"/>
    <cellStyle name="Date 13 70" xfId="22463"/>
    <cellStyle name="Date 13 71" xfId="22464"/>
    <cellStyle name="Date 13 72" xfId="22465"/>
    <cellStyle name="Date 13 73" xfId="22466"/>
    <cellStyle name="Date 13 74" xfId="22467"/>
    <cellStyle name="Date 13 75" xfId="22468"/>
    <cellStyle name="Date 13 76" xfId="22469"/>
    <cellStyle name="Date 13 77" xfId="22470"/>
    <cellStyle name="Date 13 78" xfId="22471"/>
    <cellStyle name="Date 13 79" xfId="22472"/>
    <cellStyle name="Date 13 8" xfId="22473"/>
    <cellStyle name="Date 13 80" xfId="22474"/>
    <cellStyle name="Date 13 81" xfId="22475"/>
    <cellStyle name="Date 13 82" xfId="22476"/>
    <cellStyle name="Date 13 83" xfId="22477"/>
    <cellStyle name="Date 13 84" xfId="22478"/>
    <cellStyle name="Date 13 85" xfId="22479"/>
    <cellStyle name="Date 13 86" xfId="22480"/>
    <cellStyle name="Date 13 87" xfId="22481"/>
    <cellStyle name="Date 13 88" xfId="22482"/>
    <cellStyle name="Date 13 89" xfId="22483"/>
    <cellStyle name="Date 13 9" xfId="22484"/>
    <cellStyle name="Date 13 90" xfId="22485"/>
    <cellStyle name="Date 13 91" xfId="22486"/>
    <cellStyle name="Date 13 92" xfId="22487"/>
    <cellStyle name="Date 13 93" xfId="22488"/>
    <cellStyle name="Date 13 94" xfId="22489"/>
    <cellStyle name="Date 13 95" xfId="22490"/>
    <cellStyle name="Date 13 96" xfId="22491"/>
    <cellStyle name="Date 13 97" xfId="22492"/>
    <cellStyle name="Date 13 98" xfId="22493"/>
    <cellStyle name="Date 13 99" xfId="22494"/>
    <cellStyle name="Date 13_NYMEX FUTURES" xfId="22495"/>
    <cellStyle name="Date 14" xfId="22496"/>
    <cellStyle name="Date 14 10" xfId="22497"/>
    <cellStyle name="Date 14 100" xfId="22498"/>
    <cellStyle name="Date 14 101" xfId="22499"/>
    <cellStyle name="Date 14 102" xfId="22500"/>
    <cellStyle name="Date 14 103" xfId="22501"/>
    <cellStyle name="Date 14 104" xfId="22502"/>
    <cellStyle name="Date 14 105" xfId="22503"/>
    <cellStyle name="Date 14 106" xfId="22504"/>
    <cellStyle name="Date 14 107" xfId="22505"/>
    <cellStyle name="Date 14 108" xfId="22506"/>
    <cellStyle name="Date 14 109" xfId="22507"/>
    <cellStyle name="Date 14 11" xfId="22508"/>
    <cellStyle name="Date 14 110" xfId="22509"/>
    <cellStyle name="Date 14 111" xfId="22510"/>
    <cellStyle name="Date 14 112" xfId="22511"/>
    <cellStyle name="Date 14 113" xfId="22512"/>
    <cellStyle name="Date 14 114" xfId="22513"/>
    <cellStyle name="Date 14 115" xfId="22514"/>
    <cellStyle name="Date 14 116" xfId="22515"/>
    <cellStyle name="Date 14 12" xfId="22516"/>
    <cellStyle name="Date 14 13" xfId="22517"/>
    <cellStyle name="Date 14 14" xfId="22518"/>
    <cellStyle name="Date 14 15" xfId="22519"/>
    <cellStyle name="Date 14 16" xfId="22520"/>
    <cellStyle name="Date 14 17" xfId="22521"/>
    <cellStyle name="Date 14 18" xfId="22522"/>
    <cellStyle name="Date 14 19" xfId="22523"/>
    <cellStyle name="Date 14 2" xfId="22524"/>
    <cellStyle name="Date 14 20" xfId="22525"/>
    <cellStyle name="Date 14 21" xfId="22526"/>
    <cellStyle name="Date 14 22" xfId="22527"/>
    <cellStyle name="Date 14 23" xfId="22528"/>
    <cellStyle name="Date 14 24" xfId="22529"/>
    <cellStyle name="Date 14 25" xfId="22530"/>
    <cellStyle name="Date 14 26" xfId="22531"/>
    <cellStyle name="Date 14 27" xfId="22532"/>
    <cellStyle name="Date 14 28" xfId="22533"/>
    <cellStyle name="Date 14 29" xfId="22534"/>
    <cellStyle name="Date 14 3" xfId="22535"/>
    <cellStyle name="Date 14 30" xfId="22536"/>
    <cellStyle name="Date 14 31" xfId="22537"/>
    <cellStyle name="Date 14 32" xfId="22538"/>
    <cellStyle name="Date 14 33" xfId="22539"/>
    <cellStyle name="Date 14 34" xfId="22540"/>
    <cellStyle name="Date 14 35" xfId="22541"/>
    <cellStyle name="Date 14 36" xfId="22542"/>
    <cellStyle name="Date 14 37" xfId="22543"/>
    <cellStyle name="Date 14 38" xfId="22544"/>
    <cellStyle name="Date 14 39" xfId="22545"/>
    <cellStyle name="Date 14 4" xfId="22546"/>
    <cellStyle name="Date 14 40" xfId="22547"/>
    <cellStyle name="Date 14 41" xfId="22548"/>
    <cellStyle name="Date 14 42" xfId="22549"/>
    <cellStyle name="Date 14 43" xfId="22550"/>
    <cellStyle name="Date 14 44" xfId="22551"/>
    <cellStyle name="Date 14 45" xfId="22552"/>
    <cellStyle name="Date 14 46" xfId="22553"/>
    <cellStyle name="Date 14 47" xfId="22554"/>
    <cellStyle name="Date 14 48" xfId="22555"/>
    <cellStyle name="Date 14 49" xfId="22556"/>
    <cellStyle name="Date 14 5" xfId="22557"/>
    <cellStyle name="Date 14 50" xfId="22558"/>
    <cellStyle name="Date 14 51" xfId="22559"/>
    <cellStyle name="Date 14 52" xfId="22560"/>
    <cellStyle name="Date 14 53" xfId="22561"/>
    <cellStyle name="Date 14 54" xfId="22562"/>
    <cellStyle name="Date 14 55" xfId="22563"/>
    <cellStyle name="Date 14 56" xfId="22564"/>
    <cellStyle name="Date 14 57" xfId="22565"/>
    <cellStyle name="Date 14 58" xfId="22566"/>
    <cellStyle name="Date 14 59" xfId="22567"/>
    <cellStyle name="Date 14 6" xfId="22568"/>
    <cellStyle name="Date 14 60" xfId="22569"/>
    <cellStyle name="Date 14 61" xfId="22570"/>
    <cellStyle name="Date 14 62" xfId="22571"/>
    <cellStyle name="Date 14 63" xfId="22572"/>
    <cellStyle name="Date 14 64" xfId="22573"/>
    <cellStyle name="Date 14 65" xfId="22574"/>
    <cellStyle name="Date 14 66" xfId="22575"/>
    <cellStyle name="Date 14 67" xfId="22576"/>
    <cellStyle name="Date 14 68" xfId="22577"/>
    <cellStyle name="Date 14 69" xfId="22578"/>
    <cellStyle name="Date 14 7" xfId="22579"/>
    <cellStyle name="Date 14 70" xfId="22580"/>
    <cellStyle name="Date 14 71" xfId="22581"/>
    <cellStyle name="Date 14 72" xfId="22582"/>
    <cellStyle name="Date 14 73" xfId="22583"/>
    <cellStyle name="Date 14 74" xfId="22584"/>
    <cellStyle name="Date 14 75" xfId="22585"/>
    <cellStyle name="Date 14 76" xfId="22586"/>
    <cellStyle name="Date 14 77" xfId="22587"/>
    <cellStyle name="Date 14 78" xfId="22588"/>
    <cellStyle name="Date 14 79" xfId="22589"/>
    <cellStyle name="Date 14 8" xfId="22590"/>
    <cellStyle name="Date 14 80" xfId="22591"/>
    <cellStyle name="Date 14 81" xfId="22592"/>
    <cellStyle name="Date 14 82" xfId="22593"/>
    <cellStyle name="Date 14 83" xfId="22594"/>
    <cellStyle name="Date 14 84" xfId="22595"/>
    <cellStyle name="Date 14 85" xfId="22596"/>
    <cellStyle name="Date 14 86" xfId="22597"/>
    <cellStyle name="Date 14 87" xfId="22598"/>
    <cellStyle name="Date 14 88" xfId="22599"/>
    <cellStyle name="Date 14 89" xfId="22600"/>
    <cellStyle name="Date 14 9" xfId="22601"/>
    <cellStyle name="Date 14 90" xfId="22602"/>
    <cellStyle name="Date 14 91" xfId="22603"/>
    <cellStyle name="Date 14 92" xfId="22604"/>
    <cellStyle name="Date 14 93" xfId="22605"/>
    <cellStyle name="Date 14 94" xfId="22606"/>
    <cellStyle name="Date 14 95" xfId="22607"/>
    <cellStyle name="Date 14 96" xfId="22608"/>
    <cellStyle name="Date 14 97" xfId="22609"/>
    <cellStyle name="Date 14 98" xfId="22610"/>
    <cellStyle name="Date 14 99" xfId="22611"/>
    <cellStyle name="Date 14_NYMEX FUTURES" xfId="22612"/>
    <cellStyle name="Date 15" xfId="22613"/>
    <cellStyle name="Date 16" xfId="22614"/>
    <cellStyle name="Date 17" xfId="22615"/>
    <cellStyle name="Date 18" xfId="22616"/>
    <cellStyle name="Date 2" xfId="295"/>
    <cellStyle name="Date 2 10" xfId="22617"/>
    <cellStyle name="Date 2 100" xfId="22618"/>
    <cellStyle name="Date 2 101" xfId="22619"/>
    <cellStyle name="Date 2 102" xfId="22620"/>
    <cellStyle name="Date 2 103" xfId="22621"/>
    <cellStyle name="Date 2 104" xfId="22622"/>
    <cellStyle name="Date 2 105" xfId="22623"/>
    <cellStyle name="Date 2 106" xfId="22624"/>
    <cellStyle name="Date 2 107" xfId="22625"/>
    <cellStyle name="Date 2 108" xfId="22626"/>
    <cellStyle name="Date 2 109" xfId="22627"/>
    <cellStyle name="Date 2 11" xfId="22628"/>
    <cellStyle name="Date 2 110" xfId="22629"/>
    <cellStyle name="Date 2 111" xfId="22630"/>
    <cellStyle name="Date 2 112" xfId="22631"/>
    <cellStyle name="Date 2 113" xfId="22632"/>
    <cellStyle name="Date 2 114" xfId="22633"/>
    <cellStyle name="Date 2 115" xfId="22634"/>
    <cellStyle name="Date 2 116" xfId="22635"/>
    <cellStyle name="Date 2 117" xfId="22636"/>
    <cellStyle name="Date 2 12" xfId="22637"/>
    <cellStyle name="Date 2 13" xfId="22638"/>
    <cellStyle name="Date 2 14" xfId="22639"/>
    <cellStyle name="Date 2 15" xfId="22640"/>
    <cellStyle name="Date 2 16" xfId="22641"/>
    <cellStyle name="Date 2 17" xfId="22642"/>
    <cellStyle name="Date 2 18" xfId="22643"/>
    <cellStyle name="Date 2 19" xfId="22644"/>
    <cellStyle name="Date 2 2" xfId="1207"/>
    <cellStyle name="Date 2 2 2" xfId="22645"/>
    <cellStyle name="Date 2 20" xfId="22646"/>
    <cellStyle name="Date 2 21" xfId="22647"/>
    <cellStyle name="Date 2 22" xfId="22648"/>
    <cellStyle name="Date 2 23" xfId="22649"/>
    <cellStyle name="Date 2 24" xfId="22650"/>
    <cellStyle name="Date 2 25" xfId="22651"/>
    <cellStyle name="Date 2 26" xfId="22652"/>
    <cellStyle name="Date 2 27" xfId="22653"/>
    <cellStyle name="Date 2 28" xfId="22654"/>
    <cellStyle name="Date 2 29" xfId="22655"/>
    <cellStyle name="Date 2 3" xfId="22656"/>
    <cellStyle name="Date 2 30" xfId="22657"/>
    <cellStyle name="Date 2 31" xfId="22658"/>
    <cellStyle name="Date 2 32" xfId="22659"/>
    <cellStyle name="Date 2 33" xfId="22660"/>
    <cellStyle name="Date 2 34" xfId="22661"/>
    <cellStyle name="Date 2 35" xfId="22662"/>
    <cellStyle name="Date 2 36" xfId="22663"/>
    <cellStyle name="Date 2 37" xfId="22664"/>
    <cellStyle name="Date 2 38" xfId="22665"/>
    <cellStyle name="Date 2 39" xfId="22666"/>
    <cellStyle name="Date 2 4" xfId="22667"/>
    <cellStyle name="Date 2 40" xfId="22668"/>
    <cellStyle name="Date 2 41" xfId="22669"/>
    <cellStyle name="Date 2 42" xfId="22670"/>
    <cellStyle name="Date 2 43" xfId="22671"/>
    <cellStyle name="Date 2 44" xfId="22672"/>
    <cellStyle name="Date 2 45" xfId="22673"/>
    <cellStyle name="Date 2 46" xfId="22674"/>
    <cellStyle name="Date 2 47" xfId="22675"/>
    <cellStyle name="Date 2 48" xfId="22676"/>
    <cellStyle name="Date 2 49" xfId="22677"/>
    <cellStyle name="Date 2 5" xfId="22678"/>
    <cellStyle name="Date 2 50" xfId="22679"/>
    <cellStyle name="Date 2 51" xfId="22680"/>
    <cellStyle name="Date 2 52" xfId="22681"/>
    <cellStyle name="Date 2 53" xfId="22682"/>
    <cellStyle name="Date 2 54" xfId="22683"/>
    <cellStyle name="Date 2 55" xfId="22684"/>
    <cellStyle name="Date 2 56" xfId="22685"/>
    <cellStyle name="Date 2 57" xfId="22686"/>
    <cellStyle name="Date 2 58" xfId="22687"/>
    <cellStyle name="Date 2 59" xfId="22688"/>
    <cellStyle name="Date 2 6" xfId="22689"/>
    <cellStyle name="Date 2 60" xfId="22690"/>
    <cellStyle name="Date 2 61" xfId="22691"/>
    <cellStyle name="Date 2 62" xfId="22692"/>
    <cellStyle name="Date 2 63" xfId="22693"/>
    <cellStyle name="Date 2 64" xfId="22694"/>
    <cellStyle name="Date 2 65" xfId="22695"/>
    <cellStyle name="Date 2 66" xfId="22696"/>
    <cellStyle name="Date 2 67" xfId="22697"/>
    <cellStyle name="Date 2 68" xfId="22698"/>
    <cellStyle name="Date 2 69" xfId="22699"/>
    <cellStyle name="Date 2 7" xfId="22700"/>
    <cellStyle name="Date 2 70" xfId="22701"/>
    <cellStyle name="Date 2 71" xfId="22702"/>
    <cellStyle name="Date 2 72" xfId="22703"/>
    <cellStyle name="Date 2 73" xfId="22704"/>
    <cellStyle name="Date 2 74" xfId="22705"/>
    <cellStyle name="Date 2 75" xfId="22706"/>
    <cellStyle name="Date 2 76" xfId="22707"/>
    <cellStyle name="Date 2 77" xfId="22708"/>
    <cellStyle name="Date 2 78" xfId="22709"/>
    <cellStyle name="Date 2 79" xfId="22710"/>
    <cellStyle name="Date 2 8" xfId="22711"/>
    <cellStyle name="Date 2 80" xfId="22712"/>
    <cellStyle name="Date 2 81" xfId="22713"/>
    <cellStyle name="Date 2 82" xfId="22714"/>
    <cellStyle name="Date 2 83" xfId="22715"/>
    <cellStyle name="Date 2 84" xfId="22716"/>
    <cellStyle name="Date 2 85" xfId="22717"/>
    <cellStyle name="Date 2 86" xfId="22718"/>
    <cellStyle name="Date 2 87" xfId="22719"/>
    <cellStyle name="Date 2 88" xfId="22720"/>
    <cellStyle name="Date 2 89" xfId="22721"/>
    <cellStyle name="Date 2 9" xfId="22722"/>
    <cellStyle name="Date 2 90" xfId="22723"/>
    <cellStyle name="Date 2 91" xfId="22724"/>
    <cellStyle name="Date 2 92" xfId="22725"/>
    <cellStyle name="Date 2 93" xfId="22726"/>
    <cellStyle name="Date 2 94" xfId="22727"/>
    <cellStyle name="Date 2 95" xfId="22728"/>
    <cellStyle name="Date 2 96" xfId="22729"/>
    <cellStyle name="Date 2 97" xfId="22730"/>
    <cellStyle name="Date 2 98" xfId="22731"/>
    <cellStyle name="Date 2 99" xfId="22732"/>
    <cellStyle name="Date 2_NYMEX FUTURES" xfId="22733"/>
    <cellStyle name="Date 3" xfId="408"/>
    <cellStyle name="Date 3 10" xfId="22734"/>
    <cellStyle name="Date 3 100" xfId="22735"/>
    <cellStyle name="Date 3 101" xfId="22736"/>
    <cellStyle name="Date 3 102" xfId="22737"/>
    <cellStyle name="Date 3 103" xfId="22738"/>
    <cellStyle name="Date 3 104" xfId="22739"/>
    <cellStyle name="Date 3 105" xfId="22740"/>
    <cellStyle name="Date 3 106" xfId="22741"/>
    <cellStyle name="Date 3 107" xfId="22742"/>
    <cellStyle name="Date 3 108" xfId="22743"/>
    <cellStyle name="Date 3 109" xfId="22744"/>
    <cellStyle name="Date 3 11" xfId="22745"/>
    <cellStyle name="Date 3 110" xfId="22746"/>
    <cellStyle name="Date 3 111" xfId="22747"/>
    <cellStyle name="Date 3 112" xfId="22748"/>
    <cellStyle name="Date 3 113" xfId="22749"/>
    <cellStyle name="Date 3 114" xfId="22750"/>
    <cellStyle name="Date 3 115" xfId="22751"/>
    <cellStyle name="Date 3 116" xfId="22752"/>
    <cellStyle name="Date 3 117" xfId="22753"/>
    <cellStyle name="Date 3 12" xfId="22754"/>
    <cellStyle name="Date 3 13" xfId="22755"/>
    <cellStyle name="Date 3 14" xfId="22756"/>
    <cellStyle name="Date 3 15" xfId="22757"/>
    <cellStyle name="Date 3 16" xfId="22758"/>
    <cellStyle name="Date 3 17" xfId="22759"/>
    <cellStyle name="Date 3 18" xfId="22760"/>
    <cellStyle name="Date 3 19" xfId="22761"/>
    <cellStyle name="Date 3 2" xfId="1232"/>
    <cellStyle name="Date 3 2 2" xfId="22762"/>
    <cellStyle name="Date 3 20" xfId="22763"/>
    <cellStyle name="Date 3 21" xfId="22764"/>
    <cellStyle name="Date 3 22" xfId="22765"/>
    <cellStyle name="Date 3 23" xfId="22766"/>
    <cellStyle name="Date 3 24" xfId="22767"/>
    <cellStyle name="Date 3 25" xfId="22768"/>
    <cellStyle name="Date 3 26" xfId="22769"/>
    <cellStyle name="Date 3 27" xfId="22770"/>
    <cellStyle name="Date 3 28" xfId="22771"/>
    <cellStyle name="Date 3 29" xfId="22772"/>
    <cellStyle name="Date 3 3" xfId="22773"/>
    <cellStyle name="Date 3 30" xfId="22774"/>
    <cellStyle name="Date 3 31" xfId="22775"/>
    <cellStyle name="Date 3 32" xfId="22776"/>
    <cellStyle name="Date 3 33" xfId="22777"/>
    <cellStyle name="Date 3 34" xfId="22778"/>
    <cellStyle name="Date 3 35" xfId="22779"/>
    <cellStyle name="Date 3 36" xfId="22780"/>
    <cellStyle name="Date 3 37" xfId="22781"/>
    <cellStyle name="Date 3 38" xfId="22782"/>
    <cellStyle name="Date 3 39" xfId="22783"/>
    <cellStyle name="Date 3 4" xfId="22784"/>
    <cellStyle name="Date 3 40" xfId="22785"/>
    <cellStyle name="Date 3 41" xfId="22786"/>
    <cellStyle name="Date 3 42" xfId="22787"/>
    <cellStyle name="Date 3 43" xfId="22788"/>
    <cellStyle name="Date 3 44" xfId="22789"/>
    <cellStyle name="Date 3 45" xfId="22790"/>
    <cellStyle name="Date 3 46" xfId="22791"/>
    <cellStyle name="Date 3 47" xfId="22792"/>
    <cellStyle name="Date 3 48" xfId="22793"/>
    <cellStyle name="Date 3 49" xfId="22794"/>
    <cellStyle name="Date 3 5" xfId="22795"/>
    <cellStyle name="Date 3 50" xfId="22796"/>
    <cellStyle name="Date 3 51" xfId="22797"/>
    <cellStyle name="Date 3 52" xfId="22798"/>
    <cellStyle name="Date 3 53" xfId="22799"/>
    <cellStyle name="Date 3 54" xfId="22800"/>
    <cellStyle name="Date 3 55" xfId="22801"/>
    <cellStyle name="Date 3 56" xfId="22802"/>
    <cellStyle name="Date 3 57" xfId="22803"/>
    <cellStyle name="Date 3 58" xfId="22804"/>
    <cellStyle name="Date 3 59" xfId="22805"/>
    <cellStyle name="Date 3 6" xfId="22806"/>
    <cellStyle name="Date 3 60" xfId="22807"/>
    <cellStyle name="Date 3 61" xfId="22808"/>
    <cellStyle name="Date 3 62" xfId="22809"/>
    <cellStyle name="Date 3 63" xfId="22810"/>
    <cellStyle name="Date 3 64" xfId="22811"/>
    <cellStyle name="Date 3 65" xfId="22812"/>
    <cellStyle name="Date 3 66" xfId="22813"/>
    <cellStyle name="Date 3 67" xfId="22814"/>
    <cellStyle name="Date 3 68" xfId="22815"/>
    <cellStyle name="Date 3 69" xfId="22816"/>
    <cellStyle name="Date 3 7" xfId="22817"/>
    <cellStyle name="Date 3 70" xfId="22818"/>
    <cellStyle name="Date 3 71" xfId="22819"/>
    <cellStyle name="Date 3 72" xfId="22820"/>
    <cellStyle name="Date 3 73" xfId="22821"/>
    <cellStyle name="Date 3 74" xfId="22822"/>
    <cellStyle name="Date 3 75" xfId="22823"/>
    <cellStyle name="Date 3 76" xfId="22824"/>
    <cellStyle name="Date 3 77" xfId="22825"/>
    <cellStyle name="Date 3 78" xfId="22826"/>
    <cellStyle name="Date 3 79" xfId="22827"/>
    <cellStyle name="Date 3 8" xfId="22828"/>
    <cellStyle name="Date 3 80" xfId="22829"/>
    <cellStyle name="Date 3 81" xfId="22830"/>
    <cellStyle name="Date 3 82" xfId="22831"/>
    <cellStyle name="Date 3 83" xfId="22832"/>
    <cellStyle name="Date 3 84" xfId="22833"/>
    <cellStyle name="Date 3 85" xfId="22834"/>
    <cellStyle name="Date 3 86" xfId="22835"/>
    <cellStyle name="Date 3 87" xfId="22836"/>
    <cellStyle name="Date 3 88" xfId="22837"/>
    <cellStyle name="Date 3 89" xfId="22838"/>
    <cellStyle name="Date 3 9" xfId="22839"/>
    <cellStyle name="Date 3 90" xfId="22840"/>
    <cellStyle name="Date 3 91" xfId="22841"/>
    <cellStyle name="Date 3 92" xfId="22842"/>
    <cellStyle name="Date 3 93" xfId="22843"/>
    <cellStyle name="Date 3 94" xfId="22844"/>
    <cellStyle name="Date 3 95" xfId="22845"/>
    <cellStyle name="Date 3 96" xfId="22846"/>
    <cellStyle name="Date 3 97" xfId="22847"/>
    <cellStyle name="Date 3 98" xfId="22848"/>
    <cellStyle name="Date 3 99" xfId="22849"/>
    <cellStyle name="Date 3_NYMEX FUTURES" xfId="22850"/>
    <cellStyle name="Date 4" xfId="794"/>
    <cellStyle name="Date 4 10" xfId="22851"/>
    <cellStyle name="Date 4 100" xfId="22852"/>
    <cellStyle name="Date 4 101" xfId="22853"/>
    <cellStyle name="Date 4 102" xfId="22854"/>
    <cellStyle name="Date 4 103" xfId="22855"/>
    <cellStyle name="Date 4 104" xfId="22856"/>
    <cellStyle name="Date 4 105" xfId="22857"/>
    <cellStyle name="Date 4 106" xfId="22858"/>
    <cellStyle name="Date 4 107" xfId="22859"/>
    <cellStyle name="Date 4 108" xfId="22860"/>
    <cellStyle name="Date 4 109" xfId="22861"/>
    <cellStyle name="Date 4 11" xfId="22862"/>
    <cellStyle name="Date 4 110" xfId="22863"/>
    <cellStyle name="Date 4 111" xfId="22864"/>
    <cellStyle name="Date 4 112" xfId="22865"/>
    <cellStyle name="Date 4 113" xfId="22866"/>
    <cellStyle name="Date 4 114" xfId="22867"/>
    <cellStyle name="Date 4 115" xfId="22868"/>
    <cellStyle name="Date 4 116" xfId="22869"/>
    <cellStyle name="Date 4 117" xfId="22870"/>
    <cellStyle name="Date 4 12" xfId="22871"/>
    <cellStyle name="Date 4 13" xfId="22872"/>
    <cellStyle name="Date 4 14" xfId="22873"/>
    <cellStyle name="Date 4 15" xfId="22874"/>
    <cellStyle name="Date 4 16" xfId="22875"/>
    <cellStyle name="Date 4 17" xfId="22876"/>
    <cellStyle name="Date 4 18" xfId="22877"/>
    <cellStyle name="Date 4 19" xfId="22878"/>
    <cellStyle name="Date 4 2" xfId="1327"/>
    <cellStyle name="Date 4 2 2" xfId="22879"/>
    <cellStyle name="Date 4 20" xfId="22880"/>
    <cellStyle name="Date 4 21" xfId="22881"/>
    <cellStyle name="Date 4 22" xfId="22882"/>
    <cellStyle name="Date 4 23" xfId="22883"/>
    <cellStyle name="Date 4 24" xfId="22884"/>
    <cellStyle name="Date 4 25" xfId="22885"/>
    <cellStyle name="Date 4 26" xfId="22886"/>
    <cellStyle name="Date 4 27" xfId="22887"/>
    <cellStyle name="Date 4 28" xfId="22888"/>
    <cellStyle name="Date 4 29" xfId="22889"/>
    <cellStyle name="Date 4 3" xfId="22890"/>
    <cellStyle name="Date 4 30" xfId="22891"/>
    <cellStyle name="Date 4 31" xfId="22892"/>
    <cellStyle name="Date 4 32" xfId="22893"/>
    <cellStyle name="Date 4 33" xfId="22894"/>
    <cellStyle name="Date 4 34" xfId="22895"/>
    <cellStyle name="Date 4 35" xfId="22896"/>
    <cellStyle name="Date 4 36" xfId="22897"/>
    <cellStyle name="Date 4 37" xfId="22898"/>
    <cellStyle name="Date 4 38" xfId="22899"/>
    <cellStyle name="Date 4 39" xfId="22900"/>
    <cellStyle name="Date 4 4" xfId="22901"/>
    <cellStyle name="Date 4 40" xfId="22902"/>
    <cellStyle name="Date 4 41" xfId="22903"/>
    <cellStyle name="Date 4 42" xfId="22904"/>
    <cellStyle name="Date 4 43" xfId="22905"/>
    <cellStyle name="Date 4 44" xfId="22906"/>
    <cellStyle name="Date 4 45" xfId="22907"/>
    <cellStyle name="Date 4 46" xfId="22908"/>
    <cellStyle name="Date 4 47" xfId="22909"/>
    <cellStyle name="Date 4 48" xfId="22910"/>
    <cellStyle name="Date 4 49" xfId="22911"/>
    <cellStyle name="Date 4 5" xfId="22912"/>
    <cellStyle name="Date 4 50" xfId="22913"/>
    <cellStyle name="Date 4 51" xfId="22914"/>
    <cellStyle name="Date 4 52" xfId="22915"/>
    <cellStyle name="Date 4 53" xfId="22916"/>
    <cellStyle name="Date 4 54" xfId="22917"/>
    <cellStyle name="Date 4 55" xfId="22918"/>
    <cellStyle name="Date 4 56" xfId="22919"/>
    <cellStyle name="Date 4 57" xfId="22920"/>
    <cellStyle name="Date 4 58" xfId="22921"/>
    <cellStyle name="Date 4 59" xfId="22922"/>
    <cellStyle name="Date 4 6" xfId="22923"/>
    <cellStyle name="Date 4 60" xfId="22924"/>
    <cellStyle name="Date 4 61" xfId="22925"/>
    <cellStyle name="Date 4 62" xfId="22926"/>
    <cellStyle name="Date 4 63" xfId="22927"/>
    <cellStyle name="Date 4 64" xfId="22928"/>
    <cellStyle name="Date 4 65" xfId="22929"/>
    <cellStyle name="Date 4 66" xfId="22930"/>
    <cellStyle name="Date 4 67" xfId="22931"/>
    <cellStyle name="Date 4 68" xfId="22932"/>
    <cellStyle name="Date 4 69" xfId="22933"/>
    <cellStyle name="Date 4 7" xfId="22934"/>
    <cellStyle name="Date 4 70" xfId="22935"/>
    <cellStyle name="Date 4 71" xfId="22936"/>
    <cellStyle name="Date 4 72" xfId="22937"/>
    <cellStyle name="Date 4 73" xfId="22938"/>
    <cellStyle name="Date 4 74" xfId="22939"/>
    <cellStyle name="Date 4 75" xfId="22940"/>
    <cellStyle name="Date 4 76" xfId="22941"/>
    <cellStyle name="Date 4 77" xfId="22942"/>
    <cellStyle name="Date 4 78" xfId="22943"/>
    <cellStyle name="Date 4 79" xfId="22944"/>
    <cellStyle name="Date 4 8" xfId="22945"/>
    <cellStyle name="Date 4 80" xfId="22946"/>
    <cellStyle name="Date 4 81" xfId="22947"/>
    <cellStyle name="Date 4 82" xfId="22948"/>
    <cellStyle name="Date 4 83" xfId="22949"/>
    <cellStyle name="Date 4 84" xfId="22950"/>
    <cellStyle name="Date 4 85" xfId="22951"/>
    <cellStyle name="Date 4 86" xfId="22952"/>
    <cellStyle name="Date 4 87" xfId="22953"/>
    <cellStyle name="Date 4 88" xfId="22954"/>
    <cellStyle name="Date 4 89" xfId="22955"/>
    <cellStyle name="Date 4 9" xfId="22956"/>
    <cellStyle name="Date 4 90" xfId="22957"/>
    <cellStyle name="Date 4 91" xfId="22958"/>
    <cellStyle name="Date 4 92" xfId="22959"/>
    <cellStyle name="Date 4 93" xfId="22960"/>
    <cellStyle name="Date 4 94" xfId="22961"/>
    <cellStyle name="Date 4 95" xfId="22962"/>
    <cellStyle name="Date 4 96" xfId="22963"/>
    <cellStyle name="Date 4 97" xfId="22964"/>
    <cellStyle name="Date 4 98" xfId="22965"/>
    <cellStyle name="Date 4 99" xfId="22966"/>
    <cellStyle name="Date 4_NYMEX FUTURES" xfId="22967"/>
    <cellStyle name="Date 5" xfId="22968"/>
    <cellStyle name="Date 5 10" xfId="22969"/>
    <cellStyle name="Date 5 100" xfId="22970"/>
    <cellStyle name="Date 5 101" xfId="22971"/>
    <cellStyle name="Date 5 102" xfId="22972"/>
    <cellStyle name="Date 5 103" xfId="22973"/>
    <cellStyle name="Date 5 104" xfId="22974"/>
    <cellStyle name="Date 5 105" xfId="22975"/>
    <cellStyle name="Date 5 106" xfId="22976"/>
    <cellStyle name="Date 5 107" xfId="22977"/>
    <cellStyle name="Date 5 108" xfId="22978"/>
    <cellStyle name="Date 5 109" xfId="22979"/>
    <cellStyle name="Date 5 11" xfId="22980"/>
    <cellStyle name="Date 5 110" xfId="22981"/>
    <cellStyle name="Date 5 111" xfId="22982"/>
    <cellStyle name="Date 5 112" xfId="22983"/>
    <cellStyle name="Date 5 113" xfId="22984"/>
    <cellStyle name="Date 5 114" xfId="22985"/>
    <cellStyle name="Date 5 115" xfId="22986"/>
    <cellStyle name="Date 5 116" xfId="22987"/>
    <cellStyle name="Date 5 12" xfId="22988"/>
    <cellStyle name="Date 5 13" xfId="22989"/>
    <cellStyle name="Date 5 14" xfId="22990"/>
    <cellStyle name="Date 5 15" xfId="22991"/>
    <cellStyle name="Date 5 16" xfId="22992"/>
    <cellStyle name="Date 5 17" xfId="22993"/>
    <cellStyle name="Date 5 18" xfId="22994"/>
    <cellStyle name="Date 5 19" xfId="22995"/>
    <cellStyle name="Date 5 2" xfId="22996"/>
    <cellStyle name="Date 5 20" xfId="22997"/>
    <cellStyle name="Date 5 21" xfId="22998"/>
    <cellStyle name="Date 5 22" xfId="22999"/>
    <cellStyle name="Date 5 23" xfId="23000"/>
    <cellStyle name="Date 5 24" xfId="23001"/>
    <cellStyle name="Date 5 25" xfId="23002"/>
    <cellStyle name="Date 5 26" xfId="23003"/>
    <cellStyle name="Date 5 27" xfId="23004"/>
    <cellStyle name="Date 5 28" xfId="23005"/>
    <cellStyle name="Date 5 29" xfId="23006"/>
    <cellStyle name="Date 5 3" xfId="23007"/>
    <cellStyle name="Date 5 30" xfId="23008"/>
    <cellStyle name="Date 5 31" xfId="23009"/>
    <cellStyle name="Date 5 31 2" xfId="23010"/>
    <cellStyle name="Date 5 32" xfId="23011"/>
    <cellStyle name="Date 5 32 2" xfId="23012"/>
    <cellStyle name="Date 5 33" xfId="23013"/>
    <cellStyle name="Date 5 33 2" xfId="23014"/>
    <cellStyle name="Date 5 34" xfId="23015"/>
    <cellStyle name="Date 5 34 2" xfId="23016"/>
    <cellStyle name="Date 5 35" xfId="23017"/>
    <cellStyle name="Date 5 35 2" xfId="23018"/>
    <cellStyle name="Date 5 36" xfId="23019"/>
    <cellStyle name="Date 5 36 2" xfId="23020"/>
    <cellStyle name="Date 5 37" xfId="23021"/>
    <cellStyle name="Date 5 37 2" xfId="23022"/>
    <cellStyle name="Date 5 38" xfId="23023"/>
    <cellStyle name="Date 5 38 2" xfId="23024"/>
    <cellStyle name="Date 5 39" xfId="23025"/>
    <cellStyle name="Date 5 39 2" xfId="23026"/>
    <cellStyle name="Date 5 4" xfId="23027"/>
    <cellStyle name="Date 5 4 2" xfId="23028"/>
    <cellStyle name="Date 5 40" xfId="23029"/>
    <cellStyle name="Date 5 40 2" xfId="23030"/>
    <cellStyle name="Date 5 41" xfId="23031"/>
    <cellStyle name="Date 5 41 2" xfId="23032"/>
    <cellStyle name="Date 5 42" xfId="23033"/>
    <cellStyle name="Date 5 42 2" xfId="23034"/>
    <cellStyle name="Date 5 43" xfId="23035"/>
    <cellStyle name="Date 5 43 2" xfId="23036"/>
    <cellStyle name="Date 5 44" xfId="23037"/>
    <cellStyle name="Date 5 44 2" xfId="23038"/>
    <cellStyle name="Date 5 45" xfId="23039"/>
    <cellStyle name="Date 5 45 2" xfId="23040"/>
    <cellStyle name="Date 5 46" xfId="23041"/>
    <cellStyle name="Date 5 46 2" xfId="23042"/>
    <cellStyle name="Date 5 47" xfId="23043"/>
    <cellStyle name="Date 5 47 2" xfId="23044"/>
    <cellStyle name="Date 5 48" xfId="23045"/>
    <cellStyle name="Date 5 48 2" xfId="23046"/>
    <cellStyle name="Date 5 49" xfId="23047"/>
    <cellStyle name="Date 5 49 2" xfId="23048"/>
    <cellStyle name="Date 5 5" xfId="23049"/>
    <cellStyle name="Date 5 5 2" xfId="23050"/>
    <cellStyle name="Date 5 50" xfId="23051"/>
    <cellStyle name="Date 5 50 2" xfId="23052"/>
    <cellStyle name="Date 5 51" xfId="23053"/>
    <cellStyle name="Date 5 51 2" xfId="23054"/>
    <cellStyle name="Date 5 52" xfId="23055"/>
    <cellStyle name="Date 5 52 2" xfId="23056"/>
    <cellStyle name="Date 5 53" xfId="23057"/>
    <cellStyle name="Date 5 54" xfId="23058"/>
    <cellStyle name="Date 5 55" xfId="23059"/>
    <cellStyle name="Date 5 56" xfId="23060"/>
    <cellStyle name="Date 5 57" xfId="23061"/>
    <cellStyle name="Date 5 58" xfId="23062"/>
    <cellStyle name="Date 5 59" xfId="23063"/>
    <cellStyle name="Date 5 6" xfId="23064"/>
    <cellStyle name="Date 5 6 2" xfId="23065"/>
    <cellStyle name="Date 5 60" xfId="23066"/>
    <cellStyle name="Date 5 61" xfId="23067"/>
    <cellStyle name="Date 5 62" xfId="23068"/>
    <cellStyle name="Date 5 63" xfId="23069"/>
    <cellStyle name="Date 5 64" xfId="23070"/>
    <cellStyle name="Date 5 65" xfId="23071"/>
    <cellStyle name="Date 5 66" xfId="23072"/>
    <cellStyle name="Date 5 67" xfId="23073"/>
    <cellStyle name="Date 5 68" xfId="23074"/>
    <cellStyle name="Date 5 69" xfId="23075"/>
    <cellStyle name="Date 5 7" xfId="23076"/>
    <cellStyle name="Date 5 7 2" xfId="23077"/>
    <cellStyle name="Date 5 70" xfId="23078"/>
    <cellStyle name="Date 5 71" xfId="23079"/>
    <cellStyle name="Date 5 72" xfId="23080"/>
    <cellStyle name="Date 5 73" xfId="23081"/>
    <cellStyle name="Date 5 74" xfId="23082"/>
    <cellStyle name="Date 5 75" xfId="23083"/>
    <cellStyle name="Date 5 76" xfId="23084"/>
    <cellStyle name="Date 5 77" xfId="23085"/>
    <cellStyle name="Date 5 78" xfId="23086"/>
    <cellStyle name="Date 5 79" xfId="23087"/>
    <cellStyle name="Date 5 8" xfId="23088"/>
    <cellStyle name="Date 5 8 2" xfId="23089"/>
    <cellStyle name="Date 5 80" xfId="23090"/>
    <cellStyle name="Date 5 81" xfId="23091"/>
    <cellStyle name="Date 5 82" xfId="23092"/>
    <cellStyle name="Date 5 83" xfId="23093"/>
    <cellStyle name="Date 5 84" xfId="23094"/>
    <cellStyle name="Date 5 85" xfId="23095"/>
    <cellStyle name="Date 5 86" xfId="23096"/>
    <cellStyle name="Date 5 87" xfId="23097"/>
    <cellStyle name="Date 5 88" xfId="23098"/>
    <cellStyle name="Date 5 89" xfId="23099"/>
    <cellStyle name="Date 5 9" xfId="23100"/>
    <cellStyle name="Date 5 9 2" xfId="23101"/>
    <cellStyle name="Date 5 90" xfId="23102"/>
    <cellStyle name="Date 5 91" xfId="23103"/>
    <cellStyle name="Date 5 92" xfId="23104"/>
    <cellStyle name="Date 5 93" xfId="23105"/>
    <cellStyle name="Date 5 94" xfId="23106"/>
    <cellStyle name="Date 5 95" xfId="23107"/>
    <cellStyle name="Date 5 96" xfId="23108"/>
    <cellStyle name="Date 5 97" xfId="23109"/>
    <cellStyle name="Date 5 98" xfId="23110"/>
    <cellStyle name="Date 5 99" xfId="23111"/>
    <cellStyle name="Date 5_NYMEX FUTURES" xfId="23112"/>
    <cellStyle name="Date 6" xfId="23113"/>
    <cellStyle name="Date 6 10" xfId="23114"/>
    <cellStyle name="Date 6 10 2" xfId="23115"/>
    <cellStyle name="Date 6 100" xfId="23116"/>
    <cellStyle name="Date 6 101" xfId="23117"/>
    <cellStyle name="Date 6 102" xfId="23118"/>
    <cellStyle name="Date 6 103" xfId="23119"/>
    <cellStyle name="Date 6 104" xfId="23120"/>
    <cellStyle name="Date 6 105" xfId="23121"/>
    <cellStyle name="Date 6 106" xfId="23122"/>
    <cellStyle name="Date 6 107" xfId="23123"/>
    <cellStyle name="Date 6 108" xfId="23124"/>
    <cellStyle name="Date 6 109" xfId="23125"/>
    <cellStyle name="Date 6 11" xfId="23126"/>
    <cellStyle name="Date 6 11 2" xfId="23127"/>
    <cellStyle name="Date 6 110" xfId="23128"/>
    <cellStyle name="Date 6 111" xfId="23129"/>
    <cellStyle name="Date 6 112" xfId="23130"/>
    <cellStyle name="Date 6 113" xfId="23131"/>
    <cellStyle name="Date 6 114" xfId="23132"/>
    <cellStyle name="Date 6 115" xfId="23133"/>
    <cellStyle name="Date 6 116" xfId="23134"/>
    <cellStyle name="Date 6 12" xfId="23135"/>
    <cellStyle name="Date 6 12 2" xfId="23136"/>
    <cellStyle name="Date 6 13" xfId="23137"/>
    <cellStyle name="Date 6 13 2" xfId="23138"/>
    <cellStyle name="Date 6 14" xfId="23139"/>
    <cellStyle name="Date 6 14 2" xfId="23140"/>
    <cellStyle name="Date 6 15" xfId="23141"/>
    <cellStyle name="Date 6 15 2" xfId="23142"/>
    <cellStyle name="Date 6 16" xfId="23143"/>
    <cellStyle name="Date 6 16 2" xfId="23144"/>
    <cellStyle name="Date 6 17" xfId="23145"/>
    <cellStyle name="Date 6 17 2" xfId="23146"/>
    <cellStyle name="Date 6 18" xfId="23147"/>
    <cellStyle name="Date 6 18 2" xfId="23148"/>
    <cellStyle name="Date 6 19" xfId="23149"/>
    <cellStyle name="Date 6 19 2" xfId="23150"/>
    <cellStyle name="Date 6 2" xfId="23151"/>
    <cellStyle name="Date 6 2 2" xfId="23152"/>
    <cellStyle name="Date 6 20" xfId="23153"/>
    <cellStyle name="Date 6 20 2" xfId="23154"/>
    <cellStyle name="Date 6 21" xfId="23155"/>
    <cellStyle name="Date 6 21 2" xfId="23156"/>
    <cellStyle name="Date 6 22" xfId="23157"/>
    <cellStyle name="Date 6 22 2" xfId="23158"/>
    <cellStyle name="Date 6 23" xfId="23159"/>
    <cellStyle name="Date 6 23 2" xfId="23160"/>
    <cellStyle name="Date 6 24" xfId="23161"/>
    <cellStyle name="Date 6 24 2" xfId="23162"/>
    <cellStyle name="Date 6 25" xfId="23163"/>
    <cellStyle name="Date 6 25 2" xfId="23164"/>
    <cellStyle name="Date 6 26" xfId="23165"/>
    <cellStyle name="Date 6 26 2" xfId="23166"/>
    <cellStyle name="Date 6 27" xfId="23167"/>
    <cellStyle name="Date 6 27 2" xfId="23168"/>
    <cellStyle name="Date 6 28" xfId="23169"/>
    <cellStyle name="Date 6 28 2" xfId="23170"/>
    <cellStyle name="Date 6 29" xfId="23171"/>
    <cellStyle name="Date 6 29 2" xfId="23172"/>
    <cellStyle name="Date 6 3" xfId="23173"/>
    <cellStyle name="Date 6 3 2" xfId="23174"/>
    <cellStyle name="Date 6 30" xfId="23175"/>
    <cellStyle name="Date 6 30 2" xfId="23176"/>
    <cellStyle name="Date 6 31" xfId="23177"/>
    <cellStyle name="Date 6 31 2" xfId="23178"/>
    <cellStyle name="Date 6 32" xfId="23179"/>
    <cellStyle name="Date 6 32 2" xfId="23180"/>
    <cellStyle name="Date 6 33" xfId="23181"/>
    <cellStyle name="Date 6 33 2" xfId="23182"/>
    <cellStyle name="Date 6 34" xfId="23183"/>
    <cellStyle name="Date 6 34 2" xfId="23184"/>
    <cellStyle name="Date 6 35" xfId="23185"/>
    <cellStyle name="Date 6 35 2" xfId="23186"/>
    <cellStyle name="Date 6 36" xfId="23187"/>
    <cellStyle name="Date 6 36 2" xfId="23188"/>
    <cellStyle name="Date 6 37" xfId="23189"/>
    <cellStyle name="Date 6 37 2" xfId="23190"/>
    <cellStyle name="Date 6 38" xfId="23191"/>
    <cellStyle name="Date 6 38 2" xfId="23192"/>
    <cellStyle name="Date 6 39" xfId="23193"/>
    <cellStyle name="Date 6 39 2" xfId="23194"/>
    <cellStyle name="Date 6 4" xfId="23195"/>
    <cellStyle name="Date 6 4 2" xfId="23196"/>
    <cellStyle name="Date 6 40" xfId="23197"/>
    <cellStyle name="Date 6 40 2" xfId="23198"/>
    <cellStyle name="Date 6 41" xfId="23199"/>
    <cellStyle name="Date 6 41 2" xfId="23200"/>
    <cellStyle name="Date 6 42" xfId="23201"/>
    <cellStyle name="Date 6 42 2" xfId="23202"/>
    <cellStyle name="Date 6 43" xfId="23203"/>
    <cellStyle name="Date 6 43 2" xfId="23204"/>
    <cellStyle name="Date 6 44" xfId="23205"/>
    <cellStyle name="Date 6 44 2" xfId="23206"/>
    <cellStyle name="Date 6 45" xfId="23207"/>
    <cellStyle name="Date 6 45 2" xfId="23208"/>
    <cellStyle name="Date 6 46" xfId="23209"/>
    <cellStyle name="Date 6 46 2" xfId="23210"/>
    <cellStyle name="Date 6 47" xfId="23211"/>
    <cellStyle name="Date 6 47 2" xfId="23212"/>
    <cellStyle name="Date 6 48" xfId="23213"/>
    <cellStyle name="Date 6 48 2" xfId="23214"/>
    <cellStyle name="Date 6 49" xfId="23215"/>
    <cellStyle name="Date 6 49 2" xfId="23216"/>
    <cellStyle name="Date 6 5" xfId="23217"/>
    <cellStyle name="Date 6 5 2" xfId="23218"/>
    <cellStyle name="Date 6 50" xfId="23219"/>
    <cellStyle name="Date 6 50 2" xfId="23220"/>
    <cellStyle name="Date 6 51" xfId="23221"/>
    <cellStyle name="Date 6 51 2" xfId="23222"/>
    <cellStyle name="Date 6 52" xfId="23223"/>
    <cellStyle name="Date 6 53" xfId="23224"/>
    <cellStyle name="Date 6 54" xfId="23225"/>
    <cellStyle name="Date 6 55" xfId="23226"/>
    <cellStyle name="Date 6 56" xfId="23227"/>
    <cellStyle name="Date 6 57" xfId="23228"/>
    <cellStyle name="Date 6 58" xfId="23229"/>
    <cellStyle name="Date 6 59" xfId="23230"/>
    <cellStyle name="Date 6 6" xfId="23231"/>
    <cellStyle name="Date 6 6 2" xfId="23232"/>
    <cellStyle name="Date 6 60" xfId="23233"/>
    <cellStyle name="Date 6 61" xfId="23234"/>
    <cellStyle name="Date 6 62" xfId="23235"/>
    <cellStyle name="Date 6 63" xfId="23236"/>
    <cellStyle name="Date 6 64" xfId="23237"/>
    <cellStyle name="Date 6 65" xfId="23238"/>
    <cellStyle name="Date 6 66" xfId="23239"/>
    <cellStyle name="Date 6 67" xfId="23240"/>
    <cellStyle name="Date 6 68" xfId="23241"/>
    <cellStyle name="Date 6 69" xfId="23242"/>
    <cellStyle name="Date 6 7" xfId="23243"/>
    <cellStyle name="Date 6 7 2" xfId="23244"/>
    <cellStyle name="Date 6 70" xfId="23245"/>
    <cellStyle name="Date 6 71" xfId="23246"/>
    <cellStyle name="Date 6 72" xfId="23247"/>
    <cellStyle name="Date 6 73" xfId="23248"/>
    <cellStyle name="Date 6 74" xfId="23249"/>
    <cellStyle name="Date 6 75" xfId="23250"/>
    <cellStyle name="Date 6 76" xfId="23251"/>
    <cellStyle name="Date 6 77" xfId="23252"/>
    <cellStyle name="Date 6 78" xfId="23253"/>
    <cellStyle name="Date 6 79" xfId="23254"/>
    <cellStyle name="Date 6 8" xfId="23255"/>
    <cellStyle name="Date 6 8 2" xfId="23256"/>
    <cellStyle name="Date 6 80" xfId="23257"/>
    <cellStyle name="Date 6 81" xfId="23258"/>
    <cellStyle name="Date 6 82" xfId="23259"/>
    <cellStyle name="Date 6 83" xfId="23260"/>
    <cellStyle name="Date 6 84" xfId="23261"/>
    <cellStyle name="Date 6 85" xfId="23262"/>
    <cellStyle name="Date 6 86" xfId="23263"/>
    <cellStyle name="Date 6 87" xfId="23264"/>
    <cellStyle name="Date 6 88" xfId="23265"/>
    <cellStyle name="Date 6 89" xfId="23266"/>
    <cellStyle name="Date 6 9" xfId="23267"/>
    <cellStyle name="Date 6 9 2" xfId="23268"/>
    <cellStyle name="Date 6 90" xfId="23269"/>
    <cellStyle name="Date 6 91" xfId="23270"/>
    <cellStyle name="Date 6 92" xfId="23271"/>
    <cellStyle name="Date 6 93" xfId="23272"/>
    <cellStyle name="Date 6 94" xfId="23273"/>
    <cellStyle name="Date 6 95" xfId="23274"/>
    <cellStyle name="Date 6 96" xfId="23275"/>
    <cellStyle name="Date 6 97" xfId="23276"/>
    <cellStyle name="Date 6 98" xfId="23277"/>
    <cellStyle name="Date 6 99" xfId="23278"/>
    <cellStyle name="Date 6_NYMEX FUTURES" xfId="23279"/>
    <cellStyle name="Date 7" xfId="23280"/>
    <cellStyle name="Date 7 10" xfId="23281"/>
    <cellStyle name="Date 7 10 2" xfId="23282"/>
    <cellStyle name="Date 7 100" xfId="23283"/>
    <cellStyle name="Date 7 101" xfId="23284"/>
    <cellStyle name="Date 7 102" xfId="23285"/>
    <cellStyle name="Date 7 103" xfId="23286"/>
    <cellStyle name="Date 7 104" xfId="23287"/>
    <cellStyle name="Date 7 105" xfId="23288"/>
    <cellStyle name="Date 7 106" xfId="23289"/>
    <cellStyle name="Date 7 107" xfId="23290"/>
    <cellStyle name="Date 7 108" xfId="23291"/>
    <cellStyle name="Date 7 109" xfId="23292"/>
    <cellStyle name="Date 7 11" xfId="23293"/>
    <cellStyle name="Date 7 11 2" xfId="23294"/>
    <cellStyle name="Date 7 110" xfId="23295"/>
    <cellStyle name="Date 7 111" xfId="23296"/>
    <cellStyle name="Date 7 112" xfId="23297"/>
    <cellStyle name="Date 7 113" xfId="23298"/>
    <cellStyle name="Date 7 114" xfId="23299"/>
    <cellStyle name="Date 7 115" xfId="23300"/>
    <cellStyle name="Date 7 116" xfId="23301"/>
    <cellStyle name="Date 7 12" xfId="23302"/>
    <cellStyle name="Date 7 12 2" xfId="23303"/>
    <cellStyle name="Date 7 13" xfId="23304"/>
    <cellStyle name="Date 7 13 2" xfId="23305"/>
    <cellStyle name="Date 7 14" xfId="23306"/>
    <cellStyle name="Date 7 14 2" xfId="23307"/>
    <cellStyle name="Date 7 15" xfId="23308"/>
    <cellStyle name="Date 7 15 2" xfId="23309"/>
    <cellStyle name="Date 7 16" xfId="23310"/>
    <cellStyle name="Date 7 16 2" xfId="23311"/>
    <cellStyle name="Date 7 17" xfId="23312"/>
    <cellStyle name="Date 7 17 2" xfId="23313"/>
    <cellStyle name="Date 7 18" xfId="23314"/>
    <cellStyle name="Date 7 18 2" xfId="23315"/>
    <cellStyle name="Date 7 19" xfId="23316"/>
    <cellStyle name="Date 7 19 2" xfId="23317"/>
    <cellStyle name="Date 7 2" xfId="23318"/>
    <cellStyle name="Date 7 2 2" xfId="23319"/>
    <cellStyle name="Date 7 20" xfId="23320"/>
    <cellStyle name="Date 7 20 2" xfId="23321"/>
    <cellStyle name="Date 7 21" xfId="23322"/>
    <cellStyle name="Date 7 21 2" xfId="23323"/>
    <cellStyle name="Date 7 22" xfId="23324"/>
    <cellStyle name="Date 7 22 2" xfId="23325"/>
    <cellStyle name="Date 7 23" xfId="23326"/>
    <cellStyle name="Date 7 23 2" xfId="23327"/>
    <cellStyle name="Date 7 24" xfId="23328"/>
    <cellStyle name="Date 7 24 2" xfId="23329"/>
    <cellStyle name="Date 7 25" xfId="23330"/>
    <cellStyle name="Date 7 25 2" xfId="23331"/>
    <cellStyle name="Date 7 26" xfId="23332"/>
    <cellStyle name="Date 7 26 2" xfId="23333"/>
    <cellStyle name="Date 7 27" xfId="23334"/>
    <cellStyle name="Date 7 27 2" xfId="23335"/>
    <cellStyle name="Date 7 28" xfId="23336"/>
    <cellStyle name="Date 7 28 2" xfId="23337"/>
    <cellStyle name="Date 7 29" xfId="23338"/>
    <cellStyle name="Date 7 29 2" xfId="23339"/>
    <cellStyle name="Date 7 3" xfId="23340"/>
    <cellStyle name="Date 7 3 2" xfId="23341"/>
    <cellStyle name="Date 7 30" xfId="23342"/>
    <cellStyle name="Date 7 30 2" xfId="23343"/>
    <cellStyle name="Date 7 31" xfId="23344"/>
    <cellStyle name="Date 7 31 2" xfId="23345"/>
    <cellStyle name="Date 7 32" xfId="23346"/>
    <cellStyle name="Date 7 32 2" xfId="23347"/>
    <cellStyle name="Date 7 33" xfId="23348"/>
    <cellStyle name="Date 7 33 2" xfId="23349"/>
    <cellStyle name="Date 7 34" xfId="23350"/>
    <cellStyle name="Date 7 34 2" xfId="23351"/>
    <cellStyle name="Date 7 35" xfId="23352"/>
    <cellStyle name="Date 7 35 2" xfId="23353"/>
    <cellStyle name="Date 7 36" xfId="23354"/>
    <cellStyle name="Date 7 36 2" xfId="23355"/>
    <cellStyle name="Date 7 37" xfId="23356"/>
    <cellStyle name="Date 7 37 2" xfId="23357"/>
    <cellStyle name="Date 7 38" xfId="23358"/>
    <cellStyle name="Date 7 38 2" xfId="23359"/>
    <cellStyle name="Date 7 39" xfId="23360"/>
    <cellStyle name="Date 7 39 2" xfId="23361"/>
    <cellStyle name="Date 7 4" xfId="23362"/>
    <cellStyle name="Date 7 4 2" xfId="23363"/>
    <cellStyle name="Date 7 40" xfId="23364"/>
    <cellStyle name="Date 7 40 2" xfId="23365"/>
    <cellStyle name="Date 7 41" xfId="23366"/>
    <cellStyle name="Date 7 41 2" xfId="23367"/>
    <cellStyle name="Date 7 42" xfId="23368"/>
    <cellStyle name="Date 7 42 2" xfId="23369"/>
    <cellStyle name="Date 7 43" xfId="23370"/>
    <cellStyle name="Date 7 43 2" xfId="23371"/>
    <cellStyle name="Date 7 44" xfId="23372"/>
    <cellStyle name="Date 7 44 2" xfId="23373"/>
    <cellStyle name="Date 7 45" xfId="23374"/>
    <cellStyle name="Date 7 45 2" xfId="23375"/>
    <cellStyle name="Date 7 46" xfId="23376"/>
    <cellStyle name="Date 7 46 2" xfId="23377"/>
    <cellStyle name="Date 7 47" xfId="23378"/>
    <cellStyle name="Date 7 47 2" xfId="23379"/>
    <cellStyle name="Date 7 48" xfId="23380"/>
    <cellStyle name="Date 7 48 2" xfId="23381"/>
    <cellStyle name="Date 7 49" xfId="23382"/>
    <cellStyle name="Date 7 49 2" xfId="23383"/>
    <cellStyle name="Date 7 5" xfId="23384"/>
    <cellStyle name="Date 7 5 2" xfId="23385"/>
    <cellStyle name="Date 7 50" xfId="23386"/>
    <cellStyle name="Date 7 50 2" xfId="23387"/>
    <cellStyle name="Date 7 51" xfId="23388"/>
    <cellStyle name="Date 7 51 2" xfId="23389"/>
    <cellStyle name="Date 7 52" xfId="23390"/>
    <cellStyle name="Date 7 53" xfId="23391"/>
    <cellStyle name="Date 7 54" xfId="23392"/>
    <cellStyle name="Date 7 55" xfId="23393"/>
    <cellStyle name="Date 7 56" xfId="23394"/>
    <cellStyle name="Date 7 57" xfId="23395"/>
    <cellStyle name="Date 7 58" xfId="23396"/>
    <cellStyle name="Date 7 59" xfId="23397"/>
    <cellStyle name="Date 7 6" xfId="23398"/>
    <cellStyle name="Date 7 6 2" xfId="23399"/>
    <cellStyle name="Date 7 60" xfId="23400"/>
    <cellStyle name="Date 7 61" xfId="23401"/>
    <cellStyle name="Date 7 62" xfId="23402"/>
    <cellStyle name="Date 7 63" xfId="23403"/>
    <cellStyle name="Date 7 64" xfId="23404"/>
    <cellStyle name="Date 7 65" xfId="23405"/>
    <cellStyle name="Date 7 66" xfId="23406"/>
    <cellStyle name="Date 7 67" xfId="23407"/>
    <cellStyle name="Date 7 68" xfId="23408"/>
    <cellStyle name="Date 7 69" xfId="23409"/>
    <cellStyle name="Date 7 7" xfId="23410"/>
    <cellStyle name="Date 7 7 2" xfId="23411"/>
    <cellStyle name="Date 7 70" xfId="23412"/>
    <cellStyle name="Date 7 71" xfId="23413"/>
    <cellStyle name="Date 7 72" xfId="23414"/>
    <cellStyle name="Date 7 73" xfId="23415"/>
    <cellStyle name="Date 7 74" xfId="23416"/>
    <cellStyle name="Date 7 75" xfId="23417"/>
    <cellStyle name="Date 7 76" xfId="23418"/>
    <cellStyle name="Date 7 77" xfId="23419"/>
    <cellStyle name="Date 7 78" xfId="23420"/>
    <cellStyle name="Date 7 79" xfId="23421"/>
    <cellStyle name="Date 7 8" xfId="23422"/>
    <cellStyle name="Date 7 8 2" xfId="23423"/>
    <cellStyle name="Date 7 80" xfId="23424"/>
    <cellStyle name="Date 7 81" xfId="23425"/>
    <cellStyle name="Date 7 82" xfId="23426"/>
    <cellStyle name="Date 7 83" xfId="23427"/>
    <cellStyle name="Date 7 84" xfId="23428"/>
    <cellStyle name="Date 7 85" xfId="23429"/>
    <cellStyle name="Date 7 86" xfId="23430"/>
    <cellStyle name="Date 7 87" xfId="23431"/>
    <cellStyle name="Date 7 88" xfId="23432"/>
    <cellStyle name="Date 7 89" xfId="23433"/>
    <cellStyle name="Date 7 9" xfId="23434"/>
    <cellStyle name="Date 7 9 2" xfId="23435"/>
    <cellStyle name="Date 7 90" xfId="23436"/>
    <cellStyle name="Date 7 91" xfId="23437"/>
    <cellStyle name="Date 7 92" xfId="23438"/>
    <cellStyle name="Date 7 93" xfId="23439"/>
    <cellStyle name="Date 7 94" xfId="23440"/>
    <cellStyle name="Date 7 95" xfId="23441"/>
    <cellStyle name="Date 7 96" xfId="23442"/>
    <cellStyle name="Date 7 97" xfId="23443"/>
    <cellStyle name="Date 7 98" xfId="23444"/>
    <cellStyle name="Date 7 99" xfId="23445"/>
    <cellStyle name="Date 7_NYMEX FUTURES" xfId="23446"/>
    <cellStyle name="Date 8" xfId="23447"/>
    <cellStyle name="Date 8 10" xfId="23448"/>
    <cellStyle name="Date 8 10 2" xfId="23449"/>
    <cellStyle name="Date 8 100" xfId="23450"/>
    <cellStyle name="Date 8 101" xfId="23451"/>
    <cellStyle name="Date 8 102" xfId="23452"/>
    <cellStyle name="Date 8 103" xfId="23453"/>
    <cellStyle name="Date 8 104" xfId="23454"/>
    <cellStyle name="Date 8 105" xfId="23455"/>
    <cellStyle name="Date 8 106" xfId="23456"/>
    <cellStyle name="Date 8 107" xfId="23457"/>
    <cellStyle name="Date 8 108" xfId="23458"/>
    <cellStyle name="Date 8 109" xfId="23459"/>
    <cellStyle name="Date 8 11" xfId="23460"/>
    <cellStyle name="Date 8 11 2" xfId="23461"/>
    <cellStyle name="Date 8 110" xfId="23462"/>
    <cellStyle name="Date 8 111" xfId="23463"/>
    <cellStyle name="Date 8 112" xfId="23464"/>
    <cellStyle name="Date 8 113" xfId="23465"/>
    <cellStyle name="Date 8 114" xfId="23466"/>
    <cellStyle name="Date 8 115" xfId="23467"/>
    <cellStyle name="Date 8 116" xfId="23468"/>
    <cellStyle name="Date 8 12" xfId="23469"/>
    <cellStyle name="Date 8 12 2" xfId="23470"/>
    <cellStyle name="Date 8 13" xfId="23471"/>
    <cellStyle name="Date 8 13 2" xfId="23472"/>
    <cellStyle name="Date 8 14" xfId="23473"/>
    <cellStyle name="Date 8 14 2" xfId="23474"/>
    <cellStyle name="Date 8 15" xfId="23475"/>
    <cellStyle name="Date 8 15 2" xfId="23476"/>
    <cellStyle name="Date 8 16" xfId="23477"/>
    <cellStyle name="Date 8 16 2" xfId="23478"/>
    <cellStyle name="Date 8 17" xfId="23479"/>
    <cellStyle name="Date 8 17 2" xfId="23480"/>
    <cellStyle name="Date 8 18" xfId="23481"/>
    <cellStyle name="Date 8 18 2" xfId="23482"/>
    <cellStyle name="Date 8 19" xfId="23483"/>
    <cellStyle name="Date 8 19 2" xfId="23484"/>
    <cellStyle name="Date 8 2" xfId="23485"/>
    <cellStyle name="Date 8 2 2" xfId="23486"/>
    <cellStyle name="Date 8 20" xfId="23487"/>
    <cellStyle name="Date 8 20 2" xfId="23488"/>
    <cellStyle name="Date 8 21" xfId="23489"/>
    <cellStyle name="Date 8 21 2" xfId="23490"/>
    <cellStyle name="Date 8 22" xfId="23491"/>
    <cellStyle name="Date 8 22 2" xfId="23492"/>
    <cellStyle name="Date 8 23" xfId="23493"/>
    <cellStyle name="Date 8 23 2" xfId="23494"/>
    <cellStyle name="Date 8 24" xfId="23495"/>
    <cellStyle name="Date 8 24 2" xfId="23496"/>
    <cellStyle name="Date 8 25" xfId="23497"/>
    <cellStyle name="Date 8 25 2" xfId="23498"/>
    <cellStyle name="Date 8 26" xfId="23499"/>
    <cellStyle name="Date 8 26 2" xfId="23500"/>
    <cellStyle name="Date 8 27" xfId="23501"/>
    <cellStyle name="Date 8 27 2" xfId="23502"/>
    <cellStyle name="Date 8 28" xfId="23503"/>
    <cellStyle name="Date 8 28 2" xfId="23504"/>
    <cellStyle name="Date 8 29" xfId="23505"/>
    <cellStyle name="Date 8 29 2" xfId="23506"/>
    <cellStyle name="Date 8 3" xfId="23507"/>
    <cellStyle name="Date 8 3 2" xfId="23508"/>
    <cellStyle name="Date 8 30" xfId="23509"/>
    <cellStyle name="Date 8 30 2" xfId="23510"/>
    <cellStyle name="Date 8 31" xfId="23511"/>
    <cellStyle name="Date 8 31 2" xfId="23512"/>
    <cellStyle name="Date 8 32" xfId="23513"/>
    <cellStyle name="Date 8 32 2" xfId="23514"/>
    <cellStyle name="Date 8 33" xfId="23515"/>
    <cellStyle name="Date 8 33 2" xfId="23516"/>
    <cellStyle name="Date 8 34" xfId="23517"/>
    <cellStyle name="Date 8 34 2" xfId="23518"/>
    <cellStyle name="Date 8 35" xfId="23519"/>
    <cellStyle name="Date 8 35 2" xfId="23520"/>
    <cellStyle name="Date 8 36" xfId="23521"/>
    <cellStyle name="Date 8 36 2" xfId="23522"/>
    <cellStyle name="Date 8 37" xfId="23523"/>
    <cellStyle name="Date 8 37 2" xfId="23524"/>
    <cellStyle name="Date 8 38" xfId="23525"/>
    <cellStyle name="Date 8 38 2" xfId="23526"/>
    <cellStyle name="Date 8 39" xfId="23527"/>
    <cellStyle name="Date 8 39 2" xfId="23528"/>
    <cellStyle name="Date 8 4" xfId="23529"/>
    <cellStyle name="Date 8 4 2" xfId="23530"/>
    <cellStyle name="Date 8 40" xfId="23531"/>
    <cellStyle name="Date 8 40 2" xfId="23532"/>
    <cellStyle name="Date 8 41" xfId="23533"/>
    <cellStyle name="Date 8 41 2" xfId="23534"/>
    <cellStyle name="Date 8 42" xfId="23535"/>
    <cellStyle name="Date 8 42 2" xfId="23536"/>
    <cellStyle name="Date 8 43" xfId="23537"/>
    <cellStyle name="Date 8 43 2" xfId="23538"/>
    <cellStyle name="Date 8 44" xfId="23539"/>
    <cellStyle name="Date 8 44 2" xfId="23540"/>
    <cellStyle name="Date 8 45" xfId="23541"/>
    <cellStyle name="Date 8 45 2" xfId="23542"/>
    <cellStyle name="Date 8 46" xfId="23543"/>
    <cellStyle name="Date 8 46 2" xfId="23544"/>
    <cellStyle name="Date 8 47" xfId="23545"/>
    <cellStyle name="Date 8 47 2" xfId="23546"/>
    <cellStyle name="Date 8 48" xfId="23547"/>
    <cellStyle name="Date 8 48 2" xfId="23548"/>
    <cellStyle name="Date 8 49" xfId="23549"/>
    <cellStyle name="Date 8 49 2" xfId="23550"/>
    <cellStyle name="Date 8 5" xfId="23551"/>
    <cellStyle name="Date 8 5 2" xfId="23552"/>
    <cellStyle name="Date 8 50" xfId="23553"/>
    <cellStyle name="Date 8 50 2" xfId="23554"/>
    <cellStyle name="Date 8 51" xfId="23555"/>
    <cellStyle name="Date 8 51 2" xfId="23556"/>
    <cellStyle name="Date 8 52" xfId="23557"/>
    <cellStyle name="Date 8 53" xfId="23558"/>
    <cellStyle name="Date 8 54" xfId="23559"/>
    <cellStyle name="Date 8 55" xfId="23560"/>
    <cellStyle name="Date 8 56" xfId="23561"/>
    <cellStyle name="Date 8 57" xfId="23562"/>
    <cellStyle name="Date 8 58" xfId="23563"/>
    <cellStyle name="Date 8 59" xfId="23564"/>
    <cellStyle name="Date 8 6" xfId="23565"/>
    <cellStyle name="Date 8 6 2" xfId="23566"/>
    <cellStyle name="Date 8 60" xfId="23567"/>
    <cellStyle name="Date 8 61" xfId="23568"/>
    <cellStyle name="Date 8 62" xfId="23569"/>
    <cellStyle name="Date 8 63" xfId="23570"/>
    <cellStyle name="Date 8 64" xfId="23571"/>
    <cellStyle name="Date 8 65" xfId="23572"/>
    <cellStyle name="Date 8 66" xfId="23573"/>
    <cellStyle name="Date 8 67" xfId="23574"/>
    <cellStyle name="Date 8 68" xfId="23575"/>
    <cellStyle name="Date 8 69" xfId="23576"/>
    <cellStyle name="Date 8 7" xfId="23577"/>
    <cellStyle name="Date 8 7 2" xfId="23578"/>
    <cellStyle name="Date 8 70" xfId="23579"/>
    <cellStyle name="Date 8 71" xfId="23580"/>
    <cellStyle name="Date 8 72" xfId="23581"/>
    <cellStyle name="Date 8 73" xfId="23582"/>
    <cellStyle name="Date 8 74" xfId="23583"/>
    <cellStyle name="Date 8 75" xfId="23584"/>
    <cellStyle name="Date 8 76" xfId="23585"/>
    <cellStyle name="Date 8 77" xfId="23586"/>
    <cellStyle name="Date 8 78" xfId="23587"/>
    <cellStyle name="Date 8 79" xfId="23588"/>
    <cellStyle name="Date 8 8" xfId="23589"/>
    <cellStyle name="Date 8 8 2" xfId="23590"/>
    <cellStyle name="Date 8 80" xfId="23591"/>
    <cellStyle name="Date 8 81" xfId="23592"/>
    <cellStyle name="Date 8 82" xfId="23593"/>
    <cellStyle name="Date 8 83" xfId="23594"/>
    <cellStyle name="Date 8 84" xfId="23595"/>
    <cellStyle name="Date 8 85" xfId="23596"/>
    <cellStyle name="Date 8 86" xfId="23597"/>
    <cellStyle name="Date 8 87" xfId="23598"/>
    <cellStyle name="Date 8 88" xfId="23599"/>
    <cellStyle name="Date 8 89" xfId="23600"/>
    <cellStyle name="Date 8 9" xfId="23601"/>
    <cellStyle name="Date 8 9 2" xfId="23602"/>
    <cellStyle name="Date 8 90" xfId="23603"/>
    <cellStyle name="Date 8 91" xfId="23604"/>
    <cellStyle name="Date 8 92" xfId="23605"/>
    <cellStyle name="Date 8 93" xfId="23606"/>
    <cellStyle name="Date 8 94" xfId="23607"/>
    <cellStyle name="Date 8 95" xfId="23608"/>
    <cellStyle name="Date 8 96" xfId="23609"/>
    <cellStyle name="Date 8 97" xfId="23610"/>
    <cellStyle name="Date 8 98" xfId="23611"/>
    <cellStyle name="Date 8 99" xfId="23612"/>
    <cellStyle name="Date 8_NYMEX FUTURES" xfId="23613"/>
    <cellStyle name="Date 9" xfId="23614"/>
    <cellStyle name="Date 9 10" xfId="23615"/>
    <cellStyle name="Date 9 10 2" xfId="23616"/>
    <cellStyle name="Date 9 100" xfId="23617"/>
    <cellStyle name="Date 9 101" xfId="23618"/>
    <cellStyle name="Date 9 102" xfId="23619"/>
    <cellStyle name="Date 9 103" xfId="23620"/>
    <cellStyle name="Date 9 104" xfId="23621"/>
    <cellStyle name="Date 9 105" xfId="23622"/>
    <cellStyle name="Date 9 106" xfId="23623"/>
    <cellStyle name="Date 9 107" xfId="23624"/>
    <cellStyle name="Date 9 108" xfId="23625"/>
    <cellStyle name="Date 9 109" xfId="23626"/>
    <cellStyle name="Date 9 11" xfId="23627"/>
    <cellStyle name="Date 9 11 2" xfId="23628"/>
    <cellStyle name="Date 9 110" xfId="23629"/>
    <cellStyle name="Date 9 111" xfId="23630"/>
    <cellStyle name="Date 9 112" xfId="23631"/>
    <cellStyle name="Date 9 113" xfId="23632"/>
    <cellStyle name="Date 9 114" xfId="23633"/>
    <cellStyle name="Date 9 115" xfId="23634"/>
    <cellStyle name="Date 9 116" xfId="23635"/>
    <cellStyle name="Date 9 12" xfId="23636"/>
    <cellStyle name="Date 9 12 2" xfId="23637"/>
    <cellStyle name="Date 9 13" xfId="23638"/>
    <cellStyle name="Date 9 13 2" xfId="23639"/>
    <cellStyle name="Date 9 14" xfId="23640"/>
    <cellStyle name="Date 9 14 2" xfId="23641"/>
    <cellStyle name="Date 9 15" xfId="23642"/>
    <cellStyle name="Date 9 15 2" xfId="23643"/>
    <cellStyle name="Date 9 16" xfId="23644"/>
    <cellStyle name="Date 9 16 2" xfId="23645"/>
    <cellStyle name="Date 9 17" xfId="23646"/>
    <cellStyle name="Date 9 17 2" xfId="23647"/>
    <cellStyle name="Date 9 18" xfId="23648"/>
    <cellStyle name="Date 9 18 2" xfId="23649"/>
    <cellStyle name="Date 9 19" xfId="23650"/>
    <cellStyle name="Date 9 19 2" xfId="23651"/>
    <cellStyle name="Date 9 2" xfId="23652"/>
    <cellStyle name="Date 9 2 2" xfId="23653"/>
    <cellStyle name="Date 9 20" xfId="23654"/>
    <cellStyle name="Date 9 20 2" xfId="23655"/>
    <cellStyle name="Date 9 21" xfId="23656"/>
    <cellStyle name="Date 9 21 2" xfId="23657"/>
    <cellStyle name="Date 9 22" xfId="23658"/>
    <cellStyle name="Date 9 22 2" xfId="23659"/>
    <cellStyle name="Date 9 23" xfId="23660"/>
    <cellStyle name="Date 9 23 2" xfId="23661"/>
    <cellStyle name="Date 9 24" xfId="23662"/>
    <cellStyle name="Date 9 24 2" xfId="23663"/>
    <cellStyle name="Date 9 25" xfId="23664"/>
    <cellStyle name="Date 9 25 2" xfId="23665"/>
    <cellStyle name="Date 9 26" xfId="23666"/>
    <cellStyle name="Date 9 26 2" xfId="23667"/>
    <cellStyle name="Date 9 27" xfId="23668"/>
    <cellStyle name="Date 9 27 2" xfId="23669"/>
    <cellStyle name="Date 9 28" xfId="23670"/>
    <cellStyle name="Date 9 28 2" xfId="23671"/>
    <cellStyle name="Date 9 29" xfId="23672"/>
    <cellStyle name="Date 9 29 2" xfId="23673"/>
    <cellStyle name="Date 9 3" xfId="23674"/>
    <cellStyle name="Date 9 3 2" xfId="23675"/>
    <cellStyle name="Date 9 30" xfId="23676"/>
    <cellStyle name="Date 9 30 2" xfId="23677"/>
    <cellStyle name="Date 9 31" xfId="23678"/>
    <cellStyle name="Date 9 31 2" xfId="23679"/>
    <cellStyle name="Date 9 32" xfId="23680"/>
    <cellStyle name="Date 9 32 2" xfId="23681"/>
    <cellStyle name="Date 9 33" xfId="23682"/>
    <cellStyle name="Date 9 33 2" xfId="23683"/>
    <cellStyle name="Date 9 34" xfId="23684"/>
    <cellStyle name="Date 9 34 2" xfId="23685"/>
    <cellStyle name="Date 9 35" xfId="23686"/>
    <cellStyle name="Date 9 35 2" xfId="23687"/>
    <cellStyle name="Date 9 36" xfId="23688"/>
    <cellStyle name="Date 9 36 2" xfId="23689"/>
    <cellStyle name="Date 9 37" xfId="23690"/>
    <cellStyle name="Date 9 37 2" xfId="23691"/>
    <cellStyle name="Date 9 38" xfId="23692"/>
    <cellStyle name="Date 9 38 2" xfId="23693"/>
    <cellStyle name="Date 9 39" xfId="23694"/>
    <cellStyle name="Date 9 39 2" xfId="23695"/>
    <cellStyle name="Date 9 4" xfId="23696"/>
    <cellStyle name="Date 9 4 2" xfId="23697"/>
    <cellStyle name="Date 9 40" xfId="23698"/>
    <cellStyle name="Date 9 40 2" xfId="23699"/>
    <cellStyle name="Date 9 41" xfId="23700"/>
    <cellStyle name="Date 9 41 2" xfId="23701"/>
    <cellStyle name="Date 9 42" xfId="23702"/>
    <cellStyle name="Date 9 42 2" xfId="23703"/>
    <cellStyle name="Date 9 43" xfId="23704"/>
    <cellStyle name="Date 9 43 2" xfId="23705"/>
    <cellStyle name="Date 9 44" xfId="23706"/>
    <cellStyle name="Date 9 44 2" xfId="23707"/>
    <cellStyle name="Date 9 45" xfId="23708"/>
    <cellStyle name="Date 9 45 2" xfId="23709"/>
    <cellStyle name="Date 9 46" xfId="23710"/>
    <cellStyle name="Date 9 46 2" xfId="23711"/>
    <cellStyle name="Date 9 47" xfId="23712"/>
    <cellStyle name="Date 9 47 2" xfId="23713"/>
    <cellStyle name="Date 9 48" xfId="23714"/>
    <cellStyle name="Date 9 48 2" xfId="23715"/>
    <cellStyle name="Date 9 49" xfId="23716"/>
    <cellStyle name="Date 9 49 2" xfId="23717"/>
    <cellStyle name="Date 9 5" xfId="23718"/>
    <cellStyle name="Date 9 5 2" xfId="23719"/>
    <cellStyle name="Date 9 50" xfId="23720"/>
    <cellStyle name="Date 9 50 2" xfId="23721"/>
    <cellStyle name="Date 9 51" xfId="23722"/>
    <cellStyle name="Date 9 51 2" xfId="23723"/>
    <cellStyle name="Date 9 52" xfId="23724"/>
    <cellStyle name="Date 9 53" xfId="23725"/>
    <cellStyle name="Date 9 54" xfId="23726"/>
    <cellStyle name="Date 9 55" xfId="23727"/>
    <cellStyle name="Date 9 56" xfId="23728"/>
    <cellStyle name="Date 9 57" xfId="23729"/>
    <cellStyle name="Date 9 58" xfId="23730"/>
    <cellStyle name="Date 9 59" xfId="23731"/>
    <cellStyle name="Date 9 6" xfId="23732"/>
    <cellStyle name="Date 9 6 2" xfId="23733"/>
    <cellStyle name="Date 9 60" xfId="23734"/>
    <cellStyle name="Date 9 61" xfId="23735"/>
    <cellStyle name="Date 9 62" xfId="23736"/>
    <cellStyle name="Date 9 63" xfId="23737"/>
    <cellStyle name="Date 9 64" xfId="23738"/>
    <cellStyle name="Date 9 65" xfId="23739"/>
    <cellStyle name="Date 9 66" xfId="23740"/>
    <cellStyle name="Date 9 67" xfId="23741"/>
    <cellStyle name="Date 9 68" xfId="23742"/>
    <cellStyle name="Date 9 69" xfId="23743"/>
    <cellStyle name="Date 9 7" xfId="23744"/>
    <cellStyle name="Date 9 7 2" xfId="23745"/>
    <cellStyle name="Date 9 70" xfId="23746"/>
    <cellStyle name="Date 9 71" xfId="23747"/>
    <cellStyle name="Date 9 72" xfId="23748"/>
    <cellStyle name="Date 9 73" xfId="23749"/>
    <cellStyle name="Date 9 74" xfId="23750"/>
    <cellStyle name="Date 9 75" xfId="23751"/>
    <cellStyle name="Date 9 76" xfId="23752"/>
    <cellStyle name="Date 9 77" xfId="23753"/>
    <cellStyle name="Date 9 78" xfId="23754"/>
    <cellStyle name="Date 9 79" xfId="23755"/>
    <cellStyle name="Date 9 8" xfId="23756"/>
    <cellStyle name="Date 9 8 2" xfId="23757"/>
    <cellStyle name="Date 9 80" xfId="23758"/>
    <cellStyle name="Date 9 81" xfId="23759"/>
    <cellStyle name="Date 9 82" xfId="23760"/>
    <cellStyle name="Date 9 83" xfId="23761"/>
    <cellStyle name="Date 9 84" xfId="23762"/>
    <cellStyle name="Date 9 85" xfId="23763"/>
    <cellStyle name="Date 9 86" xfId="23764"/>
    <cellStyle name="Date 9 87" xfId="23765"/>
    <cellStyle name="Date 9 88" xfId="23766"/>
    <cellStyle name="Date 9 89" xfId="23767"/>
    <cellStyle name="Date 9 9" xfId="23768"/>
    <cellStyle name="Date 9 9 2" xfId="23769"/>
    <cellStyle name="Date 9 90" xfId="23770"/>
    <cellStyle name="Date 9 91" xfId="23771"/>
    <cellStyle name="Date 9 92" xfId="23772"/>
    <cellStyle name="Date 9 93" xfId="23773"/>
    <cellStyle name="Date 9 94" xfId="23774"/>
    <cellStyle name="Date 9 95" xfId="23775"/>
    <cellStyle name="Date 9 96" xfId="23776"/>
    <cellStyle name="Date 9 97" xfId="23777"/>
    <cellStyle name="Date 9 98" xfId="23778"/>
    <cellStyle name="Date 9 99" xfId="23779"/>
    <cellStyle name="Date 9_NYMEX FUTURES" xfId="23780"/>
    <cellStyle name="Date_NYMEX FUTURES" xfId="23781"/>
    <cellStyle name="Entries" xfId="23782"/>
    <cellStyle name="Euro" xfId="1597"/>
    <cellStyle name="Euro 2" xfId="1598"/>
    <cellStyle name="Euro 2 2" xfId="1599"/>
    <cellStyle name="Euro 3" xfId="1600"/>
    <cellStyle name="Euro 3 2" xfId="1601"/>
    <cellStyle name="Euro 4" xfId="23783"/>
    <cellStyle name="Explanatory Text" xfId="55" builtinId="53" customBuiltin="1"/>
    <cellStyle name="Explanatory Text 10" xfId="23784"/>
    <cellStyle name="Explanatory Text 10 2" xfId="23785"/>
    <cellStyle name="Explanatory Text 10 3" xfId="23786"/>
    <cellStyle name="Explanatory Text 11" xfId="23787"/>
    <cellStyle name="Explanatory Text 11 2" xfId="23788"/>
    <cellStyle name="Explanatory Text 11 3" xfId="23789"/>
    <cellStyle name="Explanatory Text 12" xfId="23790"/>
    <cellStyle name="Explanatory Text 12 2" xfId="23791"/>
    <cellStyle name="Explanatory Text 12 3" xfId="23792"/>
    <cellStyle name="Explanatory Text 13" xfId="23793"/>
    <cellStyle name="Explanatory Text 13 2" xfId="23794"/>
    <cellStyle name="Explanatory Text 13 3" xfId="23795"/>
    <cellStyle name="Explanatory Text 14" xfId="23796"/>
    <cellStyle name="Explanatory Text 14 2" xfId="23797"/>
    <cellStyle name="Explanatory Text 14 3" xfId="23798"/>
    <cellStyle name="Explanatory Text 15" xfId="23799"/>
    <cellStyle name="Explanatory Text 15 2" xfId="23800"/>
    <cellStyle name="Explanatory Text 15 3" xfId="23801"/>
    <cellStyle name="Explanatory Text 16" xfId="23802"/>
    <cellStyle name="Explanatory Text 16 2" xfId="23803"/>
    <cellStyle name="Explanatory Text 16 3" xfId="23804"/>
    <cellStyle name="Explanatory Text 17" xfId="23805"/>
    <cellStyle name="Explanatory Text 17 2" xfId="23806"/>
    <cellStyle name="Explanatory Text 17 3" xfId="23807"/>
    <cellStyle name="Explanatory Text 18" xfId="23808"/>
    <cellStyle name="Explanatory Text 18 2" xfId="23809"/>
    <cellStyle name="Explanatory Text 18 3" xfId="23810"/>
    <cellStyle name="Explanatory Text 19" xfId="23811"/>
    <cellStyle name="Explanatory Text 19 2" xfId="23812"/>
    <cellStyle name="Explanatory Text 19 3" xfId="23813"/>
    <cellStyle name="Explanatory Text 2" xfId="409"/>
    <cellStyle name="Explanatory Text 2 10" xfId="23814"/>
    <cellStyle name="Explanatory Text 2 10 2" xfId="23815"/>
    <cellStyle name="Explanatory Text 2 11" xfId="23816"/>
    <cellStyle name="Explanatory Text 2 11 2" xfId="23817"/>
    <cellStyle name="Explanatory Text 2 12" xfId="23818"/>
    <cellStyle name="Explanatory Text 2 12 2" xfId="23819"/>
    <cellStyle name="Explanatory Text 2 13" xfId="23820"/>
    <cellStyle name="Explanatory Text 2 13 2" xfId="23821"/>
    <cellStyle name="Explanatory Text 2 14" xfId="23822"/>
    <cellStyle name="Explanatory Text 2 14 2" xfId="23823"/>
    <cellStyle name="Explanatory Text 2 15" xfId="23824"/>
    <cellStyle name="Explanatory Text 2 15 2" xfId="23825"/>
    <cellStyle name="Explanatory Text 2 16" xfId="23826"/>
    <cellStyle name="Explanatory Text 2 16 2" xfId="23827"/>
    <cellStyle name="Explanatory Text 2 17" xfId="23828"/>
    <cellStyle name="Explanatory Text 2 17 2" xfId="23829"/>
    <cellStyle name="Explanatory Text 2 18" xfId="23830"/>
    <cellStyle name="Explanatory Text 2 18 2" xfId="23831"/>
    <cellStyle name="Explanatory Text 2 19" xfId="23832"/>
    <cellStyle name="Explanatory Text 2 19 2" xfId="23833"/>
    <cellStyle name="Explanatory Text 2 2" xfId="1602"/>
    <cellStyle name="Explanatory Text 2 2 2" xfId="23834"/>
    <cellStyle name="Explanatory Text 2 2 3" xfId="23835"/>
    <cellStyle name="Explanatory Text 2 20" xfId="23836"/>
    <cellStyle name="Explanatory Text 2 20 2" xfId="23837"/>
    <cellStyle name="Explanatory Text 2 21" xfId="23838"/>
    <cellStyle name="Explanatory Text 2 21 2" xfId="23839"/>
    <cellStyle name="Explanatory Text 2 22" xfId="23840"/>
    <cellStyle name="Explanatory Text 2 22 2" xfId="23841"/>
    <cellStyle name="Explanatory Text 2 23" xfId="23842"/>
    <cellStyle name="Explanatory Text 2 23 2" xfId="23843"/>
    <cellStyle name="Explanatory Text 2 24" xfId="23844"/>
    <cellStyle name="Explanatory Text 2 24 2" xfId="23845"/>
    <cellStyle name="Explanatory Text 2 25" xfId="23846"/>
    <cellStyle name="Explanatory Text 2 25 2" xfId="23847"/>
    <cellStyle name="Explanatory Text 2 26" xfId="23848"/>
    <cellStyle name="Explanatory Text 2 26 2" xfId="23849"/>
    <cellStyle name="Explanatory Text 2 27" xfId="23850"/>
    <cellStyle name="Explanatory Text 2 27 2" xfId="23851"/>
    <cellStyle name="Explanatory Text 2 28" xfId="23852"/>
    <cellStyle name="Explanatory Text 2 28 2" xfId="23853"/>
    <cellStyle name="Explanatory Text 2 29" xfId="23854"/>
    <cellStyle name="Explanatory Text 2 3" xfId="23855"/>
    <cellStyle name="Explanatory Text 2 3 2" xfId="23856"/>
    <cellStyle name="Explanatory Text 2 30" xfId="23857"/>
    <cellStyle name="Explanatory Text 2 31" xfId="23858"/>
    <cellStyle name="Explanatory Text 2 32" xfId="23859"/>
    <cellStyle name="Explanatory Text 2 33" xfId="23860"/>
    <cellStyle name="Explanatory Text 2 4" xfId="23861"/>
    <cellStyle name="Explanatory Text 2 4 2" xfId="23862"/>
    <cellStyle name="Explanatory Text 2 5" xfId="23863"/>
    <cellStyle name="Explanatory Text 2 5 2" xfId="23864"/>
    <cellStyle name="Explanatory Text 2 6" xfId="23865"/>
    <cellStyle name="Explanatory Text 2 6 2" xfId="23866"/>
    <cellStyle name="Explanatory Text 2 7" xfId="23867"/>
    <cellStyle name="Explanatory Text 2 7 2" xfId="23868"/>
    <cellStyle name="Explanatory Text 2 8" xfId="23869"/>
    <cellStyle name="Explanatory Text 2 8 2" xfId="23870"/>
    <cellStyle name="Explanatory Text 2 9" xfId="23871"/>
    <cellStyle name="Explanatory Text 2 9 2" xfId="23872"/>
    <cellStyle name="Explanatory Text 20" xfId="23873"/>
    <cellStyle name="Explanatory Text 20 2" xfId="23874"/>
    <cellStyle name="Explanatory Text 20 3" xfId="23875"/>
    <cellStyle name="Explanatory Text 21" xfId="23876"/>
    <cellStyle name="Explanatory Text 21 2" xfId="23877"/>
    <cellStyle name="Explanatory Text 21 3" xfId="23878"/>
    <cellStyle name="Explanatory Text 22" xfId="23879"/>
    <cellStyle name="Explanatory Text 22 2" xfId="23880"/>
    <cellStyle name="Explanatory Text 22 3" xfId="23881"/>
    <cellStyle name="Explanatory Text 23" xfId="23882"/>
    <cellStyle name="Explanatory Text 23 2" xfId="23883"/>
    <cellStyle name="Explanatory Text 23 3" xfId="23884"/>
    <cellStyle name="Explanatory Text 24" xfId="23885"/>
    <cellStyle name="Explanatory Text 24 2" xfId="23886"/>
    <cellStyle name="Explanatory Text 24 3" xfId="23887"/>
    <cellStyle name="Explanatory Text 25" xfId="23888"/>
    <cellStyle name="Explanatory Text 25 2" xfId="23889"/>
    <cellStyle name="Explanatory Text 25 3" xfId="23890"/>
    <cellStyle name="Explanatory Text 26" xfId="23891"/>
    <cellStyle name="Explanatory Text 26 2" xfId="23892"/>
    <cellStyle name="Explanatory Text 26 3" xfId="23893"/>
    <cellStyle name="Explanatory Text 27" xfId="23894"/>
    <cellStyle name="Explanatory Text 27 2" xfId="23895"/>
    <cellStyle name="Explanatory Text 27 3" xfId="23896"/>
    <cellStyle name="Explanatory Text 28" xfId="23897"/>
    <cellStyle name="Explanatory Text 28 2" xfId="23898"/>
    <cellStyle name="Explanatory Text 28 3" xfId="23899"/>
    <cellStyle name="Explanatory Text 29" xfId="23900"/>
    <cellStyle name="Explanatory Text 29 2" xfId="23901"/>
    <cellStyle name="Explanatory Text 29 3" xfId="23902"/>
    <cellStyle name="Explanatory Text 3" xfId="1603"/>
    <cellStyle name="Explanatory Text 3 2" xfId="23903"/>
    <cellStyle name="Explanatory Text 3 3" xfId="23904"/>
    <cellStyle name="Explanatory Text 30" xfId="23905"/>
    <cellStyle name="Explanatory Text 30 2" xfId="23906"/>
    <cellStyle name="Explanatory Text 31" xfId="23907"/>
    <cellStyle name="Explanatory Text 32" xfId="23908"/>
    <cellStyle name="Explanatory Text 4" xfId="23909"/>
    <cellStyle name="Explanatory Text 4 2" xfId="23910"/>
    <cellStyle name="Explanatory Text 4 3" xfId="23911"/>
    <cellStyle name="Explanatory Text 5" xfId="23912"/>
    <cellStyle name="Explanatory Text 5 2" xfId="23913"/>
    <cellStyle name="Explanatory Text 5 3" xfId="23914"/>
    <cellStyle name="Explanatory Text 6" xfId="23915"/>
    <cellStyle name="Explanatory Text 6 2" xfId="23916"/>
    <cellStyle name="Explanatory Text 6 3" xfId="23917"/>
    <cellStyle name="Explanatory Text 7" xfId="23918"/>
    <cellStyle name="Explanatory Text 7 2" xfId="23919"/>
    <cellStyle name="Explanatory Text 7 3" xfId="23920"/>
    <cellStyle name="Explanatory Text 8" xfId="23921"/>
    <cellStyle name="Explanatory Text 8 2" xfId="23922"/>
    <cellStyle name="Explanatory Text 8 3" xfId="23923"/>
    <cellStyle name="Explanatory Text 9" xfId="23924"/>
    <cellStyle name="Explanatory Text 9 2" xfId="23925"/>
    <cellStyle name="Explanatory Text 9 3" xfId="23926"/>
    <cellStyle name="EY House" xfId="296"/>
    <cellStyle name="F2" xfId="297"/>
    <cellStyle name="F2 2" xfId="298"/>
    <cellStyle name="F2 2 2" xfId="1208"/>
    <cellStyle name="F2 3" xfId="411"/>
    <cellStyle name="F2 3 2" xfId="1234"/>
    <cellStyle name="F2 4" xfId="795"/>
    <cellStyle name="F2 4 2" xfId="1328"/>
    <cellStyle name="F2_France" xfId="350"/>
    <cellStyle name="F3" xfId="299"/>
    <cellStyle name="F3 2" xfId="300"/>
    <cellStyle name="F3 2 2" xfId="1209"/>
    <cellStyle name="F3 3" xfId="412"/>
    <cellStyle name="F3 3 2" xfId="1235"/>
    <cellStyle name="F3 4" xfId="796"/>
    <cellStyle name="F3 4 2" xfId="1329"/>
    <cellStyle name="F3_France" xfId="351"/>
    <cellStyle name="F4" xfId="301"/>
    <cellStyle name="F4 2" xfId="302"/>
    <cellStyle name="F4 2 2" xfId="1210"/>
    <cellStyle name="F4 3" xfId="413"/>
    <cellStyle name="F4 3 2" xfId="1236"/>
    <cellStyle name="F4 4" xfId="797"/>
    <cellStyle name="F4 4 2" xfId="1330"/>
    <cellStyle name="F4_France" xfId="352"/>
    <cellStyle name="F5" xfId="303"/>
    <cellStyle name="F5 2" xfId="304"/>
    <cellStyle name="F5 3" xfId="414"/>
    <cellStyle name="F5 3 2" xfId="1237"/>
    <cellStyle name="F5 4" xfId="798"/>
    <cellStyle name="F5 4 2" xfId="1331"/>
    <cellStyle name="F5 5" xfId="1211"/>
    <cellStyle name="F5_France" xfId="353"/>
    <cellStyle name="F6" xfId="305"/>
    <cellStyle name="F6 2" xfId="306"/>
    <cellStyle name="F6 2 2" xfId="1212"/>
    <cellStyle name="F6 3" xfId="415"/>
    <cellStyle name="F6 3 2" xfId="1238"/>
    <cellStyle name="F6 4" xfId="799"/>
    <cellStyle name="F6 4 2" xfId="1332"/>
    <cellStyle name="F6_France" xfId="354"/>
    <cellStyle name="F7" xfId="307"/>
    <cellStyle name="F7 2" xfId="308"/>
    <cellStyle name="F7 2 2" xfId="1213"/>
    <cellStyle name="F7 3" xfId="416"/>
    <cellStyle name="F7 3 2" xfId="1239"/>
    <cellStyle name="F7 4" xfId="800"/>
    <cellStyle name="F7 4 2" xfId="1333"/>
    <cellStyle name="F7_France" xfId="355"/>
    <cellStyle name="F8" xfId="309"/>
    <cellStyle name="F8 2" xfId="310"/>
    <cellStyle name="F8 2 2" xfId="1214"/>
    <cellStyle name="F8 3" xfId="417"/>
    <cellStyle name="F8 3 2" xfId="1240"/>
    <cellStyle name="F8 4" xfId="801"/>
    <cellStyle name="F8 4 2" xfId="1334"/>
    <cellStyle name="F8_France" xfId="356"/>
    <cellStyle name="Fixed" xfId="311"/>
    <cellStyle name="Fixed 2" xfId="312"/>
    <cellStyle name="Fixed 2 2" xfId="1215"/>
    <cellStyle name="Fixed 3" xfId="418"/>
    <cellStyle name="Fixed 3 2" xfId="1241"/>
    <cellStyle name="Fixed 4" xfId="802"/>
    <cellStyle name="Fixed 4 2" xfId="1335"/>
    <cellStyle name="Good" xfId="56" builtinId="26" customBuiltin="1"/>
    <cellStyle name="Good 10" xfId="23927"/>
    <cellStyle name="Good 10 2" xfId="23928"/>
    <cellStyle name="Good 10 3" xfId="23929"/>
    <cellStyle name="Good 11" xfId="23930"/>
    <cellStyle name="Good 11 2" xfId="23931"/>
    <cellStyle name="Good 11 3" xfId="23932"/>
    <cellStyle name="Good 12" xfId="23933"/>
    <cellStyle name="Good 12 2" xfId="23934"/>
    <cellStyle name="Good 12 3" xfId="23935"/>
    <cellStyle name="Good 13" xfId="23936"/>
    <cellStyle name="Good 13 2" xfId="23937"/>
    <cellStyle name="Good 13 3" xfId="23938"/>
    <cellStyle name="Good 14" xfId="23939"/>
    <cellStyle name="Good 14 2" xfId="23940"/>
    <cellStyle name="Good 14 3" xfId="23941"/>
    <cellStyle name="Good 15" xfId="23942"/>
    <cellStyle name="Good 15 2" xfId="23943"/>
    <cellStyle name="Good 15 3" xfId="23944"/>
    <cellStyle name="Good 16" xfId="23945"/>
    <cellStyle name="Good 16 2" xfId="23946"/>
    <cellStyle name="Good 16 3" xfId="23947"/>
    <cellStyle name="Good 17" xfId="23948"/>
    <cellStyle name="Good 17 2" xfId="23949"/>
    <cellStyle name="Good 17 3" xfId="23950"/>
    <cellStyle name="Good 18" xfId="23951"/>
    <cellStyle name="Good 18 2" xfId="23952"/>
    <cellStyle name="Good 18 3" xfId="23953"/>
    <cellStyle name="Good 19" xfId="23954"/>
    <cellStyle name="Good 19 2" xfId="23955"/>
    <cellStyle name="Good 19 3" xfId="23956"/>
    <cellStyle name="Good 2" xfId="419"/>
    <cellStyle name="Good 2 10" xfId="23957"/>
    <cellStyle name="Good 2 10 2" xfId="23958"/>
    <cellStyle name="Good 2 11" xfId="23959"/>
    <cellStyle name="Good 2 11 2" xfId="23960"/>
    <cellStyle name="Good 2 12" xfId="23961"/>
    <cellStyle name="Good 2 12 2" xfId="23962"/>
    <cellStyle name="Good 2 13" xfId="23963"/>
    <cellStyle name="Good 2 13 2" xfId="23964"/>
    <cellStyle name="Good 2 14" xfId="23965"/>
    <cellStyle name="Good 2 14 2" xfId="23966"/>
    <cellStyle name="Good 2 15" xfId="23967"/>
    <cellStyle name="Good 2 15 2" xfId="23968"/>
    <cellStyle name="Good 2 16" xfId="23969"/>
    <cellStyle name="Good 2 16 2" xfId="23970"/>
    <cellStyle name="Good 2 17" xfId="23971"/>
    <cellStyle name="Good 2 17 2" xfId="23972"/>
    <cellStyle name="Good 2 18" xfId="23973"/>
    <cellStyle name="Good 2 18 2" xfId="23974"/>
    <cellStyle name="Good 2 19" xfId="23975"/>
    <cellStyle name="Good 2 19 2" xfId="23976"/>
    <cellStyle name="Good 2 2" xfId="1604"/>
    <cellStyle name="Good 2 2 2" xfId="23977"/>
    <cellStyle name="Good 2 2 3" xfId="23978"/>
    <cellStyle name="Good 2 20" xfId="23979"/>
    <cellStyle name="Good 2 20 2" xfId="23980"/>
    <cellStyle name="Good 2 21" xfId="23981"/>
    <cellStyle name="Good 2 21 2" xfId="23982"/>
    <cellStyle name="Good 2 22" xfId="23983"/>
    <cellStyle name="Good 2 22 2" xfId="23984"/>
    <cellStyle name="Good 2 23" xfId="23985"/>
    <cellStyle name="Good 2 23 2" xfId="23986"/>
    <cellStyle name="Good 2 24" xfId="23987"/>
    <cellStyle name="Good 2 24 2" xfId="23988"/>
    <cellStyle name="Good 2 25" xfId="23989"/>
    <cellStyle name="Good 2 25 2" xfId="23990"/>
    <cellStyle name="Good 2 26" xfId="23991"/>
    <cellStyle name="Good 2 26 2" xfId="23992"/>
    <cellStyle name="Good 2 27" xfId="23993"/>
    <cellStyle name="Good 2 27 2" xfId="23994"/>
    <cellStyle name="Good 2 28" xfId="23995"/>
    <cellStyle name="Good 2 28 2" xfId="23996"/>
    <cellStyle name="Good 2 29" xfId="23997"/>
    <cellStyle name="Good 2 3" xfId="23998"/>
    <cellStyle name="Good 2 3 2" xfId="23999"/>
    <cellStyle name="Good 2 30" xfId="24000"/>
    <cellStyle name="Good 2 31" xfId="24001"/>
    <cellStyle name="Good 2 32" xfId="24002"/>
    <cellStyle name="Good 2 33" xfId="24003"/>
    <cellStyle name="Good 2 4" xfId="24004"/>
    <cellStyle name="Good 2 4 2" xfId="24005"/>
    <cellStyle name="Good 2 5" xfId="24006"/>
    <cellStyle name="Good 2 5 2" xfId="24007"/>
    <cellStyle name="Good 2 6" xfId="24008"/>
    <cellStyle name="Good 2 6 2" xfId="24009"/>
    <cellStyle name="Good 2 7" xfId="24010"/>
    <cellStyle name="Good 2 7 2" xfId="24011"/>
    <cellStyle name="Good 2 8" xfId="24012"/>
    <cellStyle name="Good 2 8 2" xfId="24013"/>
    <cellStyle name="Good 2 9" xfId="24014"/>
    <cellStyle name="Good 2 9 2" xfId="24015"/>
    <cellStyle name="Good 20" xfId="24016"/>
    <cellStyle name="Good 20 2" xfId="24017"/>
    <cellStyle name="Good 20 3" xfId="24018"/>
    <cellStyle name="Good 21" xfId="24019"/>
    <cellStyle name="Good 21 2" xfId="24020"/>
    <cellStyle name="Good 21 3" xfId="24021"/>
    <cellStyle name="Good 22" xfId="24022"/>
    <cellStyle name="Good 22 2" xfId="24023"/>
    <cellStyle name="Good 22 3" xfId="24024"/>
    <cellStyle name="Good 23" xfId="24025"/>
    <cellStyle name="Good 23 2" xfId="24026"/>
    <cellStyle name="Good 23 3" xfId="24027"/>
    <cellStyle name="Good 24" xfId="24028"/>
    <cellStyle name="Good 24 2" xfId="24029"/>
    <cellStyle name="Good 24 3" xfId="24030"/>
    <cellStyle name="Good 25" xfId="24031"/>
    <cellStyle name="Good 25 2" xfId="24032"/>
    <cellStyle name="Good 25 3" xfId="24033"/>
    <cellStyle name="Good 26" xfId="24034"/>
    <cellStyle name="Good 26 2" xfId="24035"/>
    <cellStyle name="Good 26 3" xfId="24036"/>
    <cellStyle name="Good 27" xfId="24037"/>
    <cellStyle name="Good 27 2" xfId="24038"/>
    <cellStyle name="Good 27 3" xfId="24039"/>
    <cellStyle name="Good 28" xfId="24040"/>
    <cellStyle name="Good 28 2" xfId="24041"/>
    <cellStyle name="Good 28 3" xfId="24042"/>
    <cellStyle name="Good 29" xfId="24043"/>
    <cellStyle name="Good 29 2" xfId="24044"/>
    <cellStyle name="Good 29 3" xfId="24045"/>
    <cellStyle name="Good 3" xfId="1605"/>
    <cellStyle name="Good 3 2" xfId="24046"/>
    <cellStyle name="Good 3 3" xfId="24047"/>
    <cellStyle name="Good 30" xfId="24048"/>
    <cellStyle name="Good 30 2" xfId="24049"/>
    <cellStyle name="Good 31" xfId="24050"/>
    <cellStyle name="Good 32" xfId="24051"/>
    <cellStyle name="Good 33" xfId="24052"/>
    <cellStyle name="Good 4" xfId="24053"/>
    <cellStyle name="Good 4 2" xfId="24054"/>
    <cellStyle name="Good 4 3" xfId="24055"/>
    <cellStyle name="Good 5" xfId="24056"/>
    <cellStyle name="Good 5 2" xfId="24057"/>
    <cellStyle name="Good 5 3" xfId="24058"/>
    <cellStyle name="Good 6" xfId="24059"/>
    <cellStyle name="Good 6 2" xfId="24060"/>
    <cellStyle name="Good 6 3" xfId="24061"/>
    <cellStyle name="Good 7" xfId="24062"/>
    <cellStyle name="Good 7 2" xfId="24063"/>
    <cellStyle name="Good 7 3" xfId="24064"/>
    <cellStyle name="Good 8" xfId="24065"/>
    <cellStyle name="Good 8 2" xfId="24066"/>
    <cellStyle name="Good 8 3" xfId="24067"/>
    <cellStyle name="Good 9" xfId="24068"/>
    <cellStyle name="Good 9 2" xfId="24069"/>
    <cellStyle name="Good 9 3" xfId="24070"/>
    <cellStyle name="Grey" xfId="313"/>
    <cellStyle name="Grey 2" xfId="420"/>
    <cellStyle name="Grey 3" xfId="1216"/>
    <cellStyle name="Header" xfId="314"/>
    <cellStyle name="Header1" xfId="315"/>
    <cellStyle name="Header2" xfId="316"/>
    <cellStyle name="Heading" xfId="24071"/>
    <cellStyle name="Heading 1" xfId="57" builtinId="16" customBuiltin="1"/>
    <cellStyle name="Heading 1 10" xfId="24072"/>
    <cellStyle name="Heading 1 10 2" xfId="24073"/>
    <cellStyle name="Heading 1 10 3" xfId="24074"/>
    <cellStyle name="Heading 1 11" xfId="24075"/>
    <cellStyle name="Heading 1 11 2" xfId="24076"/>
    <cellStyle name="Heading 1 11 3" xfId="24077"/>
    <cellStyle name="Heading 1 12" xfId="24078"/>
    <cellStyle name="Heading 1 12 2" xfId="24079"/>
    <cellStyle name="Heading 1 12 3" xfId="24080"/>
    <cellStyle name="Heading 1 13" xfId="24081"/>
    <cellStyle name="Heading 1 13 2" xfId="24082"/>
    <cellStyle name="Heading 1 13 3" xfId="24083"/>
    <cellStyle name="Heading 1 14" xfId="24084"/>
    <cellStyle name="Heading 1 14 2" xfId="24085"/>
    <cellStyle name="Heading 1 14 3" xfId="24086"/>
    <cellStyle name="Heading 1 15" xfId="24087"/>
    <cellStyle name="Heading 1 15 2" xfId="24088"/>
    <cellStyle name="Heading 1 15 3" xfId="24089"/>
    <cellStyle name="Heading 1 16" xfId="24090"/>
    <cellStyle name="Heading 1 16 2" xfId="24091"/>
    <cellStyle name="Heading 1 16 3" xfId="24092"/>
    <cellStyle name="Heading 1 17" xfId="24093"/>
    <cellStyle name="Heading 1 17 2" xfId="24094"/>
    <cellStyle name="Heading 1 17 3" xfId="24095"/>
    <cellStyle name="Heading 1 18" xfId="24096"/>
    <cellStyle name="Heading 1 18 2" xfId="24097"/>
    <cellStyle name="Heading 1 18 3" xfId="24098"/>
    <cellStyle name="Heading 1 19" xfId="24099"/>
    <cellStyle name="Heading 1 19 2" xfId="24100"/>
    <cellStyle name="Heading 1 19 3" xfId="24101"/>
    <cellStyle name="Heading 1 2" xfId="424"/>
    <cellStyle name="Heading 1 2 10" xfId="24102"/>
    <cellStyle name="Heading 1 2 10 2" xfId="24103"/>
    <cellStyle name="Heading 1 2 11" xfId="24104"/>
    <cellStyle name="Heading 1 2 11 2" xfId="24105"/>
    <cellStyle name="Heading 1 2 12" xfId="24106"/>
    <cellStyle name="Heading 1 2 12 2" xfId="24107"/>
    <cellStyle name="Heading 1 2 13" xfId="24108"/>
    <cellStyle name="Heading 1 2 13 2" xfId="24109"/>
    <cellStyle name="Heading 1 2 14" xfId="24110"/>
    <cellStyle name="Heading 1 2 14 2" xfId="24111"/>
    <cellStyle name="Heading 1 2 15" xfId="24112"/>
    <cellStyle name="Heading 1 2 15 2" xfId="24113"/>
    <cellStyle name="Heading 1 2 16" xfId="24114"/>
    <cellStyle name="Heading 1 2 16 2" xfId="24115"/>
    <cellStyle name="Heading 1 2 17" xfId="24116"/>
    <cellStyle name="Heading 1 2 17 2" xfId="24117"/>
    <cellStyle name="Heading 1 2 18" xfId="24118"/>
    <cellStyle name="Heading 1 2 18 2" xfId="24119"/>
    <cellStyle name="Heading 1 2 19" xfId="24120"/>
    <cellStyle name="Heading 1 2 19 2" xfId="24121"/>
    <cellStyle name="Heading 1 2 2" xfId="1606"/>
    <cellStyle name="Heading 1 2 2 2" xfId="24122"/>
    <cellStyle name="Heading 1 2 2 3" xfId="24123"/>
    <cellStyle name="Heading 1 2 20" xfId="24124"/>
    <cellStyle name="Heading 1 2 20 2" xfId="24125"/>
    <cellStyle name="Heading 1 2 21" xfId="24126"/>
    <cellStyle name="Heading 1 2 21 2" xfId="24127"/>
    <cellStyle name="Heading 1 2 22" xfId="24128"/>
    <cellStyle name="Heading 1 2 22 2" xfId="24129"/>
    <cellStyle name="Heading 1 2 23" xfId="24130"/>
    <cellStyle name="Heading 1 2 23 2" xfId="24131"/>
    <cellStyle name="Heading 1 2 24" xfId="24132"/>
    <cellStyle name="Heading 1 2 24 2" xfId="24133"/>
    <cellStyle name="Heading 1 2 25" xfId="24134"/>
    <cellStyle name="Heading 1 2 25 2" xfId="24135"/>
    <cellStyle name="Heading 1 2 26" xfId="24136"/>
    <cellStyle name="Heading 1 2 26 2" xfId="24137"/>
    <cellStyle name="Heading 1 2 27" xfId="24138"/>
    <cellStyle name="Heading 1 2 27 2" xfId="24139"/>
    <cellStyle name="Heading 1 2 28" xfId="24140"/>
    <cellStyle name="Heading 1 2 28 2" xfId="24141"/>
    <cellStyle name="Heading 1 2 29" xfId="24142"/>
    <cellStyle name="Heading 1 2 3" xfId="24143"/>
    <cellStyle name="Heading 1 2 3 2" xfId="24144"/>
    <cellStyle name="Heading 1 2 30" xfId="24145"/>
    <cellStyle name="Heading 1 2 31" xfId="24146"/>
    <cellStyle name="Heading 1 2 32" xfId="24147"/>
    <cellStyle name="Heading 1 2 33" xfId="24148"/>
    <cellStyle name="Heading 1 2 4" xfId="24149"/>
    <cellStyle name="Heading 1 2 4 2" xfId="24150"/>
    <cellStyle name="Heading 1 2 5" xfId="24151"/>
    <cellStyle name="Heading 1 2 5 2" xfId="24152"/>
    <cellStyle name="Heading 1 2 6" xfId="24153"/>
    <cellStyle name="Heading 1 2 6 2" xfId="24154"/>
    <cellStyle name="Heading 1 2 7" xfId="24155"/>
    <cellStyle name="Heading 1 2 7 2" xfId="24156"/>
    <cellStyle name="Heading 1 2 8" xfId="24157"/>
    <cellStyle name="Heading 1 2 8 2" xfId="24158"/>
    <cellStyle name="Heading 1 2 9" xfId="24159"/>
    <cellStyle name="Heading 1 2 9 2" xfId="24160"/>
    <cellStyle name="Heading 1 20" xfId="24161"/>
    <cellStyle name="Heading 1 20 2" xfId="24162"/>
    <cellStyle name="Heading 1 20 3" xfId="24163"/>
    <cellStyle name="Heading 1 21" xfId="24164"/>
    <cellStyle name="Heading 1 21 2" xfId="24165"/>
    <cellStyle name="Heading 1 21 3" xfId="24166"/>
    <cellStyle name="Heading 1 22" xfId="24167"/>
    <cellStyle name="Heading 1 22 2" xfId="24168"/>
    <cellStyle name="Heading 1 22 3" xfId="24169"/>
    <cellStyle name="Heading 1 23" xfId="24170"/>
    <cellStyle name="Heading 1 23 2" xfId="24171"/>
    <cellStyle name="Heading 1 23 3" xfId="24172"/>
    <cellStyle name="Heading 1 24" xfId="24173"/>
    <cellStyle name="Heading 1 24 2" xfId="24174"/>
    <cellStyle name="Heading 1 24 3" xfId="24175"/>
    <cellStyle name="Heading 1 25" xfId="24176"/>
    <cellStyle name="Heading 1 25 2" xfId="24177"/>
    <cellStyle name="Heading 1 25 3" xfId="24178"/>
    <cellStyle name="Heading 1 26" xfId="24179"/>
    <cellStyle name="Heading 1 26 2" xfId="24180"/>
    <cellStyle name="Heading 1 26 3" xfId="24181"/>
    <cellStyle name="Heading 1 27" xfId="24182"/>
    <cellStyle name="Heading 1 27 2" xfId="24183"/>
    <cellStyle name="Heading 1 27 3" xfId="24184"/>
    <cellStyle name="Heading 1 28" xfId="24185"/>
    <cellStyle name="Heading 1 28 2" xfId="24186"/>
    <cellStyle name="Heading 1 28 3" xfId="24187"/>
    <cellStyle name="Heading 1 29" xfId="24188"/>
    <cellStyle name="Heading 1 29 2" xfId="24189"/>
    <cellStyle name="Heading 1 29 3" xfId="24190"/>
    <cellStyle name="Heading 1 3" xfId="1607"/>
    <cellStyle name="Heading 1 3 2" xfId="24191"/>
    <cellStyle name="Heading 1 3 3" xfId="24192"/>
    <cellStyle name="Heading 1 30" xfId="24193"/>
    <cellStyle name="Heading 1 30 2" xfId="24194"/>
    <cellStyle name="Heading 1 31" xfId="24195"/>
    <cellStyle name="Heading 1 32" xfId="24196"/>
    <cellStyle name="Heading 1 33" xfId="24197"/>
    <cellStyle name="Heading 1 4" xfId="24198"/>
    <cellStyle name="Heading 1 4 2" xfId="24199"/>
    <cellStyle name="Heading 1 4 3" xfId="24200"/>
    <cellStyle name="Heading 1 5" xfId="24201"/>
    <cellStyle name="Heading 1 5 2" xfId="24202"/>
    <cellStyle name="Heading 1 5 3" xfId="24203"/>
    <cellStyle name="Heading 1 6" xfId="24204"/>
    <cellStyle name="Heading 1 6 2" xfId="24205"/>
    <cellStyle name="Heading 1 6 3" xfId="24206"/>
    <cellStyle name="Heading 1 7" xfId="24207"/>
    <cellStyle name="Heading 1 7 2" xfId="24208"/>
    <cellStyle name="Heading 1 7 3" xfId="24209"/>
    <cellStyle name="Heading 1 8" xfId="24210"/>
    <cellStyle name="Heading 1 8 2" xfId="24211"/>
    <cellStyle name="Heading 1 8 3" xfId="24212"/>
    <cellStyle name="Heading 1 9" xfId="24213"/>
    <cellStyle name="Heading 1 9 2" xfId="24214"/>
    <cellStyle name="Heading 1 9 3" xfId="24215"/>
    <cellStyle name="Heading 2" xfId="58" builtinId="17" customBuiltin="1"/>
    <cellStyle name="Heading 2 10" xfId="24216"/>
    <cellStyle name="Heading 2 10 2" xfId="24217"/>
    <cellStyle name="Heading 2 10 3" xfId="24218"/>
    <cellStyle name="Heading 2 11" xfId="24219"/>
    <cellStyle name="Heading 2 11 2" xfId="24220"/>
    <cellStyle name="Heading 2 11 3" xfId="24221"/>
    <cellStyle name="Heading 2 12" xfId="24222"/>
    <cellStyle name="Heading 2 12 2" xfId="24223"/>
    <cellStyle name="Heading 2 12 3" xfId="24224"/>
    <cellStyle name="Heading 2 13" xfId="24225"/>
    <cellStyle name="Heading 2 13 2" xfId="24226"/>
    <cellStyle name="Heading 2 13 3" xfId="24227"/>
    <cellStyle name="Heading 2 14" xfId="24228"/>
    <cellStyle name="Heading 2 14 2" xfId="24229"/>
    <cellStyle name="Heading 2 14 3" xfId="24230"/>
    <cellStyle name="Heading 2 15" xfId="24231"/>
    <cellStyle name="Heading 2 15 2" xfId="24232"/>
    <cellStyle name="Heading 2 15 3" xfId="24233"/>
    <cellStyle name="Heading 2 16" xfId="24234"/>
    <cellStyle name="Heading 2 16 2" xfId="24235"/>
    <cellStyle name="Heading 2 16 3" xfId="24236"/>
    <cellStyle name="Heading 2 17" xfId="24237"/>
    <cellStyle name="Heading 2 17 2" xfId="24238"/>
    <cellStyle name="Heading 2 17 3" xfId="24239"/>
    <cellStyle name="Heading 2 18" xfId="24240"/>
    <cellStyle name="Heading 2 18 2" xfId="24241"/>
    <cellStyle name="Heading 2 18 3" xfId="24242"/>
    <cellStyle name="Heading 2 19" xfId="24243"/>
    <cellStyle name="Heading 2 19 2" xfId="24244"/>
    <cellStyle name="Heading 2 19 3" xfId="24245"/>
    <cellStyle name="Heading 2 2" xfId="425"/>
    <cellStyle name="Heading 2 2 10" xfId="24246"/>
    <cellStyle name="Heading 2 2 10 2" xfId="24247"/>
    <cellStyle name="Heading 2 2 11" xfId="24248"/>
    <cellStyle name="Heading 2 2 11 2" xfId="24249"/>
    <cellStyle name="Heading 2 2 12" xfId="24250"/>
    <cellStyle name="Heading 2 2 12 2" xfId="24251"/>
    <cellStyle name="Heading 2 2 13" xfId="24252"/>
    <cellStyle name="Heading 2 2 13 2" xfId="24253"/>
    <cellStyle name="Heading 2 2 14" xfId="24254"/>
    <cellStyle name="Heading 2 2 14 2" xfId="24255"/>
    <cellStyle name="Heading 2 2 15" xfId="24256"/>
    <cellStyle name="Heading 2 2 15 2" xfId="24257"/>
    <cellStyle name="Heading 2 2 16" xfId="24258"/>
    <cellStyle name="Heading 2 2 16 2" xfId="24259"/>
    <cellStyle name="Heading 2 2 17" xfId="24260"/>
    <cellStyle name="Heading 2 2 17 2" xfId="24261"/>
    <cellStyle name="Heading 2 2 18" xfId="24262"/>
    <cellStyle name="Heading 2 2 18 2" xfId="24263"/>
    <cellStyle name="Heading 2 2 19" xfId="24264"/>
    <cellStyle name="Heading 2 2 19 2" xfId="24265"/>
    <cellStyle name="Heading 2 2 2" xfId="1608"/>
    <cellStyle name="Heading 2 2 2 2" xfId="24266"/>
    <cellStyle name="Heading 2 2 2 3" xfId="24267"/>
    <cellStyle name="Heading 2 2 20" xfId="24268"/>
    <cellStyle name="Heading 2 2 20 2" xfId="24269"/>
    <cellStyle name="Heading 2 2 21" xfId="24270"/>
    <cellStyle name="Heading 2 2 21 2" xfId="24271"/>
    <cellStyle name="Heading 2 2 22" xfId="24272"/>
    <cellStyle name="Heading 2 2 22 2" xfId="24273"/>
    <cellStyle name="Heading 2 2 23" xfId="24274"/>
    <cellStyle name="Heading 2 2 23 2" xfId="24275"/>
    <cellStyle name="Heading 2 2 24" xfId="24276"/>
    <cellStyle name="Heading 2 2 24 2" xfId="24277"/>
    <cellStyle name="Heading 2 2 25" xfId="24278"/>
    <cellStyle name="Heading 2 2 25 2" xfId="24279"/>
    <cellStyle name="Heading 2 2 26" xfId="24280"/>
    <cellStyle name="Heading 2 2 26 2" xfId="24281"/>
    <cellStyle name="Heading 2 2 27" xfId="24282"/>
    <cellStyle name="Heading 2 2 27 2" xfId="24283"/>
    <cellStyle name="Heading 2 2 28" xfId="24284"/>
    <cellStyle name="Heading 2 2 28 2" xfId="24285"/>
    <cellStyle name="Heading 2 2 29" xfId="24286"/>
    <cellStyle name="Heading 2 2 3" xfId="24287"/>
    <cellStyle name="Heading 2 2 3 2" xfId="24288"/>
    <cellStyle name="Heading 2 2 30" xfId="24289"/>
    <cellStyle name="Heading 2 2 31" xfId="24290"/>
    <cellStyle name="Heading 2 2 32" xfId="24291"/>
    <cellStyle name="Heading 2 2 33" xfId="24292"/>
    <cellStyle name="Heading 2 2 4" xfId="24293"/>
    <cellStyle name="Heading 2 2 4 2" xfId="24294"/>
    <cellStyle name="Heading 2 2 5" xfId="24295"/>
    <cellStyle name="Heading 2 2 5 2" xfId="24296"/>
    <cellStyle name="Heading 2 2 6" xfId="24297"/>
    <cellStyle name="Heading 2 2 6 2" xfId="24298"/>
    <cellStyle name="Heading 2 2 7" xfId="24299"/>
    <cellStyle name="Heading 2 2 7 2" xfId="24300"/>
    <cellStyle name="Heading 2 2 8" xfId="24301"/>
    <cellStyle name="Heading 2 2 8 2" xfId="24302"/>
    <cellStyle name="Heading 2 2 9" xfId="24303"/>
    <cellStyle name="Heading 2 2 9 2" xfId="24304"/>
    <cellStyle name="Heading 2 20" xfId="24305"/>
    <cellStyle name="Heading 2 20 2" xfId="24306"/>
    <cellStyle name="Heading 2 20 3" xfId="24307"/>
    <cellStyle name="Heading 2 21" xfId="24308"/>
    <cellStyle name="Heading 2 21 2" xfId="24309"/>
    <cellStyle name="Heading 2 21 3" xfId="24310"/>
    <cellStyle name="Heading 2 22" xfId="24311"/>
    <cellStyle name="Heading 2 22 2" xfId="24312"/>
    <cellStyle name="Heading 2 22 3" xfId="24313"/>
    <cellStyle name="Heading 2 23" xfId="24314"/>
    <cellStyle name="Heading 2 23 2" xfId="24315"/>
    <cellStyle name="Heading 2 23 3" xfId="24316"/>
    <cellStyle name="Heading 2 24" xfId="24317"/>
    <cellStyle name="Heading 2 24 2" xfId="24318"/>
    <cellStyle name="Heading 2 24 3" xfId="24319"/>
    <cellStyle name="Heading 2 25" xfId="24320"/>
    <cellStyle name="Heading 2 25 2" xfId="24321"/>
    <cellStyle name="Heading 2 25 3" xfId="24322"/>
    <cellStyle name="Heading 2 26" xfId="24323"/>
    <cellStyle name="Heading 2 26 2" xfId="24324"/>
    <cellStyle name="Heading 2 26 3" xfId="24325"/>
    <cellStyle name="Heading 2 27" xfId="24326"/>
    <cellStyle name="Heading 2 27 2" xfId="24327"/>
    <cellStyle name="Heading 2 27 3" xfId="24328"/>
    <cellStyle name="Heading 2 28" xfId="24329"/>
    <cellStyle name="Heading 2 28 2" xfId="24330"/>
    <cellStyle name="Heading 2 28 3" xfId="24331"/>
    <cellStyle name="Heading 2 29" xfId="24332"/>
    <cellStyle name="Heading 2 29 2" xfId="24333"/>
    <cellStyle name="Heading 2 29 3" xfId="24334"/>
    <cellStyle name="Heading 2 3" xfId="1609"/>
    <cellStyle name="Heading 2 3 2" xfId="24335"/>
    <cellStyle name="Heading 2 3 3" xfId="24336"/>
    <cellStyle name="Heading 2 30" xfId="24337"/>
    <cellStyle name="Heading 2 30 2" xfId="24338"/>
    <cellStyle name="Heading 2 31" xfId="24339"/>
    <cellStyle name="Heading 2 32" xfId="24340"/>
    <cellStyle name="Heading 2 33" xfId="24341"/>
    <cellStyle name="Heading 2 4" xfId="24342"/>
    <cellStyle name="Heading 2 4 2" xfId="24343"/>
    <cellStyle name="Heading 2 4 3" xfId="24344"/>
    <cellStyle name="Heading 2 5" xfId="24345"/>
    <cellStyle name="Heading 2 5 2" xfId="24346"/>
    <cellStyle name="Heading 2 5 3" xfId="24347"/>
    <cellStyle name="Heading 2 6" xfId="24348"/>
    <cellStyle name="Heading 2 6 2" xfId="24349"/>
    <cellStyle name="Heading 2 6 3" xfId="24350"/>
    <cellStyle name="Heading 2 7" xfId="24351"/>
    <cellStyle name="Heading 2 7 2" xfId="24352"/>
    <cellStyle name="Heading 2 7 3" xfId="24353"/>
    <cellStyle name="Heading 2 8" xfId="24354"/>
    <cellStyle name="Heading 2 8 2" xfId="24355"/>
    <cellStyle name="Heading 2 8 3" xfId="24356"/>
    <cellStyle name="Heading 2 9" xfId="24357"/>
    <cellStyle name="Heading 2 9 2" xfId="24358"/>
    <cellStyle name="Heading 2 9 3" xfId="24359"/>
    <cellStyle name="Heading 3" xfId="59" builtinId="18" customBuiltin="1"/>
    <cellStyle name="Heading 3 10" xfId="24360"/>
    <cellStyle name="Heading 3 10 2" xfId="24361"/>
    <cellStyle name="Heading 3 10 3" xfId="24362"/>
    <cellStyle name="Heading 3 11" xfId="24363"/>
    <cellStyle name="Heading 3 11 2" xfId="24364"/>
    <cellStyle name="Heading 3 11 3" xfId="24365"/>
    <cellStyle name="Heading 3 12" xfId="24366"/>
    <cellStyle name="Heading 3 12 2" xfId="24367"/>
    <cellStyle name="Heading 3 12 3" xfId="24368"/>
    <cellStyle name="Heading 3 13" xfId="24369"/>
    <cellStyle name="Heading 3 13 2" xfId="24370"/>
    <cellStyle name="Heading 3 13 3" xfId="24371"/>
    <cellStyle name="Heading 3 14" xfId="24372"/>
    <cellStyle name="Heading 3 14 2" xfId="24373"/>
    <cellStyle name="Heading 3 14 3" xfId="24374"/>
    <cellStyle name="Heading 3 15" xfId="24375"/>
    <cellStyle name="Heading 3 15 2" xfId="24376"/>
    <cellStyle name="Heading 3 15 3" xfId="24377"/>
    <cellStyle name="Heading 3 16" xfId="24378"/>
    <cellStyle name="Heading 3 16 2" xfId="24379"/>
    <cellStyle name="Heading 3 16 3" xfId="24380"/>
    <cellStyle name="Heading 3 17" xfId="24381"/>
    <cellStyle name="Heading 3 17 2" xfId="24382"/>
    <cellStyle name="Heading 3 17 3" xfId="24383"/>
    <cellStyle name="Heading 3 18" xfId="24384"/>
    <cellStyle name="Heading 3 18 2" xfId="24385"/>
    <cellStyle name="Heading 3 18 3" xfId="24386"/>
    <cellStyle name="Heading 3 19" xfId="24387"/>
    <cellStyle name="Heading 3 19 2" xfId="24388"/>
    <cellStyle name="Heading 3 19 3" xfId="24389"/>
    <cellStyle name="Heading 3 2" xfId="426"/>
    <cellStyle name="Heading 3 2 10" xfId="24390"/>
    <cellStyle name="Heading 3 2 10 2" xfId="24391"/>
    <cellStyle name="Heading 3 2 11" xfId="24392"/>
    <cellStyle name="Heading 3 2 11 2" xfId="24393"/>
    <cellStyle name="Heading 3 2 12" xfId="24394"/>
    <cellStyle name="Heading 3 2 12 2" xfId="24395"/>
    <cellStyle name="Heading 3 2 13" xfId="24396"/>
    <cellStyle name="Heading 3 2 13 2" xfId="24397"/>
    <cellStyle name="Heading 3 2 14" xfId="24398"/>
    <cellStyle name="Heading 3 2 14 2" xfId="24399"/>
    <cellStyle name="Heading 3 2 15" xfId="24400"/>
    <cellStyle name="Heading 3 2 15 2" xfId="24401"/>
    <cellStyle name="Heading 3 2 16" xfId="24402"/>
    <cellStyle name="Heading 3 2 16 2" xfId="24403"/>
    <cellStyle name="Heading 3 2 17" xfId="24404"/>
    <cellStyle name="Heading 3 2 17 2" xfId="24405"/>
    <cellStyle name="Heading 3 2 18" xfId="24406"/>
    <cellStyle name="Heading 3 2 18 2" xfId="24407"/>
    <cellStyle name="Heading 3 2 19" xfId="24408"/>
    <cellStyle name="Heading 3 2 19 2" xfId="24409"/>
    <cellStyle name="Heading 3 2 2" xfId="1610"/>
    <cellStyle name="Heading 3 2 2 2" xfId="24410"/>
    <cellStyle name="Heading 3 2 2 3" xfId="24411"/>
    <cellStyle name="Heading 3 2 20" xfId="24412"/>
    <cellStyle name="Heading 3 2 20 2" xfId="24413"/>
    <cellStyle name="Heading 3 2 21" xfId="24414"/>
    <cellStyle name="Heading 3 2 21 2" xfId="24415"/>
    <cellStyle name="Heading 3 2 22" xfId="24416"/>
    <cellStyle name="Heading 3 2 22 2" xfId="24417"/>
    <cellStyle name="Heading 3 2 23" xfId="24418"/>
    <cellStyle name="Heading 3 2 23 2" xfId="24419"/>
    <cellStyle name="Heading 3 2 24" xfId="24420"/>
    <cellStyle name="Heading 3 2 24 2" xfId="24421"/>
    <cellStyle name="Heading 3 2 25" xfId="24422"/>
    <cellStyle name="Heading 3 2 25 2" xfId="24423"/>
    <cellStyle name="Heading 3 2 26" xfId="24424"/>
    <cellStyle name="Heading 3 2 26 2" xfId="24425"/>
    <cellStyle name="Heading 3 2 27" xfId="24426"/>
    <cellStyle name="Heading 3 2 27 2" xfId="24427"/>
    <cellStyle name="Heading 3 2 28" xfId="24428"/>
    <cellStyle name="Heading 3 2 28 2" xfId="24429"/>
    <cellStyle name="Heading 3 2 29" xfId="24430"/>
    <cellStyle name="Heading 3 2 3" xfId="1804"/>
    <cellStyle name="Heading 3 2 3 2" xfId="24431"/>
    <cellStyle name="Heading 3 2 3 3" xfId="24432"/>
    <cellStyle name="Heading 3 2 30" xfId="24433"/>
    <cellStyle name="Heading 3 2 31" xfId="24434"/>
    <cellStyle name="Heading 3 2 32" xfId="24435"/>
    <cellStyle name="Heading 3 2 33" xfId="24436"/>
    <cellStyle name="Heading 3 2 4" xfId="24437"/>
    <cellStyle name="Heading 3 2 4 2" xfId="24438"/>
    <cellStyle name="Heading 3 2 5" xfId="24439"/>
    <cellStyle name="Heading 3 2 5 2" xfId="24440"/>
    <cellStyle name="Heading 3 2 6" xfId="24441"/>
    <cellStyle name="Heading 3 2 6 2" xfId="24442"/>
    <cellStyle name="Heading 3 2 7" xfId="24443"/>
    <cellStyle name="Heading 3 2 7 2" xfId="24444"/>
    <cellStyle name="Heading 3 2 8" xfId="24445"/>
    <cellStyle name="Heading 3 2 8 2" xfId="24446"/>
    <cellStyle name="Heading 3 2 9" xfId="24447"/>
    <cellStyle name="Heading 3 2 9 2" xfId="24448"/>
    <cellStyle name="Heading 3 20" xfId="24449"/>
    <cellStyle name="Heading 3 20 2" xfId="24450"/>
    <cellStyle name="Heading 3 20 3" xfId="24451"/>
    <cellStyle name="Heading 3 21" xfId="24452"/>
    <cellStyle name="Heading 3 21 2" xfId="24453"/>
    <cellStyle name="Heading 3 21 3" xfId="24454"/>
    <cellStyle name="Heading 3 22" xfId="24455"/>
    <cellStyle name="Heading 3 22 2" xfId="24456"/>
    <cellStyle name="Heading 3 22 3" xfId="24457"/>
    <cellStyle name="Heading 3 23" xfId="24458"/>
    <cellStyle name="Heading 3 23 2" xfId="24459"/>
    <cellStyle name="Heading 3 23 3" xfId="24460"/>
    <cellStyle name="Heading 3 24" xfId="24461"/>
    <cellStyle name="Heading 3 24 2" xfId="24462"/>
    <cellStyle name="Heading 3 24 3" xfId="24463"/>
    <cellStyle name="Heading 3 25" xfId="24464"/>
    <cellStyle name="Heading 3 25 2" xfId="24465"/>
    <cellStyle name="Heading 3 25 3" xfId="24466"/>
    <cellStyle name="Heading 3 26" xfId="24467"/>
    <cellStyle name="Heading 3 26 2" xfId="24468"/>
    <cellStyle name="Heading 3 26 3" xfId="24469"/>
    <cellStyle name="Heading 3 27" xfId="24470"/>
    <cellStyle name="Heading 3 27 2" xfId="24471"/>
    <cellStyle name="Heading 3 27 3" xfId="24472"/>
    <cellStyle name="Heading 3 28" xfId="24473"/>
    <cellStyle name="Heading 3 28 2" xfId="24474"/>
    <cellStyle name="Heading 3 28 3" xfId="24475"/>
    <cellStyle name="Heading 3 29" xfId="24476"/>
    <cellStyle name="Heading 3 29 2" xfId="24477"/>
    <cellStyle name="Heading 3 29 3" xfId="24478"/>
    <cellStyle name="Heading 3 3" xfId="1611"/>
    <cellStyle name="Heading 3 3 2" xfId="24479"/>
    <cellStyle name="Heading 3 3 3" xfId="24480"/>
    <cellStyle name="Heading 3 30" xfId="24481"/>
    <cellStyle name="Heading 3 30 2" xfId="24482"/>
    <cellStyle name="Heading 3 31" xfId="24483"/>
    <cellStyle name="Heading 3 32" xfId="24484"/>
    <cellStyle name="Heading 3 33" xfId="24485"/>
    <cellStyle name="Heading 3 4" xfId="24486"/>
    <cellStyle name="Heading 3 4 2" xfId="24487"/>
    <cellStyle name="Heading 3 4 3" xfId="24488"/>
    <cellStyle name="Heading 3 5" xfId="24489"/>
    <cellStyle name="Heading 3 5 2" xfId="24490"/>
    <cellStyle name="Heading 3 5 3" xfId="24491"/>
    <cellStyle name="Heading 3 6" xfId="24492"/>
    <cellStyle name="Heading 3 6 2" xfId="24493"/>
    <cellStyle name="Heading 3 6 3" xfId="24494"/>
    <cellStyle name="Heading 3 7" xfId="24495"/>
    <cellStyle name="Heading 3 7 2" xfId="24496"/>
    <cellStyle name="Heading 3 7 3" xfId="24497"/>
    <cellStyle name="Heading 3 8" xfId="24498"/>
    <cellStyle name="Heading 3 8 2" xfId="24499"/>
    <cellStyle name="Heading 3 8 3" xfId="24500"/>
    <cellStyle name="Heading 3 9" xfId="24501"/>
    <cellStyle name="Heading 3 9 2" xfId="24502"/>
    <cellStyle name="Heading 3 9 3" xfId="24503"/>
    <cellStyle name="Heading 4" xfId="60" builtinId="19" customBuiltin="1"/>
    <cellStyle name="Heading 4 10" xfId="24504"/>
    <cellStyle name="Heading 4 10 2" xfId="24505"/>
    <cellStyle name="Heading 4 10 3" xfId="24506"/>
    <cellStyle name="Heading 4 11" xfId="24507"/>
    <cellStyle name="Heading 4 11 2" xfId="24508"/>
    <cellStyle name="Heading 4 11 3" xfId="24509"/>
    <cellStyle name="Heading 4 12" xfId="24510"/>
    <cellStyle name="Heading 4 12 2" xfId="24511"/>
    <cellStyle name="Heading 4 12 3" xfId="24512"/>
    <cellStyle name="Heading 4 13" xfId="24513"/>
    <cellStyle name="Heading 4 13 2" xfId="24514"/>
    <cellStyle name="Heading 4 13 3" xfId="24515"/>
    <cellStyle name="Heading 4 14" xfId="24516"/>
    <cellStyle name="Heading 4 14 2" xfId="24517"/>
    <cellStyle name="Heading 4 14 3" xfId="24518"/>
    <cellStyle name="Heading 4 15" xfId="24519"/>
    <cellStyle name="Heading 4 15 2" xfId="24520"/>
    <cellStyle name="Heading 4 15 3" xfId="24521"/>
    <cellStyle name="Heading 4 16" xfId="24522"/>
    <cellStyle name="Heading 4 16 2" xfId="24523"/>
    <cellStyle name="Heading 4 16 3" xfId="24524"/>
    <cellStyle name="Heading 4 17" xfId="24525"/>
    <cellStyle name="Heading 4 17 2" xfId="24526"/>
    <cellStyle name="Heading 4 17 3" xfId="24527"/>
    <cellStyle name="Heading 4 18" xfId="24528"/>
    <cellStyle name="Heading 4 18 2" xfId="24529"/>
    <cellStyle name="Heading 4 18 3" xfId="24530"/>
    <cellStyle name="Heading 4 19" xfId="24531"/>
    <cellStyle name="Heading 4 19 2" xfId="24532"/>
    <cellStyle name="Heading 4 19 3" xfId="24533"/>
    <cellStyle name="Heading 4 2" xfId="427"/>
    <cellStyle name="Heading 4 2 10" xfId="24534"/>
    <cellStyle name="Heading 4 2 10 2" xfId="24535"/>
    <cellStyle name="Heading 4 2 11" xfId="24536"/>
    <cellStyle name="Heading 4 2 11 2" xfId="24537"/>
    <cellStyle name="Heading 4 2 12" xfId="24538"/>
    <cellStyle name="Heading 4 2 12 2" xfId="24539"/>
    <cellStyle name="Heading 4 2 13" xfId="24540"/>
    <cellStyle name="Heading 4 2 13 2" xfId="24541"/>
    <cellStyle name="Heading 4 2 14" xfId="24542"/>
    <cellStyle name="Heading 4 2 14 2" xfId="24543"/>
    <cellStyle name="Heading 4 2 15" xfId="24544"/>
    <cellStyle name="Heading 4 2 15 2" xfId="24545"/>
    <cellStyle name="Heading 4 2 16" xfId="24546"/>
    <cellStyle name="Heading 4 2 16 2" xfId="24547"/>
    <cellStyle name="Heading 4 2 17" xfId="24548"/>
    <cellStyle name="Heading 4 2 17 2" xfId="24549"/>
    <cellStyle name="Heading 4 2 18" xfId="24550"/>
    <cellStyle name="Heading 4 2 18 2" xfId="24551"/>
    <cellStyle name="Heading 4 2 19" xfId="24552"/>
    <cellStyle name="Heading 4 2 19 2" xfId="24553"/>
    <cellStyle name="Heading 4 2 2" xfId="1612"/>
    <cellStyle name="Heading 4 2 2 2" xfId="24554"/>
    <cellStyle name="Heading 4 2 2 3" xfId="24555"/>
    <cellStyle name="Heading 4 2 20" xfId="24556"/>
    <cellStyle name="Heading 4 2 20 2" xfId="24557"/>
    <cellStyle name="Heading 4 2 21" xfId="24558"/>
    <cellStyle name="Heading 4 2 21 2" xfId="24559"/>
    <cellStyle name="Heading 4 2 22" xfId="24560"/>
    <cellStyle name="Heading 4 2 22 2" xfId="24561"/>
    <cellStyle name="Heading 4 2 23" xfId="24562"/>
    <cellStyle name="Heading 4 2 23 2" xfId="24563"/>
    <cellStyle name="Heading 4 2 24" xfId="24564"/>
    <cellStyle name="Heading 4 2 24 2" xfId="24565"/>
    <cellStyle name="Heading 4 2 25" xfId="24566"/>
    <cellStyle name="Heading 4 2 25 2" xfId="24567"/>
    <cellStyle name="Heading 4 2 26" xfId="24568"/>
    <cellStyle name="Heading 4 2 26 2" xfId="24569"/>
    <cellStyle name="Heading 4 2 27" xfId="24570"/>
    <cellStyle name="Heading 4 2 27 2" xfId="24571"/>
    <cellStyle name="Heading 4 2 28" xfId="24572"/>
    <cellStyle name="Heading 4 2 28 2" xfId="24573"/>
    <cellStyle name="Heading 4 2 29" xfId="24574"/>
    <cellStyle name="Heading 4 2 3" xfId="24575"/>
    <cellStyle name="Heading 4 2 3 2" xfId="24576"/>
    <cellStyle name="Heading 4 2 30" xfId="24577"/>
    <cellStyle name="Heading 4 2 31" xfId="24578"/>
    <cellStyle name="Heading 4 2 32" xfId="24579"/>
    <cellStyle name="Heading 4 2 33" xfId="24580"/>
    <cellStyle name="Heading 4 2 4" xfId="24581"/>
    <cellStyle name="Heading 4 2 4 2" xfId="24582"/>
    <cellStyle name="Heading 4 2 5" xfId="24583"/>
    <cellStyle name="Heading 4 2 5 2" xfId="24584"/>
    <cellStyle name="Heading 4 2 6" xfId="24585"/>
    <cellStyle name="Heading 4 2 6 2" xfId="24586"/>
    <cellStyle name="Heading 4 2 7" xfId="24587"/>
    <cellStyle name="Heading 4 2 7 2" xfId="24588"/>
    <cellStyle name="Heading 4 2 8" xfId="24589"/>
    <cellStyle name="Heading 4 2 8 2" xfId="24590"/>
    <cellStyle name="Heading 4 2 9" xfId="24591"/>
    <cellStyle name="Heading 4 2 9 2" xfId="24592"/>
    <cellStyle name="Heading 4 20" xfId="24593"/>
    <cellStyle name="Heading 4 20 2" xfId="24594"/>
    <cellStyle name="Heading 4 20 3" xfId="24595"/>
    <cellStyle name="Heading 4 21" xfId="24596"/>
    <cellStyle name="Heading 4 21 2" xfId="24597"/>
    <cellStyle name="Heading 4 21 3" xfId="24598"/>
    <cellStyle name="Heading 4 22" xfId="24599"/>
    <cellStyle name="Heading 4 22 2" xfId="24600"/>
    <cellStyle name="Heading 4 22 3" xfId="24601"/>
    <cellStyle name="Heading 4 23" xfId="24602"/>
    <cellStyle name="Heading 4 23 2" xfId="24603"/>
    <cellStyle name="Heading 4 23 3" xfId="24604"/>
    <cellStyle name="Heading 4 24" xfId="24605"/>
    <cellStyle name="Heading 4 24 2" xfId="24606"/>
    <cellStyle name="Heading 4 24 3" xfId="24607"/>
    <cellStyle name="Heading 4 25" xfId="24608"/>
    <cellStyle name="Heading 4 25 2" xfId="24609"/>
    <cellStyle name="Heading 4 25 3" xfId="24610"/>
    <cellStyle name="Heading 4 26" xfId="24611"/>
    <cellStyle name="Heading 4 26 2" xfId="24612"/>
    <cellStyle name="Heading 4 26 3" xfId="24613"/>
    <cellStyle name="Heading 4 27" xfId="24614"/>
    <cellStyle name="Heading 4 27 2" xfId="24615"/>
    <cellStyle name="Heading 4 27 3" xfId="24616"/>
    <cellStyle name="Heading 4 28" xfId="24617"/>
    <cellStyle name="Heading 4 28 2" xfId="24618"/>
    <cellStyle name="Heading 4 28 3" xfId="24619"/>
    <cellStyle name="Heading 4 29" xfId="24620"/>
    <cellStyle name="Heading 4 29 2" xfId="24621"/>
    <cellStyle name="Heading 4 29 3" xfId="24622"/>
    <cellStyle name="Heading 4 3" xfId="1613"/>
    <cellStyle name="Heading 4 3 2" xfId="24623"/>
    <cellStyle name="Heading 4 3 3" xfId="24624"/>
    <cellStyle name="Heading 4 30" xfId="24625"/>
    <cellStyle name="Heading 4 30 2" xfId="24626"/>
    <cellStyle name="Heading 4 31" xfId="24627"/>
    <cellStyle name="Heading 4 32" xfId="24628"/>
    <cellStyle name="Heading 4 33" xfId="24629"/>
    <cellStyle name="Heading 4 4" xfId="24630"/>
    <cellStyle name="Heading 4 4 2" xfId="24631"/>
    <cellStyle name="Heading 4 4 3" xfId="24632"/>
    <cellStyle name="Heading 4 5" xfId="24633"/>
    <cellStyle name="Heading 4 5 2" xfId="24634"/>
    <cellStyle name="Heading 4 5 3" xfId="24635"/>
    <cellStyle name="Heading 4 6" xfId="24636"/>
    <cellStyle name="Heading 4 6 2" xfId="24637"/>
    <cellStyle name="Heading 4 6 3" xfId="24638"/>
    <cellStyle name="Heading 4 7" xfId="24639"/>
    <cellStyle name="Heading 4 7 2" xfId="24640"/>
    <cellStyle name="Heading 4 7 3" xfId="24641"/>
    <cellStyle name="Heading 4 8" xfId="24642"/>
    <cellStyle name="Heading 4 8 2" xfId="24643"/>
    <cellStyle name="Heading 4 8 3" xfId="24644"/>
    <cellStyle name="Heading 4 9" xfId="24645"/>
    <cellStyle name="Heading 4 9 2" xfId="24646"/>
    <cellStyle name="Heading 4 9 3" xfId="24647"/>
    <cellStyle name="hore" xfId="317"/>
    <cellStyle name="Hyperlink" xfId="370" builtinId="8"/>
    <cellStyle name="Hyperlink 2" xfId="462"/>
    <cellStyle name="Hyperlink 2 2" xfId="1614"/>
    <cellStyle name="Hyperlink 2 2 2" xfId="24648"/>
    <cellStyle name="Hyperlink 2 3" xfId="24649"/>
    <cellStyle name="Hyperlink 2 4" xfId="24650"/>
    <cellStyle name="Hyperlink 3" xfId="1223"/>
    <cellStyle name="Hyperlink 3 2" xfId="1789"/>
    <cellStyle name="Hyperlink 4" xfId="1964"/>
    <cellStyle name="Hyperlink 4 2" xfId="2046"/>
    <cellStyle name="Hyperlink 5" xfId="1984"/>
    <cellStyle name="Hyperlink 6" xfId="1982"/>
    <cellStyle name="Input" xfId="61" builtinId="20" customBuiltin="1"/>
    <cellStyle name="Input [yellow]" xfId="318"/>
    <cellStyle name="Input [yellow] 2" xfId="430"/>
    <cellStyle name="Input [yellow] 3" xfId="1217"/>
    <cellStyle name="input 10" xfId="498"/>
    <cellStyle name="input 10 2" xfId="1837"/>
    <cellStyle name="input 10 2 2" xfId="24651"/>
    <cellStyle name="Input 10 3" xfId="24652"/>
    <cellStyle name="Input 10 4" xfId="24653"/>
    <cellStyle name="input 100" xfId="675"/>
    <cellStyle name="input 101" xfId="676"/>
    <cellStyle name="input 102" xfId="678"/>
    <cellStyle name="input 103" xfId="679"/>
    <cellStyle name="input 104" xfId="680"/>
    <cellStyle name="input 105" xfId="681"/>
    <cellStyle name="input 106" xfId="682"/>
    <cellStyle name="input 107" xfId="683"/>
    <cellStyle name="input 108" xfId="684"/>
    <cellStyle name="input 109" xfId="685"/>
    <cellStyle name="input 11" xfId="500"/>
    <cellStyle name="input 11 2" xfId="1838"/>
    <cellStyle name="input 11 2 2" xfId="24654"/>
    <cellStyle name="Input 11 3" xfId="24655"/>
    <cellStyle name="Input 11 4" xfId="24656"/>
    <cellStyle name="input 110" xfId="686"/>
    <cellStyle name="input 111" xfId="687"/>
    <cellStyle name="input 112" xfId="688"/>
    <cellStyle name="input 113" xfId="689"/>
    <cellStyle name="input 114" xfId="690"/>
    <cellStyle name="input 115" xfId="691"/>
    <cellStyle name="input 116" xfId="692"/>
    <cellStyle name="input 117" xfId="693"/>
    <cellStyle name="input 118" xfId="694"/>
    <cellStyle name="input 119" xfId="695"/>
    <cellStyle name="input 12" xfId="502"/>
    <cellStyle name="input 12 2" xfId="1839"/>
    <cellStyle name="input 12 2 2" xfId="24657"/>
    <cellStyle name="Input 12 3" xfId="24658"/>
    <cellStyle name="Input 12 4" xfId="24659"/>
    <cellStyle name="input 120" xfId="696"/>
    <cellStyle name="input 121" xfId="697"/>
    <cellStyle name="input 122" xfId="698"/>
    <cellStyle name="input 123" xfId="699"/>
    <cellStyle name="input 124" xfId="700"/>
    <cellStyle name="input 125" xfId="611"/>
    <cellStyle name="input 126" xfId="614"/>
    <cellStyle name="input 127" xfId="736"/>
    <cellStyle name="input 127 2" xfId="24660"/>
    <cellStyle name="input 128" xfId="731"/>
    <cellStyle name="input 128 2" xfId="24661"/>
    <cellStyle name="input 129" xfId="735"/>
    <cellStyle name="input 129 2" xfId="24662"/>
    <cellStyle name="input 13" xfId="504"/>
    <cellStyle name="input 13 2" xfId="1840"/>
    <cellStyle name="input 13 2 2" xfId="24663"/>
    <cellStyle name="Input 13 3" xfId="24664"/>
    <cellStyle name="Input 13 4" xfId="24665"/>
    <cellStyle name="input 130" xfId="752"/>
    <cellStyle name="input 130 2" xfId="24666"/>
    <cellStyle name="input 131" xfId="753"/>
    <cellStyle name="input 131 2" xfId="24667"/>
    <cellStyle name="input 132" xfId="754"/>
    <cellStyle name="input 132 2" xfId="24668"/>
    <cellStyle name="input 133" xfId="755"/>
    <cellStyle name="input 133 2" xfId="24669"/>
    <cellStyle name="input 134" xfId="756"/>
    <cellStyle name="input 134 2" xfId="24670"/>
    <cellStyle name="input 135" xfId="757"/>
    <cellStyle name="input 135 2" xfId="24671"/>
    <cellStyle name="input 136" xfId="758"/>
    <cellStyle name="input 136 2" xfId="24672"/>
    <cellStyle name="input 137" xfId="737"/>
    <cellStyle name="input 137 2" xfId="24673"/>
    <cellStyle name="input 138" xfId="732"/>
    <cellStyle name="input 138 2" xfId="24674"/>
    <cellStyle name="input 139" xfId="738"/>
    <cellStyle name="input 139 2" xfId="24675"/>
    <cellStyle name="input 14" xfId="506"/>
    <cellStyle name="input 14 2" xfId="1828"/>
    <cellStyle name="input 14 2 2" xfId="24676"/>
    <cellStyle name="Input 14 3" xfId="24677"/>
    <cellStyle name="Input 14 4" xfId="24678"/>
    <cellStyle name="input 140" xfId="733"/>
    <cellStyle name="input 141" xfId="739"/>
    <cellStyle name="input 142" xfId="734"/>
    <cellStyle name="input 143" xfId="763"/>
    <cellStyle name="input 144" xfId="762"/>
    <cellStyle name="input 145" xfId="761"/>
    <cellStyle name="input 146" xfId="764"/>
    <cellStyle name="input 147" xfId="765"/>
    <cellStyle name="input 148" xfId="766"/>
    <cellStyle name="input 149" xfId="767"/>
    <cellStyle name="input 15" xfId="508"/>
    <cellStyle name="input 15 2" xfId="1830"/>
    <cellStyle name="input 15 2 2" xfId="24679"/>
    <cellStyle name="Input 15 3" xfId="24680"/>
    <cellStyle name="Input 15 4" xfId="24681"/>
    <cellStyle name="input 150" xfId="768"/>
    <cellStyle name="input 151" xfId="806"/>
    <cellStyle name="input 152" xfId="790"/>
    <cellStyle name="input 153" xfId="803"/>
    <cellStyle name="input 154" xfId="841"/>
    <cellStyle name="input 155" xfId="805"/>
    <cellStyle name="input 156" xfId="791"/>
    <cellStyle name="input 157" xfId="804"/>
    <cellStyle name="input 158" xfId="847"/>
    <cellStyle name="input 159" xfId="849"/>
    <cellStyle name="input 16" xfId="510"/>
    <cellStyle name="input 16 2" xfId="1841"/>
    <cellStyle name="input 16 2 2" xfId="24682"/>
    <cellStyle name="Input 16 3" xfId="24683"/>
    <cellStyle name="Input 16 4" xfId="24684"/>
    <cellStyle name="input 160" xfId="851"/>
    <cellStyle name="input 161" xfId="853"/>
    <cellStyle name="input 162" xfId="855"/>
    <cellStyle name="input 163" xfId="857"/>
    <cellStyle name="input 164" xfId="859"/>
    <cellStyle name="input 165" xfId="861"/>
    <cellStyle name="input 166" xfId="863"/>
    <cellStyle name="input 167" xfId="865"/>
    <cellStyle name="input 168" xfId="867"/>
    <cellStyle name="input 169" xfId="869"/>
    <cellStyle name="input 17" xfId="512"/>
    <cellStyle name="input 17 2" xfId="1842"/>
    <cellStyle name="input 17 2 2" xfId="24685"/>
    <cellStyle name="Input 17 3" xfId="24686"/>
    <cellStyle name="Input 17 4" xfId="24687"/>
    <cellStyle name="input 170" xfId="871"/>
    <cellStyle name="input 171" xfId="873"/>
    <cellStyle name="input 172" xfId="875"/>
    <cellStyle name="input 173" xfId="877"/>
    <cellStyle name="input 174" xfId="879"/>
    <cellStyle name="input 175" xfId="881"/>
    <cellStyle name="input 176" xfId="883"/>
    <cellStyle name="input 177" xfId="885"/>
    <cellStyle name="input 178" xfId="886"/>
    <cellStyle name="input 179" xfId="887"/>
    <cellStyle name="input 18" xfId="514"/>
    <cellStyle name="input 18 2" xfId="1843"/>
    <cellStyle name="input 18 2 2" xfId="24688"/>
    <cellStyle name="Input 18 3" xfId="24689"/>
    <cellStyle name="Input 18 4" xfId="24690"/>
    <cellStyle name="input 180" xfId="888"/>
    <cellStyle name="input 181" xfId="889"/>
    <cellStyle name="input 182" xfId="890"/>
    <cellStyle name="input 183" xfId="891"/>
    <cellStyle name="input 184" xfId="892"/>
    <cellStyle name="input 185" xfId="893"/>
    <cellStyle name="input 186" xfId="894"/>
    <cellStyle name="input 187" xfId="895"/>
    <cellStyle name="input 188" xfId="896"/>
    <cellStyle name="input 189" xfId="897"/>
    <cellStyle name="input 19" xfId="516"/>
    <cellStyle name="input 19 2" xfId="1844"/>
    <cellStyle name="input 19 2 2" xfId="24691"/>
    <cellStyle name="Input 19 3" xfId="24692"/>
    <cellStyle name="Input 19 4" xfId="24693"/>
    <cellStyle name="input 190" xfId="898"/>
    <cellStyle name="input 191" xfId="899"/>
    <cellStyle name="input 192" xfId="900"/>
    <cellStyle name="input 193" xfId="901"/>
    <cellStyle name="input 194" xfId="902"/>
    <cellStyle name="input 195" xfId="903"/>
    <cellStyle name="input 196" xfId="904"/>
    <cellStyle name="input 197" xfId="905"/>
    <cellStyle name="input 198" xfId="906"/>
    <cellStyle name="input 199" xfId="907"/>
    <cellStyle name="input 2" xfId="429"/>
    <cellStyle name="Input 2 10" xfId="24694"/>
    <cellStyle name="Input 2 10 2" xfId="24695"/>
    <cellStyle name="Input 2 11" xfId="24696"/>
    <cellStyle name="Input 2 11 2" xfId="24697"/>
    <cellStyle name="Input 2 12" xfId="24698"/>
    <cellStyle name="Input 2 12 2" xfId="24699"/>
    <cellStyle name="Input 2 13" xfId="24700"/>
    <cellStyle name="Input 2 13 2" xfId="24701"/>
    <cellStyle name="Input 2 14" xfId="24702"/>
    <cellStyle name="Input 2 14 2" xfId="24703"/>
    <cellStyle name="Input 2 15" xfId="24704"/>
    <cellStyle name="Input 2 15 2" xfId="24705"/>
    <cellStyle name="Input 2 16" xfId="24706"/>
    <cellStyle name="Input 2 16 2" xfId="24707"/>
    <cellStyle name="Input 2 17" xfId="24708"/>
    <cellStyle name="Input 2 17 2" xfId="24709"/>
    <cellStyle name="Input 2 18" xfId="24710"/>
    <cellStyle name="Input 2 18 2" xfId="24711"/>
    <cellStyle name="Input 2 19" xfId="24712"/>
    <cellStyle name="Input 2 19 2" xfId="24713"/>
    <cellStyle name="Input 2 2" xfId="1615"/>
    <cellStyle name="Input 2 2 2" xfId="24714"/>
    <cellStyle name="Input 2 2 3" xfId="24715"/>
    <cellStyle name="Input 2 20" xfId="24716"/>
    <cellStyle name="Input 2 20 2" xfId="24717"/>
    <cellStyle name="Input 2 21" xfId="24718"/>
    <cellStyle name="Input 2 21 2" xfId="24719"/>
    <cellStyle name="Input 2 22" xfId="24720"/>
    <cellStyle name="Input 2 22 2" xfId="24721"/>
    <cellStyle name="Input 2 23" xfId="24722"/>
    <cellStyle name="Input 2 23 2" xfId="24723"/>
    <cellStyle name="Input 2 24" xfId="24724"/>
    <cellStyle name="Input 2 24 2" xfId="24725"/>
    <cellStyle name="Input 2 25" xfId="24726"/>
    <cellStyle name="Input 2 25 2" xfId="24727"/>
    <cellStyle name="Input 2 26" xfId="24728"/>
    <cellStyle name="Input 2 26 2" xfId="24729"/>
    <cellStyle name="Input 2 27" xfId="24730"/>
    <cellStyle name="Input 2 27 2" xfId="24731"/>
    <cellStyle name="Input 2 28" xfId="24732"/>
    <cellStyle name="Input 2 28 2" xfId="24733"/>
    <cellStyle name="Input 2 29" xfId="24734"/>
    <cellStyle name="input 2 3" xfId="1805"/>
    <cellStyle name="Input 2 3 2" xfId="24735"/>
    <cellStyle name="input 2 3 3" xfId="24736"/>
    <cellStyle name="Input 2 30" xfId="24737"/>
    <cellStyle name="Input 2 31" xfId="24738"/>
    <cellStyle name="Input 2 32" xfId="24739"/>
    <cellStyle name="input 2 33" xfId="24740"/>
    <cellStyle name="input 2 4" xfId="1800"/>
    <cellStyle name="Input 2 4 2" xfId="24741"/>
    <cellStyle name="input 2 4 3" xfId="24742"/>
    <cellStyle name="Input 2 5" xfId="24743"/>
    <cellStyle name="Input 2 5 2" xfId="24744"/>
    <cellStyle name="Input 2 6" xfId="24745"/>
    <cellStyle name="Input 2 6 2" xfId="24746"/>
    <cellStyle name="Input 2 7" xfId="24747"/>
    <cellStyle name="Input 2 7 2" xfId="24748"/>
    <cellStyle name="Input 2 8" xfId="24749"/>
    <cellStyle name="Input 2 8 2" xfId="24750"/>
    <cellStyle name="Input 2 9" xfId="24751"/>
    <cellStyle name="Input 2 9 2" xfId="24752"/>
    <cellStyle name="input 20" xfId="518"/>
    <cellStyle name="input 20 2" xfId="1845"/>
    <cellStyle name="input 20 2 2" xfId="24753"/>
    <cellStyle name="Input 20 3" xfId="24754"/>
    <cellStyle name="Input 20 4" xfId="24755"/>
    <cellStyle name="input 200" xfId="908"/>
    <cellStyle name="input 201" xfId="909"/>
    <cellStyle name="input 202" xfId="910"/>
    <cellStyle name="input 203" xfId="911"/>
    <cellStyle name="input 204" xfId="912"/>
    <cellStyle name="input 205" xfId="913"/>
    <cellStyle name="input 206" xfId="914"/>
    <cellStyle name="input 207" xfId="915"/>
    <cellStyle name="input 208" xfId="916"/>
    <cellStyle name="input 209" xfId="917"/>
    <cellStyle name="input 21" xfId="520"/>
    <cellStyle name="input 21 2" xfId="1848"/>
    <cellStyle name="input 21 2 2" xfId="24756"/>
    <cellStyle name="Input 21 3" xfId="24757"/>
    <cellStyle name="Input 21 4" xfId="24758"/>
    <cellStyle name="input 210" xfId="918"/>
    <cellStyle name="input 211" xfId="919"/>
    <cellStyle name="input 212" xfId="950"/>
    <cellStyle name="input 213" xfId="945"/>
    <cellStyle name="input 214" xfId="949"/>
    <cellStyle name="input 215" xfId="983"/>
    <cellStyle name="input 216" xfId="984"/>
    <cellStyle name="input 217" xfId="985"/>
    <cellStyle name="input 218" xfId="986"/>
    <cellStyle name="input 219" xfId="987"/>
    <cellStyle name="input 22" xfId="522"/>
    <cellStyle name="input 22 2" xfId="1846"/>
    <cellStyle name="input 22 2 2" xfId="24759"/>
    <cellStyle name="Input 22 3" xfId="24760"/>
    <cellStyle name="Input 22 4" xfId="24761"/>
    <cellStyle name="input 220" xfId="988"/>
    <cellStyle name="input 221" xfId="989"/>
    <cellStyle name="input 222" xfId="990"/>
    <cellStyle name="input 223" xfId="991"/>
    <cellStyle name="input 224" xfId="992"/>
    <cellStyle name="input 225" xfId="993"/>
    <cellStyle name="input 226" xfId="994"/>
    <cellStyle name="input 227" xfId="995"/>
    <cellStyle name="input 228" xfId="997"/>
    <cellStyle name="input 229" xfId="998"/>
    <cellStyle name="input 23" xfId="524"/>
    <cellStyle name="input 23 2" xfId="1847"/>
    <cellStyle name="input 23 2 2" xfId="24762"/>
    <cellStyle name="Input 23 3" xfId="24763"/>
    <cellStyle name="Input 23 4" xfId="24764"/>
    <cellStyle name="input 230" xfId="999"/>
    <cellStyle name="input 231" xfId="1000"/>
    <cellStyle name="input 232" xfId="1001"/>
    <cellStyle name="input 233" xfId="1002"/>
    <cellStyle name="input 234" xfId="1003"/>
    <cellStyle name="input 235" xfId="1004"/>
    <cellStyle name="input 236" xfId="1005"/>
    <cellStyle name="input 237" xfId="1006"/>
    <cellStyle name="input 238" xfId="1008"/>
    <cellStyle name="input 239" xfId="944"/>
    <cellStyle name="input 24" xfId="526"/>
    <cellStyle name="input 24 2" xfId="1849"/>
    <cellStyle name="input 24 2 2" xfId="24765"/>
    <cellStyle name="Input 24 3" xfId="24766"/>
    <cellStyle name="Input 24 4" xfId="24767"/>
    <cellStyle name="input 240" xfId="948"/>
    <cellStyle name="input 241" xfId="1011"/>
    <cellStyle name="input 242" xfId="1012"/>
    <cellStyle name="input 243" xfId="1013"/>
    <cellStyle name="input 244" xfId="1014"/>
    <cellStyle name="input 245" xfId="1015"/>
    <cellStyle name="input 246" xfId="1016"/>
    <cellStyle name="input 247" xfId="1017"/>
    <cellStyle name="input 248" xfId="1018"/>
    <cellStyle name="input 249" xfId="1019"/>
    <cellStyle name="input 25" xfId="528"/>
    <cellStyle name="input 25 2" xfId="1850"/>
    <cellStyle name="input 25 2 2" xfId="24768"/>
    <cellStyle name="Input 25 3" xfId="24769"/>
    <cellStyle name="Input 25 4" xfId="24770"/>
    <cellStyle name="input 250" xfId="1020"/>
    <cellStyle name="input 251" xfId="1323"/>
    <cellStyle name="input 252" xfId="1355"/>
    <cellStyle name="input 253" xfId="1303"/>
    <cellStyle name="input 254" xfId="946"/>
    <cellStyle name="input 255" xfId="1245"/>
    <cellStyle name="input 256" xfId="1356"/>
    <cellStyle name="Input 257" xfId="24771"/>
    <cellStyle name="input 26" xfId="530"/>
    <cellStyle name="input 26 2" xfId="1851"/>
    <cellStyle name="input 26 2 2" xfId="24772"/>
    <cellStyle name="Input 26 3" xfId="24773"/>
    <cellStyle name="Input 26 4" xfId="24774"/>
    <cellStyle name="input 27" xfId="532"/>
    <cellStyle name="input 27 2" xfId="1852"/>
    <cellStyle name="input 27 2 2" xfId="24775"/>
    <cellStyle name="Input 27 3" xfId="24776"/>
    <cellStyle name="Input 27 4" xfId="24777"/>
    <cellStyle name="input 28" xfId="534"/>
    <cellStyle name="input 28 2" xfId="1853"/>
    <cellStyle name="input 28 2 2" xfId="24778"/>
    <cellStyle name="Input 28 3" xfId="24779"/>
    <cellStyle name="Input 28 4" xfId="24780"/>
    <cellStyle name="input 29" xfId="535"/>
    <cellStyle name="input 29 2" xfId="1854"/>
    <cellStyle name="input 29 2 2" xfId="24781"/>
    <cellStyle name="Input 29 3" xfId="24782"/>
    <cellStyle name="Input 29 4" xfId="24783"/>
    <cellStyle name="input 3" xfId="464"/>
    <cellStyle name="Input 3 2" xfId="1616"/>
    <cellStyle name="Input 3 2 2" xfId="24784"/>
    <cellStyle name="input 3 3" xfId="1831"/>
    <cellStyle name="input 3 3 2" xfId="24785"/>
    <cellStyle name="input 3 4" xfId="1798"/>
    <cellStyle name="input 3 5" xfId="24786"/>
    <cellStyle name="input 30" xfId="536"/>
    <cellStyle name="input 30 2" xfId="1855"/>
    <cellStyle name="input 30 2 2" xfId="24787"/>
    <cellStyle name="Input 30 3" xfId="24788"/>
    <cellStyle name="input 31" xfId="537"/>
    <cellStyle name="input 31 2" xfId="1856"/>
    <cellStyle name="input 31 2 2" xfId="24789"/>
    <cellStyle name="input 32" xfId="538"/>
    <cellStyle name="input 32 2" xfId="1857"/>
    <cellStyle name="input 32 2 2" xfId="24790"/>
    <cellStyle name="input 33" xfId="539"/>
    <cellStyle name="input 33 2" xfId="1858"/>
    <cellStyle name="input 34" xfId="540"/>
    <cellStyle name="input 34 2" xfId="1859"/>
    <cellStyle name="input 35" xfId="541"/>
    <cellStyle name="input 35 2" xfId="1860"/>
    <cellStyle name="input 36" xfId="542"/>
    <cellStyle name="input 36 2" xfId="1861"/>
    <cellStyle name="input 37" xfId="543"/>
    <cellStyle name="input 37 2" xfId="1862"/>
    <cellStyle name="input 38" xfId="544"/>
    <cellStyle name="input 38 2" xfId="1863"/>
    <cellStyle name="input 39" xfId="545"/>
    <cellStyle name="input 39 2" xfId="1864"/>
    <cellStyle name="input 4" xfId="373"/>
    <cellStyle name="Input 4 2" xfId="1617"/>
    <cellStyle name="Input 4 2 2" xfId="24791"/>
    <cellStyle name="input 4 3" xfId="1829"/>
    <cellStyle name="input 4 3 2" xfId="24792"/>
    <cellStyle name="input 4 4" xfId="1799"/>
    <cellStyle name="input 4 4 2" xfId="24793"/>
    <cellStyle name="input 4 5" xfId="24794"/>
    <cellStyle name="input 40" xfId="546"/>
    <cellStyle name="input 40 2" xfId="1865"/>
    <cellStyle name="input 41" xfId="547"/>
    <cellStyle name="input 41 2" xfId="1866"/>
    <cellStyle name="input 42" xfId="548"/>
    <cellStyle name="input 42 2" xfId="1867"/>
    <cellStyle name="input 43" xfId="549"/>
    <cellStyle name="input 43 2" xfId="1868"/>
    <cellStyle name="input 44" xfId="550"/>
    <cellStyle name="input 44 2" xfId="1869"/>
    <cellStyle name="input 45" xfId="551"/>
    <cellStyle name="input 45 2" xfId="1870"/>
    <cellStyle name="input 46" xfId="552"/>
    <cellStyle name="input 46 2" xfId="1871"/>
    <cellStyle name="input 47" xfId="553"/>
    <cellStyle name="input 47 2" xfId="1872"/>
    <cellStyle name="input 48" xfId="554"/>
    <cellStyle name="input 48 2" xfId="1873"/>
    <cellStyle name="input 49" xfId="556"/>
    <cellStyle name="input 49 2" xfId="1874"/>
    <cellStyle name="input 5" xfId="488"/>
    <cellStyle name="Input 5 2" xfId="1618"/>
    <cellStyle name="Input 5 2 2" xfId="24795"/>
    <cellStyle name="input 5 3" xfId="1832"/>
    <cellStyle name="input 5 3 2" xfId="24796"/>
    <cellStyle name="input 5 4" xfId="1797"/>
    <cellStyle name="input 5 4 2" xfId="24797"/>
    <cellStyle name="input 5 5" xfId="24798"/>
    <cellStyle name="input 50" xfId="557"/>
    <cellStyle name="input 50 2" xfId="1875"/>
    <cellStyle name="input 51" xfId="559"/>
    <cellStyle name="input 51 2" xfId="1876"/>
    <cellStyle name="input 52" xfId="560"/>
    <cellStyle name="input 52 2" xfId="1877"/>
    <cellStyle name="input 53" xfId="562"/>
    <cellStyle name="input 53 2" xfId="1878"/>
    <cellStyle name="input 54" xfId="563"/>
    <cellStyle name="input 54 2" xfId="1879"/>
    <cellStyle name="input 55" xfId="564"/>
    <cellStyle name="input 55 2" xfId="1880"/>
    <cellStyle name="input 56" xfId="566"/>
    <cellStyle name="input 56 2" xfId="1881"/>
    <cellStyle name="input 57" xfId="567"/>
    <cellStyle name="input 57 2" xfId="1882"/>
    <cellStyle name="input 58" xfId="569"/>
    <cellStyle name="input 58 2" xfId="1883"/>
    <cellStyle name="input 59" xfId="570"/>
    <cellStyle name="input 59 2" xfId="1884"/>
    <cellStyle name="input 6" xfId="490"/>
    <cellStyle name="input 6 2" xfId="1833"/>
    <cellStyle name="input 6 2 2" xfId="24799"/>
    <cellStyle name="Input 6 3" xfId="24800"/>
    <cellStyle name="Input 6 4" xfId="24801"/>
    <cellStyle name="input 60" xfId="571"/>
    <cellStyle name="input 60 2" xfId="1885"/>
    <cellStyle name="input 61" xfId="572"/>
    <cellStyle name="input 61 2" xfId="1886"/>
    <cellStyle name="input 62" xfId="573"/>
    <cellStyle name="input 62 2" xfId="1887"/>
    <cellStyle name="input 63" xfId="574"/>
    <cellStyle name="input 63 2" xfId="1954"/>
    <cellStyle name="input 64" xfId="575"/>
    <cellStyle name="input 64 2" xfId="1901"/>
    <cellStyle name="input 65" xfId="576"/>
    <cellStyle name="input 65 2" xfId="1952"/>
    <cellStyle name="input 66" xfId="577"/>
    <cellStyle name="input 66 2" xfId="1900"/>
    <cellStyle name="input 67" xfId="578"/>
    <cellStyle name="input 67 2" xfId="1998"/>
    <cellStyle name="input 68" xfId="579"/>
    <cellStyle name="input 68 2" xfId="2111"/>
    <cellStyle name="input 69" xfId="580"/>
    <cellStyle name="input 69 2" xfId="1942"/>
    <cellStyle name="input 7" xfId="492"/>
    <cellStyle name="input 7 2" xfId="1834"/>
    <cellStyle name="input 7 2 2" xfId="24802"/>
    <cellStyle name="Input 7 3" xfId="24803"/>
    <cellStyle name="Input 7 4" xfId="24804"/>
    <cellStyle name="input 70" xfId="581"/>
    <cellStyle name="input 70 2" xfId="2032"/>
    <cellStyle name="input 71" xfId="465"/>
    <cellStyle name="input 71 2" xfId="2024"/>
    <cellStyle name="input 72" xfId="372"/>
    <cellStyle name="input 72 2" xfId="2039"/>
    <cellStyle name="input 73" xfId="582"/>
    <cellStyle name="input 73 2" xfId="2073"/>
    <cellStyle name="input 74" xfId="583"/>
    <cellStyle name="input 74 2" xfId="1932"/>
    <cellStyle name="input 75" xfId="584"/>
    <cellStyle name="input 75 2" xfId="1928"/>
    <cellStyle name="input 76" xfId="616"/>
    <cellStyle name="input 76 2" xfId="2110"/>
    <cellStyle name="input 77" xfId="612"/>
    <cellStyle name="input 77 2" xfId="2034"/>
    <cellStyle name="input 78" xfId="615"/>
    <cellStyle name="input 78 2" xfId="1909"/>
    <cellStyle name="input 79" xfId="643"/>
    <cellStyle name="input 79 2" xfId="1921"/>
    <cellStyle name="input 8" xfId="494"/>
    <cellStyle name="input 8 2" xfId="1835"/>
    <cellStyle name="input 8 2 2" xfId="24805"/>
    <cellStyle name="Input 8 3" xfId="24806"/>
    <cellStyle name="Input 8 4" xfId="24807"/>
    <cellStyle name="input 80" xfId="645"/>
    <cellStyle name="input 80 2" xfId="1891"/>
    <cellStyle name="input 81" xfId="647"/>
    <cellStyle name="input 81 2" xfId="2022"/>
    <cellStyle name="input 82" xfId="649"/>
    <cellStyle name="input 82 2" xfId="1925"/>
    <cellStyle name="input 83" xfId="651"/>
    <cellStyle name="input 83 2" xfId="1970"/>
    <cellStyle name="input 84" xfId="653"/>
    <cellStyle name="input 84 2" xfId="2055"/>
    <cellStyle name="input 85" xfId="655"/>
    <cellStyle name="input 85 2" xfId="1978"/>
    <cellStyle name="input 86" xfId="657"/>
    <cellStyle name="input 86 2" xfId="1990"/>
    <cellStyle name="input 87" xfId="659"/>
    <cellStyle name="input 87 2" xfId="2067"/>
    <cellStyle name="input 88" xfId="661"/>
    <cellStyle name="input 88 2" xfId="2021"/>
    <cellStyle name="input 89" xfId="663"/>
    <cellStyle name="input 89 2" xfId="1888"/>
    <cellStyle name="input 9" xfId="496"/>
    <cellStyle name="input 9 2" xfId="1836"/>
    <cellStyle name="input 9 2 2" xfId="24808"/>
    <cellStyle name="Input 9 3" xfId="24809"/>
    <cellStyle name="Input 9 4" xfId="24810"/>
    <cellStyle name="input 90" xfId="665"/>
    <cellStyle name="input 90 2" xfId="1988"/>
    <cellStyle name="input 91" xfId="666"/>
    <cellStyle name="input 91 2" xfId="2141"/>
    <cellStyle name="input 92" xfId="667"/>
    <cellStyle name="input 93" xfId="668"/>
    <cellStyle name="input 94" xfId="669"/>
    <cellStyle name="input 95" xfId="670"/>
    <cellStyle name="input 96" xfId="671"/>
    <cellStyle name="input 97" xfId="672"/>
    <cellStyle name="input 98" xfId="673"/>
    <cellStyle name="input 99" xfId="674"/>
    <cellStyle name="JasHighlighted" xfId="319"/>
    <cellStyle name="JasHighlighted 2" xfId="320"/>
    <cellStyle name="JasHighlighted 2 2" xfId="1218"/>
    <cellStyle name="JasHighlighted 3" xfId="431"/>
    <cellStyle name="JasHighlighted 3 2" xfId="1247"/>
    <cellStyle name="JasHighlighted 4" xfId="807"/>
    <cellStyle name="JasHighlighted 4 2" xfId="1336"/>
    <cellStyle name="JasHighlighted_France" xfId="357"/>
    <cellStyle name="Jaspreet" xfId="62"/>
    <cellStyle name="Jaspreet 2" xfId="321"/>
    <cellStyle name="Jaspreet 2 2" xfId="1219"/>
    <cellStyle name="Jaspreet 3" xfId="432"/>
    <cellStyle name="Jaspreet 3 2" xfId="1248"/>
    <cellStyle name="Jaspreet 4" xfId="808"/>
    <cellStyle name="Jaspreet 4 2" xfId="1337"/>
    <cellStyle name="Jaspreet_France" xfId="358"/>
    <cellStyle name="JasScratch1" xfId="322"/>
    <cellStyle name="JasScratch1 2" xfId="323"/>
    <cellStyle name="JasScratch1 2 2" xfId="1220"/>
    <cellStyle name="JasScratch1 3" xfId="433"/>
    <cellStyle name="JasScratch1 3 2" xfId="1249"/>
    <cellStyle name="JasScratch1 4" xfId="809"/>
    <cellStyle name="JasScratch1 4 2" xfId="1338"/>
    <cellStyle name="JasScratch1_France" xfId="359"/>
    <cellStyle name="label" xfId="324"/>
    <cellStyle name="Linked Cell" xfId="63" builtinId="24" customBuiltin="1"/>
    <cellStyle name="Linked Cell 10" xfId="24811"/>
    <cellStyle name="Linked Cell 10 2" xfId="24812"/>
    <cellStyle name="Linked Cell 10 3" xfId="24813"/>
    <cellStyle name="Linked Cell 11" xfId="24814"/>
    <cellStyle name="Linked Cell 11 2" xfId="24815"/>
    <cellStyle name="Linked Cell 11 3" xfId="24816"/>
    <cellStyle name="Linked Cell 12" xfId="24817"/>
    <cellStyle name="Linked Cell 12 2" xfId="24818"/>
    <cellStyle name="Linked Cell 12 3" xfId="24819"/>
    <cellStyle name="Linked Cell 13" xfId="24820"/>
    <cellStyle name="Linked Cell 13 2" xfId="24821"/>
    <cellStyle name="Linked Cell 13 3" xfId="24822"/>
    <cellStyle name="Linked Cell 14" xfId="24823"/>
    <cellStyle name="Linked Cell 14 2" xfId="24824"/>
    <cellStyle name="Linked Cell 14 3" xfId="24825"/>
    <cellStyle name="Linked Cell 15" xfId="24826"/>
    <cellStyle name="Linked Cell 15 2" xfId="24827"/>
    <cellStyle name="Linked Cell 15 3" xfId="24828"/>
    <cellStyle name="Linked Cell 16" xfId="24829"/>
    <cellStyle name="Linked Cell 16 2" xfId="24830"/>
    <cellStyle name="Linked Cell 16 3" xfId="24831"/>
    <cellStyle name="Linked Cell 17" xfId="24832"/>
    <cellStyle name="Linked Cell 17 2" xfId="24833"/>
    <cellStyle name="Linked Cell 17 3" xfId="24834"/>
    <cellStyle name="Linked Cell 18" xfId="24835"/>
    <cellStyle name="Linked Cell 18 2" xfId="24836"/>
    <cellStyle name="Linked Cell 18 3" xfId="24837"/>
    <cellStyle name="Linked Cell 19" xfId="24838"/>
    <cellStyle name="Linked Cell 19 2" xfId="24839"/>
    <cellStyle name="Linked Cell 19 3" xfId="24840"/>
    <cellStyle name="Linked Cell 2" xfId="435"/>
    <cellStyle name="Linked Cell 2 10" xfId="24841"/>
    <cellStyle name="Linked Cell 2 10 2" xfId="24842"/>
    <cellStyle name="Linked Cell 2 11" xfId="24843"/>
    <cellStyle name="Linked Cell 2 11 2" xfId="24844"/>
    <cellStyle name="Linked Cell 2 12" xfId="24845"/>
    <cellStyle name="Linked Cell 2 12 2" xfId="24846"/>
    <cellStyle name="Linked Cell 2 13" xfId="24847"/>
    <cellStyle name="Linked Cell 2 13 2" xfId="24848"/>
    <cellStyle name="Linked Cell 2 14" xfId="24849"/>
    <cellStyle name="Linked Cell 2 14 2" xfId="24850"/>
    <cellStyle name="Linked Cell 2 15" xfId="24851"/>
    <cellStyle name="Linked Cell 2 15 2" xfId="24852"/>
    <cellStyle name="Linked Cell 2 16" xfId="24853"/>
    <cellStyle name="Linked Cell 2 16 2" xfId="24854"/>
    <cellStyle name="Linked Cell 2 17" xfId="24855"/>
    <cellStyle name="Linked Cell 2 17 2" xfId="24856"/>
    <cellStyle name="Linked Cell 2 18" xfId="24857"/>
    <cellStyle name="Linked Cell 2 18 2" xfId="24858"/>
    <cellStyle name="Linked Cell 2 19" xfId="24859"/>
    <cellStyle name="Linked Cell 2 19 2" xfId="24860"/>
    <cellStyle name="Linked Cell 2 2" xfId="1619"/>
    <cellStyle name="Linked Cell 2 2 2" xfId="24861"/>
    <cellStyle name="Linked Cell 2 2 3" xfId="24862"/>
    <cellStyle name="Linked Cell 2 20" xfId="24863"/>
    <cellStyle name="Linked Cell 2 20 2" xfId="24864"/>
    <cellStyle name="Linked Cell 2 21" xfId="24865"/>
    <cellStyle name="Linked Cell 2 21 2" xfId="24866"/>
    <cellStyle name="Linked Cell 2 22" xfId="24867"/>
    <cellStyle name="Linked Cell 2 22 2" xfId="24868"/>
    <cellStyle name="Linked Cell 2 23" xfId="24869"/>
    <cellStyle name="Linked Cell 2 23 2" xfId="24870"/>
    <cellStyle name="Linked Cell 2 24" xfId="24871"/>
    <cellStyle name="Linked Cell 2 24 2" xfId="24872"/>
    <cellStyle name="Linked Cell 2 25" xfId="24873"/>
    <cellStyle name="Linked Cell 2 25 2" xfId="24874"/>
    <cellStyle name="Linked Cell 2 26" xfId="24875"/>
    <cellStyle name="Linked Cell 2 26 2" xfId="24876"/>
    <cellStyle name="Linked Cell 2 27" xfId="24877"/>
    <cellStyle name="Linked Cell 2 27 2" xfId="24878"/>
    <cellStyle name="Linked Cell 2 28" xfId="24879"/>
    <cellStyle name="Linked Cell 2 28 2" xfId="24880"/>
    <cellStyle name="Linked Cell 2 29" xfId="24881"/>
    <cellStyle name="Linked Cell 2 3" xfId="24882"/>
    <cellStyle name="Linked Cell 2 3 2" xfId="24883"/>
    <cellStyle name="Linked Cell 2 30" xfId="24884"/>
    <cellStyle name="Linked Cell 2 31" xfId="24885"/>
    <cellStyle name="Linked Cell 2 32" xfId="24886"/>
    <cellStyle name="Linked Cell 2 33" xfId="24887"/>
    <cellStyle name="Linked Cell 2 4" xfId="24888"/>
    <cellStyle name="Linked Cell 2 4 2" xfId="24889"/>
    <cellStyle name="Linked Cell 2 5" xfId="24890"/>
    <cellStyle name="Linked Cell 2 5 2" xfId="24891"/>
    <cellStyle name="Linked Cell 2 6" xfId="24892"/>
    <cellStyle name="Linked Cell 2 6 2" xfId="24893"/>
    <cellStyle name="Linked Cell 2 7" xfId="24894"/>
    <cellStyle name="Linked Cell 2 7 2" xfId="24895"/>
    <cellStyle name="Linked Cell 2 8" xfId="24896"/>
    <cellStyle name="Linked Cell 2 8 2" xfId="24897"/>
    <cellStyle name="Linked Cell 2 9" xfId="24898"/>
    <cellStyle name="Linked Cell 2 9 2" xfId="24899"/>
    <cellStyle name="Linked Cell 20" xfId="24900"/>
    <cellStyle name="Linked Cell 20 2" xfId="24901"/>
    <cellStyle name="Linked Cell 20 3" xfId="24902"/>
    <cellStyle name="Linked Cell 21" xfId="24903"/>
    <cellStyle name="Linked Cell 21 2" xfId="24904"/>
    <cellStyle name="Linked Cell 21 3" xfId="24905"/>
    <cellStyle name="Linked Cell 22" xfId="24906"/>
    <cellStyle name="Linked Cell 22 2" xfId="24907"/>
    <cellStyle name="Linked Cell 22 3" xfId="24908"/>
    <cellStyle name="Linked Cell 23" xfId="24909"/>
    <cellStyle name="Linked Cell 23 2" xfId="24910"/>
    <cellStyle name="Linked Cell 23 3" xfId="24911"/>
    <cellStyle name="Linked Cell 24" xfId="24912"/>
    <cellStyle name="Linked Cell 24 2" xfId="24913"/>
    <cellStyle name="Linked Cell 24 3" xfId="24914"/>
    <cellStyle name="Linked Cell 25" xfId="24915"/>
    <cellStyle name="Linked Cell 25 2" xfId="24916"/>
    <cellStyle name="Linked Cell 25 3" xfId="24917"/>
    <cellStyle name="Linked Cell 26" xfId="24918"/>
    <cellStyle name="Linked Cell 26 2" xfId="24919"/>
    <cellStyle name="Linked Cell 26 3" xfId="24920"/>
    <cellStyle name="Linked Cell 27" xfId="24921"/>
    <cellStyle name="Linked Cell 27 2" xfId="24922"/>
    <cellStyle name="Linked Cell 27 3" xfId="24923"/>
    <cellStyle name="Linked Cell 28" xfId="24924"/>
    <cellStyle name="Linked Cell 28 2" xfId="24925"/>
    <cellStyle name="Linked Cell 28 3" xfId="24926"/>
    <cellStyle name="Linked Cell 29" xfId="24927"/>
    <cellStyle name="Linked Cell 29 2" xfId="24928"/>
    <cellStyle name="Linked Cell 29 3" xfId="24929"/>
    <cellStyle name="Linked Cell 3" xfId="1620"/>
    <cellStyle name="Linked Cell 3 2" xfId="24930"/>
    <cellStyle name="Linked Cell 3 3" xfId="24931"/>
    <cellStyle name="Linked Cell 30" xfId="24932"/>
    <cellStyle name="Linked Cell 30 2" xfId="24933"/>
    <cellStyle name="Linked Cell 31" xfId="24934"/>
    <cellStyle name="Linked Cell 32" xfId="24935"/>
    <cellStyle name="Linked Cell 4" xfId="24936"/>
    <cellStyle name="Linked Cell 4 2" xfId="24937"/>
    <cellStyle name="Linked Cell 4 3" xfId="24938"/>
    <cellStyle name="Linked Cell 5" xfId="24939"/>
    <cellStyle name="Linked Cell 5 2" xfId="24940"/>
    <cellStyle name="Linked Cell 5 3" xfId="24941"/>
    <cellStyle name="Linked Cell 6" xfId="24942"/>
    <cellStyle name="Linked Cell 6 2" xfId="24943"/>
    <cellStyle name="Linked Cell 6 3" xfId="24944"/>
    <cellStyle name="Linked Cell 7" xfId="24945"/>
    <cellStyle name="Linked Cell 7 2" xfId="24946"/>
    <cellStyle name="Linked Cell 7 3" xfId="24947"/>
    <cellStyle name="Linked Cell 8" xfId="24948"/>
    <cellStyle name="Linked Cell 8 2" xfId="24949"/>
    <cellStyle name="Linked Cell 8 3" xfId="24950"/>
    <cellStyle name="Linked Cell 9" xfId="24951"/>
    <cellStyle name="Linked Cell 9 2" xfId="24952"/>
    <cellStyle name="Linked Cell 9 3" xfId="24953"/>
    <cellStyle name="main_input" xfId="325"/>
    <cellStyle name="Migliaia (0)_Anagrafiche Mutui" xfId="1621"/>
    <cellStyle name="Migliaia_BENCH2" xfId="85"/>
    <cellStyle name="Modifiable" xfId="326"/>
    <cellStyle name="Modifiable 2" xfId="1806"/>
    <cellStyle name="Neutral" xfId="64" builtinId="28" customBuiltin="1"/>
    <cellStyle name="Neutral 10" xfId="24954"/>
    <cellStyle name="Neutral 10 2" xfId="24955"/>
    <cellStyle name="Neutral 10 3" xfId="24956"/>
    <cellStyle name="Neutral 11" xfId="24957"/>
    <cellStyle name="Neutral 11 2" xfId="24958"/>
    <cellStyle name="Neutral 11 3" xfId="24959"/>
    <cellStyle name="Neutral 12" xfId="24960"/>
    <cellStyle name="Neutral 12 2" xfId="24961"/>
    <cellStyle name="Neutral 12 3" xfId="24962"/>
    <cellStyle name="Neutral 13" xfId="24963"/>
    <cellStyle name="Neutral 13 2" xfId="24964"/>
    <cellStyle name="Neutral 13 3" xfId="24965"/>
    <cellStyle name="Neutral 14" xfId="24966"/>
    <cellStyle name="Neutral 14 2" xfId="24967"/>
    <cellStyle name="Neutral 14 3" xfId="24968"/>
    <cellStyle name="Neutral 15" xfId="24969"/>
    <cellStyle name="Neutral 15 2" xfId="24970"/>
    <cellStyle name="Neutral 15 3" xfId="24971"/>
    <cellStyle name="Neutral 16" xfId="24972"/>
    <cellStyle name="Neutral 16 2" xfId="24973"/>
    <cellStyle name="Neutral 16 3" xfId="24974"/>
    <cellStyle name="Neutral 17" xfId="24975"/>
    <cellStyle name="Neutral 17 2" xfId="24976"/>
    <cellStyle name="Neutral 17 3" xfId="24977"/>
    <cellStyle name="Neutral 18" xfId="24978"/>
    <cellStyle name="Neutral 18 2" xfId="24979"/>
    <cellStyle name="Neutral 18 3" xfId="24980"/>
    <cellStyle name="Neutral 19" xfId="24981"/>
    <cellStyle name="Neutral 19 2" xfId="24982"/>
    <cellStyle name="Neutral 19 3" xfId="24983"/>
    <cellStyle name="Neutral 2" xfId="438"/>
    <cellStyle name="Neutral 2 10" xfId="24984"/>
    <cellStyle name="Neutral 2 10 2" xfId="24985"/>
    <cellStyle name="Neutral 2 11" xfId="24986"/>
    <cellStyle name="Neutral 2 11 2" xfId="24987"/>
    <cellStyle name="Neutral 2 12" xfId="24988"/>
    <cellStyle name="Neutral 2 12 2" xfId="24989"/>
    <cellStyle name="Neutral 2 13" xfId="24990"/>
    <cellStyle name="Neutral 2 13 2" xfId="24991"/>
    <cellStyle name="Neutral 2 14" xfId="24992"/>
    <cellStyle name="Neutral 2 14 2" xfId="24993"/>
    <cellStyle name="Neutral 2 15" xfId="24994"/>
    <cellStyle name="Neutral 2 15 2" xfId="24995"/>
    <cellStyle name="Neutral 2 16" xfId="24996"/>
    <cellStyle name="Neutral 2 16 2" xfId="24997"/>
    <cellStyle name="Neutral 2 17" xfId="24998"/>
    <cellStyle name="Neutral 2 17 2" xfId="24999"/>
    <cellStyle name="Neutral 2 18" xfId="25000"/>
    <cellStyle name="Neutral 2 18 2" xfId="25001"/>
    <cellStyle name="Neutral 2 19" xfId="25002"/>
    <cellStyle name="Neutral 2 19 2" xfId="25003"/>
    <cellStyle name="Neutral 2 2" xfId="1622"/>
    <cellStyle name="Neutral 2 2 2" xfId="25004"/>
    <cellStyle name="Neutral 2 2 3" xfId="25005"/>
    <cellStyle name="Neutral 2 20" xfId="25006"/>
    <cellStyle name="Neutral 2 20 2" xfId="25007"/>
    <cellStyle name="Neutral 2 21" xfId="25008"/>
    <cellStyle name="Neutral 2 21 2" xfId="25009"/>
    <cellStyle name="Neutral 2 22" xfId="25010"/>
    <cellStyle name="Neutral 2 22 2" xfId="25011"/>
    <cellStyle name="Neutral 2 23" xfId="25012"/>
    <cellStyle name="Neutral 2 23 2" xfId="25013"/>
    <cellStyle name="Neutral 2 24" xfId="25014"/>
    <cellStyle name="Neutral 2 24 2" xfId="25015"/>
    <cellStyle name="Neutral 2 25" xfId="25016"/>
    <cellStyle name="Neutral 2 25 2" xfId="25017"/>
    <cellStyle name="Neutral 2 26" xfId="25018"/>
    <cellStyle name="Neutral 2 26 2" xfId="25019"/>
    <cellStyle name="Neutral 2 27" xfId="25020"/>
    <cellStyle name="Neutral 2 27 2" xfId="25021"/>
    <cellStyle name="Neutral 2 28" xfId="25022"/>
    <cellStyle name="Neutral 2 28 2" xfId="25023"/>
    <cellStyle name="Neutral 2 29" xfId="25024"/>
    <cellStyle name="Neutral 2 3" xfId="25025"/>
    <cellStyle name="Neutral 2 3 2" xfId="25026"/>
    <cellStyle name="Neutral 2 30" xfId="25027"/>
    <cellStyle name="Neutral 2 31" xfId="25028"/>
    <cellStyle name="Neutral 2 32" xfId="25029"/>
    <cellStyle name="Neutral 2 33" xfId="25030"/>
    <cellStyle name="Neutral 2 4" xfId="25031"/>
    <cellStyle name="Neutral 2 4 2" xfId="25032"/>
    <cellStyle name="Neutral 2 5" xfId="25033"/>
    <cellStyle name="Neutral 2 5 2" xfId="25034"/>
    <cellStyle name="Neutral 2 6" xfId="25035"/>
    <cellStyle name="Neutral 2 6 2" xfId="25036"/>
    <cellStyle name="Neutral 2 7" xfId="25037"/>
    <cellStyle name="Neutral 2 7 2" xfId="25038"/>
    <cellStyle name="Neutral 2 8" xfId="25039"/>
    <cellStyle name="Neutral 2 8 2" xfId="25040"/>
    <cellStyle name="Neutral 2 9" xfId="25041"/>
    <cellStyle name="Neutral 2 9 2" xfId="25042"/>
    <cellStyle name="Neutral 20" xfId="25043"/>
    <cellStyle name="Neutral 20 2" xfId="25044"/>
    <cellStyle name="Neutral 20 3" xfId="25045"/>
    <cellStyle name="Neutral 21" xfId="25046"/>
    <cellStyle name="Neutral 21 2" xfId="25047"/>
    <cellStyle name="Neutral 21 3" xfId="25048"/>
    <cellStyle name="Neutral 22" xfId="25049"/>
    <cellStyle name="Neutral 22 2" xfId="25050"/>
    <cellStyle name="Neutral 22 3" xfId="25051"/>
    <cellStyle name="Neutral 23" xfId="25052"/>
    <cellStyle name="Neutral 23 2" xfId="25053"/>
    <cellStyle name="Neutral 23 3" xfId="25054"/>
    <cellStyle name="Neutral 24" xfId="25055"/>
    <cellStyle name="Neutral 24 2" xfId="25056"/>
    <cellStyle name="Neutral 24 3" xfId="25057"/>
    <cellStyle name="Neutral 25" xfId="25058"/>
    <cellStyle name="Neutral 25 2" xfId="25059"/>
    <cellStyle name="Neutral 25 3" xfId="25060"/>
    <cellStyle name="Neutral 26" xfId="25061"/>
    <cellStyle name="Neutral 26 2" xfId="25062"/>
    <cellStyle name="Neutral 26 3" xfId="25063"/>
    <cellStyle name="Neutral 27" xfId="25064"/>
    <cellStyle name="Neutral 27 2" xfId="25065"/>
    <cellStyle name="Neutral 27 3" xfId="25066"/>
    <cellStyle name="Neutral 28" xfId="25067"/>
    <cellStyle name="Neutral 28 2" xfId="25068"/>
    <cellStyle name="Neutral 28 3" xfId="25069"/>
    <cellStyle name="Neutral 29" xfId="25070"/>
    <cellStyle name="Neutral 29 2" xfId="25071"/>
    <cellStyle name="Neutral 29 3" xfId="25072"/>
    <cellStyle name="Neutral 3" xfId="1623"/>
    <cellStyle name="Neutral 3 2" xfId="25073"/>
    <cellStyle name="Neutral 3 3" xfId="25074"/>
    <cellStyle name="Neutral 30" xfId="25075"/>
    <cellStyle name="Neutral 30 2" xfId="25076"/>
    <cellStyle name="Neutral 31" xfId="25077"/>
    <cellStyle name="Neutral 32" xfId="25078"/>
    <cellStyle name="Neutral 4" xfId="25079"/>
    <cellStyle name="Neutral 4 2" xfId="25080"/>
    <cellStyle name="Neutral 4 3" xfId="25081"/>
    <cellStyle name="Neutral 5" xfId="25082"/>
    <cellStyle name="Neutral 5 2" xfId="25083"/>
    <cellStyle name="Neutral 5 3" xfId="25084"/>
    <cellStyle name="Neutral 6" xfId="25085"/>
    <cellStyle name="Neutral 6 2" xfId="25086"/>
    <cellStyle name="Neutral 6 3" xfId="25087"/>
    <cellStyle name="Neutral 7" xfId="25088"/>
    <cellStyle name="Neutral 7 2" xfId="25089"/>
    <cellStyle name="Neutral 7 3" xfId="25090"/>
    <cellStyle name="Neutral 8" xfId="25091"/>
    <cellStyle name="Neutral 8 2" xfId="25092"/>
    <cellStyle name="Neutral 8 3" xfId="25093"/>
    <cellStyle name="Neutral 9" xfId="25094"/>
    <cellStyle name="Neutral 9 2" xfId="25095"/>
    <cellStyle name="Neutral 9 3" xfId="25096"/>
    <cellStyle name="Neutrale" xfId="65"/>
    <cellStyle name="Normal" xfId="0" builtinId="0"/>
    <cellStyle name="Normal - Style1" xfId="327"/>
    <cellStyle name="Normal 10" xfId="347"/>
    <cellStyle name="Normal 10 10" xfId="25097"/>
    <cellStyle name="Normal 10 10 2" xfId="25098"/>
    <cellStyle name="Normal 10 10 2 2" xfId="25099"/>
    <cellStyle name="Normal 10 10 3" xfId="25100"/>
    <cellStyle name="Normal 10 10 4" xfId="25101"/>
    <cellStyle name="Normal 10 10 5" xfId="25102"/>
    <cellStyle name="Normal 10 10 6" xfId="25103"/>
    <cellStyle name="Normal 10 10 7" xfId="25104"/>
    <cellStyle name="Normal 10 11" xfId="25105"/>
    <cellStyle name="Normal 10 11 2" xfId="25106"/>
    <cellStyle name="Normal 10 11 2 2" xfId="25107"/>
    <cellStyle name="Normal 10 11 3" xfId="25108"/>
    <cellStyle name="Normal 10 11 4" xfId="25109"/>
    <cellStyle name="Normal 10 11 5" xfId="25110"/>
    <cellStyle name="Normal 10 11 6" xfId="25111"/>
    <cellStyle name="Normal 10 12" xfId="25112"/>
    <cellStyle name="Normal 10 12 2" xfId="25113"/>
    <cellStyle name="Normal 10 13" xfId="25114"/>
    <cellStyle name="Normal 10 13 2" xfId="25115"/>
    <cellStyle name="Normal 10 14" xfId="25116"/>
    <cellStyle name="Normal 10 14 2" xfId="25117"/>
    <cellStyle name="Normal 10 15" xfId="25118"/>
    <cellStyle name="Normal 10 15 2" xfId="25119"/>
    <cellStyle name="Normal 10 16" xfId="25120"/>
    <cellStyle name="Normal 10 16 2" xfId="25121"/>
    <cellStyle name="Normal 10 17" xfId="25122"/>
    <cellStyle name="Normal 10 18" xfId="25123"/>
    <cellStyle name="Normal 10 19" xfId="25124"/>
    <cellStyle name="Normal 10 2" xfId="371"/>
    <cellStyle name="Normal 10 2 10" xfId="25125"/>
    <cellStyle name="Normal 10 2 11" xfId="25126"/>
    <cellStyle name="Normal 10 2 2" xfId="637"/>
    <cellStyle name="Normal 10 2 2 2" xfId="1626"/>
    <cellStyle name="Normal 10 2 2 2 2" xfId="25127"/>
    <cellStyle name="Normal 10 2 2 3" xfId="25128"/>
    <cellStyle name="Normal 10 2 2 4" xfId="25129"/>
    <cellStyle name="Normal 10 2 2 5" xfId="25130"/>
    <cellStyle name="Normal 10 2 2 6" xfId="25131"/>
    <cellStyle name="Normal 10 2 2 7" xfId="25132"/>
    <cellStyle name="Normal 10 2 2 8" xfId="25133"/>
    <cellStyle name="Normal 10 2 2 9" xfId="25134"/>
    <cellStyle name="Normal 10 2 3" xfId="719"/>
    <cellStyle name="Normal 10 2 3 2" xfId="25135"/>
    <cellStyle name="Normal 10 2 3 3" xfId="25136"/>
    <cellStyle name="Normal 10 2 3 4" xfId="25137"/>
    <cellStyle name="Normal 10 2 3 5" xfId="25138"/>
    <cellStyle name="Normal 10 2 3 6" xfId="25139"/>
    <cellStyle name="Normal 10 2 3 7" xfId="25140"/>
    <cellStyle name="Normal 10 2 4" xfId="781"/>
    <cellStyle name="Normal 10 2 4 2" xfId="25141"/>
    <cellStyle name="Normal 10 2 4 3" xfId="25142"/>
    <cellStyle name="Normal 10 2 5" xfId="931"/>
    <cellStyle name="Normal 10 2 5 2" xfId="25143"/>
    <cellStyle name="Normal 10 2 6" xfId="1369"/>
    <cellStyle name="Normal 10 2 6 2" xfId="25144"/>
    <cellStyle name="Normal 10 2 7" xfId="1625"/>
    <cellStyle name="Normal 10 2 7 2" xfId="25145"/>
    <cellStyle name="Normal 10 2 8" xfId="2012"/>
    <cellStyle name="Normal 10 2 8 2" xfId="25146"/>
    <cellStyle name="Normal 10 2 9" xfId="25147"/>
    <cellStyle name="Normal 10 20" xfId="25148"/>
    <cellStyle name="Normal 10 21" xfId="25149"/>
    <cellStyle name="Normal 10 22" xfId="25150"/>
    <cellStyle name="Normal 10 23" xfId="25151"/>
    <cellStyle name="Normal 10 24" xfId="25152"/>
    <cellStyle name="Normal 10 25" xfId="25153"/>
    <cellStyle name="Normal 10 26" xfId="25154"/>
    <cellStyle name="Normal 10 27" xfId="25155"/>
    <cellStyle name="Normal 10 28" xfId="25156"/>
    <cellStyle name="Normal 10 29" xfId="25157"/>
    <cellStyle name="Normal 10 3" xfId="1224"/>
    <cellStyle name="Normal 10 3 10" xfId="25158"/>
    <cellStyle name="Normal 10 3 11" xfId="25159"/>
    <cellStyle name="Normal 10 3 2" xfId="1628"/>
    <cellStyle name="Normal 10 3 2 2" xfId="25160"/>
    <cellStyle name="Normal 10 3 2 3" xfId="25161"/>
    <cellStyle name="Normal 10 3 2 4" xfId="25162"/>
    <cellStyle name="Normal 10 3 2 5" xfId="25163"/>
    <cellStyle name="Normal 10 3 2 6" xfId="25164"/>
    <cellStyle name="Normal 10 3 2 7" xfId="25165"/>
    <cellStyle name="Normal 10 3 2 8" xfId="25166"/>
    <cellStyle name="Normal 10 3 2 9" xfId="25167"/>
    <cellStyle name="Normal 10 3 3" xfId="1627"/>
    <cellStyle name="Normal 10 3 3 2" xfId="25168"/>
    <cellStyle name="Normal 10 3 3 3" xfId="25169"/>
    <cellStyle name="Normal 10 3 3 4" xfId="25170"/>
    <cellStyle name="Normal 10 3 3 5" xfId="25171"/>
    <cellStyle name="Normal 10 3 3 6" xfId="25172"/>
    <cellStyle name="Normal 10 3 3 7" xfId="25173"/>
    <cellStyle name="Normal 10 3 4" xfId="1999"/>
    <cellStyle name="Normal 10 3 4 2" xfId="25174"/>
    <cellStyle name="Normal 10 3 4 3" xfId="25175"/>
    <cellStyle name="Normal 10 3 5" xfId="25176"/>
    <cellStyle name="Normal 10 3 6" xfId="25177"/>
    <cellStyle name="Normal 10 3 7" xfId="25178"/>
    <cellStyle name="Normal 10 3 8" xfId="25179"/>
    <cellStyle name="Normal 10 3 9" xfId="25180"/>
    <cellStyle name="Normal 10 30" xfId="25181"/>
    <cellStyle name="Normal 10 31" xfId="25182"/>
    <cellStyle name="Normal 10 32" xfId="25183"/>
    <cellStyle name="Normal 10 33" xfId="25184"/>
    <cellStyle name="Normal 10 34" xfId="25185"/>
    <cellStyle name="Normal 10 35" xfId="25186"/>
    <cellStyle name="Normal 10 36" xfId="25187"/>
    <cellStyle name="Normal 10 37" xfId="25188"/>
    <cellStyle name="Normal 10 38" xfId="25189"/>
    <cellStyle name="Normal 10 39" xfId="25190"/>
    <cellStyle name="Normal 10 4" xfId="1629"/>
    <cellStyle name="Normal 10 4 10" xfId="25191"/>
    <cellStyle name="Normal 10 4 11" xfId="25192"/>
    <cellStyle name="Normal 10 4 2" xfId="25193"/>
    <cellStyle name="Normal 10 4 2 2" xfId="25194"/>
    <cellStyle name="Normal 10 4 2 3" xfId="25195"/>
    <cellStyle name="Normal 10 4 2 4" xfId="25196"/>
    <cellStyle name="Normal 10 4 2 5" xfId="25197"/>
    <cellStyle name="Normal 10 4 2 6" xfId="25198"/>
    <cellStyle name="Normal 10 4 2 7" xfId="25199"/>
    <cellStyle name="Normal 10 4 3" xfId="25200"/>
    <cellStyle name="Normal 10 4 3 2" xfId="25201"/>
    <cellStyle name="Normal 10 4 3 3" xfId="25202"/>
    <cellStyle name="Normal 10 4 3 4" xfId="25203"/>
    <cellStyle name="Normal 10 4 3 5" xfId="25204"/>
    <cellStyle name="Normal 10 4 3 6" xfId="25205"/>
    <cellStyle name="Normal 10 4 4" xfId="25206"/>
    <cellStyle name="Normal 10 4 4 2" xfId="25207"/>
    <cellStyle name="Normal 10 4 5" xfId="25208"/>
    <cellStyle name="Normal 10 4 6" xfId="25209"/>
    <cellStyle name="Normal 10 4 7" xfId="25210"/>
    <cellStyle name="Normal 10 4 8" xfId="25211"/>
    <cellStyle name="Normal 10 4 9" xfId="25212"/>
    <cellStyle name="Normal 10 40" xfId="25213"/>
    <cellStyle name="Normal 10 41" xfId="25214"/>
    <cellStyle name="Normal 10 42" xfId="25215"/>
    <cellStyle name="Normal 10 43" xfId="25216"/>
    <cellStyle name="Normal 10 44" xfId="25217"/>
    <cellStyle name="Normal 10 45" xfId="25218"/>
    <cellStyle name="Normal 10 46" xfId="25219"/>
    <cellStyle name="Normal 10 47" xfId="25220"/>
    <cellStyle name="Normal 10 48" xfId="25221"/>
    <cellStyle name="Normal 10 49" xfId="25222"/>
    <cellStyle name="Normal 10 5" xfId="1630"/>
    <cellStyle name="Normal 10 5 10" xfId="25223"/>
    <cellStyle name="Normal 10 5 11" xfId="25224"/>
    <cellStyle name="Normal 10 5 2" xfId="25225"/>
    <cellStyle name="Normal 10 5 2 2" xfId="25226"/>
    <cellStyle name="Normal 10 5 2 3" xfId="25227"/>
    <cellStyle name="Normal 10 5 2 4" xfId="25228"/>
    <cellStyle name="Normal 10 5 2 5" xfId="25229"/>
    <cellStyle name="Normal 10 5 2 6" xfId="25230"/>
    <cellStyle name="Normal 10 5 2 7" xfId="25231"/>
    <cellStyle name="Normal 10 5 3" xfId="25232"/>
    <cellStyle name="Normal 10 5 3 2" xfId="25233"/>
    <cellStyle name="Normal 10 5 3 3" xfId="25234"/>
    <cellStyle name="Normal 10 5 3 4" xfId="25235"/>
    <cellStyle name="Normal 10 5 3 5" xfId="25236"/>
    <cellStyle name="Normal 10 5 3 6" xfId="25237"/>
    <cellStyle name="Normal 10 5 4" xfId="25238"/>
    <cellStyle name="Normal 10 5 4 2" xfId="25239"/>
    <cellStyle name="Normal 10 5 5" xfId="25240"/>
    <cellStyle name="Normal 10 5 6" xfId="25241"/>
    <cellStyle name="Normal 10 5 7" xfId="25242"/>
    <cellStyle name="Normal 10 5 8" xfId="25243"/>
    <cellStyle name="Normal 10 5 9" xfId="25244"/>
    <cellStyle name="Normal 10 6" xfId="1631"/>
    <cellStyle name="Normal 10 6 10" xfId="25245"/>
    <cellStyle name="Normal 10 6 11" xfId="25246"/>
    <cellStyle name="Normal 10 6 2" xfId="25247"/>
    <cellStyle name="Normal 10 6 2 2" xfId="25248"/>
    <cellStyle name="Normal 10 6 2 3" xfId="25249"/>
    <cellStyle name="Normal 10 6 2 4" xfId="25250"/>
    <cellStyle name="Normal 10 6 2 5" xfId="25251"/>
    <cellStyle name="Normal 10 6 2 6" xfId="25252"/>
    <cellStyle name="Normal 10 6 2 7" xfId="25253"/>
    <cellStyle name="Normal 10 6 3" xfId="25254"/>
    <cellStyle name="Normal 10 6 3 2" xfId="25255"/>
    <cellStyle name="Normal 10 6 3 3" xfId="25256"/>
    <cellStyle name="Normal 10 6 3 4" xfId="25257"/>
    <cellStyle name="Normal 10 6 3 5" xfId="25258"/>
    <cellStyle name="Normal 10 6 3 6" xfId="25259"/>
    <cellStyle name="Normal 10 6 4" xfId="25260"/>
    <cellStyle name="Normal 10 6 4 2" xfId="25261"/>
    <cellStyle name="Normal 10 6 5" xfId="25262"/>
    <cellStyle name="Normal 10 6 6" xfId="25263"/>
    <cellStyle name="Normal 10 6 7" xfId="25264"/>
    <cellStyle name="Normal 10 6 8" xfId="25265"/>
    <cellStyle name="Normal 10 6 9" xfId="25266"/>
    <cellStyle name="Normal 10 7" xfId="1624"/>
    <cellStyle name="Normal 10 7 10" xfId="25267"/>
    <cellStyle name="Normal 10 7 2" xfId="25268"/>
    <cellStyle name="Normal 10 7 2 2" xfId="25269"/>
    <cellStyle name="Normal 10 7 2 3" xfId="25270"/>
    <cellStyle name="Normal 10 7 2 4" xfId="25271"/>
    <cellStyle name="Normal 10 7 2 5" xfId="25272"/>
    <cellStyle name="Normal 10 7 2 6" xfId="25273"/>
    <cellStyle name="Normal 10 7 2 7" xfId="25274"/>
    <cellStyle name="Normal 10 7 3" xfId="25275"/>
    <cellStyle name="Normal 10 7 3 2" xfId="25276"/>
    <cellStyle name="Normal 10 7 3 3" xfId="25277"/>
    <cellStyle name="Normal 10 7 3 4" xfId="25278"/>
    <cellStyle name="Normal 10 7 3 5" xfId="25279"/>
    <cellStyle name="Normal 10 7 3 6" xfId="25280"/>
    <cellStyle name="Normal 10 7 4" xfId="25281"/>
    <cellStyle name="Normal 10 7 4 2" xfId="25282"/>
    <cellStyle name="Normal 10 7 5" xfId="25283"/>
    <cellStyle name="Normal 10 7 6" xfId="25284"/>
    <cellStyle name="Normal 10 7 7" xfId="25285"/>
    <cellStyle name="Normal 10 7 8" xfId="25286"/>
    <cellStyle name="Normal 10 7 9" xfId="25287"/>
    <cellStyle name="Normal 10 8" xfId="1780"/>
    <cellStyle name="Normal 10 8 10" xfId="25288"/>
    <cellStyle name="Normal 10 8 2" xfId="25289"/>
    <cellStyle name="Normal 10 8 2 2" xfId="25290"/>
    <cellStyle name="Normal 10 8 2 3" xfId="25291"/>
    <cellStyle name="Normal 10 8 2 4" xfId="25292"/>
    <cellStyle name="Normal 10 8 2 5" xfId="25293"/>
    <cellStyle name="Normal 10 8 2 6" xfId="25294"/>
    <cellStyle name="Normal 10 8 2 7" xfId="25295"/>
    <cellStyle name="Normal 10 8 3" xfId="25296"/>
    <cellStyle name="Normal 10 8 3 2" xfId="25297"/>
    <cellStyle name="Normal 10 8 3 3" xfId="25298"/>
    <cellStyle name="Normal 10 8 3 4" xfId="25299"/>
    <cellStyle name="Normal 10 8 3 5" xfId="25300"/>
    <cellStyle name="Normal 10 8 3 6" xfId="25301"/>
    <cellStyle name="Normal 10 8 4" xfId="25302"/>
    <cellStyle name="Normal 10 8 4 2" xfId="25303"/>
    <cellStyle name="Normal 10 8 5" xfId="25304"/>
    <cellStyle name="Normal 10 8 6" xfId="25305"/>
    <cellStyle name="Normal 10 8 7" xfId="25306"/>
    <cellStyle name="Normal 10 8 8" xfId="25307"/>
    <cellStyle name="Normal 10 8 9" xfId="25308"/>
    <cellStyle name="Normal 10 9" xfId="1819"/>
    <cellStyle name="Normal 10 9 2" xfId="25309"/>
    <cellStyle name="Normal 10 9 2 2" xfId="25310"/>
    <cellStyle name="Normal 10 9 2 3" xfId="25311"/>
    <cellStyle name="Normal 10 9 2 4" xfId="25312"/>
    <cellStyle name="Normal 10 9 2 5" xfId="25313"/>
    <cellStyle name="Normal 10 9 2 6" xfId="25314"/>
    <cellStyle name="Normal 10 9 3" xfId="25315"/>
    <cellStyle name="Normal 10 9 3 2" xfId="25316"/>
    <cellStyle name="Normal 10 9 4" xfId="25317"/>
    <cellStyle name="Normal 10 9 5" xfId="25318"/>
    <cellStyle name="Normal 10 9 6" xfId="25319"/>
    <cellStyle name="Normal 10 9 7" xfId="25320"/>
    <cellStyle name="Normal 10 9 8" xfId="25321"/>
    <cellStyle name="Normal 10 9 9" xfId="25322"/>
    <cellStyle name="Normal 100" xfId="641"/>
    <cellStyle name="Normal 101" xfId="628"/>
    <cellStyle name="Normal 102" xfId="601"/>
    <cellStyle name="Normal 103" xfId="620"/>
    <cellStyle name="Normal 104" xfId="608"/>
    <cellStyle name="Normal 105" xfId="631"/>
    <cellStyle name="Normal 106" xfId="597"/>
    <cellStyle name="Normal 107" xfId="624"/>
    <cellStyle name="Normal 108" xfId="604"/>
    <cellStyle name="Normal 108 2" xfId="1949"/>
    <cellStyle name="Normal 109" xfId="635"/>
    <cellStyle name="Normal 11" xfId="344"/>
    <cellStyle name="Normal 11 10" xfId="25323"/>
    <cellStyle name="Normal 11 11" xfId="25324"/>
    <cellStyle name="Normal 11 12" xfId="25325"/>
    <cellStyle name="Normal 11 13" xfId="25326"/>
    <cellStyle name="Normal 11 14" xfId="25327"/>
    <cellStyle name="Normal 11 15" xfId="25328"/>
    <cellStyle name="Normal 11 16" xfId="25329"/>
    <cellStyle name="Normal 11 17" xfId="25330"/>
    <cellStyle name="Normal 11 18" xfId="25331"/>
    <cellStyle name="Normal 11 19" xfId="25332"/>
    <cellStyle name="Normal 11 2" xfId="453"/>
    <cellStyle name="Normal 11 2 2" xfId="638"/>
    <cellStyle name="Normal 11 2 2 2" xfId="25333"/>
    <cellStyle name="Normal 11 2 3" xfId="720"/>
    <cellStyle name="Normal 11 2 4" xfId="782"/>
    <cellStyle name="Normal 11 2 5" xfId="932"/>
    <cellStyle name="Normal 11 2 6" xfId="1370"/>
    <cellStyle name="Normal 11 2 7" xfId="1632"/>
    <cellStyle name="Normal 11 2 8" xfId="2013"/>
    <cellStyle name="Normal 11 2 9" xfId="25334"/>
    <cellStyle name="Normal 11 20" xfId="25335"/>
    <cellStyle name="Normal 11 21" xfId="25336"/>
    <cellStyle name="Normal 11 22" xfId="25337"/>
    <cellStyle name="Normal 11 23" xfId="25338"/>
    <cellStyle name="Normal 11 24" xfId="25339"/>
    <cellStyle name="Normal 11 25" xfId="25340"/>
    <cellStyle name="Normal 11 26" xfId="25341"/>
    <cellStyle name="Normal 11 27" xfId="25342"/>
    <cellStyle name="Normal 11 28" xfId="25343"/>
    <cellStyle name="Normal 11 29" xfId="25344"/>
    <cellStyle name="Normal 11 3" xfId="1262"/>
    <cellStyle name="Normal 11 3 2" xfId="2127"/>
    <cellStyle name="Normal 11 3 3" xfId="25345"/>
    <cellStyle name="Normal 11 30" xfId="25346"/>
    <cellStyle name="Normal 11 31" xfId="25347"/>
    <cellStyle name="Normal 11 32" xfId="25348"/>
    <cellStyle name="Normal 11 33" xfId="25349"/>
    <cellStyle name="Normal 11 34" xfId="25350"/>
    <cellStyle name="Normal 11 35" xfId="25351"/>
    <cellStyle name="Normal 11 36" xfId="25352"/>
    <cellStyle name="Normal 11 37" xfId="25353"/>
    <cellStyle name="Normal 11 38" xfId="25354"/>
    <cellStyle name="Normal 11 39" xfId="25355"/>
    <cellStyle name="Normal 11 4" xfId="1781"/>
    <cellStyle name="Normal 11 4 2" xfId="25356"/>
    <cellStyle name="Normal 11 40" xfId="25357"/>
    <cellStyle name="Normal 11 41" xfId="25358"/>
    <cellStyle name="Normal 11 42" xfId="25359"/>
    <cellStyle name="Normal 11 43" xfId="25360"/>
    <cellStyle name="Normal 11 44" xfId="25361"/>
    <cellStyle name="Normal 11 45" xfId="25362"/>
    <cellStyle name="Normal 11 46" xfId="25363"/>
    <cellStyle name="Normal 11 47" xfId="25364"/>
    <cellStyle name="Normal 11 5" xfId="1820"/>
    <cellStyle name="Normal 11 5 2" xfId="25365"/>
    <cellStyle name="Normal 11 6" xfId="25366"/>
    <cellStyle name="Normal 11 7" xfId="25367"/>
    <cellStyle name="Normal 11 8" xfId="25368"/>
    <cellStyle name="Normal 11 9" xfId="25369"/>
    <cellStyle name="Normal 110" xfId="642"/>
    <cellStyle name="Normal 110 2" xfId="2114"/>
    <cellStyle name="Normal 111" xfId="629"/>
    <cellStyle name="Normal 111 2" xfId="2092"/>
    <cellStyle name="Normal 112" xfId="600"/>
    <cellStyle name="Normal 113" xfId="621"/>
    <cellStyle name="Normal 114" xfId="607"/>
    <cellStyle name="Normal 115" xfId="632"/>
    <cellStyle name="Normal 115 2" xfId="2037"/>
    <cellStyle name="Normal 116" xfId="639"/>
    <cellStyle name="Normal 116 2" xfId="1918"/>
    <cellStyle name="Normal 117" xfId="625"/>
    <cellStyle name="Normal 117 2" xfId="2142"/>
    <cellStyle name="Normal 118" xfId="603"/>
    <cellStyle name="Normal 118 2" xfId="2143"/>
    <cellStyle name="Normal 119" xfId="636"/>
    <cellStyle name="Normal 12" xfId="346"/>
    <cellStyle name="Normal 12 10" xfId="25370"/>
    <cellStyle name="Normal 12 10 2" xfId="25371"/>
    <cellStyle name="Normal 12 100" xfId="25372"/>
    <cellStyle name="Normal 12 101" xfId="25373"/>
    <cellStyle name="Normal 12 102" xfId="25374"/>
    <cellStyle name="Normal 12 103" xfId="25375"/>
    <cellStyle name="Normal 12 104" xfId="25376"/>
    <cellStyle name="Normal 12 105" xfId="25377"/>
    <cellStyle name="Normal 12 106" xfId="25378"/>
    <cellStyle name="Normal 12 107" xfId="25379"/>
    <cellStyle name="Normal 12 108" xfId="25380"/>
    <cellStyle name="Normal 12 109" xfId="25381"/>
    <cellStyle name="Normal 12 11" xfId="25382"/>
    <cellStyle name="Normal 12 11 2" xfId="25383"/>
    <cellStyle name="Normal 12 110" xfId="25384"/>
    <cellStyle name="Normal 12 111" xfId="25385"/>
    <cellStyle name="Normal 12 12" xfId="25386"/>
    <cellStyle name="Normal 12 12 2" xfId="25387"/>
    <cellStyle name="Normal 12 13" xfId="25388"/>
    <cellStyle name="Normal 12 13 2" xfId="25389"/>
    <cellStyle name="Normal 12 14" xfId="25390"/>
    <cellStyle name="Normal 12 14 2" xfId="25391"/>
    <cellStyle name="Normal 12 15" xfId="25392"/>
    <cellStyle name="Normal 12 15 2" xfId="25393"/>
    <cellStyle name="Normal 12 16" xfId="25394"/>
    <cellStyle name="Normal 12 16 2" xfId="25395"/>
    <cellStyle name="Normal 12 17" xfId="25396"/>
    <cellStyle name="Normal 12 17 2" xfId="25397"/>
    <cellStyle name="Normal 12 18" xfId="25398"/>
    <cellStyle name="Normal 12 18 2" xfId="25399"/>
    <cellStyle name="Normal 12 19" xfId="25400"/>
    <cellStyle name="Normal 12 19 2" xfId="25401"/>
    <cellStyle name="Normal 12 2" xfId="481"/>
    <cellStyle name="Normal 12 2 2" xfId="971"/>
    <cellStyle name="Normal 12 2 2 2" xfId="25402"/>
    <cellStyle name="Normal 12 2 3" xfId="1371"/>
    <cellStyle name="Normal 12 2 4" xfId="2014"/>
    <cellStyle name="Normal 12 2 5" xfId="25403"/>
    <cellStyle name="Normal 12 20" xfId="25404"/>
    <cellStyle name="Normal 12 20 2" xfId="25405"/>
    <cellStyle name="Normal 12 21" xfId="25406"/>
    <cellStyle name="Normal 12 21 2" xfId="25407"/>
    <cellStyle name="Normal 12 22" xfId="25408"/>
    <cellStyle name="Normal 12 22 2" xfId="25409"/>
    <cellStyle name="Normal 12 23" xfId="25410"/>
    <cellStyle name="Normal 12 23 2" xfId="25411"/>
    <cellStyle name="Normal 12 24" xfId="25412"/>
    <cellStyle name="Normal 12 24 2" xfId="25413"/>
    <cellStyle name="Normal 12 25" xfId="25414"/>
    <cellStyle name="Normal 12 25 2" xfId="25415"/>
    <cellStyle name="Normal 12 26" xfId="25416"/>
    <cellStyle name="Normal 12 26 2" xfId="25417"/>
    <cellStyle name="Normal 12 27" xfId="25418"/>
    <cellStyle name="Normal 12 27 2" xfId="25419"/>
    <cellStyle name="Normal 12 28" xfId="25420"/>
    <cellStyle name="Normal 12 28 2" xfId="25421"/>
    <cellStyle name="Normal 12 29" xfId="25422"/>
    <cellStyle name="Normal 12 29 2" xfId="25423"/>
    <cellStyle name="Normal 12 3" xfId="1286"/>
    <cellStyle name="Normal 12 3 2" xfId="1938"/>
    <cellStyle name="Normal 12 3 2 2" xfId="25424"/>
    <cellStyle name="Normal 12 3 3" xfId="25425"/>
    <cellStyle name="Normal 12 30" xfId="25426"/>
    <cellStyle name="Normal 12 30 2" xfId="25427"/>
    <cellStyle name="Normal 12 31" xfId="25428"/>
    <cellStyle name="Normal 12 31 2" xfId="25429"/>
    <cellStyle name="Normal 12 32" xfId="25430"/>
    <cellStyle name="Normal 12 32 2" xfId="25431"/>
    <cellStyle name="Normal 12 33" xfId="25432"/>
    <cellStyle name="Normal 12 33 2" xfId="25433"/>
    <cellStyle name="Normal 12 34" xfId="25434"/>
    <cellStyle name="Normal 12 34 2" xfId="25435"/>
    <cellStyle name="Normal 12 35" xfId="25436"/>
    <cellStyle name="Normal 12 35 2" xfId="25437"/>
    <cellStyle name="Normal 12 36" xfId="25438"/>
    <cellStyle name="Normal 12 36 2" xfId="25439"/>
    <cellStyle name="Normal 12 37" xfId="25440"/>
    <cellStyle name="Normal 12 37 2" xfId="25441"/>
    <cellStyle name="Normal 12 38" xfId="25442"/>
    <cellStyle name="Normal 12 38 2" xfId="25443"/>
    <cellStyle name="Normal 12 39" xfId="25444"/>
    <cellStyle name="Normal 12 39 2" xfId="25445"/>
    <cellStyle name="Normal 12 4" xfId="1782"/>
    <cellStyle name="Normal 12 4 2" xfId="25446"/>
    <cellStyle name="Normal 12 4 3" xfId="25447"/>
    <cellStyle name="Normal 12 40" xfId="25448"/>
    <cellStyle name="Normal 12 40 2" xfId="25449"/>
    <cellStyle name="Normal 12 41" xfId="25450"/>
    <cellStyle name="Normal 12 41 2" xfId="25451"/>
    <cellStyle name="Normal 12 42" xfId="25452"/>
    <cellStyle name="Normal 12 42 2" xfId="25453"/>
    <cellStyle name="Normal 12 43" xfId="25454"/>
    <cellStyle name="Normal 12 43 2" xfId="25455"/>
    <cellStyle name="Normal 12 44" xfId="25456"/>
    <cellStyle name="Normal 12 44 2" xfId="25457"/>
    <cellStyle name="Normal 12 45" xfId="25458"/>
    <cellStyle name="Normal 12 46" xfId="25459"/>
    <cellStyle name="Normal 12 47" xfId="25460"/>
    <cellStyle name="Normal 12 48" xfId="25461"/>
    <cellStyle name="Normal 12 49" xfId="25462"/>
    <cellStyle name="Normal 12 5" xfId="1821"/>
    <cellStyle name="Normal 12 5 2" xfId="25463"/>
    <cellStyle name="Normal 12 5 3" xfId="25464"/>
    <cellStyle name="Normal 12 50" xfId="25465"/>
    <cellStyle name="Normal 12 51" xfId="25466"/>
    <cellStyle name="Normal 12 52" xfId="25467"/>
    <cellStyle name="Normal 12 53" xfId="25468"/>
    <cellStyle name="Normal 12 54" xfId="25469"/>
    <cellStyle name="Normal 12 55" xfId="25470"/>
    <cellStyle name="Normal 12 56" xfId="25471"/>
    <cellStyle name="Normal 12 57" xfId="25472"/>
    <cellStyle name="Normal 12 58" xfId="25473"/>
    <cellStyle name="Normal 12 59" xfId="25474"/>
    <cellStyle name="Normal 12 6" xfId="25475"/>
    <cellStyle name="Normal 12 6 2" xfId="25476"/>
    <cellStyle name="Normal 12 60" xfId="25477"/>
    <cellStyle name="Normal 12 61" xfId="25478"/>
    <cellStyle name="Normal 12 62" xfId="25479"/>
    <cellStyle name="Normal 12 63" xfId="25480"/>
    <cellStyle name="Normal 12 64" xfId="25481"/>
    <cellStyle name="Normal 12 65" xfId="25482"/>
    <cellStyle name="Normal 12 66" xfId="25483"/>
    <cellStyle name="Normal 12 67" xfId="25484"/>
    <cellStyle name="Normal 12 68" xfId="25485"/>
    <cellStyle name="Normal 12 69" xfId="25486"/>
    <cellStyle name="Normal 12 7" xfId="25487"/>
    <cellStyle name="Normal 12 7 2" xfId="25488"/>
    <cellStyle name="Normal 12 70" xfId="25489"/>
    <cellStyle name="Normal 12 71" xfId="25490"/>
    <cellStyle name="Normal 12 72" xfId="25491"/>
    <cellStyle name="Normal 12 73" xfId="25492"/>
    <cellStyle name="Normal 12 74" xfId="25493"/>
    <cellStyle name="Normal 12 75" xfId="25494"/>
    <cellStyle name="Normal 12 76" xfId="25495"/>
    <cellStyle name="Normal 12 77" xfId="25496"/>
    <cellStyle name="Normal 12 78" xfId="25497"/>
    <cellStyle name="Normal 12 79" xfId="25498"/>
    <cellStyle name="Normal 12 8" xfId="25499"/>
    <cellStyle name="Normal 12 8 2" xfId="25500"/>
    <cellStyle name="Normal 12 80" xfId="25501"/>
    <cellStyle name="Normal 12 81" xfId="25502"/>
    <cellStyle name="Normal 12 82" xfId="25503"/>
    <cellStyle name="Normal 12 83" xfId="25504"/>
    <cellStyle name="Normal 12 84" xfId="25505"/>
    <cellStyle name="Normal 12 85" xfId="25506"/>
    <cellStyle name="Normal 12 86" xfId="25507"/>
    <cellStyle name="Normal 12 87" xfId="25508"/>
    <cellStyle name="Normal 12 88" xfId="25509"/>
    <cellStyle name="Normal 12 89" xfId="25510"/>
    <cellStyle name="Normal 12 9" xfId="25511"/>
    <cellStyle name="Normal 12 9 2" xfId="25512"/>
    <cellStyle name="Normal 12 90" xfId="25513"/>
    <cellStyle name="Normal 12 91" xfId="25514"/>
    <cellStyle name="Normal 12 92" xfId="25515"/>
    <cellStyle name="Normal 12 93" xfId="25516"/>
    <cellStyle name="Normal 12 94" xfId="25517"/>
    <cellStyle name="Normal 12 95" xfId="25518"/>
    <cellStyle name="Normal 12 96" xfId="25519"/>
    <cellStyle name="Normal 12 97" xfId="25520"/>
    <cellStyle name="Normal 12 98" xfId="25521"/>
    <cellStyle name="Normal 12 99" xfId="25522"/>
    <cellStyle name="Normal 120" xfId="610"/>
    <cellStyle name="Normal 121" xfId="617"/>
    <cellStyle name="Normal 122" xfId="644"/>
    <cellStyle name="Normal 123" xfId="646"/>
    <cellStyle name="Normal 124" xfId="648"/>
    <cellStyle name="Normal 125" xfId="650"/>
    <cellStyle name="Normal 126" xfId="652"/>
    <cellStyle name="Normal 127" xfId="654"/>
    <cellStyle name="Normal 128" xfId="656"/>
    <cellStyle name="Normal 129" xfId="658"/>
    <cellStyle name="Normal 13" xfId="345"/>
    <cellStyle name="Normal 13 10" xfId="25523"/>
    <cellStyle name="Normal 13 10 2" xfId="25524"/>
    <cellStyle name="Normal 13 100" xfId="25525"/>
    <cellStyle name="Normal 13 101" xfId="25526"/>
    <cellStyle name="Normal 13 102" xfId="25527"/>
    <cellStyle name="Normal 13 103" xfId="25528"/>
    <cellStyle name="Normal 13 104" xfId="25529"/>
    <cellStyle name="Normal 13 105" xfId="25530"/>
    <cellStyle name="Normal 13 106" xfId="25531"/>
    <cellStyle name="Normal 13 107" xfId="25532"/>
    <cellStyle name="Normal 13 108" xfId="25533"/>
    <cellStyle name="Normal 13 109" xfId="25534"/>
    <cellStyle name="Normal 13 11" xfId="25535"/>
    <cellStyle name="Normal 13 11 2" xfId="25536"/>
    <cellStyle name="Normal 13 110" xfId="25537"/>
    <cellStyle name="Normal 13 111" xfId="25538"/>
    <cellStyle name="Normal 13 112" xfId="25539"/>
    <cellStyle name="Normal 13 113" xfId="25540"/>
    <cellStyle name="Normal 13 12" xfId="25541"/>
    <cellStyle name="Normal 13 12 2" xfId="25542"/>
    <cellStyle name="Normal 13 13" xfId="25543"/>
    <cellStyle name="Normal 13 13 2" xfId="25544"/>
    <cellStyle name="Normal 13 14" xfId="25545"/>
    <cellStyle name="Normal 13 14 2" xfId="25546"/>
    <cellStyle name="Normal 13 15" xfId="25547"/>
    <cellStyle name="Normal 13 15 2" xfId="25548"/>
    <cellStyle name="Normal 13 16" xfId="25549"/>
    <cellStyle name="Normal 13 16 2" xfId="25550"/>
    <cellStyle name="Normal 13 17" xfId="25551"/>
    <cellStyle name="Normal 13 17 2" xfId="25552"/>
    <cellStyle name="Normal 13 18" xfId="25553"/>
    <cellStyle name="Normal 13 18 2" xfId="25554"/>
    <cellStyle name="Normal 13 19" xfId="25555"/>
    <cellStyle name="Normal 13 19 2" xfId="25556"/>
    <cellStyle name="Normal 13 2" xfId="444"/>
    <cellStyle name="Normal 13 2 10" xfId="25557"/>
    <cellStyle name="Normal 13 2 11" xfId="25558"/>
    <cellStyle name="Normal 13 2 12" xfId="25559"/>
    <cellStyle name="Normal 13 2 13" xfId="25560"/>
    <cellStyle name="Normal 13 2 14" xfId="25561"/>
    <cellStyle name="Normal 13 2 15" xfId="25562"/>
    <cellStyle name="Normal 13 2 16" xfId="25563"/>
    <cellStyle name="Normal 13 2 17" xfId="25564"/>
    <cellStyle name="Normal 13 2 18" xfId="25565"/>
    <cellStyle name="Normal 13 2 19" xfId="25566"/>
    <cellStyle name="Normal 13 2 2" xfId="972"/>
    <cellStyle name="Normal 13 2 2 2" xfId="25567"/>
    <cellStyle name="Normal 13 2 20" xfId="25568"/>
    <cellStyle name="Normal 13 2 21" xfId="25569"/>
    <cellStyle name="Normal 13 2 22" xfId="25570"/>
    <cellStyle name="Normal 13 2 23" xfId="25571"/>
    <cellStyle name="Normal 13 2 24" xfId="25572"/>
    <cellStyle name="Normal 13 2 25" xfId="25573"/>
    <cellStyle name="Normal 13 2 26" xfId="25574"/>
    <cellStyle name="Normal 13 2 27" xfId="25575"/>
    <cellStyle name="Normal 13 2 28" xfId="25576"/>
    <cellStyle name="Normal 13 2 29" xfId="25577"/>
    <cellStyle name="Normal 13 2 3" xfId="1372"/>
    <cellStyle name="Normal 13 2 3 2" xfId="25578"/>
    <cellStyle name="Normal 13 2 30" xfId="25579"/>
    <cellStyle name="Normal 13 2 31" xfId="25580"/>
    <cellStyle name="Normal 13 2 32" xfId="25581"/>
    <cellStyle name="Normal 13 2 33" xfId="25582"/>
    <cellStyle name="Normal 13 2 34" xfId="25583"/>
    <cellStyle name="Normal 13 2 35" xfId="25584"/>
    <cellStyle name="Normal 13 2 36" xfId="25585"/>
    <cellStyle name="Normal 13 2 37" xfId="25586"/>
    <cellStyle name="Normal 13 2 38" xfId="25587"/>
    <cellStyle name="Normal 13 2 39" xfId="25588"/>
    <cellStyle name="Normal 13 2 4" xfId="2015"/>
    <cellStyle name="Normal 13 2 4 2" xfId="25589"/>
    <cellStyle name="Normal 13 2 40" xfId="25590"/>
    <cellStyle name="Normal 13 2 41" xfId="25591"/>
    <cellStyle name="Normal 13 2 42" xfId="25592"/>
    <cellStyle name="Normal 13 2 43" xfId="25593"/>
    <cellStyle name="Normal 13 2 44" xfId="25594"/>
    <cellStyle name="Normal 13 2 45" xfId="25595"/>
    <cellStyle name="Normal 13 2 46" xfId="25596"/>
    <cellStyle name="Normal 13 2 5" xfId="25597"/>
    <cellStyle name="Normal 13 2 6" xfId="25598"/>
    <cellStyle name="Normal 13 2 7" xfId="25599"/>
    <cellStyle name="Normal 13 2 8" xfId="25600"/>
    <cellStyle name="Normal 13 2 9" xfId="25601"/>
    <cellStyle name="Normal 13 20" xfId="25602"/>
    <cellStyle name="Normal 13 20 2" xfId="25603"/>
    <cellStyle name="Normal 13 21" xfId="25604"/>
    <cellStyle name="Normal 13 21 2" xfId="25605"/>
    <cellStyle name="Normal 13 22" xfId="25606"/>
    <cellStyle name="Normal 13 22 2" xfId="25607"/>
    <cellStyle name="Normal 13 23" xfId="25608"/>
    <cellStyle name="Normal 13 23 2" xfId="25609"/>
    <cellStyle name="Normal 13 24" xfId="25610"/>
    <cellStyle name="Normal 13 24 2" xfId="25611"/>
    <cellStyle name="Normal 13 25" xfId="25612"/>
    <cellStyle name="Normal 13 25 2" xfId="25613"/>
    <cellStyle name="Normal 13 26" xfId="25614"/>
    <cellStyle name="Normal 13 26 2" xfId="25615"/>
    <cellStyle name="Normal 13 27" xfId="25616"/>
    <cellStyle name="Normal 13 27 2" xfId="25617"/>
    <cellStyle name="Normal 13 28" xfId="25618"/>
    <cellStyle name="Normal 13 28 2" xfId="25619"/>
    <cellStyle name="Normal 13 29" xfId="25620"/>
    <cellStyle name="Normal 13 29 2" xfId="25621"/>
    <cellStyle name="Normal 13 3" xfId="1255"/>
    <cellStyle name="Normal 13 3 10" xfId="25622"/>
    <cellStyle name="Normal 13 3 11" xfId="25623"/>
    <cellStyle name="Normal 13 3 12" xfId="25624"/>
    <cellStyle name="Normal 13 3 13" xfId="25625"/>
    <cellStyle name="Normal 13 3 14" xfId="25626"/>
    <cellStyle name="Normal 13 3 15" xfId="25627"/>
    <cellStyle name="Normal 13 3 16" xfId="25628"/>
    <cellStyle name="Normal 13 3 17" xfId="25629"/>
    <cellStyle name="Normal 13 3 18" xfId="25630"/>
    <cellStyle name="Normal 13 3 19" xfId="25631"/>
    <cellStyle name="Normal 13 3 2" xfId="1969"/>
    <cellStyle name="Normal 13 3 2 2" xfId="25632"/>
    <cellStyle name="Normal 13 3 20" xfId="25633"/>
    <cellStyle name="Normal 13 3 21" xfId="25634"/>
    <cellStyle name="Normal 13 3 22" xfId="25635"/>
    <cellStyle name="Normal 13 3 23" xfId="25636"/>
    <cellStyle name="Normal 13 3 24" xfId="25637"/>
    <cellStyle name="Normal 13 3 25" xfId="25638"/>
    <cellStyle name="Normal 13 3 26" xfId="25639"/>
    <cellStyle name="Normal 13 3 27" xfId="25640"/>
    <cellStyle name="Normal 13 3 28" xfId="25641"/>
    <cellStyle name="Normal 13 3 29" xfId="25642"/>
    <cellStyle name="Normal 13 3 3" xfId="25643"/>
    <cellStyle name="Normal 13 3 30" xfId="25644"/>
    <cellStyle name="Normal 13 3 31" xfId="25645"/>
    <cellStyle name="Normal 13 3 32" xfId="25646"/>
    <cellStyle name="Normal 13 3 33" xfId="25647"/>
    <cellStyle name="Normal 13 3 34" xfId="25648"/>
    <cellStyle name="Normal 13 3 35" xfId="25649"/>
    <cellStyle name="Normal 13 3 36" xfId="25650"/>
    <cellStyle name="Normal 13 3 37" xfId="25651"/>
    <cellStyle name="Normal 13 3 38" xfId="25652"/>
    <cellStyle name="Normal 13 3 39" xfId="25653"/>
    <cellStyle name="Normal 13 3 4" xfId="25654"/>
    <cellStyle name="Normal 13 3 40" xfId="25655"/>
    <cellStyle name="Normal 13 3 41" xfId="25656"/>
    <cellStyle name="Normal 13 3 42" xfId="25657"/>
    <cellStyle name="Normal 13 3 43" xfId="25658"/>
    <cellStyle name="Normal 13 3 44" xfId="25659"/>
    <cellStyle name="Normal 13 3 45" xfId="25660"/>
    <cellStyle name="Normal 13 3 46" xfId="25661"/>
    <cellStyle name="Normal 13 3 5" xfId="25662"/>
    <cellStyle name="Normal 13 3 6" xfId="25663"/>
    <cellStyle name="Normal 13 3 7" xfId="25664"/>
    <cellStyle name="Normal 13 3 8" xfId="25665"/>
    <cellStyle name="Normal 13 3 9" xfId="25666"/>
    <cellStyle name="Normal 13 30" xfId="25667"/>
    <cellStyle name="Normal 13 30 2" xfId="25668"/>
    <cellStyle name="Normal 13 31" xfId="25669"/>
    <cellStyle name="Normal 13 31 2" xfId="25670"/>
    <cellStyle name="Normal 13 32" xfId="25671"/>
    <cellStyle name="Normal 13 32 2" xfId="25672"/>
    <cellStyle name="Normal 13 33" xfId="25673"/>
    <cellStyle name="Normal 13 33 2" xfId="25674"/>
    <cellStyle name="Normal 13 34" xfId="25675"/>
    <cellStyle name="Normal 13 34 2" xfId="25676"/>
    <cellStyle name="Normal 13 35" xfId="25677"/>
    <cellStyle name="Normal 13 35 2" xfId="25678"/>
    <cellStyle name="Normal 13 36" xfId="25679"/>
    <cellStyle name="Normal 13 36 2" xfId="25680"/>
    <cellStyle name="Normal 13 37" xfId="25681"/>
    <cellStyle name="Normal 13 37 2" xfId="25682"/>
    <cellStyle name="Normal 13 38" xfId="25683"/>
    <cellStyle name="Normal 13 38 2" xfId="25684"/>
    <cellStyle name="Normal 13 39" xfId="25685"/>
    <cellStyle name="Normal 13 39 2" xfId="25686"/>
    <cellStyle name="Normal 13 4" xfId="1783"/>
    <cellStyle name="Normal 13 4 2" xfId="25687"/>
    <cellStyle name="Normal 13 4 3" xfId="25688"/>
    <cellStyle name="Normal 13 40" xfId="25689"/>
    <cellStyle name="Normal 13 40 2" xfId="25690"/>
    <cellStyle name="Normal 13 41" xfId="25691"/>
    <cellStyle name="Normal 13 41 2" xfId="25692"/>
    <cellStyle name="Normal 13 42" xfId="25693"/>
    <cellStyle name="Normal 13 42 2" xfId="25694"/>
    <cellStyle name="Normal 13 43" xfId="25695"/>
    <cellStyle name="Normal 13 43 2" xfId="25696"/>
    <cellStyle name="Normal 13 44" xfId="25697"/>
    <cellStyle name="Normal 13 44 2" xfId="25698"/>
    <cellStyle name="Normal 13 45" xfId="25699"/>
    <cellStyle name="Normal 13 45 2" xfId="25700"/>
    <cellStyle name="Normal 13 46" xfId="25701"/>
    <cellStyle name="Normal 13 46 2" xfId="25702"/>
    <cellStyle name="Normal 13 47" xfId="25703"/>
    <cellStyle name="Normal 13 48" xfId="25704"/>
    <cellStyle name="Normal 13 49" xfId="25705"/>
    <cellStyle name="Normal 13 5" xfId="1822"/>
    <cellStyle name="Normal 13 5 2" xfId="25706"/>
    <cellStyle name="Normal 13 5 3" xfId="25707"/>
    <cellStyle name="Normal 13 50" xfId="25708"/>
    <cellStyle name="Normal 13 51" xfId="25709"/>
    <cellStyle name="Normal 13 52" xfId="25710"/>
    <cellStyle name="Normal 13 53" xfId="25711"/>
    <cellStyle name="Normal 13 54" xfId="25712"/>
    <cellStyle name="Normal 13 55" xfId="25713"/>
    <cellStyle name="Normal 13 56" xfId="25714"/>
    <cellStyle name="Normal 13 57" xfId="25715"/>
    <cellStyle name="Normal 13 58" xfId="25716"/>
    <cellStyle name="Normal 13 59" xfId="25717"/>
    <cellStyle name="Normal 13 6" xfId="25718"/>
    <cellStyle name="Normal 13 6 2" xfId="25719"/>
    <cellStyle name="Normal 13 60" xfId="25720"/>
    <cellStyle name="Normal 13 61" xfId="25721"/>
    <cellStyle name="Normal 13 62" xfId="25722"/>
    <cellStyle name="Normal 13 63" xfId="25723"/>
    <cellStyle name="Normal 13 64" xfId="25724"/>
    <cellStyle name="Normal 13 65" xfId="25725"/>
    <cellStyle name="Normal 13 66" xfId="25726"/>
    <cellStyle name="Normal 13 67" xfId="25727"/>
    <cellStyle name="Normal 13 68" xfId="25728"/>
    <cellStyle name="Normal 13 69" xfId="25729"/>
    <cellStyle name="Normal 13 7" xfId="25730"/>
    <cellStyle name="Normal 13 7 2" xfId="25731"/>
    <cellStyle name="Normal 13 70" xfId="25732"/>
    <cellStyle name="Normal 13 71" xfId="25733"/>
    <cellStyle name="Normal 13 72" xfId="25734"/>
    <cellStyle name="Normal 13 73" xfId="25735"/>
    <cellStyle name="Normal 13 74" xfId="25736"/>
    <cellStyle name="Normal 13 75" xfId="25737"/>
    <cellStyle name="Normal 13 76" xfId="25738"/>
    <cellStyle name="Normal 13 77" xfId="25739"/>
    <cellStyle name="Normal 13 78" xfId="25740"/>
    <cellStyle name="Normal 13 79" xfId="25741"/>
    <cellStyle name="Normal 13 8" xfId="25742"/>
    <cellStyle name="Normal 13 8 2" xfId="25743"/>
    <cellStyle name="Normal 13 80" xfId="25744"/>
    <cellStyle name="Normal 13 81" xfId="25745"/>
    <cellStyle name="Normal 13 82" xfId="25746"/>
    <cellStyle name="Normal 13 83" xfId="25747"/>
    <cellStyle name="Normal 13 84" xfId="25748"/>
    <cellStyle name="Normal 13 85" xfId="25749"/>
    <cellStyle name="Normal 13 86" xfId="25750"/>
    <cellStyle name="Normal 13 87" xfId="25751"/>
    <cellStyle name="Normal 13 88" xfId="25752"/>
    <cellStyle name="Normal 13 89" xfId="25753"/>
    <cellStyle name="Normal 13 9" xfId="25754"/>
    <cellStyle name="Normal 13 9 2" xfId="25755"/>
    <cellStyle name="Normal 13 90" xfId="25756"/>
    <cellStyle name="Normal 13 91" xfId="25757"/>
    <cellStyle name="Normal 13 92" xfId="25758"/>
    <cellStyle name="Normal 13 93" xfId="25759"/>
    <cellStyle name="Normal 13 94" xfId="25760"/>
    <cellStyle name="Normal 13 95" xfId="25761"/>
    <cellStyle name="Normal 13 96" xfId="25762"/>
    <cellStyle name="Normal 13 97" xfId="25763"/>
    <cellStyle name="Normal 13 98" xfId="25764"/>
    <cellStyle name="Normal 13 99" xfId="25765"/>
    <cellStyle name="Normal 130" xfId="660"/>
    <cellStyle name="Normal 131" xfId="662"/>
    <cellStyle name="Normal 132" xfId="664"/>
    <cellStyle name="Normal 133" xfId="626"/>
    <cellStyle name="Normal 134" xfId="677"/>
    <cellStyle name="Normal 135" xfId="586"/>
    <cellStyle name="Normal 135 2" xfId="721"/>
    <cellStyle name="Normal 135 3" xfId="1758"/>
    <cellStyle name="Normal 135 4" xfId="25766"/>
    <cellStyle name="Normal 136" xfId="588"/>
    <cellStyle name="Normal 136 2" xfId="747"/>
    <cellStyle name="Normal 136 3" xfId="1759"/>
    <cellStyle name="Normal 136 4" xfId="25767"/>
    <cellStyle name="Normal 137" xfId="701"/>
    <cellStyle name="Normal 137 2" xfId="723"/>
    <cellStyle name="Normal 137 3" xfId="1760"/>
    <cellStyle name="Normal 137 4" xfId="25768"/>
    <cellStyle name="Normal 138" xfId="702"/>
    <cellStyle name="Normal 138 2" xfId="741"/>
    <cellStyle name="Normal 138 3" xfId="1761"/>
    <cellStyle name="Normal 138 4" xfId="25769"/>
    <cellStyle name="Normal 139" xfId="703"/>
    <cellStyle name="Normal 139 2" xfId="726"/>
    <cellStyle name="Normal 139 3" xfId="1762"/>
    <cellStyle name="Normal 139 4" xfId="2144"/>
    <cellStyle name="Normal 14" xfId="361"/>
    <cellStyle name="Normal 14 10" xfId="25770"/>
    <cellStyle name="Normal 14 10 2" xfId="25771"/>
    <cellStyle name="Normal 14 100" xfId="25772"/>
    <cellStyle name="Normal 14 101" xfId="25773"/>
    <cellStyle name="Normal 14 102" xfId="25774"/>
    <cellStyle name="Normal 14 103" xfId="25775"/>
    <cellStyle name="Normal 14 104" xfId="25776"/>
    <cellStyle name="Normal 14 105" xfId="25777"/>
    <cellStyle name="Normal 14 106" xfId="25778"/>
    <cellStyle name="Normal 14 107" xfId="25779"/>
    <cellStyle name="Normal 14 108" xfId="25780"/>
    <cellStyle name="Normal 14 109" xfId="25781"/>
    <cellStyle name="Normal 14 11" xfId="25782"/>
    <cellStyle name="Normal 14 11 2" xfId="25783"/>
    <cellStyle name="Normal 14 110" xfId="25784"/>
    <cellStyle name="Normal 14 111" xfId="25785"/>
    <cellStyle name="Normal 14 112" xfId="25786"/>
    <cellStyle name="Normal 14 113" xfId="25787"/>
    <cellStyle name="Normal 14 114" xfId="25788"/>
    <cellStyle name="Normal 14 115" xfId="25789"/>
    <cellStyle name="Normal 14 12" xfId="25790"/>
    <cellStyle name="Normal 14 12 2" xfId="25791"/>
    <cellStyle name="Normal 14 13" xfId="25792"/>
    <cellStyle name="Normal 14 13 2" xfId="25793"/>
    <cellStyle name="Normal 14 14" xfId="25794"/>
    <cellStyle name="Normal 14 14 2" xfId="25795"/>
    <cellStyle name="Normal 14 15" xfId="25796"/>
    <cellStyle name="Normal 14 15 2" xfId="25797"/>
    <cellStyle name="Normal 14 16" xfId="25798"/>
    <cellStyle name="Normal 14 16 2" xfId="25799"/>
    <cellStyle name="Normal 14 17" xfId="25800"/>
    <cellStyle name="Normal 14 17 2" xfId="25801"/>
    <cellStyle name="Normal 14 18" xfId="25802"/>
    <cellStyle name="Normal 14 18 2" xfId="25803"/>
    <cellStyle name="Normal 14 19" xfId="25804"/>
    <cellStyle name="Normal 14 19 2" xfId="25805"/>
    <cellStyle name="Normal 14 2" xfId="474"/>
    <cellStyle name="Normal 14 2 10" xfId="25806"/>
    <cellStyle name="Normal 14 2 11" xfId="25807"/>
    <cellStyle name="Normal 14 2 12" xfId="25808"/>
    <cellStyle name="Normal 14 2 13" xfId="25809"/>
    <cellStyle name="Normal 14 2 14" xfId="25810"/>
    <cellStyle name="Normal 14 2 15" xfId="25811"/>
    <cellStyle name="Normal 14 2 16" xfId="25812"/>
    <cellStyle name="Normal 14 2 17" xfId="25813"/>
    <cellStyle name="Normal 14 2 18" xfId="25814"/>
    <cellStyle name="Normal 14 2 19" xfId="25815"/>
    <cellStyle name="Normal 14 2 2" xfId="973"/>
    <cellStyle name="Normal 14 2 2 2" xfId="25816"/>
    <cellStyle name="Normal 14 2 20" xfId="25817"/>
    <cellStyle name="Normal 14 2 21" xfId="25818"/>
    <cellStyle name="Normal 14 2 22" xfId="25819"/>
    <cellStyle name="Normal 14 2 23" xfId="25820"/>
    <cellStyle name="Normal 14 2 24" xfId="25821"/>
    <cellStyle name="Normal 14 2 25" xfId="25822"/>
    <cellStyle name="Normal 14 2 26" xfId="25823"/>
    <cellStyle name="Normal 14 2 27" xfId="25824"/>
    <cellStyle name="Normal 14 2 28" xfId="25825"/>
    <cellStyle name="Normal 14 2 29" xfId="25826"/>
    <cellStyle name="Normal 14 2 3" xfId="1373"/>
    <cellStyle name="Normal 14 2 3 2" xfId="25827"/>
    <cellStyle name="Normal 14 2 30" xfId="25828"/>
    <cellStyle name="Normal 14 2 31" xfId="25829"/>
    <cellStyle name="Normal 14 2 32" xfId="25830"/>
    <cellStyle name="Normal 14 2 33" xfId="25831"/>
    <cellStyle name="Normal 14 2 34" xfId="25832"/>
    <cellStyle name="Normal 14 2 35" xfId="25833"/>
    <cellStyle name="Normal 14 2 36" xfId="25834"/>
    <cellStyle name="Normal 14 2 37" xfId="25835"/>
    <cellStyle name="Normal 14 2 38" xfId="25836"/>
    <cellStyle name="Normal 14 2 39" xfId="25837"/>
    <cellStyle name="Normal 14 2 4" xfId="2016"/>
    <cellStyle name="Normal 14 2 4 2" xfId="25838"/>
    <cellStyle name="Normal 14 2 40" xfId="25839"/>
    <cellStyle name="Normal 14 2 41" xfId="25840"/>
    <cellStyle name="Normal 14 2 42" xfId="25841"/>
    <cellStyle name="Normal 14 2 43" xfId="25842"/>
    <cellStyle name="Normal 14 2 44" xfId="25843"/>
    <cellStyle name="Normal 14 2 45" xfId="25844"/>
    <cellStyle name="Normal 14 2 46" xfId="25845"/>
    <cellStyle name="Normal 14 2 5" xfId="25846"/>
    <cellStyle name="Normal 14 2 6" xfId="25847"/>
    <cellStyle name="Normal 14 2 7" xfId="25848"/>
    <cellStyle name="Normal 14 2 8" xfId="25849"/>
    <cellStyle name="Normal 14 2 9" xfId="25850"/>
    <cellStyle name="Normal 14 20" xfId="25851"/>
    <cellStyle name="Normal 14 20 2" xfId="25852"/>
    <cellStyle name="Normal 14 21" xfId="25853"/>
    <cellStyle name="Normal 14 21 2" xfId="25854"/>
    <cellStyle name="Normal 14 22" xfId="25855"/>
    <cellStyle name="Normal 14 22 2" xfId="25856"/>
    <cellStyle name="Normal 14 23" xfId="25857"/>
    <cellStyle name="Normal 14 23 2" xfId="25858"/>
    <cellStyle name="Normal 14 24" xfId="25859"/>
    <cellStyle name="Normal 14 24 2" xfId="25860"/>
    <cellStyle name="Normal 14 25" xfId="25861"/>
    <cellStyle name="Normal 14 25 2" xfId="25862"/>
    <cellStyle name="Normal 14 26" xfId="25863"/>
    <cellStyle name="Normal 14 26 2" xfId="25864"/>
    <cellStyle name="Normal 14 27" xfId="25865"/>
    <cellStyle name="Normal 14 27 2" xfId="25866"/>
    <cellStyle name="Normal 14 28" xfId="25867"/>
    <cellStyle name="Normal 14 28 2" xfId="25868"/>
    <cellStyle name="Normal 14 29" xfId="25869"/>
    <cellStyle name="Normal 14 29 2" xfId="25870"/>
    <cellStyle name="Normal 14 3" xfId="1279"/>
    <cellStyle name="Normal 14 3 10" xfId="25871"/>
    <cellStyle name="Normal 14 3 11" xfId="25872"/>
    <cellStyle name="Normal 14 3 12" xfId="25873"/>
    <cellStyle name="Normal 14 3 13" xfId="25874"/>
    <cellStyle name="Normal 14 3 14" xfId="25875"/>
    <cellStyle name="Normal 14 3 15" xfId="25876"/>
    <cellStyle name="Normal 14 3 16" xfId="25877"/>
    <cellStyle name="Normal 14 3 17" xfId="25878"/>
    <cellStyle name="Normal 14 3 18" xfId="25879"/>
    <cellStyle name="Normal 14 3 19" xfId="25880"/>
    <cellStyle name="Normal 14 3 2" xfId="1914"/>
    <cellStyle name="Normal 14 3 2 2" xfId="25881"/>
    <cellStyle name="Normal 14 3 20" xfId="25882"/>
    <cellStyle name="Normal 14 3 21" xfId="25883"/>
    <cellStyle name="Normal 14 3 22" xfId="25884"/>
    <cellStyle name="Normal 14 3 23" xfId="25885"/>
    <cellStyle name="Normal 14 3 24" xfId="25886"/>
    <cellStyle name="Normal 14 3 25" xfId="25887"/>
    <cellStyle name="Normal 14 3 26" xfId="25888"/>
    <cellStyle name="Normal 14 3 27" xfId="25889"/>
    <cellStyle name="Normal 14 3 28" xfId="25890"/>
    <cellStyle name="Normal 14 3 29" xfId="25891"/>
    <cellStyle name="Normal 14 3 3" xfId="25892"/>
    <cellStyle name="Normal 14 3 30" xfId="25893"/>
    <cellStyle name="Normal 14 3 31" xfId="25894"/>
    <cellStyle name="Normal 14 3 32" xfId="25895"/>
    <cellStyle name="Normal 14 3 33" xfId="25896"/>
    <cellStyle name="Normal 14 3 34" xfId="25897"/>
    <cellStyle name="Normal 14 3 35" xfId="25898"/>
    <cellStyle name="Normal 14 3 36" xfId="25899"/>
    <cellStyle name="Normal 14 3 37" xfId="25900"/>
    <cellStyle name="Normal 14 3 38" xfId="25901"/>
    <cellStyle name="Normal 14 3 39" xfId="25902"/>
    <cellStyle name="Normal 14 3 4" xfId="25903"/>
    <cellStyle name="Normal 14 3 40" xfId="25904"/>
    <cellStyle name="Normal 14 3 41" xfId="25905"/>
    <cellStyle name="Normal 14 3 42" xfId="25906"/>
    <cellStyle name="Normal 14 3 43" xfId="25907"/>
    <cellStyle name="Normal 14 3 44" xfId="25908"/>
    <cellStyle name="Normal 14 3 45" xfId="25909"/>
    <cellStyle name="Normal 14 3 46" xfId="25910"/>
    <cellStyle name="Normal 14 3 5" xfId="25911"/>
    <cellStyle name="Normal 14 3 6" xfId="25912"/>
    <cellStyle name="Normal 14 3 7" xfId="25913"/>
    <cellStyle name="Normal 14 3 8" xfId="25914"/>
    <cellStyle name="Normal 14 3 9" xfId="25915"/>
    <cellStyle name="Normal 14 30" xfId="25916"/>
    <cellStyle name="Normal 14 30 2" xfId="25917"/>
    <cellStyle name="Normal 14 31" xfId="25918"/>
    <cellStyle name="Normal 14 31 2" xfId="25919"/>
    <cellStyle name="Normal 14 32" xfId="25920"/>
    <cellStyle name="Normal 14 32 2" xfId="25921"/>
    <cellStyle name="Normal 14 33" xfId="25922"/>
    <cellStyle name="Normal 14 33 2" xfId="25923"/>
    <cellStyle name="Normal 14 34" xfId="25924"/>
    <cellStyle name="Normal 14 34 2" xfId="25925"/>
    <cellStyle name="Normal 14 35" xfId="25926"/>
    <cellStyle name="Normal 14 35 2" xfId="25927"/>
    <cellStyle name="Normal 14 36" xfId="25928"/>
    <cellStyle name="Normal 14 36 2" xfId="25929"/>
    <cellStyle name="Normal 14 37" xfId="25930"/>
    <cellStyle name="Normal 14 37 2" xfId="25931"/>
    <cellStyle name="Normal 14 38" xfId="25932"/>
    <cellStyle name="Normal 14 38 2" xfId="25933"/>
    <cellStyle name="Normal 14 39" xfId="25934"/>
    <cellStyle name="Normal 14 39 2" xfId="25935"/>
    <cellStyle name="Normal 14 4" xfId="1784"/>
    <cellStyle name="Normal 14 4 10" xfId="25936"/>
    <cellStyle name="Normal 14 4 11" xfId="25937"/>
    <cellStyle name="Normal 14 4 12" xfId="25938"/>
    <cellStyle name="Normal 14 4 13" xfId="25939"/>
    <cellStyle name="Normal 14 4 14" xfId="25940"/>
    <cellStyle name="Normal 14 4 15" xfId="25941"/>
    <cellStyle name="Normal 14 4 16" xfId="25942"/>
    <cellStyle name="Normal 14 4 17" xfId="25943"/>
    <cellStyle name="Normal 14 4 18" xfId="25944"/>
    <cellStyle name="Normal 14 4 19" xfId="25945"/>
    <cellStyle name="Normal 14 4 2" xfId="25946"/>
    <cellStyle name="Normal 14 4 20" xfId="25947"/>
    <cellStyle name="Normal 14 4 21" xfId="25948"/>
    <cellStyle name="Normal 14 4 22" xfId="25949"/>
    <cellStyle name="Normal 14 4 23" xfId="25950"/>
    <cellStyle name="Normal 14 4 24" xfId="25951"/>
    <cellStyle name="Normal 14 4 25" xfId="25952"/>
    <cellStyle name="Normal 14 4 26" xfId="25953"/>
    <cellStyle name="Normal 14 4 27" xfId="25954"/>
    <cellStyle name="Normal 14 4 28" xfId="25955"/>
    <cellStyle name="Normal 14 4 29" xfId="25956"/>
    <cellStyle name="Normal 14 4 3" xfId="25957"/>
    <cellStyle name="Normal 14 4 30" xfId="25958"/>
    <cellStyle name="Normal 14 4 31" xfId="25959"/>
    <cellStyle name="Normal 14 4 32" xfId="25960"/>
    <cellStyle name="Normal 14 4 33" xfId="25961"/>
    <cellStyle name="Normal 14 4 34" xfId="25962"/>
    <cellStyle name="Normal 14 4 35" xfId="25963"/>
    <cellStyle name="Normal 14 4 36" xfId="25964"/>
    <cellStyle name="Normal 14 4 37" xfId="25965"/>
    <cellStyle name="Normal 14 4 38" xfId="25966"/>
    <cellStyle name="Normal 14 4 39" xfId="25967"/>
    <cellStyle name="Normal 14 4 4" xfId="25968"/>
    <cellStyle name="Normal 14 4 40" xfId="25969"/>
    <cellStyle name="Normal 14 4 41" xfId="25970"/>
    <cellStyle name="Normal 14 4 42" xfId="25971"/>
    <cellStyle name="Normal 14 4 43" xfId="25972"/>
    <cellStyle name="Normal 14 4 44" xfId="25973"/>
    <cellStyle name="Normal 14 4 45" xfId="25974"/>
    <cellStyle name="Normal 14 4 46" xfId="25975"/>
    <cellStyle name="Normal 14 4 5" xfId="25976"/>
    <cellStyle name="Normal 14 4 6" xfId="25977"/>
    <cellStyle name="Normal 14 4 7" xfId="25978"/>
    <cellStyle name="Normal 14 4 8" xfId="25979"/>
    <cellStyle name="Normal 14 4 9" xfId="25980"/>
    <cellStyle name="Normal 14 40" xfId="25981"/>
    <cellStyle name="Normal 14 40 2" xfId="25982"/>
    <cellStyle name="Normal 14 41" xfId="25983"/>
    <cellStyle name="Normal 14 41 2" xfId="25984"/>
    <cellStyle name="Normal 14 42" xfId="25985"/>
    <cellStyle name="Normal 14 42 2" xfId="25986"/>
    <cellStyle name="Normal 14 43" xfId="25987"/>
    <cellStyle name="Normal 14 43 2" xfId="25988"/>
    <cellStyle name="Normal 14 44" xfId="25989"/>
    <cellStyle name="Normal 14 44 2" xfId="25990"/>
    <cellStyle name="Normal 14 45" xfId="25991"/>
    <cellStyle name="Normal 14 45 2" xfId="25992"/>
    <cellStyle name="Normal 14 46" xfId="25993"/>
    <cellStyle name="Normal 14 46 2" xfId="25994"/>
    <cellStyle name="Normal 14 47" xfId="25995"/>
    <cellStyle name="Normal 14 47 2" xfId="25996"/>
    <cellStyle name="Normal 14 48" xfId="25997"/>
    <cellStyle name="Normal 14 48 2" xfId="25998"/>
    <cellStyle name="Normal 14 49" xfId="25999"/>
    <cellStyle name="Normal 14 5" xfId="1823"/>
    <cellStyle name="Normal 14 5 10" xfId="26000"/>
    <cellStyle name="Normal 14 5 11" xfId="26001"/>
    <cellStyle name="Normal 14 5 12" xfId="26002"/>
    <cellStyle name="Normal 14 5 13" xfId="26003"/>
    <cellStyle name="Normal 14 5 14" xfId="26004"/>
    <cellStyle name="Normal 14 5 15" xfId="26005"/>
    <cellStyle name="Normal 14 5 16" xfId="26006"/>
    <cellStyle name="Normal 14 5 17" xfId="26007"/>
    <cellStyle name="Normal 14 5 18" xfId="26008"/>
    <cellStyle name="Normal 14 5 19" xfId="26009"/>
    <cellStyle name="Normal 14 5 2" xfId="26010"/>
    <cellStyle name="Normal 14 5 20" xfId="26011"/>
    <cellStyle name="Normal 14 5 21" xfId="26012"/>
    <cellStyle name="Normal 14 5 22" xfId="26013"/>
    <cellStyle name="Normal 14 5 23" xfId="26014"/>
    <cellStyle name="Normal 14 5 24" xfId="26015"/>
    <cellStyle name="Normal 14 5 25" xfId="26016"/>
    <cellStyle name="Normal 14 5 26" xfId="26017"/>
    <cellStyle name="Normal 14 5 27" xfId="26018"/>
    <cellStyle name="Normal 14 5 28" xfId="26019"/>
    <cellStyle name="Normal 14 5 29" xfId="26020"/>
    <cellStyle name="Normal 14 5 3" xfId="26021"/>
    <cellStyle name="Normal 14 5 30" xfId="26022"/>
    <cellStyle name="Normal 14 5 31" xfId="26023"/>
    <cellStyle name="Normal 14 5 32" xfId="26024"/>
    <cellStyle name="Normal 14 5 33" xfId="26025"/>
    <cellStyle name="Normal 14 5 34" xfId="26026"/>
    <cellStyle name="Normal 14 5 35" xfId="26027"/>
    <cellStyle name="Normal 14 5 36" xfId="26028"/>
    <cellStyle name="Normal 14 5 37" xfId="26029"/>
    <cellStyle name="Normal 14 5 38" xfId="26030"/>
    <cellStyle name="Normal 14 5 39" xfId="26031"/>
    <cellStyle name="Normal 14 5 4" xfId="26032"/>
    <cellStyle name="Normal 14 5 40" xfId="26033"/>
    <cellStyle name="Normal 14 5 41" xfId="26034"/>
    <cellStyle name="Normal 14 5 42" xfId="26035"/>
    <cellStyle name="Normal 14 5 43" xfId="26036"/>
    <cellStyle name="Normal 14 5 44" xfId="26037"/>
    <cellStyle name="Normal 14 5 45" xfId="26038"/>
    <cellStyle name="Normal 14 5 46" xfId="26039"/>
    <cellStyle name="Normal 14 5 5" xfId="26040"/>
    <cellStyle name="Normal 14 5 6" xfId="26041"/>
    <cellStyle name="Normal 14 5 7" xfId="26042"/>
    <cellStyle name="Normal 14 5 8" xfId="26043"/>
    <cellStyle name="Normal 14 5 9" xfId="26044"/>
    <cellStyle name="Normal 14 50" xfId="26045"/>
    <cellStyle name="Normal 14 51" xfId="26046"/>
    <cellStyle name="Normal 14 52" xfId="26047"/>
    <cellStyle name="Normal 14 53" xfId="26048"/>
    <cellStyle name="Normal 14 54" xfId="26049"/>
    <cellStyle name="Normal 14 55" xfId="26050"/>
    <cellStyle name="Normal 14 56" xfId="26051"/>
    <cellStyle name="Normal 14 57" xfId="26052"/>
    <cellStyle name="Normal 14 58" xfId="26053"/>
    <cellStyle name="Normal 14 59" xfId="26054"/>
    <cellStyle name="Normal 14 6" xfId="26055"/>
    <cellStyle name="Normal 14 6 2" xfId="26056"/>
    <cellStyle name="Normal 14 60" xfId="26057"/>
    <cellStyle name="Normal 14 61" xfId="26058"/>
    <cellStyle name="Normal 14 62" xfId="26059"/>
    <cellStyle name="Normal 14 63" xfId="26060"/>
    <cellStyle name="Normal 14 64" xfId="26061"/>
    <cellStyle name="Normal 14 65" xfId="26062"/>
    <cellStyle name="Normal 14 66" xfId="26063"/>
    <cellStyle name="Normal 14 67" xfId="26064"/>
    <cellStyle name="Normal 14 68" xfId="26065"/>
    <cellStyle name="Normal 14 69" xfId="26066"/>
    <cellStyle name="Normal 14 7" xfId="26067"/>
    <cellStyle name="Normal 14 7 2" xfId="26068"/>
    <cellStyle name="Normal 14 70" xfId="26069"/>
    <cellStyle name="Normal 14 71" xfId="26070"/>
    <cellStyle name="Normal 14 72" xfId="26071"/>
    <cellStyle name="Normal 14 73" xfId="26072"/>
    <cellStyle name="Normal 14 74" xfId="26073"/>
    <cellStyle name="Normal 14 75" xfId="26074"/>
    <cellStyle name="Normal 14 76" xfId="26075"/>
    <cellStyle name="Normal 14 77" xfId="26076"/>
    <cellStyle name="Normal 14 78" xfId="26077"/>
    <cellStyle name="Normal 14 79" xfId="26078"/>
    <cellStyle name="Normal 14 8" xfId="26079"/>
    <cellStyle name="Normal 14 8 2" xfId="26080"/>
    <cellStyle name="Normal 14 80" xfId="26081"/>
    <cellStyle name="Normal 14 81" xfId="26082"/>
    <cellStyle name="Normal 14 82" xfId="26083"/>
    <cellStyle name="Normal 14 83" xfId="26084"/>
    <cellStyle name="Normal 14 84" xfId="26085"/>
    <cellStyle name="Normal 14 85" xfId="26086"/>
    <cellStyle name="Normal 14 86" xfId="26087"/>
    <cellStyle name="Normal 14 87" xfId="26088"/>
    <cellStyle name="Normal 14 88" xfId="26089"/>
    <cellStyle name="Normal 14 89" xfId="26090"/>
    <cellStyle name="Normal 14 9" xfId="26091"/>
    <cellStyle name="Normal 14 9 2" xfId="26092"/>
    <cellStyle name="Normal 14 90" xfId="26093"/>
    <cellStyle name="Normal 14 91" xfId="26094"/>
    <cellStyle name="Normal 14 92" xfId="26095"/>
    <cellStyle name="Normal 14 93" xfId="26096"/>
    <cellStyle name="Normal 14 94" xfId="26097"/>
    <cellStyle name="Normal 14 95" xfId="26098"/>
    <cellStyle name="Normal 14 96" xfId="26099"/>
    <cellStyle name="Normal 14 97" xfId="26100"/>
    <cellStyle name="Normal 14 98" xfId="26101"/>
    <cellStyle name="Normal 14 99" xfId="26102"/>
    <cellStyle name="Normal 140" xfId="704"/>
    <cellStyle name="Normal 140 2" xfId="749"/>
    <cellStyle name="Normal 140 3" xfId="26103"/>
    <cellStyle name="Normal 141" xfId="705"/>
    <cellStyle name="Normal 141 2" xfId="722"/>
    <cellStyle name="Normal 141 3" xfId="26104"/>
    <cellStyle name="Normal 142" xfId="706"/>
    <cellStyle name="Normal 142 2" xfId="743"/>
    <cellStyle name="Normal 142 3" xfId="26105"/>
    <cellStyle name="Normal 143" xfId="707"/>
    <cellStyle name="Normal 143 2" xfId="724"/>
    <cellStyle name="Normal 143 3" xfId="26106"/>
    <cellStyle name="Normal 144" xfId="708"/>
    <cellStyle name="Normal 144 2" xfId="740"/>
    <cellStyle name="Normal 144 3" xfId="26107"/>
    <cellStyle name="Normal 145" xfId="751"/>
    <cellStyle name="Normal 145 2" xfId="26108"/>
    <cellStyle name="Normal 146" xfId="746"/>
    <cellStyle name="Normal 146 2" xfId="26109"/>
    <cellStyle name="Normal 147" xfId="727"/>
    <cellStyle name="Normal 147 2" xfId="26110"/>
    <cellStyle name="Normal 148" xfId="744"/>
    <cellStyle name="Normal 148 2" xfId="26111"/>
    <cellStyle name="Normal 149" xfId="759"/>
    <cellStyle name="Normal 149 2" xfId="26112"/>
    <cellStyle name="Normal 15" xfId="365"/>
    <cellStyle name="Normal 15 10" xfId="26113"/>
    <cellStyle name="Normal 15 10 2" xfId="26114"/>
    <cellStyle name="Normal 15 100" xfId="26115"/>
    <cellStyle name="Normal 15 101" xfId="26116"/>
    <cellStyle name="Normal 15 102" xfId="26117"/>
    <cellStyle name="Normal 15 103" xfId="26118"/>
    <cellStyle name="Normal 15 104" xfId="26119"/>
    <cellStyle name="Normal 15 105" xfId="26120"/>
    <cellStyle name="Normal 15 106" xfId="26121"/>
    <cellStyle name="Normal 15 107" xfId="26122"/>
    <cellStyle name="Normal 15 108" xfId="26123"/>
    <cellStyle name="Normal 15 109" xfId="26124"/>
    <cellStyle name="Normal 15 11" xfId="26125"/>
    <cellStyle name="Normal 15 11 2" xfId="26126"/>
    <cellStyle name="Normal 15 110" xfId="26127"/>
    <cellStyle name="Normal 15 111" xfId="26128"/>
    <cellStyle name="Normal 15 112" xfId="26129"/>
    <cellStyle name="Normal 15 113" xfId="26130"/>
    <cellStyle name="Normal 15 114" xfId="26131"/>
    <cellStyle name="Normal 15 12" xfId="26132"/>
    <cellStyle name="Normal 15 12 2" xfId="26133"/>
    <cellStyle name="Normal 15 13" xfId="26134"/>
    <cellStyle name="Normal 15 13 2" xfId="26135"/>
    <cellStyle name="Normal 15 14" xfId="26136"/>
    <cellStyle name="Normal 15 14 2" xfId="26137"/>
    <cellStyle name="Normal 15 15" xfId="26138"/>
    <cellStyle name="Normal 15 15 2" xfId="26139"/>
    <cellStyle name="Normal 15 16" xfId="26140"/>
    <cellStyle name="Normal 15 16 2" xfId="26141"/>
    <cellStyle name="Normal 15 17" xfId="26142"/>
    <cellStyle name="Normal 15 17 2" xfId="26143"/>
    <cellStyle name="Normal 15 18" xfId="26144"/>
    <cellStyle name="Normal 15 18 2" xfId="26145"/>
    <cellStyle name="Normal 15 19" xfId="26146"/>
    <cellStyle name="Normal 15 19 2" xfId="26147"/>
    <cellStyle name="Normal 15 2" xfId="423"/>
    <cellStyle name="Normal 15 2 10" xfId="26148"/>
    <cellStyle name="Normal 15 2 11" xfId="26149"/>
    <cellStyle name="Normal 15 2 12" xfId="26150"/>
    <cellStyle name="Normal 15 2 13" xfId="26151"/>
    <cellStyle name="Normal 15 2 14" xfId="26152"/>
    <cellStyle name="Normal 15 2 15" xfId="26153"/>
    <cellStyle name="Normal 15 2 16" xfId="26154"/>
    <cellStyle name="Normal 15 2 17" xfId="26155"/>
    <cellStyle name="Normal 15 2 18" xfId="26156"/>
    <cellStyle name="Normal 15 2 19" xfId="26157"/>
    <cellStyle name="Normal 15 2 2" xfId="974"/>
    <cellStyle name="Normal 15 2 2 2" xfId="26158"/>
    <cellStyle name="Normal 15 2 20" xfId="26159"/>
    <cellStyle name="Normal 15 2 21" xfId="26160"/>
    <cellStyle name="Normal 15 2 22" xfId="26161"/>
    <cellStyle name="Normal 15 2 23" xfId="26162"/>
    <cellStyle name="Normal 15 2 24" xfId="26163"/>
    <cellStyle name="Normal 15 2 25" xfId="26164"/>
    <cellStyle name="Normal 15 2 26" xfId="26165"/>
    <cellStyle name="Normal 15 2 27" xfId="26166"/>
    <cellStyle name="Normal 15 2 28" xfId="26167"/>
    <cellStyle name="Normal 15 2 29" xfId="26168"/>
    <cellStyle name="Normal 15 2 3" xfId="1374"/>
    <cellStyle name="Normal 15 2 3 2" xfId="26169"/>
    <cellStyle name="Normal 15 2 30" xfId="26170"/>
    <cellStyle name="Normal 15 2 31" xfId="26171"/>
    <cellStyle name="Normal 15 2 32" xfId="26172"/>
    <cellStyle name="Normal 15 2 33" xfId="26173"/>
    <cellStyle name="Normal 15 2 34" xfId="26174"/>
    <cellStyle name="Normal 15 2 35" xfId="26175"/>
    <cellStyle name="Normal 15 2 36" xfId="26176"/>
    <cellStyle name="Normal 15 2 37" xfId="26177"/>
    <cellStyle name="Normal 15 2 38" xfId="26178"/>
    <cellStyle name="Normal 15 2 39" xfId="26179"/>
    <cellStyle name="Normal 15 2 4" xfId="2017"/>
    <cellStyle name="Normal 15 2 4 2" xfId="26180"/>
    <cellStyle name="Normal 15 2 40" xfId="26181"/>
    <cellStyle name="Normal 15 2 41" xfId="26182"/>
    <cellStyle name="Normal 15 2 42" xfId="26183"/>
    <cellStyle name="Normal 15 2 43" xfId="26184"/>
    <cellStyle name="Normal 15 2 44" xfId="26185"/>
    <cellStyle name="Normal 15 2 45" xfId="26186"/>
    <cellStyle name="Normal 15 2 46" xfId="26187"/>
    <cellStyle name="Normal 15 2 5" xfId="26188"/>
    <cellStyle name="Normal 15 2 6" xfId="26189"/>
    <cellStyle name="Normal 15 2 7" xfId="26190"/>
    <cellStyle name="Normal 15 2 8" xfId="26191"/>
    <cellStyle name="Normal 15 2 9" xfId="26192"/>
    <cellStyle name="Normal 15 20" xfId="26193"/>
    <cellStyle name="Normal 15 20 2" xfId="26194"/>
    <cellStyle name="Normal 15 21" xfId="26195"/>
    <cellStyle name="Normal 15 21 2" xfId="26196"/>
    <cellStyle name="Normal 15 22" xfId="26197"/>
    <cellStyle name="Normal 15 22 2" xfId="26198"/>
    <cellStyle name="Normal 15 23" xfId="26199"/>
    <cellStyle name="Normal 15 23 2" xfId="26200"/>
    <cellStyle name="Normal 15 24" xfId="26201"/>
    <cellStyle name="Normal 15 24 2" xfId="26202"/>
    <cellStyle name="Normal 15 25" xfId="26203"/>
    <cellStyle name="Normal 15 25 2" xfId="26204"/>
    <cellStyle name="Normal 15 26" xfId="26205"/>
    <cellStyle name="Normal 15 26 2" xfId="26206"/>
    <cellStyle name="Normal 15 27" xfId="26207"/>
    <cellStyle name="Normal 15 27 2" xfId="26208"/>
    <cellStyle name="Normal 15 28" xfId="26209"/>
    <cellStyle name="Normal 15 28 2" xfId="26210"/>
    <cellStyle name="Normal 15 29" xfId="26211"/>
    <cellStyle name="Normal 15 29 2" xfId="26212"/>
    <cellStyle name="Normal 15 3" xfId="1244"/>
    <cellStyle name="Normal 15 3 10" xfId="26213"/>
    <cellStyle name="Normal 15 3 11" xfId="26214"/>
    <cellStyle name="Normal 15 3 12" xfId="26215"/>
    <cellStyle name="Normal 15 3 13" xfId="26216"/>
    <cellStyle name="Normal 15 3 14" xfId="26217"/>
    <cellStyle name="Normal 15 3 15" xfId="26218"/>
    <cellStyle name="Normal 15 3 16" xfId="26219"/>
    <cellStyle name="Normal 15 3 17" xfId="26220"/>
    <cellStyle name="Normal 15 3 18" xfId="26221"/>
    <cellStyle name="Normal 15 3 19" xfId="26222"/>
    <cellStyle name="Normal 15 3 2" xfId="2064"/>
    <cellStyle name="Normal 15 3 2 2" xfId="26223"/>
    <cellStyle name="Normal 15 3 20" xfId="26224"/>
    <cellStyle name="Normal 15 3 21" xfId="26225"/>
    <cellStyle name="Normal 15 3 22" xfId="26226"/>
    <cellStyle name="Normal 15 3 23" xfId="26227"/>
    <cellStyle name="Normal 15 3 24" xfId="26228"/>
    <cellStyle name="Normal 15 3 25" xfId="26229"/>
    <cellStyle name="Normal 15 3 26" xfId="26230"/>
    <cellStyle name="Normal 15 3 27" xfId="26231"/>
    <cellStyle name="Normal 15 3 28" xfId="26232"/>
    <cellStyle name="Normal 15 3 29" xfId="26233"/>
    <cellStyle name="Normal 15 3 3" xfId="26234"/>
    <cellStyle name="Normal 15 3 30" xfId="26235"/>
    <cellStyle name="Normal 15 3 31" xfId="26236"/>
    <cellStyle name="Normal 15 3 32" xfId="26237"/>
    <cellStyle name="Normal 15 3 33" xfId="26238"/>
    <cellStyle name="Normal 15 3 34" xfId="26239"/>
    <cellStyle name="Normal 15 3 35" xfId="26240"/>
    <cellStyle name="Normal 15 3 36" xfId="26241"/>
    <cellStyle name="Normal 15 3 37" xfId="26242"/>
    <cellStyle name="Normal 15 3 38" xfId="26243"/>
    <cellStyle name="Normal 15 3 39" xfId="26244"/>
    <cellStyle name="Normal 15 3 4" xfId="26245"/>
    <cellStyle name="Normal 15 3 40" xfId="26246"/>
    <cellStyle name="Normal 15 3 41" xfId="26247"/>
    <cellStyle name="Normal 15 3 42" xfId="26248"/>
    <cellStyle name="Normal 15 3 43" xfId="26249"/>
    <cellStyle name="Normal 15 3 44" xfId="26250"/>
    <cellStyle name="Normal 15 3 45" xfId="26251"/>
    <cellStyle name="Normal 15 3 46" xfId="26252"/>
    <cellStyle name="Normal 15 3 5" xfId="26253"/>
    <cellStyle name="Normal 15 3 6" xfId="26254"/>
    <cellStyle name="Normal 15 3 7" xfId="26255"/>
    <cellStyle name="Normal 15 3 8" xfId="26256"/>
    <cellStyle name="Normal 15 3 9" xfId="26257"/>
    <cellStyle name="Normal 15 30" xfId="26258"/>
    <cellStyle name="Normal 15 30 2" xfId="26259"/>
    <cellStyle name="Normal 15 31" xfId="26260"/>
    <cellStyle name="Normal 15 31 2" xfId="26261"/>
    <cellStyle name="Normal 15 32" xfId="26262"/>
    <cellStyle name="Normal 15 32 2" xfId="26263"/>
    <cellStyle name="Normal 15 33" xfId="26264"/>
    <cellStyle name="Normal 15 33 2" xfId="26265"/>
    <cellStyle name="Normal 15 34" xfId="26266"/>
    <cellStyle name="Normal 15 34 2" xfId="26267"/>
    <cellStyle name="Normal 15 35" xfId="26268"/>
    <cellStyle name="Normal 15 35 2" xfId="26269"/>
    <cellStyle name="Normal 15 36" xfId="26270"/>
    <cellStyle name="Normal 15 36 2" xfId="26271"/>
    <cellStyle name="Normal 15 37" xfId="26272"/>
    <cellStyle name="Normal 15 37 2" xfId="26273"/>
    <cellStyle name="Normal 15 38" xfId="26274"/>
    <cellStyle name="Normal 15 38 2" xfId="26275"/>
    <cellStyle name="Normal 15 39" xfId="26276"/>
    <cellStyle name="Normal 15 39 2" xfId="26277"/>
    <cellStyle name="Normal 15 4" xfId="1785"/>
    <cellStyle name="Normal 15 4 10" xfId="26278"/>
    <cellStyle name="Normal 15 4 11" xfId="26279"/>
    <cellStyle name="Normal 15 4 12" xfId="26280"/>
    <cellStyle name="Normal 15 4 13" xfId="26281"/>
    <cellStyle name="Normal 15 4 14" xfId="26282"/>
    <cellStyle name="Normal 15 4 15" xfId="26283"/>
    <cellStyle name="Normal 15 4 16" xfId="26284"/>
    <cellStyle name="Normal 15 4 17" xfId="26285"/>
    <cellStyle name="Normal 15 4 18" xfId="26286"/>
    <cellStyle name="Normal 15 4 19" xfId="26287"/>
    <cellStyle name="Normal 15 4 2" xfId="26288"/>
    <cellStyle name="Normal 15 4 20" xfId="26289"/>
    <cellStyle name="Normal 15 4 21" xfId="26290"/>
    <cellStyle name="Normal 15 4 22" xfId="26291"/>
    <cellStyle name="Normal 15 4 23" xfId="26292"/>
    <cellStyle name="Normal 15 4 24" xfId="26293"/>
    <cellStyle name="Normal 15 4 25" xfId="26294"/>
    <cellStyle name="Normal 15 4 26" xfId="26295"/>
    <cellStyle name="Normal 15 4 27" xfId="26296"/>
    <cellStyle name="Normal 15 4 28" xfId="26297"/>
    <cellStyle name="Normal 15 4 29" xfId="26298"/>
    <cellStyle name="Normal 15 4 3" xfId="26299"/>
    <cellStyle name="Normal 15 4 30" xfId="26300"/>
    <cellStyle name="Normal 15 4 31" xfId="26301"/>
    <cellStyle name="Normal 15 4 32" xfId="26302"/>
    <cellStyle name="Normal 15 4 33" xfId="26303"/>
    <cellStyle name="Normal 15 4 34" xfId="26304"/>
    <cellStyle name="Normal 15 4 35" xfId="26305"/>
    <cellStyle name="Normal 15 4 36" xfId="26306"/>
    <cellStyle name="Normal 15 4 37" xfId="26307"/>
    <cellStyle name="Normal 15 4 38" xfId="26308"/>
    <cellStyle name="Normal 15 4 39" xfId="26309"/>
    <cellStyle name="Normal 15 4 4" xfId="26310"/>
    <cellStyle name="Normal 15 4 40" xfId="26311"/>
    <cellStyle name="Normal 15 4 41" xfId="26312"/>
    <cellStyle name="Normal 15 4 42" xfId="26313"/>
    <cellStyle name="Normal 15 4 43" xfId="26314"/>
    <cellStyle name="Normal 15 4 44" xfId="26315"/>
    <cellStyle name="Normal 15 4 45" xfId="26316"/>
    <cellStyle name="Normal 15 4 46" xfId="26317"/>
    <cellStyle name="Normal 15 4 5" xfId="26318"/>
    <cellStyle name="Normal 15 4 6" xfId="26319"/>
    <cellStyle name="Normal 15 4 7" xfId="26320"/>
    <cellStyle name="Normal 15 4 8" xfId="26321"/>
    <cellStyle name="Normal 15 4 9" xfId="26322"/>
    <cellStyle name="Normal 15 40" xfId="26323"/>
    <cellStyle name="Normal 15 40 2" xfId="26324"/>
    <cellStyle name="Normal 15 41" xfId="26325"/>
    <cellStyle name="Normal 15 41 2" xfId="26326"/>
    <cellStyle name="Normal 15 42" xfId="26327"/>
    <cellStyle name="Normal 15 42 2" xfId="26328"/>
    <cellStyle name="Normal 15 43" xfId="26329"/>
    <cellStyle name="Normal 15 43 2" xfId="26330"/>
    <cellStyle name="Normal 15 44" xfId="26331"/>
    <cellStyle name="Normal 15 44 2" xfId="26332"/>
    <cellStyle name="Normal 15 45" xfId="26333"/>
    <cellStyle name="Normal 15 45 2" xfId="26334"/>
    <cellStyle name="Normal 15 46" xfId="26335"/>
    <cellStyle name="Normal 15 46 2" xfId="26336"/>
    <cellStyle name="Normal 15 47" xfId="26337"/>
    <cellStyle name="Normal 15 47 2" xfId="26338"/>
    <cellStyle name="Normal 15 48" xfId="26339"/>
    <cellStyle name="Normal 15 48 2" xfId="26340"/>
    <cellStyle name="Normal 15 49" xfId="26341"/>
    <cellStyle name="Normal 15 5" xfId="1824"/>
    <cellStyle name="Normal 15 5 10" xfId="26342"/>
    <cellStyle name="Normal 15 5 11" xfId="26343"/>
    <cellStyle name="Normal 15 5 12" xfId="26344"/>
    <cellStyle name="Normal 15 5 13" xfId="26345"/>
    <cellStyle name="Normal 15 5 14" xfId="26346"/>
    <cellStyle name="Normal 15 5 15" xfId="26347"/>
    <cellStyle name="Normal 15 5 16" xfId="26348"/>
    <cellStyle name="Normal 15 5 17" xfId="26349"/>
    <cellStyle name="Normal 15 5 18" xfId="26350"/>
    <cellStyle name="Normal 15 5 19" xfId="26351"/>
    <cellStyle name="Normal 15 5 2" xfId="26352"/>
    <cellStyle name="Normal 15 5 20" xfId="26353"/>
    <cellStyle name="Normal 15 5 21" xfId="26354"/>
    <cellStyle name="Normal 15 5 22" xfId="26355"/>
    <cellStyle name="Normal 15 5 23" xfId="26356"/>
    <cellStyle name="Normal 15 5 24" xfId="26357"/>
    <cellStyle name="Normal 15 5 25" xfId="26358"/>
    <cellStyle name="Normal 15 5 26" xfId="26359"/>
    <cellStyle name="Normal 15 5 27" xfId="26360"/>
    <cellStyle name="Normal 15 5 28" xfId="26361"/>
    <cellStyle name="Normal 15 5 29" xfId="26362"/>
    <cellStyle name="Normal 15 5 3" xfId="26363"/>
    <cellStyle name="Normal 15 5 30" xfId="26364"/>
    <cellStyle name="Normal 15 5 31" xfId="26365"/>
    <cellStyle name="Normal 15 5 32" xfId="26366"/>
    <cellStyle name="Normal 15 5 33" xfId="26367"/>
    <cellStyle name="Normal 15 5 34" xfId="26368"/>
    <cellStyle name="Normal 15 5 35" xfId="26369"/>
    <cellStyle name="Normal 15 5 36" xfId="26370"/>
    <cellStyle name="Normal 15 5 37" xfId="26371"/>
    <cellStyle name="Normal 15 5 38" xfId="26372"/>
    <cellStyle name="Normal 15 5 39" xfId="26373"/>
    <cellStyle name="Normal 15 5 4" xfId="26374"/>
    <cellStyle name="Normal 15 5 40" xfId="26375"/>
    <cellStyle name="Normal 15 5 41" xfId="26376"/>
    <cellStyle name="Normal 15 5 42" xfId="26377"/>
    <cellStyle name="Normal 15 5 43" xfId="26378"/>
    <cellStyle name="Normal 15 5 44" xfId="26379"/>
    <cellStyle name="Normal 15 5 45" xfId="26380"/>
    <cellStyle name="Normal 15 5 46" xfId="26381"/>
    <cellStyle name="Normal 15 5 5" xfId="26382"/>
    <cellStyle name="Normal 15 5 6" xfId="26383"/>
    <cellStyle name="Normal 15 5 7" xfId="26384"/>
    <cellStyle name="Normal 15 5 8" xfId="26385"/>
    <cellStyle name="Normal 15 5 9" xfId="26386"/>
    <cellStyle name="Normal 15 50" xfId="26387"/>
    <cellStyle name="Normal 15 51" xfId="26388"/>
    <cellStyle name="Normal 15 52" xfId="26389"/>
    <cellStyle name="Normal 15 53" xfId="26390"/>
    <cellStyle name="Normal 15 54" xfId="26391"/>
    <cellStyle name="Normal 15 55" xfId="26392"/>
    <cellStyle name="Normal 15 56" xfId="26393"/>
    <cellStyle name="Normal 15 57" xfId="26394"/>
    <cellStyle name="Normal 15 58" xfId="26395"/>
    <cellStyle name="Normal 15 59" xfId="26396"/>
    <cellStyle name="Normal 15 6" xfId="26397"/>
    <cellStyle name="Normal 15 6 2" xfId="26398"/>
    <cellStyle name="Normal 15 60" xfId="26399"/>
    <cellStyle name="Normal 15 61" xfId="26400"/>
    <cellStyle name="Normal 15 62" xfId="26401"/>
    <cellStyle name="Normal 15 63" xfId="26402"/>
    <cellStyle name="Normal 15 64" xfId="26403"/>
    <cellStyle name="Normal 15 65" xfId="26404"/>
    <cellStyle name="Normal 15 66" xfId="26405"/>
    <cellStyle name="Normal 15 67" xfId="26406"/>
    <cellStyle name="Normal 15 68" xfId="26407"/>
    <cellStyle name="Normal 15 69" xfId="26408"/>
    <cellStyle name="Normal 15 7" xfId="26409"/>
    <cellStyle name="Normal 15 7 2" xfId="26410"/>
    <cellStyle name="Normal 15 70" xfId="26411"/>
    <cellStyle name="Normal 15 71" xfId="26412"/>
    <cellStyle name="Normal 15 72" xfId="26413"/>
    <cellStyle name="Normal 15 73" xfId="26414"/>
    <cellStyle name="Normal 15 74" xfId="26415"/>
    <cellStyle name="Normal 15 75" xfId="26416"/>
    <cellStyle name="Normal 15 76" xfId="26417"/>
    <cellStyle name="Normal 15 77" xfId="26418"/>
    <cellStyle name="Normal 15 78" xfId="26419"/>
    <cellStyle name="Normal 15 79" xfId="26420"/>
    <cellStyle name="Normal 15 8" xfId="26421"/>
    <cellStyle name="Normal 15 8 2" xfId="26422"/>
    <cellStyle name="Normal 15 80" xfId="26423"/>
    <cellStyle name="Normal 15 81" xfId="26424"/>
    <cellStyle name="Normal 15 82" xfId="26425"/>
    <cellStyle name="Normal 15 83" xfId="26426"/>
    <cellStyle name="Normal 15 84" xfId="26427"/>
    <cellStyle name="Normal 15 85" xfId="26428"/>
    <cellStyle name="Normal 15 86" xfId="26429"/>
    <cellStyle name="Normal 15 87" xfId="26430"/>
    <cellStyle name="Normal 15 88" xfId="26431"/>
    <cellStyle name="Normal 15 89" xfId="26432"/>
    <cellStyle name="Normal 15 9" xfId="26433"/>
    <cellStyle name="Normal 15 9 2" xfId="26434"/>
    <cellStyle name="Normal 15 90" xfId="26435"/>
    <cellStyle name="Normal 15 91" xfId="26436"/>
    <cellStyle name="Normal 15 92" xfId="26437"/>
    <cellStyle name="Normal 15 93" xfId="26438"/>
    <cellStyle name="Normal 15 94" xfId="26439"/>
    <cellStyle name="Normal 15 95" xfId="26440"/>
    <cellStyle name="Normal 15 96" xfId="26441"/>
    <cellStyle name="Normal 15 97" xfId="26442"/>
    <cellStyle name="Normal 15 98" xfId="26443"/>
    <cellStyle name="Normal 15 99" xfId="26444"/>
    <cellStyle name="Normal 150" xfId="760"/>
    <cellStyle name="Normal 150 2" xfId="26445"/>
    <cellStyle name="Normal 151" xfId="728"/>
    <cellStyle name="Normal 151 2" xfId="26446"/>
    <cellStyle name="Normal 152" xfId="748"/>
    <cellStyle name="Normal 152 2" xfId="26447"/>
    <cellStyle name="Normal 153" xfId="725"/>
    <cellStyle name="Normal 154" xfId="742"/>
    <cellStyle name="Normal 155" xfId="729"/>
    <cellStyle name="Normal 156" xfId="750"/>
    <cellStyle name="Normal 157" xfId="730"/>
    <cellStyle name="Normal 158" xfId="745"/>
    <cellStyle name="Normal 159" xfId="710"/>
    <cellStyle name="Normal 159 2" xfId="783"/>
    <cellStyle name="Normal 16" xfId="362"/>
    <cellStyle name="Normal 16 10" xfId="26448"/>
    <cellStyle name="Normal 16 10 2" xfId="26449"/>
    <cellStyle name="Normal 16 100" xfId="26450"/>
    <cellStyle name="Normal 16 101" xfId="26451"/>
    <cellStyle name="Normal 16 102" xfId="26452"/>
    <cellStyle name="Normal 16 103" xfId="26453"/>
    <cellStyle name="Normal 16 104" xfId="26454"/>
    <cellStyle name="Normal 16 105" xfId="26455"/>
    <cellStyle name="Normal 16 106" xfId="26456"/>
    <cellStyle name="Normal 16 107" xfId="26457"/>
    <cellStyle name="Normal 16 108" xfId="26458"/>
    <cellStyle name="Normal 16 109" xfId="26459"/>
    <cellStyle name="Normal 16 11" xfId="26460"/>
    <cellStyle name="Normal 16 11 2" xfId="26461"/>
    <cellStyle name="Normal 16 110" xfId="26462"/>
    <cellStyle name="Normal 16 111" xfId="26463"/>
    <cellStyle name="Normal 16 112" xfId="26464"/>
    <cellStyle name="Normal 16 113" xfId="26465"/>
    <cellStyle name="Normal 16 114" xfId="26466"/>
    <cellStyle name="Normal 16 12" xfId="26467"/>
    <cellStyle name="Normal 16 12 2" xfId="26468"/>
    <cellStyle name="Normal 16 13" xfId="26469"/>
    <cellStyle name="Normal 16 13 2" xfId="26470"/>
    <cellStyle name="Normal 16 14" xfId="26471"/>
    <cellStyle name="Normal 16 14 2" xfId="26472"/>
    <cellStyle name="Normal 16 15" xfId="26473"/>
    <cellStyle name="Normal 16 15 2" xfId="26474"/>
    <cellStyle name="Normal 16 16" xfId="26475"/>
    <cellStyle name="Normal 16 16 2" xfId="26476"/>
    <cellStyle name="Normal 16 17" xfId="26477"/>
    <cellStyle name="Normal 16 17 2" xfId="26478"/>
    <cellStyle name="Normal 16 18" xfId="26479"/>
    <cellStyle name="Normal 16 18 2" xfId="26480"/>
    <cellStyle name="Normal 16 19" xfId="26481"/>
    <cellStyle name="Normal 16 19 2" xfId="26482"/>
    <cellStyle name="Normal 16 2" xfId="467"/>
    <cellStyle name="Normal 16 2 10" xfId="26483"/>
    <cellStyle name="Normal 16 2 11" xfId="26484"/>
    <cellStyle name="Normal 16 2 12" xfId="26485"/>
    <cellStyle name="Normal 16 2 13" xfId="26486"/>
    <cellStyle name="Normal 16 2 14" xfId="26487"/>
    <cellStyle name="Normal 16 2 15" xfId="26488"/>
    <cellStyle name="Normal 16 2 16" xfId="26489"/>
    <cellStyle name="Normal 16 2 17" xfId="26490"/>
    <cellStyle name="Normal 16 2 18" xfId="26491"/>
    <cellStyle name="Normal 16 2 19" xfId="26492"/>
    <cellStyle name="Normal 16 2 2" xfId="975"/>
    <cellStyle name="Normal 16 2 2 2" xfId="26493"/>
    <cellStyle name="Normal 16 2 20" xfId="26494"/>
    <cellStyle name="Normal 16 2 21" xfId="26495"/>
    <cellStyle name="Normal 16 2 22" xfId="26496"/>
    <cellStyle name="Normal 16 2 23" xfId="26497"/>
    <cellStyle name="Normal 16 2 24" xfId="26498"/>
    <cellStyle name="Normal 16 2 25" xfId="26499"/>
    <cellStyle name="Normal 16 2 26" xfId="26500"/>
    <cellStyle name="Normal 16 2 27" xfId="26501"/>
    <cellStyle name="Normal 16 2 28" xfId="26502"/>
    <cellStyle name="Normal 16 2 29" xfId="26503"/>
    <cellStyle name="Normal 16 2 3" xfId="1375"/>
    <cellStyle name="Normal 16 2 3 2" xfId="26504"/>
    <cellStyle name="Normal 16 2 30" xfId="26505"/>
    <cellStyle name="Normal 16 2 31" xfId="26506"/>
    <cellStyle name="Normal 16 2 32" xfId="26507"/>
    <cellStyle name="Normal 16 2 33" xfId="26508"/>
    <cellStyle name="Normal 16 2 34" xfId="26509"/>
    <cellStyle name="Normal 16 2 35" xfId="26510"/>
    <cellStyle name="Normal 16 2 36" xfId="26511"/>
    <cellStyle name="Normal 16 2 37" xfId="26512"/>
    <cellStyle name="Normal 16 2 38" xfId="26513"/>
    <cellStyle name="Normal 16 2 39" xfId="26514"/>
    <cellStyle name="Normal 16 2 4" xfId="2018"/>
    <cellStyle name="Normal 16 2 4 2" xfId="26515"/>
    <cellStyle name="Normal 16 2 40" xfId="26516"/>
    <cellStyle name="Normal 16 2 41" xfId="26517"/>
    <cellStyle name="Normal 16 2 42" xfId="26518"/>
    <cellStyle name="Normal 16 2 43" xfId="26519"/>
    <cellStyle name="Normal 16 2 44" xfId="26520"/>
    <cellStyle name="Normal 16 2 45" xfId="26521"/>
    <cellStyle name="Normal 16 2 46" xfId="26522"/>
    <cellStyle name="Normal 16 2 5" xfId="26523"/>
    <cellStyle name="Normal 16 2 6" xfId="26524"/>
    <cellStyle name="Normal 16 2 7" xfId="26525"/>
    <cellStyle name="Normal 16 2 8" xfId="26526"/>
    <cellStyle name="Normal 16 2 9" xfId="26527"/>
    <cellStyle name="Normal 16 20" xfId="26528"/>
    <cellStyle name="Normal 16 20 2" xfId="26529"/>
    <cellStyle name="Normal 16 21" xfId="26530"/>
    <cellStyle name="Normal 16 21 2" xfId="26531"/>
    <cellStyle name="Normal 16 22" xfId="26532"/>
    <cellStyle name="Normal 16 22 2" xfId="26533"/>
    <cellStyle name="Normal 16 23" xfId="26534"/>
    <cellStyle name="Normal 16 23 2" xfId="26535"/>
    <cellStyle name="Normal 16 24" xfId="26536"/>
    <cellStyle name="Normal 16 24 2" xfId="26537"/>
    <cellStyle name="Normal 16 25" xfId="26538"/>
    <cellStyle name="Normal 16 25 2" xfId="26539"/>
    <cellStyle name="Normal 16 26" xfId="26540"/>
    <cellStyle name="Normal 16 26 2" xfId="26541"/>
    <cellStyle name="Normal 16 27" xfId="26542"/>
    <cellStyle name="Normal 16 27 2" xfId="26543"/>
    <cellStyle name="Normal 16 28" xfId="26544"/>
    <cellStyle name="Normal 16 28 2" xfId="26545"/>
    <cellStyle name="Normal 16 29" xfId="26546"/>
    <cellStyle name="Normal 16 29 2" xfId="26547"/>
    <cellStyle name="Normal 16 3" xfId="1272"/>
    <cellStyle name="Normal 16 3 10" xfId="26548"/>
    <cellStyle name="Normal 16 3 11" xfId="26549"/>
    <cellStyle name="Normal 16 3 12" xfId="26550"/>
    <cellStyle name="Normal 16 3 13" xfId="26551"/>
    <cellStyle name="Normal 16 3 14" xfId="26552"/>
    <cellStyle name="Normal 16 3 15" xfId="26553"/>
    <cellStyle name="Normal 16 3 16" xfId="26554"/>
    <cellStyle name="Normal 16 3 17" xfId="26555"/>
    <cellStyle name="Normal 16 3 18" xfId="26556"/>
    <cellStyle name="Normal 16 3 19" xfId="26557"/>
    <cellStyle name="Normal 16 3 2" xfId="1895"/>
    <cellStyle name="Normal 16 3 2 2" xfId="26558"/>
    <cellStyle name="Normal 16 3 20" xfId="26559"/>
    <cellStyle name="Normal 16 3 21" xfId="26560"/>
    <cellStyle name="Normal 16 3 22" xfId="26561"/>
    <cellStyle name="Normal 16 3 23" xfId="26562"/>
    <cellStyle name="Normal 16 3 24" xfId="26563"/>
    <cellStyle name="Normal 16 3 25" xfId="26564"/>
    <cellStyle name="Normal 16 3 26" xfId="26565"/>
    <cellStyle name="Normal 16 3 27" xfId="26566"/>
    <cellStyle name="Normal 16 3 28" xfId="26567"/>
    <cellStyle name="Normal 16 3 29" xfId="26568"/>
    <cellStyle name="Normal 16 3 3" xfId="26569"/>
    <cellStyle name="Normal 16 3 30" xfId="26570"/>
    <cellStyle name="Normal 16 3 31" xfId="26571"/>
    <cellStyle name="Normal 16 3 32" xfId="26572"/>
    <cellStyle name="Normal 16 3 33" xfId="26573"/>
    <cellStyle name="Normal 16 3 34" xfId="26574"/>
    <cellStyle name="Normal 16 3 35" xfId="26575"/>
    <cellStyle name="Normal 16 3 36" xfId="26576"/>
    <cellStyle name="Normal 16 3 37" xfId="26577"/>
    <cellStyle name="Normal 16 3 38" xfId="26578"/>
    <cellStyle name="Normal 16 3 39" xfId="26579"/>
    <cellStyle name="Normal 16 3 4" xfId="26580"/>
    <cellStyle name="Normal 16 3 40" xfId="26581"/>
    <cellStyle name="Normal 16 3 41" xfId="26582"/>
    <cellStyle name="Normal 16 3 42" xfId="26583"/>
    <cellStyle name="Normal 16 3 43" xfId="26584"/>
    <cellStyle name="Normal 16 3 44" xfId="26585"/>
    <cellStyle name="Normal 16 3 45" xfId="26586"/>
    <cellStyle name="Normal 16 3 46" xfId="26587"/>
    <cellStyle name="Normal 16 3 5" xfId="26588"/>
    <cellStyle name="Normal 16 3 6" xfId="26589"/>
    <cellStyle name="Normal 16 3 7" xfId="26590"/>
    <cellStyle name="Normal 16 3 8" xfId="26591"/>
    <cellStyle name="Normal 16 3 9" xfId="26592"/>
    <cellStyle name="Normal 16 30" xfId="26593"/>
    <cellStyle name="Normal 16 30 2" xfId="26594"/>
    <cellStyle name="Normal 16 31" xfId="26595"/>
    <cellStyle name="Normal 16 31 2" xfId="26596"/>
    <cellStyle name="Normal 16 32" xfId="26597"/>
    <cellStyle name="Normal 16 32 2" xfId="26598"/>
    <cellStyle name="Normal 16 33" xfId="26599"/>
    <cellStyle name="Normal 16 33 2" xfId="26600"/>
    <cellStyle name="Normal 16 34" xfId="26601"/>
    <cellStyle name="Normal 16 34 2" xfId="26602"/>
    <cellStyle name="Normal 16 35" xfId="26603"/>
    <cellStyle name="Normal 16 35 2" xfId="26604"/>
    <cellStyle name="Normal 16 36" xfId="26605"/>
    <cellStyle name="Normal 16 36 2" xfId="26606"/>
    <cellStyle name="Normal 16 37" xfId="26607"/>
    <cellStyle name="Normal 16 37 2" xfId="26608"/>
    <cellStyle name="Normal 16 38" xfId="26609"/>
    <cellStyle name="Normal 16 38 2" xfId="26610"/>
    <cellStyle name="Normal 16 39" xfId="26611"/>
    <cellStyle name="Normal 16 39 2" xfId="26612"/>
    <cellStyle name="Normal 16 4" xfId="1786"/>
    <cellStyle name="Normal 16 4 10" xfId="26613"/>
    <cellStyle name="Normal 16 4 11" xfId="26614"/>
    <cellStyle name="Normal 16 4 12" xfId="26615"/>
    <cellStyle name="Normal 16 4 13" xfId="26616"/>
    <cellStyle name="Normal 16 4 14" xfId="26617"/>
    <cellStyle name="Normal 16 4 15" xfId="26618"/>
    <cellStyle name="Normal 16 4 16" xfId="26619"/>
    <cellStyle name="Normal 16 4 17" xfId="26620"/>
    <cellStyle name="Normal 16 4 18" xfId="26621"/>
    <cellStyle name="Normal 16 4 19" xfId="26622"/>
    <cellStyle name="Normal 16 4 2" xfId="26623"/>
    <cellStyle name="Normal 16 4 20" xfId="26624"/>
    <cellStyle name="Normal 16 4 21" xfId="26625"/>
    <cellStyle name="Normal 16 4 22" xfId="26626"/>
    <cellStyle name="Normal 16 4 23" xfId="26627"/>
    <cellStyle name="Normal 16 4 24" xfId="26628"/>
    <cellStyle name="Normal 16 4 25" xfId="26629"/>
    <cellStyle name="Normal 16 4 26" xfId="26630"/>
    <cellStyle name="Normal 16 4 27" xfId="26631"/>
    <cellStyle name="Normal 16 4 28" xfId="26632"/>
    <cellStyle name="Normal 16 4 29" xfId="26633"/>
    <cellStyle name="Normal 16 4 3" xfId="26634"/>
    <cellStyle name="Normal 16 4 30" xfId="26635"/>
    <cellStyle name="Normal 16 4 31" xfId="26636"/>
    <cellStyle name="Normal 16 4 32" xfId="26637"/>
    <cellStyle name="Normal 16 4 33" xfId="26638"/>
    <cellStyle name="Normal 16 4 34" xfId="26639"/>
    <cellStyle name="Normal 16 4 35" xfId="26640"/>
    <cellStyle name="Normal 16 4 36" xfId="26641"/>
    <cellStyle name="Normal 16 4 37" xfId="26642"/>
    <cellStyle name="Normal 16 4 38" xfId="26643"/>
    <cellStyle name="Normal 16 4 39" xfId="26644"/>
    <cellStyle name="Normal 16 4 4" xfId="26645"/>
    <cellStyle name="Normal 16 4 40" xfId="26646"/>
    <cellStyle name="Normal 16 4 41" xfId="26647"/>
    <cellStyle name="Normal 16 4 42" xfId="26648"/>
    <cellStyle name="Normal 16 4 43" xfId="26649"/>
    <cellStyle name="Normal 16 4 44" xfId="26650"/>
    <cellStyle name="Normal 16 4 45" xfId="26651"/>
    <cellStyle name="Normal 16 4 46" xfId="26652"/>
    <cellStyle name="Normal 16 4 5" xfId="26653"/>
    <cellStyle name="Normal 16 4 6" xfId="26654"/>
    <cellStyle name="Normal 16 4 7" xfId="26655"/>
    <cellStyle name="Normal 16 4 8" xfId="26656"/>
    <cellStyle name="Normal 16 4 9" xfId="26657"/>
    <cellStyle name="Normal 16 40" xfId="26658"/>
    <cellStyle name="Normal 16 40 2" xfId="26659"/>
    <cellStyle name="Normal 16 41" xfId="26660"/>
    <cellStyle name="Normal 16 41 2" xfId="26661"/>
    <cellStyle name="Normal 16 42" xfId="26662"/>
    <cellStyle name="Normal 16 42 2" xfId="26663"/>
    <cellStyle name="Normal 16 43" xfId="26664"/>
    <cellStyle name="Normal 16 43 2" xfId="26665"/>
    <cellStyle name="Normal 16 44" xfId="26666"/>
    <cellStyle name="Normal 16 44 2" xfId="26667"/>
    <cellStyle name="Normal 16 45" xfId="26668"/>
    <cellStyle name="Normal 16 45 2" xfId="26669"/>
    <cellStyle name="Normal 16 46" xfId="26670"/>
    <cellStyle name="Normal 16 46 2" xfId="26671"/>
    <cellStyle name="Normal 16 47" xfId="26672"/>
    <cellStyle name="Normal 16 47 2" xfId="26673"/>
    <cellStyle name="Normal 16 48" xfId="26674"/>
    <cellStyle name="Normal 16 48 2" xfId="26675"/>
    <cellStyle name="Normal 16 49" xfId="26676"/>
    <cellStyle name="Normal 16 5" xfId="1825"/>
    <cellStyle name="Normal 16 5 10" xfId="26677"/>
    <cellStyle name="Normal 16 5 11" xfId="26678"/>
    <cellStyle name="Normal 16 5 12" xfId="26679"/>
    <cellStyle name="Normal 16 5 13" xfId="26680"/>
    <cellStyle name="Normal 16 5 14" xfId="26681"/>
    <cellStyle name="Normal 16 5 15" xfId="26682"/>
    <cellStyle name="Normal 16 5 16" xfId="26683"/>
    <cellStyle name="Normal 16 5 17" xfId="26684"/>
    <cellStyle name="Normal 16 5 18" xfId="26685"/>
    <cellStyle name="Normal 16 5 19" xfId="26686"/>
    <cellStyle name="Normal 16 5 2" xfId="26687"/>
    <cellStyle name="Normal 16 5 20" xfId="26688"/>
    <cellStyle name="Normal 16 5 21" xfId="26689"/>
    <cellStyle name="Normal 16 5 22" xfId="26690"/>
    <cellStyle name="Normal 16 5 23" xfId="26691"/>
    <cellStyle name="Normal 16 5 24" xfId="26692"/>
    <cellStyle name="Normal 16 5 25" xfId="26693"/>
    <cellStyle name="Normal 16 5 26" xfId="26694"/>
    <cellStyle name="Normal 16 5 27" xfId="26695"/>
    <cellStyle name="Normal 16 5 28" xfId="26696"/>
    <cellStyle name="Normal 16 5 29" xfId="26697"/>
    <cellStyle name="Normal 16 5 3" xfId="26698"/>
    <cellStyle name="Normal 16 5 30" xfId="26699"/>
    <cellStyle name="Normal 16 5 31" xfId="26700"/>
    <cellStyle name="Normal 16 5 32" xfId="26701"/>
    <cellStyle name="Normal 16 5 33" xfId="26702"/>
    <cellStyle name="Normal 16 5 34" xfId="26703"/>
    <cellStyle name="Normal 16 5 35" xfId="26704"/>
    <cellStyle name="Normal 16 5 36" xfId="26705"/>
    <cellStyle name="Normal 16 5 37" xfId="26706"/>
    <cellStyle name="Normal 16 5 38" xfId="26707"/>
    <cellStyle name="Normal 16 5 39" xfId="26708"/>
    <cellStyle name="Normal 16 5 4" xfId="26709"/>
    <cellStyle name="Normal 16 5 40" xfId="26710"/>
    <cellStyle name="Normal 16 5 41" xfId="26711"/>
    <cellStyle name="Normal 16 5 42" xfId="26712"/>
    <cellStyle name="Normal 16 5 43" xfId="26713"/>
    <cellStyle name="Normal 16 5 44" xfId="26714"/>
    <cellStyle name="Normal 16 5 45" xfId="26715"/>
    <cellStyle name="Normal 16 5 46" xfId="26716"/>
    <cellStyle name="Normal 16 5 5" xfId="26717"/>
    <cellStyle name="Normal 16 5 6" xfId="26718"/>
    <cellStyle name="Normal 16 5 7" xfId="26719"/>
    <cellStyle name="Normal 16 5 8" xfId="26720"/>
    <cellStyle name="Normal 16 5 9" xfId="26721"/>
    <cellStyle name="Normal 16 50" xfId="26722"/>
    <cellStyle name="Normal 16 51" xfId="26723"/>
    <cellStyle name="Normal 16 52" xfId="26724"/>
    <cellStyle name="Normal 16 53" xfId="26725"/>
    <cellStyle name="Normal 16 54" xfId="26726"/>
    <cellStyle name="Normal 16 55" xfId="26727"/>
    <cellStyle name="Normal 16 56" xfId="26728"/>
    <cellStyle name="Normal 16 57" xfId="26729"/>
    <cellStyle name="Normal 16 58" xfId="26730"/>
    <cellStyle name="Normal 16 59" xfId="26731"/>
    <cellStyle name="Normal 16 6" xfId="26732"/>
    <cellStyle name="Normal 16 6 2" xfId="26733"/>
    <cellStyle name="Normal 16 60" xfId="26734"/>
    <cellStyle name="Normal 16 61" xfId="26735"/>
    <cellStyle name="Normal 16 62" xfId="26736"/>
    <cellStyle name="Normal 16 63" xfId="26737"/>
    <cellStyle name="Normal 16 64" xfId="26738"/>
    <cellStyle name="Normal 16 65" xfId="26739"/>
    <cellStyle name="Normal 16 66" xfId="26740"/>
    <cellStyle name="Normal 16 67" xfId="26741"/>
    <cellStyle name="Normal 16 68" xfId="26742"/>
    <cellStyle name="Normal 16 69" xfId="26743"/>
    <cellStyle name="Normal 16 7" xfId="26744"/>
    <cellStyle name="Normal 16 7 2" xfId="26745"/>
    <cellStyle name="Normal 16 70" xfId="26746"/>
    <cellStyle name="Normal 16 71" xfId="26747"/>
    <cellStyle name="Normal 16 72" xfId="26748"/>
    <cellStyle name="Normal 16 73" xfId="26749"/>
    <cellStyle name="Normal 16 74" xfId="26750"/>
    <cellStyle name="Normal 16 75" xfId="26751"/>
    <cellStyle name="Normal 16 76" xfId="26752"/>
    <cellStyle name="Normal 16 77" xfId="26753"/>
    <cellStyle name="Normal 16 78" xfId="26754"/>
    <cellStyle name="Normal 16 79" xfId="26755"/>
    <cellStyle name="Normal 16 8" xfId="26756"/>
    <cellStyle name="Normal 16 8 2" xfId="26757"/>
    <cellStyle name="Normal 16 80" xfId="26758"/>
    <cellStyle name="Normal 16 81" xfId="26759"/>
    <cellStyle name="Normal 16 82" xfId="26760"/>
    <cellStyle name="Normal 16 83" xfId="26761"/>
    <cellStyle name="Normal 16 84" xfId="26762"/>
    <cellStyle name="Normal 16 85" xfId="26763"/>
    <cellStyle name="Normal 16 86" xfId="26764"/>
    <cellStyle name="Normal 16 87" xfId="26765"/>
    <cellStyle name="Normal 16 88" xfId="26766"/>
    <cellStyle name="Normal 16 89" xfId="26767"/>
    <cellStyle name="Normal 16 9" xfId="26768"/>
    <cellStyle name="Normal 16 9 2" xfId="26769"/>
    <cellStyle name="Normal 16 90" xfId="26770"/>
    <cellStyle name="Normal 16 91" xfId="26771"/>
    <cellStyle name="Normal 16 92" xfId="26772"/>
    <cellStyle name="Normal 16 93" xfId="26773"/>
    <cellStyle name="Normal 16 94" xfId="26774"/>
    <cellStyle name="Normal 16 95" xfId="26775"/>
    <cellStyle name="Normal 16 96" xfId="26776"/>
    <cellStyle name="Normal 16 97" xfId="26777"/>
    <cellStyle name="Normal 16 98" xfId="26778"/>
    <cellStyle name="Normal 16 99" xfId="26779"/>
    <cellStyle name="Normal 160" xfId="821"/>
    <cellStyle name="Normal 160 2" xfId="1341"/>
    <cellStyle name="Normal 161" xfId="834"/>
    <cellStyle name="Normal 161 2" xfId="1342"/>
    <cellStyle name="Normal 162" xfId="815"/>
    <cellStyle name="Normal 162 2" xfId="1339"/>
    <cellStyle name="Normal 163" xfId="784"/>
    <cellStyle name="Normal 164" xfId="825"/>
    <cellStyle name="Normal 165" xfId="836"/>
    <cellStyle name="Normal 166" xfId="810"/>
    <cellStyle name="Normal 167" xfId="830"/>
    <cellStyle name="Normal 168" xfId="813"/>
    <cellStyle name="Normal 169" xfId="787"/>
    <cellStyle name="Normal 17" xfId="364"/>
    <cellStyle name="Normal 17 10" xfId="26780"/>
    <cellStyle name="Normal 17 10 2" xfId="26781"/>
    <cellStyle name="Normal 17 100" xfId="26782"/>
    <cellStyle name="Normal 17 101" xfId="26783"/>
    <cellStyle name="Normal 17 102" xfId="26784"/>
    <cellStyle name="Normal 17 103" xfId="26785"/>
    <cellStyle name="Normal 17 104" xfId="26786"/>
    <cellStyle name="Normal 17 105" xfId="26787"/>
    <cellStyle name="Normal 17 106" xfId="26788"/>
    <cellStyle name="Normal 17 107" xfId="26789"/>
    <cellStyle name="Normal 17 108" xfId="26790"/>
    <cellStyle name="Normal 17 109" xfId="26791"/>
    <cellStyle name="Normal 17 11" xfId="26792"/>
    <cellStyle name="Normal 17 11 2" xfId="26793"/>
    <cellStyle name="Normal 17 110" xfId="26794"/>
    <cellStyle name="Normal 17 111" xfId="26795"/>
    <cellStyle name="Normal 17 112" xfId="26796"/>
    <cellStyle name="Normal 17 113" xfId="26797"/>
    <cellStyle name="Normal 17 114" xfId="26798"/>
    <cellStyle name="Normal 17 12" xfId="26799"/>
    <cellStyle name="Normal 17 12 2" xfId="26800"/>
    <cellStyle name="Normal 17 13" xfId="26801"/>
    <cellStyle name="Normal 17 13 2" xfId="26802"/>
    <cellStyle name="Normal 17 14" xfId="26803"/>
    <cellStyle name="Normal 17 14 2" xfId="26804"/>
    <cellStyle name="Normal 17 15" xfId="26805"/>
    <cellStyle name="Normal 17 15 2" xfId="26806"/>
    <cellStyle name="Normal 17 16" xfId="26807"/>
    <cellStyle name="Normal 17 16 2" xfId="26808"/>
    <cellStyle name="Normal 17 17" xfId="26809"/>
    <cellStyle name="Normal 17 17 2" xfId="26810"/>
    <cellStyle name="Normal 17 18" xfId="26811"/>
    <cellStyle name="Normal 17 18 2" xfId="26812"/>
    <cellStyle name="Normal 17 19" xfId="26813"/>
    <cellStyle name="Normal 17 19 2" xfId="26814"/>
    <cellStyle name="Normal 17 2" xfId="404"/>
    <cellStyle name="Normal 17 2 10" xfId="26815"/>
    <cellStyle name="Normal 17 2 11" xfId="26816"/>
    <cellStyle name="Normal 17 2 12" xfId="26817"/>
    <cellStyle name="Normal 17 2 13" xfId="26818"/>
    <cellStyle name="Normal 17 2 14" xfId="26819"/>
    <cellStyle name="Normal 17 2 15" xfId="26820"/>
    <cellStyle name="Normal 17 2 16" xfId="26821"/>
    <cellStyle name="Normal 17 2 17" xfId="26822"/>
    <cellStyle name="Normal 17 2 18" xfId="26823"/>
    <cellStyle name="Normal 17 2 19" xfId="26824"/>
    <cellStyle name="Normal 17 2 2" xfId="976"/>
    <cellStyle name="Normal 17 2 2 2" xfId="26825"/>
    <cellStyle name="Normal 17 2 20" xfId="26826"/>
    <cellStyle name="Normal 17 2 21" xfId="26827"/>
    <cellStyle name="Normal 17 2 22" xfId="26828"/>
    <cellStyle name="Normal 17 2 23" xfId="26829"/>
    <cellStyle name="Normal 17 2 24" xfId="26830"/>
    <cellStyle name="Normal 17 2 25" xfId="26831"/>
    <cellStyle name="Normal 17 2 26" xfId="26832"/>
    <cellStyle name="Normal 17 2 27" xfId="26833"/>
    <cellStyle name="Normal 17 2 28" xfId="26834"/>
    <cellStyle name="Normal 17 2 29" xfId="26835"/>
    <cellStyle name="Normal 17 2 3" xfId="1376"/>
    <cellStyle name="Normal 17 2 3 2" xfId="26836"/>
    <cellStyle name="Normal 17 2 30" xfId="26837"/>
    <cellStyle name="Normal 17 2 31" xfId="26838"/>
    <cellStyle name="Normal 17 2 32" xfId="26839"/>
    <cellStyle name="Normal 17 2 33" xfId="26840"/>
    <cellStyle name="Normal 17 2 34" xfId="26841"/>
    <cellStyle name="Normal 17 2 35" xfId="26842"/>
    <cellStyle name="Normal 17 2 36" xfId="26843"/>
    <cellStyle name="Normal 17 2 37" xfId="26844"/>
    <cellStyle name="Normal 17 2 38" xfId="26845"/>
    <cellStyle name="Normal 17 2 39" xfId="26846"/>
    <cellStyle name="Normal 17 2 4" xfId="2019"/>
    <cellStyle name="Normal 17 2 4 2" xfId="26847"/>
    <cellStyle name="Normal 17 2 40" xfId="26848"/>
    <cellStyle name="Normal 17 2 41" xfId="26849"/>
    <cellStyle name="Normal 17 2 42" xfId="26850"/>
    <cellStyle name="Normal 17 2 43" xfId="26851"/>
    <cellStyle name="Normal 17 2 44" xfId="26852"/>
    <cellStyle name="Normal 17 2 45" xfId="26853"/>
    <cellStyle name="Normal 17 2 46" xfId="26854"/>
    <cellStyle name="Normal 17 2 5" xfId="26855"/>
    <cellStyle name="Normal 17 2 6" xfId="26856"/>
    <cellStyle name="Normal 17 2 7" xfId="26857"/>
    <cellStyle name="Normal 17 2 8" xfId="26858"/>
    <cellStyle name="Normal 17 2 9" xfId="26859"/>
    <cellStyle name="Normal 17 20" xfId="26860"/>
    <cellStyle name="Normal 17 20 2" xfId="26861"/>
    <cellStyle name="Normal 17 21" xfId="26862"/>
    <cellStyle name="Normal 17 21 2" xfId="26863"/>
    <cellStyle name="Normal 17 22" xfId="26864"/>
    <cellStyle name="Normal 17 22 2" xfId="26865"/>
    <cellStyle name="Normal 17 23" xfId="26866"/>
    <cellStyle name="Normal 17 23 2" xfId="26867"/>
    <cellStyle name="Normal 17 24" xfId="26868"/>
    <cellStyle name="Normal 17 24 2" xfId="26869"/>
    <cellStyle name="Normal 17 25" xfId="26870"/>
    <cellStyle name="Normal 17 25 2" xfId="26871"/>
    <cellStyle name="Normal 17 26" xfId="26872"/>
    <cellStyle name="Normal 17 26 2" xfId="26873"/>
    <cellStyle name="Normal 17 27" xfId="26874"/>
    <cellStyle name="Normal 17 27 2" xfId="26875"/>
    <cellStyle name="Normal 17 28" xfId="26876"/>
    <cellStyle name="Normal 17 28 2" xfId="26877"/>
    <cellStyle name="Normal 17 29" xfId="26878"/>
    <cellStyle name="Normal 17 29 2" xfId="26879"/>
    <cellStyle name="Normal 17 3" xfId="1228"/>
    <cellStyle name="Normal 17 3 10" xfId="26880"/>
    <cellStyle name="Normal 17 3 11" xfId="26881"/>
    <cellStyle name="Normal 17 3 12" xfId="26882"/>
    <cellStyle name="Normal 17 3 13" xfId="26883"/>
    <cellStyle name="Normal 17 3 14" xfId="26884"/>
    <cellStyle name="Normal 17 3 15" xfId="26885"/>
    <cellStyle name="Normal 17 3 16" xfId="26886"/>
    <cellStyle name="Normal 17 3 17" xfId="26887"/>
    <cellStyle name="Normal 17 3 18" xfId="26888"/>
    <cellStyle name="Normal 17 3 19" xfId="26889"/>
    <cellStyle name="Normal 17 3 2" xfId="1927"/>
    <cellStyle name="Normal 17 3 2 2" xfId="26890"/>
    <cellStyle name="Normal 17 3 20" xfId="26891"/>
    <cellStyle name="Normal 17 3 21" xfId="26892"/>
    <cellStyle name="Normal 17 3 22" xfId="26893"/>
    <cellStyle name="Normal 17 3 23" xfId="26894"/>
    <cellStyle name="Normal 17 3 24" xfId="26895"/>
    <cellStyle name="Normal 17 3 25" xfId="26896"/>
    <cellStyle name="Normal 17 3 26" xfId="26897"/>
    <cellStyle name="Normal 17 3 27" xfId="26898"/>
    <cellStyle name="Normal 17 3 28" xfId="26899"/>
    <cellStyle name="Normal 17 3 29" xfId="26900"/>
    <cellStyle name="Normal 17 3 3" xfId="26901"/>
    <cellStyle name="Normal 17 3 30" xfId="26902"/>
    <cellStyle name="Normal 17 3 31" xfId="26903"/>
    <cellStyle name="Normal 17 3 32" xfId="26904"/>
    <cellStyle name="Normal 17 3 33" xfId="26905"/>
    <cellStyle name="Normal 17 3 34" xfId="26906"/>
    <cellStyle name="Normal 17 3 35" xfId="26907"/>
    <cellStyle name="Normal 17 3 36" xfId="26908"/>
    <cellStyle name="Normal 17 3 37" xfId="26909"/>
    <cellStyle name="Normal 17 3 38" xfId="26910"/>
    <cellStyle name="Normal 17 3 39" xfId="26911"/>
    <cellStyle name="Normal 17 3 4" xfId="26912"/>
    <cellStyle name="Normal 17 3 40" xfId="26913"/>
    <cellStyle name="Normal 17 3 41" xfId="26914"/>
    <cellStyle name="Normal 17 3 42" xfId="26915"/>
    <cellStyle name="Normal 17 3 43" xfId="26916"/>
    <cellStyle name="Normal 17 3 44" xfId="26917"/>
    <cellStyle name="Normal 17 3 45" xfId="26918"/>
    <cellStyle name="Normal 17 3 46" xfId="26919"/>
    <cellStyle name="Normal 17 3 5" xfId="26920"/>
    <cellStyle name="Normal 17 3 6" xfId="26921"/>
    <cellStyle name="Normal 17 3 7" xfId="26922"/>
    <cellStyle name="Normal 17 3 8" xfId="26923"/>
    <cellStyle name="Normal 17 3 9" xfId="26924"/>
    <cellStyle name="Normal 17 30" xfId="26925"/>
    <cellStyle name="Normal 17 30 2" xfId="26926"/>
    <cellStyle name="Normal 17 31" xfId="26927"/>
    <cellStyle name="Normal 17 31 2" xfId="26928"/>
    <cellStyle name="Normal 17 32" xfId="26929"/>
    <cellStyle name="Normal 17 32 2" xfId="26930"/>
    <cellStyle name="Normal 17 33" xfId="26931"/>
    <cellStyle name="Normal 17 33 2" xfId="26932"/>
    <cellStyle name="Normal 17 34" xfId="26933"/>
    <cellStyle name="Normal 17 34 2" xfId="26934"/>
    <cellStyle name="Normal 17 35" xfId="26935"/>
    <cellStyle name="Normal 17 35 2" xfId="26936"/>
    <cellStyle name="Normal 17 36" xfId="26937"/>
    <cellStyle name="Normal 17 36 2" xfId="26938"/>
    <cellStyle name="Normal 17 37" xfId="26939"/>
    <cellStyle name="Normal 17 37 2" xfId="26940"/>
    <cellStyle name="Normal 17 38" xfId="26941"/>
    <cellStyle name="Normal 17 38 2" xfId="26942"/>
    <cellStyle name="Normal 17 39" xfId="26943"/>
    <cellStyle name="Normal 17 39 2" xfId="26944"/>
    <cellStyle name="Normal 17 4" xfId="1787"/>
    <cellStyle name="Normal 17 4 10" xfId="26945"/>
    <cellStyle name="Normal 17 4 11" xfId="26946"/>
    <cellStyle name="Normal 17 4 12" xfId="26947"/>
    <cellStyle name="Normal 17 4 13" xfId="26948"/>
    <cellStyle name="Normal 17 4 14" xfId="26949"/>
    <cellStyle name="Normal 17 4 15" xfId="26950"/>
    <cellStyle name="Normal 17 4 16" xfId="26951"/>
    <cellStyle name="Normal 17 4 17" xfId="26952"/>
    <cellStyle name="Normal 17 4 18" xfId="26953"/>
    <cellStyle name="Normal 17 4 19" xfId="26954"/>
    <cellStyle name="Normal 17 4 2" xfId="26955"/>
    <cellStyle name="Normal 17 4 20" xfId="26956"/>
    <cellStyle name="Normal 17 4 21" xfId="26957"/>
    <cellStyle name="Normal 17 4 22" xfId="26958"/>
    <cellStyle name="Normal 17 4 23" xfId="26959"/>
    <cellStyle name="Normal 17 4 24" xfId="26960"/>
    <cellStyle name="Normal 17 4 25" xfId="26961"/>
    <cellStyle name="Normal 17 4 26" xfId="26962"/>
    <cellStyle name="Normal 17 4 27" xfId="26963"/>
    <cellStyle name="Normal 17 4 28" xfId="26964"/>
    <cellStyle name="Normal 17 4 29" xfId="26965"/>
    <cellStyle name="Normal 17 4 3" xfId="26966"/>
    <cellStyle name="Normal 17 4 30" xfId="26967"/>
    <cellStyle name="Normal 17 4 31" xfId="26968"/>
    <cellStyle name="Normal 17 4 32" xfId="26969"/>
    <cellStyle name="Normal 17 4 33" xfId="26970"/>
    <cellStyle name="Normal 17 4 34" xfId="26971"/>
    <cellStyle name="Normal 17 4 35" xfId="26972"/>
    <cellStyle name="Normal 17 4 36" xfId="26973"/>
    <cellStyle name="Normal 17 4 37" xfId="26974"/>
    <cellStyle name="Normal 17 4 38" xfId="26975"/>
    <cellStyle name="Normal 17 4 39" xfId="26976"/>
    <cellStyle name="Normal 17 4 4" xfId="26977"/>
    <cellStyle name="Normal 17 4 40" xfId="26978"/>
    <cellStyle name="Normal 17 4 41" xfId="26979"/>
    <cellStyle name="Normal 17 4 42" xfId="26980"/>
    <cellStyle name="Normal 17 4 43" xfId="26981"/>
    <cellStyle name="Normal 17 4 44" xfId="26982"/>
    <cellStyle name="Normal 17 4 45" xfId="26983"/>
    <cellStyle name="Normal 17 4 46" xfId="26984"/>
    <cellStyle name="Normal 17 4 5" xfId="26985"/>
    <cellStyle name="Normal 17 4 6" xfId="26986"/>
    <cellStyle name="Normal 17 4 7" xfId="26987"/>
    <cellStyle name="Normal 17 4 8" xfId="26988"/>
    <cellStyle name="Normal 17 4 9" xfId="26989"/>
    <cellStyle name="Normal 17 40" xfId="26990"/>
    <cellStyle name="Normal 17 40 2" xfId="26991"/>
    <cellStyle name="Normal 17 41" xfId="26992"/>
    <cellStyle name="Normal 17 41 2" xfId="26993"/>
    <cellStyle name="Normal 17 42" xfId="26994"/>
    <cellStyle name="Normal 17 42 2" xfId="26995"/>
    <cellStyle name="Normal 17 43" xfId="26996"/>
    <cellStyle name="Normal 17 43 2" xfId="26997"/>
    <cellStyle name="Normal 17 44" xfId="26998"/>
    <cellStyle name="Normal 17 44 2" xfId="26999"/>
    <cellStyle name="Normal 17 45" xfId="27000"/>
    <cellStyle name="Normal 17 45 2" xfId="27001"/>
    <cellStyle name="Normal 17 46" xfId="27002"/>
    <cellStyle name="Normal 17 46 2" xfId="27003"/>
    <cellStyle name="Normal 17 47" xfId="27004"/>
    <cellStyle name="Normal 17 47 2" xfId="27005"/>
    <cellStyle name="Normal 17 48" xfId="27006"/>
    <cellStyle name="Normal 17 48 2" xfId="27007"/>
    <cellStyle name="Normal 17 49" xfId="27008"/>
    <cellStyle name="Normal 17 5" xfId="1826"/>
    <cellStyle name="Normal 17 5 10" xfId="27009"/>
    <cellStyle name="Normal 17 5 11" xfId="27010"/>
    <cellStyle name="Normal 17 5 12" xfId="27011"/>
    <cellStyle name="Normal 17 5 13" xfId="27012"/>
    <cellStyle name="Normal 17 5 14" xfId="27013"/>
    <cellStyle name="Normal 17 5 15" xfId="27014"/>
    <cellStyle name="Normal 17 5 16" xfId="27015"/>
    <cellStyle name="Normal 17 5 17" xfId="27016"/>
    <cellStyle name="Normal 17 5 18" xfId="27017"/>
    <cellStyle name="Normal 17 5 19" xfId="27018"/>
    <cellStyle name="Normal 17 5 2" xfId="27019"/>
    <cellStyle name="Normal 17 5 20" xfId="27020"/>
    <cellStyle name="Normal 17 5 21" xfId="27021"/>
    <cellStyle name="Normal 17 5 22" xfId="27022"/>
    <cellStyle name="Normal 17 5 23" xfId="27023"/>
    <cellStyle name="Normal 17 5 24" xfId="27024"/>
    <cellStyle name="Normal 17 5 25" xfId="27025"/>
    <cellStyle name="Normal 17 5 26" xfId="27026"/>
    <cellStyle name="Normal 17 5 27" xfId="27027"/>
    <cellStyle name="Normal 17 5 28" xfId="27028"/>
    <cellStyle name="Normal 17 5 29" xfId="27029"/>
    <cellStyle name="Normal 17 5 3" xfId="27030"/>
    <cellStyle name="Normal 17 5 30" xfId="27031"/>
    <cellStyle name="Normal 17 5 31" xfId="27032"/>
    <cellStyle name="Normal 17 5 32" xfId="27033"/>
    <cellStyle name="Normal 17 5 33" xfId="27034"/>
    <cellStyle name="Normal 17 5 34" xfId="27035"/>
    <cellStyle name="Normal 17 5 35" xfId="27036"/>
    <cellStyle name="Normal 17 5 36" xfId="27037"/>
    <cellStyle name="Normal 17 5 37" xfId="27038"/>
    <cellStyle name="Normal 17 5 38" xfId="27039"/>
    <cellStyle name="Normal 17 5 39" xfId="27040"/>
    <cellStyle name="Normal 17 5 4" xfId="27041"/>
    <cellStyle name="Normal 17 5 40" xfId="27042"/>
    <cellStyle name="Normal 17 5 41" xfId="27043"/>
    <cellStyle name="Normal 17 5 42" xfId="27044"/>
    <cellStyle name="Normal 17 5 43" xfId="27045"/>
    <cellStyle name="Normal 17 5 44" xfId="27046"/>
    <cellStyle name="Normal 17 5 45" xfId="27047"/>
    <cellStyle name="Normal 17 5 46" xfId="27048"/>
    <cellStyle name="Normal 17 5 5" xfId="27049"/>
    <cellStyle name="Normal 17 5 6" xfId="27050"/>
    <cellStyle name="Normal 17 5 7" xfId="27051"/>
    <cellStyle name="Normal 17 5 8" xfId="27052"/>
    <cellStyle name="Normal 17 5 9" xfId="27053"/>
    <cellStyle name="Normal 17 50" xfId="27054"/>
    <cellStyle name="Normal 17 51" xfId="27055"/>
    <cellStyle name="Normal 17 52" xfId="27056"/>
    <cellStyle name="Normal 17 53" xfId="27057"/>
    <cellStyle name="Normal 17 54" xfId="27058"/>
    <cellStyle name="Normal 17 55" xfId="27059"/>
    <cellStyle name="Normal 17 56" xfId="27060"/>
    <cellStyle name="Normal 17 57" xfId="27061"/>
    <cellStyle name="Normal 17 58" xfId="27062"/>
    <cellStyle name="Normal 17 59" xfId="27063"/>
    <cellStyle name="Normal 17 6" xfId="27064"/>
    <cellStyle name="Normal 17 6 2" xfId="27065"/>
    <cellStyle name="Normal 17 60" xfId="27066"/>
    <cellStyle name="Normal 17 61" xfId="27067"/>
    <cellStyle name="Normal 17 62" xfId="27068"/>
    <cellStyle name="Normal 17 63" xfId="27069"/>
    <cellStyle name="Normal 17 64" xfId="27070"/>
    <cellStyle name="Normal 17 65" xfId="27071"/>
    <cellStyle name="Normal 17 66" xfId="27072"/>
    <cellStyle name="Normal 17 67" xfId="27073"/>
    <cellStyle name="Normal 17 68" xfId="27074"/>
    <cellStyle name="Normal 17 69" xfId="27075"/>
    <cellStyle name="Normal 17 7" xfId="27076"/>
    <cellStyle name="Normal 17 7 2" xfId="27077"/>
    <cellStyle name="Normal 17 70" xfId="27078"/>
    <cellStyle name="Normal 17 71" xfId="27079"/>
    <cellStyle name="Normal 17 72" xfId="27080"/>
    <cellStyle name="Normal 17 73" xfId="27081"/>
    <cellStyle name="Normal 17 74" xfId="27082"/>
    <cellStyle name="Normal 17 75" xfId="27083"/>
    <cellStyle name="Normal 17 76" xfId="27084"/>
    <cellStyle name="Normal 17 77" xfId="27085"/>
    <cellStyle name="Normal 17 78" xfId="27086"/>
    <cellStyle name="Normal 17 79" xfId="27087"/>
    <cellStyle name="Normal 17 8" xfId="27088"/>
    <cellStyle name="Normal 17 8 2" xfId="27089"/>
    <cellStyle name="Normal 17 80" xfId="27090"/>
    <cellStyle name="Normal 17 81" xfId="27091"/>
    <cellStyle name="Normal 17 82" xfId="27092"/>
    <cellStyle name="Normal 17 83" xfId="27093"/>
    <cellStyle name="Normal 17 84" xfId="27094"/>
    <cellStyle name="Normal 17 85" xfId="27095"/>
    <cellStyle name="Normal 17 86" xfId="27096"/>
    <cellStyle name="Normal 17 87" xfId="27097"/>
    <cellStyle name="Normal 17 88" xfId="27098"/>
    <cellStyle name="Normal 17 89" xfId="27099"/>
    <cellStyle name="Normal 17 9" xfId="27100"/>
    <cellStyle name="Normal 17 9 2" xfId="27101"/>
    <cellStyle name="Normal 17 90" xfId="27102"/>
    <cellStyle name="Normal 17 91" xfId="27103"/>
    <cellStyle name="Normal 17 92" xfId="27104"/>
    <cellStyle name="Normal 17 93" xfId="27105"/>
    <cellStyle name="Normal 17 94" xfId="27106"/>
    <cellStyle name="Normal 17 95" xfId="27107"/>
    <cellStyle name="Normal 17 96" xfId="27108"/>
    <cellStyle name="Normal 17 97" xfId="27109"/>
    <cellStyle name="Normal 17 98" xfId="27110"/>
    <cellStyle name="Normal 17 99" xfId="27111"/>
    <cellStyle name="Normal 170" xfId="822"/>
    <cellStyle name="Normal 171" xfId="842"/>
    <cellStyle name="Normal 172" xfId="818"/>
    <cellStyle name="Normal 173" xfId="843"/>
    <cellStyle name="Normal 174" xfId="817"/>
    <cellStyle name="Normal 175" xfId="837"/>
    <cellStyle name="Normal 176" xfId="827"/>
    <cellStyle name="Normal 177" xfId="831"/>
    <cellStyle name="Normal 178" xfId="814"/>
    <cellStyle name="Normal 179" xfId="786"/>
    <cellStyle name="Normal 18" xfId="363"/>
    <cellStyle name="Normal 18 10" xfId="27112"/>
    <cellStyle name="Normal 18 10 2" xfId="27113"/>
    <cellStyle name="Normal 18 100" xfId="27114"/>
    <cellStyle name="Normal 18 101" xfId="27115"/>
    <cellStyle name="Normal 18 102" xfId="27116"/>
    <cellStyle name="Normal 18 103" xfId="27117"/>
    <cellStyle name="Normal 18 104" xfId="27118"/>
    <cellStyle name="Normal 18 105" xfId="27119"/>
    <cellStyle name="Normal 18 106" xfId="27120"/>
    <cellStyle name="Normal 18 107" xfId="27121"/>
    <cellStyle name="Normal 18 108" xfId="27122"/>
    <cellStyle name="Normal 18 109" xfId="27123"/>
    <cellStyle name="Normal 18 11" xfId="27124"/>
    <cellStyle name="Normal 18 11 2" xfId="27125"/>
    <cellStyle name="Normal 18 110" xfId="27126"/>
    <cellStyle name="Normal 18 111" xfId="27127"/>
    <cellStyle name="Normal 18 112" xfId="27128"/>
    <cellStyle name="Normal 18 113" xfId="27129"/>
    <cellStyle name="Normal 18 114" xfId="27130"/>
    <cellStyle name="Normal 18 12" xfId="27131"/>
    <cellStyle name="Normal 18 12 2" xfId="27132"/>
    <cellStyle name="Normal 18 13" xfId="27133"/>
    <cellStyle name="Normal 18 13 2" xfId="27134"/>
    <cellStyle name="Normal 18 14" xfId="27135"/>
    <cellStyle name="Normal 18 14 2" xfId="27136"/>
    <cellStyle name="Normal 18 15" xfId="27137"/>
    <cellStyle name="Normal 18 15 2" xfId="27138"/>
    <cellStyle name="Normal 18 16" xfId="27139"/>
    <cellStyle name="Normal 18 16 2" xfId="27140"/>
    <cellStyle name="Normal 18 17" xfId="27141"/>
    <cellStyle name="Normal 18 17 2" xfId="27142"/>
    <cellStyle name="Normal 18 18" xfId="27143"/>
    <cellStyle name="Normal 18 18 2" xfId="27144"/>
    <cellStyle name="Normal 18 19" xfId="27145"/>
    <cellStyle name="Normal 18 19 2" xfId="27146"/>
    <cellStyle name="Normal 18 2" xfId="483"/>
    <cellStyle name="Normal 18 2 10" xfId="27147"/>
    <cellStyle name="Normal 18 2 11" xfId="27148"/>
    <cellStyle name="Normal 18 2 12" xfId="27149"/>
    <cellStyle name="Normal 18 2 13" xfId="27150"/>
    <cellStyle name="Normal 18 2 14" xfId="27151"/>
    <cellStyle name="Normal 18 2 15" xfId="27152"/>
    <cellStyle name="Normal 18 2 16" xfId="27153"/>
    <cellStyle name="Normal 18 2 17" xfId="27154"/>
    <cellStyle name="Normal 18 2 18" xfId="27155"/>
    <cellStyle name="Normal 18 2 19" xfId="27156"/>
    <cellStyle name="Normal 18 2 2" xfId="977"/>
    <cellStyle name="Normal 18 2 2 2" xfId="27157"/>
    <cellStyle name="Normal 18 2 20" xfId="27158"/>
    <cellStyle name="Normal 18 2 21" xfId="27159"/>
    <cellStyle name="Normal 18 2 22" xfId="27160"/>
    <cellStyle name="Normal 18 2 23" xfId="27161"/>
    <cellStyle name="Normal 18 2 24" xfId="27162"/>
    <cellStyle name="Normal 18 2 25" xfId="27163"/>
    <cellStyle name="Normal 18 2 26" xfId="27164"/>
    <cellStyle name="Normal 18 2 27" xfId="27165"/>
    <cellStyle name="Normal 18 2 28" xfId="27166"/>
    <cellStyle name="Normal 18 2 29" xfId="27167"/>
    <cellStyle name="Normal 18 2 3" xfId="1377"/>
    <cellStyle name="Normal 18 2 3 2" xfId="27168"/>
    <cellStyle name="Normal 18 2 30" xfId="27169"/>
    <cellStyle name="Normal 18 2 31" xfId="27170"/>
    <cellStyle name="Normal 18 2 32" xfId="27171"/>
    <cellStyle name="Normal 18 2 33" xfId="27172"/>
    <cellStyle name="Normal 18 2 34" xfId="27173"/>
    <cellStyle name="Normal 18 2 35" xfId="27174"/>
    <cellStyle name="Normal 18 2 36" xfId="27175"/>
    <cellStyle name="Normal 18 2 37" xfId="27176"/>
    <cellStyle name="Normal 18 2 38" xfId="27177"/>
    <cellStyle name="Normal 18 2 39" xfId="27178"/>
    <cellStyle name="Normal 18 2 4" xfId="27179"/>
    <cellStyle name="Normal 18 2 40" xfId="27180"/>
    <cellStyle name="Normal 18 2 41" xfId="27181"/>
    <cellStyle name="Normal 18 2 42" xfId="27182"/>
    <cellStyle name="Normal 18 2 43" xfId="27183"/>
    <cellStyle name="Normal 18 2 44" xfId="27184"/>
    <cellStyle name="Normal 18 2 45" xfId="27185"/>
    <cellStyle name="Normal 18 2 46" xfId="27186"/>
    <cellStyle name="Normal 18 2 5" xfId="27187"/>
    <cellStyle name="Normal 18 2 6" xfId="27188"/>
    <cellStyle name="Normal 18 2 7" xfId="27189"/>
    <cellStyle name="Normal 18 2 8" xfId="27190"/>
    <cellStyle name="Normal 18 2 9" xfId="27191"/>
    <cellStyle name="Normal 18 20" xfId="27192"/>
    <cellStyle name="Normal 18 20 2" xfId="27193"/>
    <cellStyle name="Normal 18 21" xfId="27194"/>
    <cellStyle name="Normal 18 21 2" xfId="27195"/>
    <cellStyle name="Normal 18 22" xfId="27196"/>
    <cellStyle name="Normal 18 22 2" xfId="27197"/>
    <cellStyle name="Normal 18 23" xfId="27198"/>
    <cellStyle name="Normal 18 23 2" xfId="27199"/>
    <cellStyle name="Normal 18 24" xfId="27200"/>
    <cellStyle name="Normal 18 24 2" xfId="27201"/>
    <cellStyle name="Normal 18 25" xfId="27202"/>
    <cellStyle name="Normal 18 25 2" xfId="27203"/>
    <cellStyle name="Normal 18 26" xfId="27204"/>
    <cellStyle name="Normal 18 26 2" xfId="27205"/>
    <cellStyle name="Normal 18 27" xfId="27206"/>
    <cellStyle name="Normal 18 27 2" xfId="27207"/>
    <cellStyle name="Normal 18 28" xfId="27208"/>
    <cellStyle name="Normal 18 28 2" xfId="27209"/>
    <cellStyle name="Normal 18 29" xfId="27210"/>
    <cellStyle name="Normal 18 29 2" xfId="27211"/>
    <cellStyle name="Normal 18 3" xfId="1288"/>
    <cellStyle name="Normal 18 3 10" xfId="27212"/>
    <cellStyle name="Normal 18 3 11" xfId="27213"/>
    <cellStyle name="Normal 18 3 12" xfId="27214"/>
    <cellStyle name="Normal 18 3 13" xfId="27215"/>
    <cellStyle name="Normal 18 3 14" xfId="27216"/>
    <cellStyle name="Normal 18 3 15" xfId="27217"/>
    <cellStyle name="Normal 18 3 16" xfId="27218"/>
    <cellStyle name="Normal 18 3 17" xfId="27219"/>
    <cellStyle name="Normal 18 3 18" xfId="27220"/>
    <cellStyle name="Normal 18 3 19" xfId="27221"/>
    <cellStyle name="Normal 18 3 2" xfId="27222"/>
    <cellStyle name="Normal 18 3 20" xfId="27223"/>
    <cellStyle name="Normal 18 3 21" xfId="27224"/>
    <cellStyle name="Normal 18 3 22" xfId="27225"/>
    <cellStyle name="Normal 18 3 23" xfId="27226"/>
    <cellStyle name="Normal 18 3 24" xfId="27227"/>
    <cellStyle name="Normal 18 3 25" xfId="27228"/>
    <cellStyle name="Normal 18 3 26" xfId="27229"/>
    <cellStyle name="Normal 18 3 27" xfId="27230"/>
    <cellStyle name="Normal 18 3 28" xfId="27231"/>
    <cellStyle name="Normal 18 3 29" xfId="27232"/>
    <cellStyle name="Normal 18 3 3" xfId="27233"/>
    <cellStyle name="Normal 18 3 30" xfId="27234"/>
    <cellStyle name="Normal 18 3 31" xfId="27235"/>
    <cellStyle name="Normal 18 3 32" xfId="27236"/>
    <cellStyle name="Normal 18 3 33" xfId="27237"/>
    <cellStyle name="Normal 18 3 34" xfId="27238"/>
    <cellStyle name="Normal 18 3 35" xfId="27239"/>
    <cellStyle name="Normal 18 3 36" xfId="27240"/>
    <cellStyle name="Normal 18 3 37" xfId="27241"/>
    <cellStyle name="Normal 18 3 38" xfId="27242"/>
    <cellStyle name="Normal 18 3 39" xfId="27243"/>
    <cellStyle name="Normal 18 3 4" xfId="27244"/>
    <cellStyle name="Normal 18 3 40" xfId="27245"/>
    <cellStyle name="Normal 18 3 41" xfId="27246"/>
    <cellStyle name="Normal 18 3 42" xfId="27247"/>
    <cellStyle name="Normal 18 3 43" xfId="27248"/>
    <cellStyle name="Normal 18 3 44" xfId="27249"/>
    <cellStyle name="Normal 18 3 45" xfId="27250"/>
    <cellStyle name="Normal 18 3 46" xfId="27251"/>
    <cellStyle name="Normal 18 3 5" xfId="27252"/>
    <cellStyle name="Normal 18 3 6" xfId="27253"/>
    <cellStyle name="Normal 18 3 7" xfId="27254"/>
    <cellStyle name="Normal 18 3 8" xfId="27255"/>
    <cellStyle name="Normal 18 3 9" xfId="27256"/>
    <cellStyle name="Normal 18 30" xfId="27257"/>
    <cellStyle name="Normal 18 30 2" xfId="27258"/>
    <cellStyle name="Normal 18 31" xfId="27259"/>
    <cellStyle name="Normal 18 31 2" xfId="27260"/>
    <cellStyle name="Normal 18 32" xfId="27261"/>
    <cellStyle name="Normal 18 32 2" xfId="27262"/>
    <cellStyle name="Normal 18 33" xfId="27263"/>
    <cellStyle name="Normal 18 33 2" xfId="27264"/>
    <cellStyle name="Normal 18 34" xfId="27265"/>
    <cellStyle name="Normal 18 34 2" xfId="27266"/>
    <cellStyle name="Normal 18 35" xfId="27267"/>
    <cellStyle name="Normal 18 35 2" xfId="27268"/>
    <cellStyle name="Normal 18 36" xfId="27269"/>
    <cellStyle name="Normal 18 36 2" xfId="27270"/>
    <cellStyle name="Normal 18 37" xfId="27271"/>
    <cellStyle name="Normal 18 37 2" xfId="27272"/>
    <cellStyle name="Normal 18 38" xfId="27273"/>
    <cellStyle name="Normal 18 38 2" xfId="27274"/>
    <cellStyle name="Normal 18 39" xfId="27275"/>
    <cellStyle name="Normal 18 39 2" xfId="27276"/>
    <cellStyle name="Normal 18 4" xfId="1788"/>
    <cellStyle name="Normal 18 4 10" xfId="27277"/>
    <cellStyle name="Normal 18 4 11" xfId="27278"/>
    <cellStyle name="Normal 18 4 12" xfId="27279"/>
    <cellStyle name="Normal 18 4 13" xfId="27280"/>
    <cellStyle name="Normal 18 4 14" xfId="27281"/>
    <cellStyle name="Normal 18 4 15" xfId="27282"/>
    <cellStyle name="Normal 18 4 16" xfId="27283"/>
    <cellStyle name="Normal 18 4 17" xfId="27284"/>
    <cellStyle name="Normal 18 4 18" xfId="27285"/>
    <cellStyle name="Normal 18 4 19" xfId="27286"/>
    <cellStyle name="Normal 18 4 2" xfId="27287"/>
    <cellStyle name="Normal 18 4 20" xfId="27288"/>
    <cellStyle name="Normal 18 4 21" xfId="27289"/>
    <cellStyle name="Normal 18 4 22" xfId="27290"/>
    <cellStyle name="Normal 18 4 23" xfId="27291"/>
    <cellStyle name="Normal 18 4 24" xfId="27292"/>
    <cellStyle name="Normal 18 4 25" xfId="27293"/>
    <cellStyle name="Normal 18 4 26" xfId="27294"/>
    <cellStyle name="Normal 18 4 27" xfId="27295"/>
    <cellStyle name="Normal 18 4 28" xfId="27296"/>
    <cellStyle name="Normal 18 4 29" xfId="27297"/>
    <cellStyle name="Normal 18 4 3" xfId="27298"/>
    <cellStyle name="Normal 18 4 30" xfId="27299"/>
    <cellStyle name="Normal 18 4 31" xfId="27300"/>
    <cellStyle name="Normal 18 4 32" xfId="27301"/>
    <cellStyle name="Normal 18 4 33" xfId="27302"/>
    <cellStyle name="Normal 18 4 34" xfId="27303"/>
    <cellStyle name="Normal 18 4 35" xfId="27304"/>
    <cellStyle name="Normal 18 4 36" xfId="27305"/>
    <cellStyle name="Normal 18 4 37" xfId="27306"/>
    <cellStyle name="Normal 18 4 38" xfId="27307"/>
    <cellStyle name="Normal 18 4 39" xfId="27308"/>
    <cellStyle name="Normal 18 4 4" xfId="27309"/>
    <cellStyle name="Normal 18 4 40" xfId="27310"/>
    <cellStyle name="Normal 18 4 41" xfId="27311"/>
    <cellStyle name="Normal 18 4 42" xfId="27312"/>
    <cellStyle name="Normal 18 4 43" xfId="27313"/>
    <cellStyle name="Normal 18 4 44" xfId="27314"/>
    <cellStyle name="Normal 18 4 45" xfId="27315"/>
    <cellStyle name="Normal 18 4 46" xfId="27316"/>
    <cellStyle name="Normal 18 4 5" xfId="27317"/>
    <cellStyle name="Normal 18 4 6" xfId="27318"/>
    <cellStyle name="Normal 18 4 7" xfId="27319"/>
    <cellStyle name="Normal 18 4 8" xfId="27320"/>
    <cellStyle name="Normal 18 4 9" xfId="27321"/>
    <cellStyle name="Normal 18 40" xfId="27322"/>
    <cellStyle name="Normal 18 40 2" xfId="27323"/>
    <cellStyle name="Normal 18 41" xfId="27324"/>
    <cellStyle name="Normal 18 41 2" xfId="27325"/>
    <cellStyle name="Normal 18 42" xfId="27326"/>
    <cellStyle name="Normal 18 42 2" xfId="27327"/>
    <cellStyle name="Normal 18 43" xfId="27328"/>
    <cellStyle name="Normal 18 43 2" xfId="27329"/>
    <cellStyle name="Normal 18 44" xfId="27330"/>
    <cellStyle name="Normal 18 44 2" xfId="27331"/>
    <cellStyle name="Normal 18 45" xfId="27332"/>
    <cellStyle name="Normal 18 45 2" xfId="27333"/>
    <cellStyle name="Normal 18 46" xfId="27334"/>
    <cellStyle name="Normal 18 46 2" xfId="27335"/>
    <cellStyle name="Normal 18 47" xfId="27336"/>
    <cellStyle name="Normal 18 47 2" xfId="27337"/>
    <cellStyle name="Normal 18 48" xfId="27338"/>
    <cellStyle name="Normal 18 48 2" xfId="27339"/>
    <cellStyle name="Normal 18 49" xfId="27340"/>
    <cellStyle name="Normal 18 5" xfId="1827"/>
    <cellStyle name="Normal 18 5 10" xfId="27341"/>
    <cellStyle name="Normal 18 5 11" xfId="27342"/>
    <cellStyle name="Normal 18 5 12" xfId="27343"/>
    <cellStyle name="Normal 18 5 13" xfId="27344"/>
    <cellStyle name="Normal 18 5 14" xfId="27345"/>
    <cellStyle name="Normal 18 5 15" xfId="27346"/>
    <cellStyle name="Normal 18 5 16" xfId="27347"/>
    <cellStyle name="Normal 18 5 17" xfId="27348"/>
    <cellStyle name="Normal 18 5 18" xfId="27349"/>
    <cellStyle name="Normal 18 5 19" xfId="27350"/>
    <cellStyle name="Normal 18 5 2" xfId="27351"/>
    <cellStyle name="Normal 18 5 20" xfId="27352"/>
    <cellStyle name="Normal 18 5 21" xfId="27353"/>
    <cellStyle name="Normal 18 5 22" xfId="27354"/>
    <cellStyle name="Normal 18 5 23" xfId="27355"/>
    <cellStyle name="Normal 18 5 24" xfId="27356"/>
    <cellStyle name="Normal 18 5 25" xfId="27357"/>
    <cellStyle name="Normal 18 5 26" xfId="27358"/>
    <cellStyle name="Normal 18 5 27" xfId="27359"/>
    <cellStyle name="Normal 18 5 28" xfId="27360"/>
    <cellStyle name="Normal 18 5 29" xfId="27361"/>
    <cellStyle name="Normal 18 5 3" xfId="27362"/>
    <cellStyle name="Normal 18 5 30" xfId="27363"/>
    <cellStyle name="Normal 18 5 31" xfId="27364"/>
    <cellStyle name="Normal 18 5 32" xfId="27365"/>
    <cellStyle name="Normal 18 5 33" xfId="27366"/>
    <cellStyle name="Normal 18 5 34" xfId="27367"/>
    <cellStyle name="Normal 18 5 35" xfId="27368"/>
    <cellStyle name="Normal 18 5 36" xfId="27369"/>
    <cellStyle name="Normal 18 5 37" xfId="27370"/>
    <cellStyle name="Normal 18 5 38" xfId="27371"/>
    <cellStyle name="Normal 18 5 39" xfId="27372"/>
    <cellStyle name="Normal 18 5 4" xfId="27373"/>
    <cellStyle name="Normal 18 5 40" xfId="27374"/>
    <cellStyle name="Normal 18 5 41" xfId="27375"/>
    <cellStyle name="Normal 18 5 42" xfId="27376"/>
    <cellStyle name="Normal 18 5 43" xfId="27377"/>
    <cellStyle name="Normal 18 5 44" xfId="27378"/>
    <cellStyle name="Normal 18 5 45" xfId="27379"/>
    <cellStyle name="Normal 18 5 46" xfId="27380"/>
    <cellStyle name="Normal 18 5 5" xfId="27381"/>
    <cellStyle name="Normal 18 5 6" xfId="27382"/>
    <cellStyle name="Normal 18 5 7" xfId="27383"/>
    <cellStyle name="Normal 18 5 8" xfId="27384"/>
    <cellStyle name="Normal 18 5 9" xfId="27385"/>
    <cellStyle name="Normal 18 50" xfId="27386"/>
    <cellStyle name="Normal 18 51" xfId="27387"/>
    <cellStyle name="Normal 18 52" xfId="27388"/>
    <cellStyle name="Normal 18 53" xfId="27389"/>
    <cellStyle name="Normal 18 54" xfId="27390"/>
    <cellStyle name="Normal 18 55" xfId="27391"/>
    <cellStyle name="Normal 18 56" xfId="27392"/>
    <cellStyle name="Normal 18 57" xfId="27393"/>
    <cellStyle name="Normal 18 58" xfId="27394"/>
    <cellStyle name="Normal 18 59" xfId="27395"/>
    <cellStyle name="Normal 18 6" xfId="27396"/>
    <cellStyle name="Normal 18 6 2" xfId="27397"/>
    <cellStyle name="Normal 18 60" xfId="27398"/>
    <cellStyle name="Normal 18 61" xfId="27399"/>
    <cellStyle name="Normal 18 62" xfId="27400"/>
    <cellStyle name="Normal 18 63" xfId="27401"/>
    <cellStyle name="Normal 18 64" xfId="27402"/>
    <cellStyle name="Normal 18 65" xfId="27403"/>
    <cellStyle name="Normal 18 66" xfId="27404"/>
    <cellStyle name="Normal 18 67" xfId="27405"/>
    <cellStyle name="Normal 18 68" xfId="27406"/>
    <cellStyle name="Normal 18 69" xfId="27407"/>
    <cellStyle name="Normal 18 7" xfId="27408"/>
    <cellStyle name="Normal 18 7 2" xfId="27409"/>
    <cellStyle name="Normal 18 70" xfId="27410"/>
    <cellStyle name="Normal 18 71" xfId="27411"/>
    <cellStyle name="Normal 18 72" xfId="27412"/>
    <cellStyle name="Normal 18 73" xfId="27413"/>
    <cellStyle name="Normal 18 74" xfId="27414"/>
    <cellStyle name="Normal 18 75" xfId="27415"/>
    <cellStyle name="Normal 18 76" xfId="27416"/>
    <cellStyle name="Normal 18 77" xfId="27417"/>
    <cellStyle name="Normal 18 78" xfId="27418"/>
    <cellStyle name="Normal 18 79" xfId="27419"/>
    <cellStyle name="Normal 18 8" xfId="27420"/>
    <cellStyle name="Normal 18 8 2" xfId="27421"/>
    <cellStyle name="Normal 18 80" xfId="27422"/>
    <cellStyle name="Normal 18 81" xfId="27423"/>
    <cellStyle name="Normal 18 82" xfId="27424"/>
    <cellStyle name="Normal 18 83" xfId="27425"/>
    <cellStyle name="Normal 18 84" xfId="27426"/>
    <cellStyle name="Normal 18 85" xfId="27427"/>
    <cellStyle name="Normal 18 86" xfId="27428"/>
    <cellStyle name="Normal 18 87" xfId="27429"/>
    <cellStyle name="Normal 18 88" xfId="27430"/>
    <cellStyle name="Normal 18 89" xfId="27431"/>
    <cellStyle name="Normal 18 9" xfId="27432"/>
    <cellStyle name="Normal 18 9 2" xfId="27433"/>
    <cellStyle name="Normal 18 90" xfId="27434"/>
    <cellStyle name="Normal 18 91" xfId="27435"/>
    <cellStyle name="Normal 18 92" xfId="27436"/>
    <cellStyle name="Normal 18 93" xfId="27437"/>
    <cellStyle name="Normal 18 94" xfId="27438"/>
    <cellStyle name="Normal 18 95" xfId="27439"/>
    <cellStyle name="Normal 18 96" xfId="27440"/>
    <cellStyle name="Normal 18 97" xfId="27441"/>
    <cellStyle name="Normal 18 98" xfId="27442"/>
    <cellStyle name="Normal 18 99" xfId="27443"/>
    <cellStyle name="Normal 180" xfId="823"/>
    <cellStyle name="Normal 181" xfId="788"/>
    <cellStyle name="Normal 182" xfId="819"/>
    <cellStyle name="Normal 183" xfId="840"/>
    <cellStyle name="Normal 184" xfId="826"/>
    <cellStyle name="Normal 185" xfId="838"/>
    <cellStyle name="Normal 186" xfId="828"/>
    <cellStyle name="Normal 187" xfId="832"/>
    <cellStyle name="Normal 188" xfId="844"/>
    <cellStyle name="Normal 189" xfId="785"/>
    <cellStyle name="Normal 19" xfId="366"/>
    <cellStyle name="Normal 19 10" xfId="27444"/>
    <cellStyle name="Normal 19 10 2" xfId="27445"/>
    <cellStyle name="Normal 19 100" xfId="27446"/>
    <cellStyle name="Normal 19 101" xfId="27447"/>
    <cellStyle name="Normal 19 102" xfId="27448"/>
    <cellStyle name="Normal 19 103" xfId="27449"/>
    <cellStyle name="Normal 19 104" xfId="27450"/>
    <cellStyle name="Normal 19 105" xfId="27451"/>
    <cellStyle name="Normal 19 106" xfId="27452"/>
    <cellStyle name="Normal 19 107" xfId="27453"/>
    <cellStyle name="Normal 19 108" xfId="27454"/>
    <cellStyle name="Normal 19 109" xfId="27455"/>
    <cellStyle name="Normal 19 11" xfId="27456"/>
    <cellStyle name="Normal 19 11 2" xfId="27457"/>
    <cellStyle name="Normal 19 110" xfId="27458"/>
    <cellStyle name="Normal 19 111" xfId="27459"/>
    <cellStyle name="Normal 19 112" xfId="27460"/>
    <cellStyle name="Normal 19 113" xfId="27461"/>
    <cellStyle name="Normal 19 114" xfId="27462"/>
    <cellStyle name="Normal 19 12" xfId="27463"/>
    <cellStyle name="Normal 19 12 2" xfId="27464"/>
    <cellStyle name="Normal 19 13" xfId="27465"/>
    <cellStyle name="Normal 19 13 2" xfId="27466"/>
    <cellStyle name="Normal 19 14" xfId="27467"/>
    <cellStyle name="Normal 19 14 2" xfId="27468"/>
    <cellStyle name="Normal 19 15" xfId="27469"/>
    <cellStyle name="Normal 19 15 2" xfId="27470"/>
    <cellStyle name="Normal 19 16" xfId="27471"/>
    <cellStyle name="Normal 19 16 2" xfId="27472"/>
    <cellStyle name="Normal 19 17" xfId="27473"/>
    <cellStyle name="Normal 19 17 2" xfId="27474"/>
    <cellStyle name="Normal 19 18" xfId="27475"/>
    <cellStyle name="Normal 19 18 2" xfId="27476"/>
    <cellStyle name="Normal 19 19" xfId="27477"/>
    <cellStyle name="Normal 19 19 2" xfId="27478"/>
    <cellStyle name="Normal 19 2" xfId="447"/>
    <cellStyle name="Normal 19 2 10" xfId="27479"/>
    <cellStyle name="Normal 19 2 11" xfId="27480"/>
    <cellStyle name="Normal 19 2 12" xfId="27481"/>
    <cellStyle name="Normal 19 2 13" xfId="27482"/>
    <cellStyle name="Normal 19 2 14" xfId="27483"/>
    <cellStyle name="Normal 19 2 15" xfId="27484"/>
    <cellStyle name="Normal 19 2 16" xfId="27485"/>
    <cellStyle name="Normal 19 2 17" xfId="27486"/>
    <cellStyle name="Normal 19 2 18" xfId="27487"/>
    <cellStyle name="Normal 19 2 19" xfId="27488"/>
    <cellStyle name="Normal 19 2 2" xfId="27489"/>
    <cellStyle name="Normal 19 2 20" xfId="27490"/>
    <cellStyle name="Normal 19 2 21" xfId="27491"/>
    <cellStyle name="Normal 19 2 22" xfId="27492"/>
    <cellStyle name="Normal 19 2 23" xfId="27493"/>
    <cellStyle name="Normal 19 2 24" xfId="27494"/>
    <cellStyle name="Normal 19 2 25" xfId="27495"/>
    <cellStyle name="Normal 19 2 26" xfId="27496"/>
    <cellStyle name="Normal 19 2 27" xfId="27497"/>
    <cellStyle name="Normal 19 2 28" xfId="27498"/>
    <cellStyle name="Normal 19 2 29" xfId="27499"/>
    <cellStyle name="Normal 19 2 3" xfId="27500"/>
    <cellStyle name="Normal 19 2 30" xfId="27501"/>
    <cellStyle name="Normal 19 2 31" xfId="27502"/>
    <cellStyle name="Normal 19 2 32" xfId="27503"/>
    <cellStyle name="Normal 19 2 33" xfId="27504"/>
    <cellStyle name="Normal 19 2 34" xfId="27505"/>
    <cellStyle name="Normal 19 2 35" xfId="27506"/>
    <cellStyle name="Normal 19 2 36" xfId="27507"/>
    <cellStyle name="Normal 19 2 37" xfId="27508"/>
    <cellStyle name="Normal 19 2 38" xfId="27509"/>
    <cellStyle name="Normal 19 2 39" xfId="27510"/>
    <cellStyle name="Normal 19 2 4" xfId="27511"/>
    <cellStyle name="Normal 19 2 40" xfId="27512"/>
    <cellStyle name="Normal 19 2 41" xfId="27513"/>
    <cellStyle name="Normal 19 2 42" xfId="27514"/>
    <cellStyle name="Normal 19 2 43" xfId="27515"/>
    <cellStyle name="Normal 19 2 44" xfId="27516"/>
    <cellStyle name="Normal 19 2 45" xfId="27517"/>
    <cellStyle name="Normal 19 2 46" xfId="27518"/>
    <cellStyle name="Normal 19 2 5" xfId="27519"/>
    <cellStyle name="Normal 19 2 6" xfId="27520"/>
    <cellStyle name="Normal 19 2 7" xfId="27521"/>
    <cellStyle name="Normal 19 2 8" xfId="27522"/>
    <cellStyle name="Normal 19 2 9" xfId="27523"/>
    <cellStyle name="Normal 19 20" xfId="27524"/>
    <cellStyle name="Normal 19 20 2" xfId="27525"/>
    <cellStyle name="Normal 19 21" xfId="27526"/>
    <cellStyle name="Normal 19 21 2" xfId="27527"/>
    <cellStyle name="Normal 19 22" xfId="27528"/>
    <cellStyle name="Normal 19 22 2" xfId="27529"/>
    <cellStyle name="Normal 19 23" xfId="27530"/>
    <cellStyle name="Normal 19 23 2" xfId="27531"/>
    <cellStyle name="Normal 19 24" xfId="27532"/>
    <cellStyle name="Normal 19 24 2" xfId="27533"/>
    <cellStyle name="Normal 19 25" xfId="27534"/>
    <cellStyle name="Normal 19 25 2" xfId="27535"/>
    <cellStyle name="Normal 19 26" xfId="27536"/>
    <cellStyle name="Normal 19 26 2" xfId="27537"/>
    <cellStyle name="Normal 19 27" xfId="27538"/>
    <cellStyle name="Normal 19 27 2" xfId="27539"/>
    <cellStyle name="Normal 19 28" xfId="27540"/>
    <cellStyle name="Normal 19 28 2" xfId="27541"/>
    <cellStyle name="Normal 19 29" xfId="27542"/>
    <cellStyle name="Normal 19 29 2" xfId="27543"/>
    <cellStyle name="Normal 19 3" xfId="27544"/>
    <cellStyle name="Normal 19 3 10" xfId="27545"/>
    <cellStyle name="Normal 19 3 11" xfId="27546"/>
    <cellStyle name="Normal 19 3 12" xfId="27547"/>
    <cellStyle name="Normal 19 3 13" xfId="27548"/>
    <cellStyle name="Normal 19 3 14" xfId="27549"/>
    <cellStyle name="Normal 19 3 15" xfId="27550"/>
    <cellStyle name="Normal 19 3 16" xfId="27551"/>
    <cellStyle name="Normal 19 3 17" xfId="27552"/>
    <cellStyle name="Normal 19 3 18" xfId="27553"/>
    <cellStyle name="Normal 19 3 19" xfId="27554"/>
    <cellStyle name="Normal 19 3 2" xfId="27555"/>
    <cellStyle name="Normal 19 3 20" xfId="27556"/>
    <cellStyle name="Normal 19 3 21" xfId="27557"/>
    <cellStyle name="Normal 19 3 22" xfId="27558"/>
    <cellStyle name="Normal 19 3 23" xfId="27559"/>
    <cellStyle name="Normal 19 3 24" xfId="27560"/>
    <cellStyle name="Normal 19 3 25" xfId="27561"/>
    <cellStyle name="Normal 19 3 26" xfId="27562"/>
    <cellStyle name="Normal 19 3 27" xfId="27563"/>
    <cellStyle name="Normal 19 3 28" xfId="27564"/>
    <cellStyle name="Normal 19 3 29" xfId="27565"/>
    <cellStyle name="Normal 19 3 3" xfId="27566"/>
    <cellStyle name="Normal 19 3 30" xfId="27567"/>
    <cellStyle name="Normal 19 3 31" xfId="27568"/>
    <cellStyle name="Normal 19 3 32" xfId="27569"/>
    <cellStyle name="Normal 19 3 33" xfId="27570"/>
    <cellStyle name="Normal 19 3 34" xfId="27571"/>
    <cellStyle name="Normal 19 3 35" xfId="27572"/>
    <cellStyle name="Normal 19 3 36" xfId="27573"/>
    <cellStyle name="Normal 19 3 37" xfId="27574"/>
    <cellStyle name="Normal 19 3 38" xfId="27575"/>
    <cellStyle name="Normal 19 3 39" xfId="27576"/>
    <cellStyle name="Normal 19 3 4" xfId="27577"/>
    <cellStyle name="Normal 19 3 40" xfId="27578"/>
    <cellStyle name="Normal 19 3 41" xfId="27579"/>
    <cellStyle name="Normal 19 3 42" xfId="27580"/>
    <cellStyle name="Normal 19 3 43" xfId="27581"/>
    <cellStyle name="Normal 19 3 44" xfId="27582"/>
    <cellStyle name="Normal 19 3 45" xfId="27583"/>
    <cellStyle name="Normal 19 3 5" xfId="27584"/>
    <cellStyle name="Normal 19 3 6" xfId="27585"/>
    <cellStyle name="Normal 19 3 7" xfId="27586"/>
    <cellStyle name="Normal 19 3 8" xfId="27587"/>
    <cellStyle name="Normal 19 3 9" xfId="27588"/>
    <cellStyle name="Normal 19 30" xfId="27589"/>
    <cellStyle name="Normal 19 30 2" xfId="27590"/>
    <cellStyle name="Normal 19 31" xfId="27591"/>
    <cellStyle name="Normal 19 31 2" xfId="27592"/>
    <cellStyle name="Normal 19 32" xfId="27593"/>
    <cellStyle name="Normal 19 32 2" xfId="27594"/>
    <cellStyle name="Normal 19 33" xfId="27595"/>
    <cellStyle name="Normal 19 33 2" xfId="27596"/>
    <cellStyle name="Normal 19 34" xfId="27597"/>
    <cellStyle name="Normal 19 34 2" xfId="27598"/>
    <cellStyle name="Normal 19 35" xfId="27599"/>
    <cellStyle name="Normal 19 35 2" xfId="27600"/>
    <cellStyle name="Normal 19 36" xfId="27601"/>
    <cellStyle name="Normal 19 36 2" xfId="27602"/>
    <cellStyle name="Normal 19 37" xfId="27603"/>
    <cellStyle name="Normal 19 37 2" xfId="27604"/>
    <cellStyle name="Normal 19 38" xfId="27605"/>
    <cellStyle name="Normal 19 38 2" xfId="27606"/>
    <cellStyle name="Normal 19 39" xfId="27607"/>
    <cellStyle name="Normal 19 39 2" xfId="27608"/>
    <cellStyle name="Normal 19 4" xfId="27609"/>
    <cellStyle name="Normal 19 4 10" xfId="27610"/>
    <cellStyle name="Normal 19 4 11" xfId="27611"/>
    <cellStyle name="Normal 19 4 12" xfId="27612"/>
    <cellStyle name="Normal 19 4 13" xfId="27613"/>
    <cellStyle name="Normal 19 4 14" xfId="27614"/>
    <cellStyle name="Normal 19 4 15" xfId="27615"/>
    <cellStyle name="Normal 19 4 16" xfId="27616"/>
    <cellStyle name="Normal 19 4 17" xfId="27617"/>
    <cellStyle name="Normal 19 4 18" xfId="27618"/>
    <cellStyle name="Normal 19 4 19" xfId="27619"/>
    <cellStyle name="Normal 19 4 2" xfId="27620"/>
    <cellStyle name="Normal 19 4 20" xfId="27621"/>
    <cellStyle name="Normal 19 4 21" xfId="27622"/>
    <cellStyle name="Normal 19 4 22" xfId="27623"/>
    <cellStyle name="Normal 19 4 23" xfId="27624"/>
    <cellStyle name="Normal 19 4 24" xfId="27625"/>
    <cellStyle name="Normal 19 4 25" xfId="27626"/>
    <cellStyle name="Normal 19 4 26" xfId="27627"/>
    <cellStyle name="Normal 19 4 27" xfId="27628"/>
    <cellStyle name="Normal 19 4 28" xfId="27629"/>
    <cellStyle name="Normal 19 4 29" xfId="27630"/>
    <cellStyle name="Normal 19 4 3" xfId="27631"/>
    <cellStyle name="Normal 19 4 30" xfId="27632"/>
    <cellStyle name="Normal 19 4 31" xfId="27633"/>
    <cellStyle name="Normal 19 4 32" xfId="27634"/>
    <cellStyle name="Normal 19 4 33" xfId="27635"/>
    <cellStyle name="Normal 19 4 34" xfId="27636"/>
    <cellStyle name="Normal 19 4 35" xfId="27637"/>
    <cellStyle name="Normal 19 4 36" xfId="27638"/>
    <cellStyle name="Normal 19 4 37" xfId="27639"/>
    <cellStyle name="Normal 19 4 38" xfId="27640"/>
    <cellStyle name="Normal 19 4 39" xfId="27641"/>
    <cellStyle name="Normal 19 4 4" xfId="27642"/>
    <cellStyle name="Normal 19 4 40" xfId="27643"/>
    <cellStyle name="Normal 19 4 41" xfId="27644"/>
    <cellStyle name="Normal 19 4 42" xfId="27645"/>
    <cellStyle name="Normal 19 4 43" xfId="27646"/>
    <cellStyle name="Normal 19 4 44" xfId="27647"/>
    <cellStyle name="Normal 19 4 45" xfId="27648"/>
    <cellStyle name="Normal 19 4 5" xfId="27649"/>
    <cellStyle name="Normal 19 4 6" xfId="27650"/>
    <cellStyle name="Normal 19 4 7" xfId="27651"/>
    <cellStyle name="Normal 19 4 8" xfId="27652"/>
    <cellStyle name="Normal 19 4 9" xfId="27653"/>
    <cellStyle name="Normal 19 40" xfId="27654"/>
    <cellStyle name="Normal 19 40 2" xfId="27655"/>
    <cellStyle name="Normal 19 41" xfId="27656"/>
    <cellStyle name="Normal 19 41 2" xfId="27657"/>
    <cellStyle name="Normal 19 42" xfId="27658"/>
    <cellStyle name="Normal 19 42 2" xfId="27659"/>
    <cellStyle name="Normal 19 43" xfId="27660"/>
    <cellStyle name="Normal 19 43 2" xfId="27661"/>
    <cellStyle name="Normal 19 44" xfId="27662"/>
    <cellStyle name="Normal 19 44 2" xfId="27663"/>
    <cellStyle name="Normal 19 45" xfId="27664"/>
    <cellStyle name="Normal 19 45 2" xfId="27665"/>
    <cellStyle name="Normal 19 46" xfId="27666"/>
    <cellStyle name="Normal 19 46 2" xfId="27667"/>
    <cellStyle name="Normal 19 47" xfId="27668"/>
    <cellStyle name="Normal 19 47 2" xfId="27669"/>
    <cellStyle name="Normal 19 48" xfId="27670"/>
    <cellStyle name="Normal 19 48 2" xfId="27671"/>
    <cellStyle name="Normal 19 49" xfId="27672"/>
    <cellStyle name="Normal 19 5" xfId="27673"/>
    <cellStyle name="Normal 19 5 10" xfId="27674"/>
    <cellStyle name="Normal 19 5 11" xfId="27675"/>
    <cellStyle name="Normal 19 5 12" xfId="27676"/>
    <cellStyle name="Normal 19 5 13" xfId="27677"/>
    <cellStyle name="Normal 19 5 14" xfId="27678"/>
    <cellStyle name="Normal 19 5 15" xfId="27679"/>
    <cellStyle name="Normal 19 5 16" xfId="27680"/>
    <cellStyle name="Normal 19 5 17" xfId="27681"/>
    <cellStyle name="Normal 19 5 18" xfId="27682"/>
    <cellStyle name="Normal 19 5 19" xfId="27683"/>
    <cellStyle name="Normal 19 5 2" xfId="27684"/>
    <cellStyle name="Normal 19 5 20" xfId="27685"/>
    <cellStyle name="Normal 19 5 21" xfId="27686"/>
    <cellStyle name="Normal 19 5 22" xfId="27687"/>
    <cellStyle name="Normal 19 5 23" xfId="27688"/>
    <cellStyle name="Normal 19 5 24" xfId="27689"/>
    <cellStyle name="Normal 19 5 25" xfId="27690"/>
    <cellStyle name="Normal 19 5 26" xfId="27691"/>
    <cellStyle name="Normal 19 5 27" xfId="27692"/>
    <cellStyle name="Normal 19 5 28" xfId="27693"/>
    <cellStyle name="Normal 19 5 29" xfId="27694"/>
    <cellStyle name="Normal 19 5 3" xfId="27695"/>
    <cellStyle name="Normal 19 5 30" xfId="27696"/>
    <cellStyle name="Normal 19 5 31" xfId="27697"/>
    <cellStyle name="Normal 19 5 32" xfId="27698"/>
    <cellStyle name="Normal 19 5 33" xfId="27699"/>
    <cellStyle name="Normal 19 5 34" xfId="27700"/>
    <cellStyle name="Normal 19 5 35" xfId="27701"/>
    <cellStyle name="Normal 19 5 36" xfId="27702"/>
    <cellStyle name="Normal 19 5 37" xfId="27703"/>
    <cellStyle name="Normal 19 5 38" xfId="27704"/>
    <cellStyle name="Normal 19 5 39" xfId="27705"/>
    <cellStyle name="Normal 19 5 4" xfId="27706"/>
    <cellStyle name="Normal 19 5 40" xfId="27707"/>
    <cellStyle name="Normal 19 5 41" xfId="27708"/>
    <cellStyle name="Normal 19 5 42" xfId="27709"/>
    <cellStyle name="Normal 19 5 43" xfId="27710"/>
    <cellStyle name="Normal 19 5 44" xfId="27711"/>
    <cellStyle name="Normal 19 5 45" xfId="27712"/>
    <cellStyle name="Normal 19 5 5" xfId="27713"/>
    <cellStyle name="Normal 19 5 6" xfId="27714"/>
    <cellStyle name="Normal 19 5 7" xfId="27715"/>
    <cellStyle name="Normal 19 5 8" xfId="27716"/>
    <cellStyle name="Normal 19 5 9" xfId="27717"/>
    <cellStyle name="Normal 19 50" xfId="27718"/>
    <cellStyle name="Normal 19 51" xfId="27719"/>
    <cellStyle name="Normal 19 52" xfId="27720"/>
    <cellStyle name="Normal 19 53" xfId="27721"/>
    <cellStyle name="Normal 19 54" xfId="27722"/>
    <cellStyle name="Normal 19 55" xfId="27723"/>
    <cellStyle name="Normal 19 56" xfId="27724"/>
    <cellStyle name="Normal 19 57" xfId="27725"/>
    <cellStyle name="Normal 19 58" xfId="27726"/>
    <cellStyle name="Normal 19 59" xfId="27727"/>
    <cellStyle name="Normal 19 6" xfId="27728"/>
    <cellStyle name="Normal 19 6 2" xfId="27729"/>
    <cellStyle name="Normal 19 60" xfId="27730"/>
    <cellStyle name="Normal 19 61" xfId="27731"/>
    <cellStyle name="Normal 19 62" xfId="27732"/>
    <cellStyle name="Normal 19 63" xfId="27733"/>
    <cellStyle name="Normal 19 64" xfId="27734"/>
    <cellStyle name="Normal 19 65" xfId="27735"/>
    <cellStyle name="Normal 19 66" xfId="27736"/>
    <cellStyle name="Normal 19 67" xfId="27737"/>
    <cellStyle name="Normal 19 68" xfId="27738"/>
    <cellStyle name="Normal 19 69" xfId="27739"/>
    <cellStyle name="Normal 19 7" xfId="27740"/>
    <cellStyle name="Normal 19 7 2" xfId="27741"/>
    <cellStyle name="Normal 19 70" xfId="27742"/>
    <cellStyle name="Normal 19 71" xfId="27743"/>
    <cellStyle name="Normal 19 72" xfId="27744"/>
    <cellStyle name="Normal 19 73" xfId="27745"/>
    <cellStyle name="Normal 19 74" xfId="27746"/>
    <cellStyle name="Normal 19 75" xfId="27747"/>
    <cellStyle name="Normal 19 76" xfId="27748"/>
    <cellStyle name="Normal 19 77" xfId="27749"/>
    <cellStyle name="Normal 19 78" xfId="27750"/>
    <cellStyle name="Normal 19 79" xfId="27751"/>
    <cellStyle name="Normal 19 8" xfId="27752"/>
    <cellStyle name="Normal 19 8 2" xfId="27753"/>
    <cellStyle name="Normal 19 80" xfId="27754"/>
    <cellStyle name="Normal 19 81" xfId="27755"/>
    <cellStyle name="Normal 19 82" xfId="27756"/>
    <cellStyle name="Normal 19 83" xfId="27757"/>
    <cellStyle name="Normal 19 84" xfId="27758"/>
    <cellStyle name="Normal 19 85" xfId="27759"/>
    <cellStyle name="Normal 19 86" xfId="27760"/>
    <cellStyle name="Normal 19 87" xfId="27761"/>
    <cellStyle name="Normal 19 88" xfId="27762"/>
    <cellStyle name="Normal 19 89" xfId="27763"/>
    <cellStyle name="Normal 19 9" xfId="27764"/>
    <cellStyle name="Normal 19 9 2" xfId="27765"/>
    <cellStyle name="Normal 19 90" xfId="27766"/>
    <cellStyle name="Normal 19 91" xfId="27767"/>
    <cellStyle name="Normal 19 92" xfId="27768"/>
    <cellStyle name="Normal 19 93" xfId="27769"/>
    <cellStyle name="Normal 19 94" xfId="27770"/>
    <cellStyle name="Normal 19 95" xfId="27771"/>
    <cellStyle name="Normal 19 96" xfId="27772"/>
    <cellStyle name="Normal 19 97" xfId="27773"/>
    <cellStyle name="Normal 19 98" xfId="27774"/>
    <cellStyle name="Normal 19 99" xfId="27775"/>
    <cellStyle name="Normal 190" xfId="824"/>
    <cellStyle name="Normal 191" xfId="835"/>
    <cellStyle name="Normal 192" xfId="820"/>
    <cellStyle name="Normal 193" xfId="829"/>
    <cellStyle name="Normal 194" xfId="812"/>
    <cellStyle name="Normal 195" xfId="839"/>
    <cellStyle name="Normal 196" xfId="811"/>
    <cellStyle name="Normal 197" xfId="833"/>
    <cellStyle name="Normal 198" xfId="845"/>
    <cellStyle name="Normal 199" xfId="789"/>
    <cellStyle name="Normal 2" xfId="88"/>
    <cellStyle name="Normal 2 10" xfId="1634"/>
    <cellStyle name="Normal 2 10 10" xfId="27776"/>
    <cellStyle name="Normal 2 10 10 2" xfId="27777"/>
    <cellStyle name="Normal 2 10 100" xfId="27778"/>
    <cellStyle name="Normal 2 10 101" xfId="27779"/>
    <cellStyle name="Normal 2 10 102" xfId="27780"/>
    <cellStyle name="Normal 2 10 103" xfId="27781"/>
    <cellStyle name="Normal 2 10 104" xfId="27782"/>
    <cellStyle name="Normal 2 10 105" xfId="27783"/>
    <cellStyle name="Normal 2 10 106" xfId="27784"/>
    <cellStyle name="Normal 2 10 107" xfId="27785"/>
    <cellStyle name="Normal 2 10 108" xfId="27786"/>
    <cellStyle name="Normal 2 10 109" xfId="27787"/>
    <cellStyle name="Normal 2 10 11" xfId="27788"/>
    <cellStyle name="Normal 2 10 11 2" xfId="27789"/>
    <cellStyle name="Normal 2 10 110" xfId="27790"/>
    <cellStyle name="Normal 2 10 111" xfId="27791"/>
    <cellStyle name="Normal 2 10 112" xfId="27792"/>
    <cellStyle name="Normal 2 10 113" xfId="27793"/>
    <cellStyle name="Normal 2 10 114" xfId="27794"/>
    <cellStyle name="Normal 2 10 115" xfId="27795"/>
    <cellStyle name="Normal 2 10 12" xfId="27796"/>
    <cellStyle name="Normal 2 10 12 2" xfId="27797"/>
    <cellStyle name="Normal 2 10 13" xfId="27798"/>
    <cellStyle name="Normal 2 10 13 2" xfId="27799"/>
    <cellStyle name="Normal 2 10 14" xfId="27800"/>
    <cellStyle name="Normal 2 10 14 2" xfId="27801"/>
    <cellStyle name="Normal 2 10 15" xfId="27802"/>
    <cellStyle name="Normal 2 10 15 2" xfId="27803"/>
    <cellStyle name="Normal 2 10 16" xfId="27804"/>
    <cellStyle name="Normal 2 10 16 2" xfId="27805"/>
    <cellStyle name="Normal 2 10 17" xfId="27806"/>
    <cellStyle name="Normal 2 10 17 2" xfId="27807"/>
    <cellStyle name="Normal 2 10 18" xfId="27808"/>
    <cellStyle name="Normal 2 10 18 2" xfId="27809"/>
    <cellStyle name="Normal 2 10 19" xfId="27810"/>
    <cellStyle name="Normal 2 10 19 2" xfId="27811"/>
    <cellStyle name="Normal 2 10 2" xfId="27812"/>
    <cellStyle name="Normal 2 10 2 2" xfId="27813"/>
    <cellStyle name="Normal 2 10 2 2 2" xfId="27814"/>
    <cellStyle name="Normal 2 10 2 3" xfId="27815"/>
    <cellStyle name="Normal 2 10 2 3 2" xfId="27816"/>
    <cellStyle name="Normal 2 10 2 4" xfId="27817"/>
    <cellStyle name="Normal 2 10 2 5" xfId="27818"/>
    <cellStyle name="Normal 2 10 2 6" xfId="27819"/>
    <cellStyle name="Normal 2 10 20" xfId="27820"/>
    <cellStyle name="Normal 2 10 20 2" xfId="27821"/>
    <cellStyle name="Normal 2 10 21" xfId="27822"/>
    <cellStyle name="Normal 2 10 21 2" xfId="27823"/>
    <cellStyle name="Normal 2 10 22" xfId="27824"/>
    <cellStyle name="Normal 2 10 22 2" xfId="27825"/>
    <cellStyle name="Normal 2 10 23" xfId="27826"/>
    <cellStyle name="Normal 2 10 23 2" xfId="27827"/>
    <cellStyle name="Normal 2 10 24" xfId="27828"/>
    <cellStyle name="Normal 2 10 24 2" xfId="27829"/>
    <cellStyle name="Normal 2 10 25" xfId="27830"/>
    <cellStyle name="Normal 2 10 25 2" xfId="27831"/>
    <cellStyle name="Normal 2 10 26" xfId="27832"/>
    <cellStyle name="Normal 2 10 26 2" xfId="27833"/>
    <cellStyle name="Normal 2 10 27" xfId="27834"/>
    <cellStyle name="Normal 2 10 27 2" xfId="27835"/>
    <cellStyle name="Normal 2 10 28" xfId="27836"/>
    <cellStyle name="Normal 2 10 28 2" xfId="27837"/>
    <cellStyle name="Normal 2 10 29" xfId="27838"/>
    <cellStyle name="Normal 2 10 29 2" xfId="27839"/>
    <cellStyle name="Normal 2 10 3" xfId="27840"/>
    <cellStyle name="Normal 2 10 3 2" xfId="27841"/>
    <cellStyle name="Normal 2 10 3 3" xfId="27842"/>
    <cellStyle name="Normal 2 10 30" xfId="27843"/>
    <cellStyle name="Normal 2 10 30 2" xfId="27844"/>
    <cellStyle name="Normal 2 10 31" xfId="27845"/>
    <cellStyle name="Normal 2 10 31 2" xfId="27846"/>
    <cellStyle name="Normal 2 10 32" xfId="27847"/>
    <cellStyle name="Normal 2 10 32 2" xfId="27848"/>
    <cellStyle name="Normal 2 10 33" xfId="27849"/>
    <cellStyle name="Normal 2 10 33 2" xfId="27850"/>
    <cellStyle name="Normal 2 10 34" xfId="27851"/>
    <cellStyle name="Normal 2 10 34 2" xfId="27852"/>
    <cellStyle name="Normal 2 10 35" xfId="27853"/>
    <cellStyle name="Normal 2 10 35 2" xfId="27854"/>
    <cellStyle name="Normal 2 10 36" xfId="27855"/>
    <cellStyle name="Normal 2 10 36 2" xfId="27856"/>
    <cellStyle name="Normal 2 10 37" xfId="27857"/>
    <cellStyle name="Normal 2 10 37 2" xfId="27858"/>
    <cellStyle name="Normal 2 10 38" xfId="27859"/>
    <cellStyle name="Normal 2 10 38 2" xfId="27860"/>
    <cellStyle name="Normal 2 10 39" xfId="27861"/>
    <cellStyle name="Normal 2 10 39 2" xfId="27862"/>
    <cellStyle name="Normal 2 10 4" xfId="27863"/>
    <cellStyle name="Normal 2 10 4 2" xfId="27864"/>
    <cellStyle name="Normal 2 10 4 3" xfId="27865"/>
    <cellStyle name="Normal 2 10 40" xfId="27866"/>
    <cellStyle name="Normal 2 10 40 2" xfId="27867"/>
    <cellStyle name="Normal 2 10 41" xfId="27868"/>
    <cellStyle name="Normal 2 10 41 2" xfId="27869"/>
    <cellStyle name="Normal 2 10 42" xfId="27870"/>
    <cellStyle name="Normal 2 10 42 2" xfId="27871"/>
    <cellStyle name="Normal 2 10 43" xfId="27872"/>
    <cellStyle name="Normal 2 10 43 2" xfId="27873"/>
    <cellStyle name="Normal 2 10 44" xfId="27874"/>
    <cellStyle name="Normal 2 10 44 2" xfId="27875"/>
    <cellStyle name="Normal 2 10 45" xfId="27876"/>
    <cellStyle name="Normal 2 10 45 2" xfId="27877"/>
    <cellStyle name="Normal 2 10 46" xfId="27878"/>
    <cellStyle name="Normal 2 10 46 2" xfId="27879"/>
    <cellStyle name="Normal 2 10 47" xfId="27880"/>
    <cellStyle name="Normal 2 10 48" xfId="27881"/>
    <cellStyle name="Normal 2 10 49" xfId="27882"/>
    <cellStyle name="Normal 2 10 5" xfId="27883"/>
    <cellStyle name="Normal 2 10 5 2" xfId="27884"/>
    <cellStyle name="Normal 2 10 5 3" xfId="27885"/>
    <cellStyle name="Normal 2 10 50" xfId="27886"/>
    <cellStyle name="Normal 2 10 51" xfId="27887"/>
    <cellStyle name="Normal 2 10 52" xfId="27888"/>
    <cellStyle name="Normal 2 10 53" xfId="27889"/>
    <cellStyle name="Normal 2 10 54" xfId="27890"/>
    <cellStyle name="Normal 2 10 55" xfId="27891"/>
    <cellStyle name="Normal 2 10 56" xfId="27892"/>
    <cellStyle name="Normal 2 10 57" xfId="27893"/>
    <cellStyle name="Normal 2 10 58" xfId="27894"/>
    <cellStyle name="Normal 2 10 59" xfId="27895"/>
    <cellStyle name="Normal 2 10 6" xfId="27896"/>
    <cellStyle name="Normal 2 10 6 2" xfId="27897"/>
    <cellStyle name="Normal 2 10 6 3" xfId="27898"/>
    <cellStyle name="Normal 2 10 60" xfId="27899"/>
    <cellStyle name="Normal 2 10 61" xfId="27900"/>
    <cellStyle name="Normal 2 10 62" xfId="27901"/>
    <cellStyle name="Normal 2 10 63" xfId="27902"/>
    <cellStyle name="Normal 2 10 64" xfId="27903"/>
    <cellStyle name="Normal 2 10 65" xfId="27904"/>
    <cellStyle name="Normal 2 10 66" xfId="27905"/>
    <cellStyle name="Normal 2 10 67" xfId="27906"/>
    <cellStyle name="Normal 2 10 68" xfId="27907"/>
    <cellStyle name="Normal 2 10 69" xfId="27908"/>
    <cellStyle name="Normal 2 10 7" xfId="27909"/>
    <cellStyle name="Normal 2 10 7 2" xfId="27910"/>
    <cellStyle name="Normal 2 10 7 3" xfId="27911"/>
    <cellStyle name="Normal 2 10 70" xfId="27912"/>
    <cellStyle name="Normal 2 10 71" xfId="27913"/>
    <cellStyle name="Normal 2 10 72" xfId="27914"/>
    <cellStyle name="Normal 2 10 73" xfId="27915"/>
    <cellStyle name="Normal 2 10 74" xfId="27916"/>
    <cellStyle name="Normal 2 10 75" xfId="27917"/>
    <cellStyle name="Normal 2 10 76" xfId="27918"/>
    <cellStyle name="Normal 2 10 77" xfId="27919"/>
    <cellStyle name="Normal 2 10 78" xfId="27920"/>
    <cellStyle name="Normal 2 10 79" xfId="27921"/>
    <cellStyle name="Normal 2 10 8" xfId="27922"/>
    <cellStyle name="Normal 2 10 8 2" xfId="27923"/>
    <cellStyle name="Normal 2 10 80" xfId="27924"/>
    <cellStyle name="Normal 2 10 81" xfId="27925"/>
    <cellStyle name="Normal 2 10 82" xfId="27926"/>
    <cellStyle name="Normal 2 10 83" xfId="27927"/>
    <cellStyle name="Normal 2 10 84" xfId="27928"/>
    <cellStyle name="Normal 2 10 85" xfId="27929"/>
    <cellStyle name="Normal 2 10 86" xfId="27930"/>
    <cellStyle name="Normal 2 10 87" xfId="27931"/>
    <cellStyle name="Normal 2 10 88" xfId="27932"/>
    <cellStyle name="Normal 2 10 89" xfId="27933"/>
    <cellStyle name="Normal 2 10 9" xfId="27934"/>
    <cellStyle name="Normal 2 10 9 2" xfId="27935"/>
    <cellStyle name="Normal 2 10 90" xfId="27936"/>
    <cellStyle name="Normal 2 10 91" xfId="27937"/>
    <cellStyle name="Normal 2 10 92" xfId="27938"/>
    <cellStyle name="Normal 2 10 93" xfId="27939"/>
    <cellStyle name="Normal 2 10 94" xfId="27940"/>
    <cellStyle name="Normal 2 10 95" xfId="27941"/>
    <cellStyle name="Normal 2 10 96" xfId="27942"/>
    <cellStyle name="Normal 2 10 97" xfId="27943"/>
    <cellStyle name="Normal 2 10 98" xfId="27944"/>
    <cellStyle name="Normal 2 10 99" xfId="27945"/>
    <cellStyle name="Normal 2 100" xfId="27946"/>
    <cellStyle name="Normal 2 101" xfId="27947"/>
    <cellStyle name="Normal 2 102" xfId="27948"/>
    <cellStyle name="Normal 2 103" xfId="27949"/>
    <cellStyle name="Normal 2 104" xfId="27950"/>
    <cellStyle name="Normal 2 105" xfId="27951"/>
    <cellStyle name="Normal 2 106" xfId="27952"/>
    <cellStyle name="Normal 2 107" xfId="27953"/>
    <cellStyle name="Normal 2 108" xfId="27954"/>
    <cellStyle name="Normal 2 109" xfId="27955"/>
    <cellStyle name="Normal 2 11" xfId="1635"/>
    <cellStyle name="Normal 2 11 10" xfId="27956"/>
    <cellStyle name="Normal 2 11 10 2" xfId="27957"/>
    <cellStyle name="Normal 2 11 100" xfId="27958"/>
    <cellStyle name="Normal 2 11 101" xfId="27959"/>
    <cellStyle name="Normal 2 11 102" xfId="27960"/>
    <cellStyle name="Normal 2 11 11" xfId="27961"/>
    <cellStyle name="Normal 2 11 11 2" xfId="27962"/>
    <cellStyle name="Normal 2 11 12" xfId="27963"/>
    <cellStyle name="Normal 2 11 12 2" xfId="27964"/>
    <cellStyle name="Normal 2 11 13" xfId="27965"/>
    <cellStyle name="Normal 2 11 13 2" xfId="27966"/>
    <cellStyle name="Normal 2 11 14" xfId="27967"/>
    <cellStyle name="Normal 2 11 14 2" xfId="27968"/>
    <cellStyle name="Normal 2 11 15" xfId="27969"/>
    <cellStyle name="Normal 2 11 15 2" xfId="27970"/>
    <cellStyle name="Normal 2 11 16" xfId="27971"/>
    <cellStyle name="Normal 2 11 16 2" xfId="27972"/>
    <cellStyle name="Normal 2 11 17" xfId="27973"/>
    <cellStyle name="Normal 2 11 17 2" xfId="27974"/>
    <cellStyle name="Normal 2 11 18" xfId="27975"/>
    <cellStyle name="Normal 2 11 18 2" xfId="27976"/>
    <cellStyle name="Normal 2 11 19" xfId="27977"/>
    <cellStyle name="Normal 2 11 19 2" xfId="27978"/>
    <cellStyle name="Normal 2 11 2" xfId="27979"/>
    <cellStyle name="Normal 2 11 2 2" xfId="27980"/>
    <cellStyle name="Normal 2 11 2 3" xfId="27981"/>
    <cellStyle name="Normal 2 11 20" xfId="27982"/>
    <cellStyle name="Normal 2 11 20 2" xfId="27983"/>
    <cellStyle name="Normal 2 11 21" xfId="27984"/>
    <cellStyle name="Normal 2 11 21 2" xfId="27985"/>
    <cellStyle name="Normal 2 11 22" xfId="27986"/>
    <cellStyle name="Normal 2 11 22 2" xfId="27987"/>
    <cellStyle name="Normal 2 11 23" xfId="27988"/>
    <cellStyle name="Normal 2 11 23 2" xfId="27989"/>
    <cellStyle name="Normal 2 11 24" xfId="27990"/>
    <cellStyle name="Normal 2 11 24 2" xfId="27991"/>
    <cellStyle name="Normal 2 11 25" xfId="27992"/>
    <cellStyle name="Normal 2 11 25 2" xfId="27993"/>
    <cellStyle name="Normal 2 11 26" xfId="27994"/>
    <cellStyle name="Normal 2 11 26 2" xfId="27995"/>
    <cellStyle name="Normal 2 11 27" xfId="27996"/>
    <cellStyle name="Normal 2 11 27 2" xfId="27997"/>
    <cellStyle name="Normal 2 11 28" xfId="27998"/>
    <cellStyle name="Normal 2 11 28 2" xfId="27999"/>
    <cellStyle name="Normal 2 11 29" xfId="28000"/>
    <cellStyle name="Normal 2 11 29 2" xfId="28001"/>
    <cellStyle name="Normal 2 11 3" xfId="28002"/>
    <cellStyle name="Normal 2 11 3 2" xfId="28003"/>
    <cellStyle name="Normal 2 11 3 3" xfId="28004"/>
    <cellStyle name="Normal 2 11 30" xfId="28005"/>
    <cellStyle name="Normal 2 11 30 2" xfId="28006"/>
    <cellStyle name="Normal 2 11 31" xfId="28007"/>
    <cellStyle name="Normal 2 11 31 2" xfId="28008"/>
    <cellStyle name="Normal 2 11 32" xfId="28009"/>
    <cellStyle name="Normal 2 11 32 2" xfId="28010"/>
    <cellStyle name="Normal 2 11 33" xfId="28011"/>
    <cellStyle name="Normal 2 11 33 2" xfId="28012"/>
    <cellStyle name="Normal 2 11 34" xfId="28013"/>
    <cellStyle name="Normal 2 11 34 2" xfId="28014"/>
    <cellStyle name="Normal 2 11 35" xfId="28015"/>
    <cellStyle name="Normal 2 11 35 2" xfId="28016"/>
    <cellStyle name="Normal 2 11 36" xfId="28017"/>
    <cellStyle name="Normal 2 11 36 2" xfId="28018"/>
    <cellStyle name="Normal 2 11 37" xfId="28019"/>
    <cellStyle name="Normal 2 11 37 2" xfId="28020"/>
    <cellStyle name="Normal 2 11 38" xfId="28021"/>
    <cellStyle name="Normal 2 11 38 2" xfId="28022"/>
    <cellStyle name="Normal 2 11 39" xfId="28023"/>
    <cellStyle name="Normal 2 11 39 2" xfId="28024"/>
    <cellStyle name="Normal 2 11 4" xfId="28025"/>
    <cellStyle name="Normal 2 11 4 2" xfId="28026"/>
    <cellStyle name="Normal 2 11 4 3" xfId="28027"/>
    <cellStyle name="Normal 2 11 40" xfId="28028"/>
    <cellStyle name="Normal 2 11 40 2" xfId="28029"/>
    <cellStyle name="Normal 2 11 41" xfId="28030"/>
    <cellStyle name="Normal 2 11 41 2" xfId="28031"/>
    <cellStyle name="Normal 2 11 42" xfId="28032"/>
    <cellStyle name="Normal 2 11 42 2" xfId="28033"/>
    <cellStyle name="Normal 2 11 43" xfId="28034"/>
    <cellStyle name="Normal 2 11 43 2" xfId="28035"/>
    <cellStyle name="Normal 2 11 44" xfId="28036"/>
    <cellStyle name="Normal 2 11 44 2" xfId="28037"/>
    <cellStyle name="Normal 2 11 45" xfId="28038"/>
    <cellStyle name="Normal 2 11 46" xfId="28039"/>
    <cellStyle name="Normal 2 11 47" xfId="28040"/>
    <cellStyle name="Normal 2 11 48" xfId="28041"/>
    <cellStyle name="Normal 2 11 49" xfId="28042"/>
    <cellStyle name="Normal 2 11 5" xfId="28043"/>
    <cellStyle name="Normal 2 11 5 2" xfId="28044"/>
    <cellStyle name="Normal 2 11 5 3" xfId="28045"/>
    <cellStyle name="Normal 2 11 50" xfId="28046"/>
    <cellStyle name="Normal 2 11 51" xfId="28047"/>
    <cellStyle name="Normal 2 11 52" xfId="28048"/>
    <cellStyle name="Normal 2 11 53" xfId="28049"/>
    <cellStyle name="Normal 2 11 54" xfId="28050"/>
    <cellStyle name="Normal 2 11 55" xfId="28051"/>
    <cellStyle name="Normal 2 11 56" xfId="28052"/>
    <cellStyle name="Normal 2 11 57" xfId="28053"/>
    <cellStyle name="Normal 2 11 58" xfId="28054"/>
    <cellStyle name="Normal 2 11 59" xfId="28055"/>
    <cellStyle name="Normal 2 11 6" xfId="28056"/>
    <cellStyle name="Normal 2 11 6 2" xfId="28057"/>
    <cellStyle name="Normal 2 11 6 3" xfId="28058"/>
    <cellStyle name="Normal 2 11 60" xfId="28059"/>
    <cellStyle name="Normal 2 11 61" xfId="28060"/>
    <cellStyle name="Normal 2 11 62" xfId="28061"/>
    <cellStyle name="Normal 2 11 63" xfId="28062"/>
    <cellStyle name="Normal 2 11 64" xfId="28063"/>
    <cellStyle name="Normal 2 11 65" xfId="28064"/>
    <cellStyle name="Normal 2 11 66" xfId="28065"/>
    <cellStyle name="Normal 2 11 67" xfId="28066"/>
    <cellStyle name="Normal 2 11 68" xfId="28067"/>
    <cellStyle name="Normal 2 11 69" xfId="28068"/>
    <cellStyle name="Normal 2 11 7" xfId="28069"/>
    <cellStyle name="Normal 2 11 7 2" xfId="28070"/>
    <cellStyle name="Normal 2 11 70" xfId="28071"/>
    <cellStyle name="Normal 2 11 71" xfId="28072"/>
    <cellStyle name="Normal 2 11 72" xfId="28073"/>
    <cellStyle name="Normal 2 11 73" xfId="28074"/>
    <cellStyle name="Normal 2 11 74" xfId="28075"/>
    <cellStyle name="Normal 2 11 75" xfId="28076"/>
    <cellStyle name="Normal 2 11 76" xfId="28077"/>
    <cellStyle name="Normal 2 11 77" xfId="28078"/>
    <cellStyle name="Normal 2 11 78" xfId="28079"/>
    <cellStyle name="Normal 2 11 79" xfId="28080"/>
    <cellStyle name="Normal 2 11 8" xfId="28081"/>
    <cellStyle name="Normal 2 11 8 2" xfId="28082"/>
    <cellStyle name="Normal 2 11 80" xfId="28083"/>
    <cellStyle name="Normal 2 11 81" xfId="28084"/>
    <cellStyle name="Normal 2 11 82" xfId="28085"/>
    <cellStyle name="Normal 2 11 83" xfId="28086"/>
    <cellStyle name="Normal 2 11 84" xfId="28087"/>
    <cellStyle name="Normal 2 11 85" xfId="28088"/>
    <cellStyle name="Normal 2 11 86" xfId="28089"/>
    <cellStyle name="Normal 2 11 87" xfId="28090"/>
    <cellStyle name="Normal 2 11 88" xfId="28091"/>
    <cellStyle name="Normal 2 11 89" xfId="28092"/>
    <cellStyle name="Normal 2 11 9" xfId="28093"/>
    <cellStyle name="Normal 2 11 9 2" xfId="28094"/>
    <cellStyle name="Normal 2 11 90" xfId="28095"/>
    <cellStyle name="Normal 2 11 91" xfId="28096"/>
    <cellStyle name="Normal 2 11 92" xfId="28097"/>
    <cellStyle name="Normal 2 11 93" xfId="28098"/>
    <cellStyle name="Normal 2 11 94" xfId="28099"/>
    <cellStyle name="Normal 2 11 95" xfId="28100"/>
    <cellStyle name="Normal 2 11 96" xfId="28101"/>
    <cellStyle name="Normal 2 11 97" xfId="28102"/>
    <cellStyle name="Normal 2 11 98" xfId="28103"/>
    <cellStyle name="Normal 2 11 99" xfId="28104"/>
    <cellStyle name="Normal 2 110" xfId="28105"/>
    <cellStyle name="Normal 2 111" xfId="28106"/>
    <cellStyle name="Normal 2 112" xfId="28107"/>
    <cellStyle name="Normal 2 113" xfId="28108"/>
    <cellStyle name="Normal 2 114" xfId="28109"/>
    <cellStyle name="Normal 2 115" xfId="28110"/>
    <cellStyle name="Normal 2 116" xfId="28111"/>
    <cellStyle name="Normal 2 117" xfId="28112"/>
    <cellStyle name="Normal 2 118" xfId="28113"/>
    <cellStyle name="Normal 2 119" xfId="28114"/>
    <cellStyle name="Normal 2 12" xfId="1633"/>
    <cellStyle name="Normal 2 12 10" xfId="28115"/>
    <cellStyle name="Normal 2 12 10 2" xfId="28116"/>
    <cellStyle name="Normal 2 12 100" xfId="28117"/>
    <cellStyle name="Normal 2 12 101" xfId="28118"/>
    <cellStyle name="Normal 2 12 102" xfId="28119"/>
    <cellStyle name="Normal 2 12 11" xfId="28120"/>
    <cellStyle name="Normal 2 12 11 2" xfId="28121"/>
    <cellStyle name="Normal 2 12 12" xfId="28122"/>
    <cellStyle name="Normal 2 12 12 2" xfId="28123"/>
    <cellStyle name="Normal 2 12 13" xfId="28124"/>
    <cellStyle name="Normal 2 12 13 2" xfId="28125"/>
    <cellStyle name="Normal 2 12 14" xfId="28126"/>
    <cellStyle name="Normal 2 12 14 2" xfId="28127"/>
    <cellStyle name="Normal 2 12 15" xfId="28128"/>
    <cellStyle name="Normal 2 12 15 2" xfId="28129"/>
    <cellStyle name="Normal 2 12 16" xfId="28130"/>
    <cellStyle name="Normal 2 12 16 2" xfId="28131"/>
    <cellStyle name="Normal 2 12 17" xfId="28132"/>
    <cellStyle name="Normal 2 12 17 2" xfId="28133"/>
    <cellStyle name="Normal 2 12 18" xfId="28134"/>
    <cellStyle name="Normal 2 12 18 2" xfId="28135"/>
    <cellStyle name="Normal 2 12 19" xfId="28136"/>
    <cellStyle name="Normal 2 12 19 2" xfId="28137"/>
    <cellStyle name="Normal 2 12 2" xfId="28138"/>
    <cellStyle name="Normal 2 12 2 2" xfId="28139"/>
    <cellStyle name="Normal 2 12 2 3" xfId="28140"/>
    <cellStyle name="Normal 2 12 20" xfId="28141"/>
    <cellStyle name="Normal 2 12 20 2" xfId="28142"/>
    <cellStyle name="Normal 2 12 21" xfId="28143"/>
    <cellStyle name="Normal 2 12 21 2" xfId="28144"/>
    <cellStyle name="Normal 2 12 22" xfId="28145"/>
    <cellStyle name="Normal 2 12 22 2" xfId="28146"/>
    <cellStyle name="Normal 2 12 23" xfId="28147"/>
    <cellStyle name="Normal 2 12 23 2" xfId="28148"/>
    <cellStyle name="Normal 2 12 24" xfId="28149"/>
    <cellStyle name="Normal 2 12 24 2" xfId="28150"/>
    <cellStyle name="Normal 2 12 25" xfId="28151"/>
    <cellStyle name="Normal 2 12 25 2" xfId="28152"/>
    <cellStyle name="Normal 2 12 26" xfId="28153"/>
    <cellStyle name="Normal 2 12 26 2" xfId="28154"/>
    <cellStyle name="Normal 2 12 27" xfId="28155"/>
    <cellStyle name="Normal 2 12 27 2" xfId="28156"/>
    <cellStyle name="Normal 2 12 28" xfId="28157"/>
    <cellStyle name="Normal 2 12 28 2" xfId="28158"/>
    <cellStyle name="Normal 2 12 29" xfId="28159"/>
    <cellStyle name="Normal 2 12 29 2" xfId="28160"/>
    <cellStyle name="Normal 2 12 3" xfId="28161"/>
    <cellStyle name="Normal 2 12 3 2" xfId="28162"/>
    <cellStyle name="Normal 2 12 3 3" xfId="28163"/>
    <cellStyle name="Normal 2 12 30" xfId="28164"/>
    <cellStyle name="Normal 2 12 30 2" xfId="28165"/>
    <cellStyle name="Normal 2 12 31" xfId="28166"/>
    <cellStyle name="Normal 2 12 31 2" xfId="28167"/>
    <cellStyle name="Normal 2 12 32" xfId="28168"/>
    <cellStyle name="Normal 2 12 32 2" xfId="28169"/>
    <cellStyle name="Normal 2 12 33" xfId="28170"/>
    <cellStyle name="Normal 2 12 33 2" xfId="28171"/>
    <cellStyle name="Normal 2 12 34" xfId="28172"/>
    <cellStyle name="Normal 2 12 34 2" xfId="28173"/>
    <cellStyle name="Normal 2 12 35" xfId="28174"/>
    <cellStyle name="Normal 2 12 35 2" xfId="28175"/>
    <cellStyle name="Normal 2 12 36" xfId="28176"/>
    <cellStyle name="Normal 2 12 36 2" xfId="28177"/>
    <cellStyle name="Normal 2 12 37" xfId="28178"/>
    <cellStyle name="Normal 2 12 37 2" xfId="28179"/>
    <cellStyle name="Normal 2 12 38" xfId="28180"/>
    <cellStyle name="Normal 2 12 38 2" xfId="28181"/>
    <cellStyle name="Normal 2 12 39" xfId="28182"/>
    <cellStyle name="Normal 2 12 39 2" xfId="28183"/>
    <cellStyle name="Normal 2 12 4" xfId="28184"/>
    <cellStyle name="Normal 2 12 4 2" xfId="28185"/>
    <cellStyle name="Normal 2 12 4 3" xfId="28186"/>
    <cellStyle name="Normal 2 12 40" xfId="28187"/>
    <cellStyle name="Normal 2 12 40 2" xfId="28188"/>
    <cellStyle name="Normal 2 12 41" xfId="28189"/>
    <cellStyle name="Normal 2 12 41 2" xfId="28190"/>
    <cellStyle name="Normal 2 12 42" xfId="28191"/>
    <cellStyle name="Normal 2 12 42 2" xfId="28192"/>
    <cellStyle name="Normal 2 12 43" xfId="28193"/>
    <cellStyle name="Normal 2 12 43 2" xfId="28194"/>
    <cellStyle name="Normal 2 12 44" xfId="28195"/>
    <cellStyle name="Normal 2 12 44 2" xfId="28196"/>
    <cellStyle name="Normal 2 12 45" xfId="28197"/>
    <cellStyle name="Normal 2 12 46" xfId="28198"/>
    <cellStyle name="Normal 2 12 47" xfId="28199"/>
    <cellStyle name="Normal 2 12 48" xfId="28200"/>
    <cellStyle name="Normal 2 12 49" xfId="28201"/>
    <cellStyle name="Normal 2 12 5" xfId="28202"/>
    <cellStyle name="Normal 2 12 5 2" xfId="28203"/>
    <cellStyle name="Normal 2 12 5 3" xfId="28204"/>
    <cellStyle name="Normal 2 12 50" xfId="28205"/>
    <cellStyle name="Normal 2 12 51" xfId="28206"/>
    <cellStyle name="Normal 2 12 52" xfId="28207"/>
    <cellStyle name="Normal 2 12 53" xfId="28208"/>
    <cellStyle name="Normal 2 12 54" xfId="28209"/>
    <cellStyle name="Normal 2 12 55" xfId="28210"/>
    <cellStyle name="Normal 2 12 56" xfId="28211"/>
    <cellStyle name="Normal 2 12 57" xfId="28212"/>
    <cellStyle name="Normal 2 12 58" xfId="28213"/>
    <cellStyle name="Normal 2 12 59" xfId="28214"/>
    <cellStyle name="Normal 2 12 6" xfId="28215"/>
    <cellStyle name="Normal 2 12 6 2" xfId="28216"/>
    <cellStyle name="Normal 2 12 60" xfId="28217"/>
    <cellStyle name="Normal 2 12 61" xfId="28218"/>
    <cellStyle name="Normal 2 12 62" xfId="28219"/>
    <cellStyle name="Normal 2 12 63" xfId="28220"/>
    <cellStyle name="Normal 2 12 64" xfId="28221"/>
    <cellStyle name="Normal 2 12 65" xfId="28222"/>
    <cellStyle name="Normal 2 12 66" xfId="28223"/>
    <cellStyle name="Normal 2 12 67" xfId="28224"/>
    <cellStyle name="Normal 2 12 68" xfId="28225"/>
    <cellStyle name="Normal 2 12 69" xfId="28226"/>
    <cellStyle name="Normal 2 12 7" xfId="28227"/>
    <cellStyle name="Normal 2 12 7 2" xfId="28228"/>
    <cellStyle name="Normal 2 12 70" xfId="28229"/>
    <cellStyle name="Normal 2 12 71" xfId="28230"/>
    <cellStyle name="Normal 2 12 72" xfId="28231"/>
    <cellStyle name="Normal 2 12 73" xfId="28232"/>
    <cellStyle name="Normal 2 12 74" xfId="28233"/>
    <cellStyle name="Normal 2 12 75" xfId="28234"/>
    <cellStyle name="Normal 2 12 76" xfId="28235"/>
    <cellStyle name="Normal 2 12 77" xfId="28236"/>
    <cellStyle name="Normal 2 12 78" xfId="28237"/>
    <cellStyle name="Normal 2 12 79" xfId="28238"/>
    <cellStyle name="Normal 2 12 8" xfId="28239"/>
    <cellStyle name="Normal 2 12 8 2" xfId="28240"/>
    <cellStyle name="Normal 2 12 80" xfId="28241"/>
    <cellStyle name="Normal 2 12 81" xfId="28242"/>
    <cellStyle name="Normal 2 12 82" xfId="28243"/>
    <cellStyle name="Normal 2 12 83" xfId="28244"/>
    <cellStyle name="Normal 2 12 84" xfId="28245"/>
    <cellStyle name="Normal 2 12 85" xfId="28246"/>
    <cellStyle name="Normal 2 12 86" xfId="28247"/>
    <cellStyle name="Normal 2 12 87" xfId="28248"/>
    <cellStyle name="Normal 2 12 88" xfId="28249"/>
    <cellStyle name="Normal 2 12 89" xfId="28250"/>
    <cellStyle name="Normal 2 12 9" xfId="28251"/>
    <cellStyle name="Normal 2 12 9 2" xfId="28252"/>
    <cellStyle name="Normal 2 12 90" xfId="28253"/>
    <cellStyle name="Normal 2 12 91" xfId="28254"/>
    <cellStyle name="Normal 2 12 92" xfId="28255"/>
    <cellStyle name="Normal 2 12 93" xfId="28256"/>
    <cellStyle name="Normal 2 12 94" xfId="28257"/>
    <cellStyle name="Normal 2 12 95" xfId="28258"/>
    <cellStyle name="Normal 2 12 96" xfId="28259"/>
    <cellStyle name="Normal 2 12 97" xfId="28260"/>
    <cellStyle name="Normal 2 12 98" xfId="28261"/>
    <cellStyle name="Normal 2 12 99" xfId="28262"/>
    <cellStyle name="Normal 2 120" xfId="28263"/>
    <cellStyle name="Normal 2 121" xfId="28264"/>
    <cellStyle name="Normal 2 122" xfId="28265"/>
    <cellStyle name="Normal 2 123" xfId="28266"/>
    <cellStyle name="Normal 2 124" xfId="28267"/>
    <cellStyle name="Normal 2 125" xfId="28268"/>
    <cellStyle name="Normal 2 126" xfId="28269"/>
    <cellStyle name="Normal 2 13" xfId="1771"/>
    <cellStyle name="Normal 2 13 2" xfId="28270"/>
    <cellStyle name="Normal 2 13 3" xfId="28271"/>
    <cellStyle name="Normal 2 13 4" xfId="28272"/>
    <cellStyle name="Normal 2 14" xfId="1807"/>
    <cellStyle name="Normal 2 14 2" xfId="28273"/>
    <cellStyle name="Normal 2 14 3" xfId="28274"/>
    <cellStyle name="Normal 2 14 4" xfId="28275"/>
    <cellStyle name="Normal 2 15" xfId="28276"/>
    <cellStyle name="Normal 2 15 2" xfId="28277"/>
    <cellStyle name="Normal 2 15 3" xfId="28278"/>
    <cellStyle name="Normal 2 16" xfId="28279"/>
    <cellStyle name="Normal 2 16 2" xfId="28280"/>
    <cellStyle name="Normal 2 16 3" xfId="28281"/>
    <cellStyle name="Normal 2 17" xfId="28282"/>
    <cellStyle name="Normal 2 17 2" xfId="28283"/>
    <cellStyle name="Normal 2 17 3" xfId="28284"/>
    <cellStyle name="Normal 2 18" xfId="28285"/>
    <cellStyle name="Normal 2 18 2" xfId="28286"/>
    <cellStyle name="Normal 2 19" xfId="28287"/>
    <cellStyle name="Normal 2 19 2" xfId="28288"/>
    <cellStyle name="Normal 2 2" xfId="339"/>
    <cellStyle name="Normal 2 2 10" xfId="28289"/>
    <cellStyle name="Normal 2 2 2" xfId="440"/>
    <cellStyle name="Normal 2 2 2 2" xfId="1638"/>
    <cellStyle name="Normal 2 2 2 2 2" xfId="28290"/>
    <cellStyle name="Normal 2 2 2 3" xfId="1637"/>
    <cellStyle name="Normal 2 2 2 3 2" xfId="28291"/>
    <cellStyle name="Normal 2 2 2 4" xfId="28292"/>
    <cellStyle name="Normal 2 2 3" xfId="587"/>
    <cellStyle name="Normal 2 2 3 2" xfId="1640"/>
    <cellStyle name="Normal 2 2 3 2 2" xfId="28293"/>
    <cellStyle name="Normal 2 2 3 3" xfId="1639"/>
    <cellStyle name="Normal 2 2 3 3 2" xfId="28294"/>
    <cellStyle name="Normal 2 2 3 4" xfId="28295"/>
    <cellStyle name="Normal 2 2 4" xfId="711"/>
    <cellStyle name="Normal 2 2 4 2" xfId="1641"/>
    <cellStyle name="Normal 2 2 4 3" xfId="28296"/>
    <cellStyle name="Normal 2 2 5" xfId="771"/>
    <cellStyle name="Normal 2 2 5 2" xfId="1642"/>
    <cellStyle name="Normal 2 2 5 3" xfId="28297"/>
    <cellStyle name="Normal 2 2 6" xfId="923"/>
    <cellStyle name="Normal 2 2 6 2" xfId="1643"/>
    <cellStyle name="Normal 2 2 6 3" xfId="28298"/>
    <cellStyle name="Normal 2 2 7" xfId="1359"/>
    <cellStyle name="Normal 2 2 7 2" xfId="28299"/>
    <cellStyle name="Normal 2 2 8" xfId="1636"/>
    <cellStyle name="Normal 2 2 9" xfId="2003"/>
    <cellStyle name="Normal 2 20" xfId="28300"/>
    <cellStyle name="Normal 2 20 2" xfId="28301"/>
    <cellStyle name="Normal 2 21" xfId="28302"/>
    <cellStyle name="Normal 2 21 2" xfId="28303"/>
    <cellStyle name="Normal 2 22" xfId="28304"/>
    <cellStyle name="Normal 2 22 2" xfId="28305"/>
    <cellStyle name="Normal 2 23" xfId="28306"/>
    <cellStyle name="Normal 2 23 2" xfId="28307"/>
    <cellStyle name="Normal 2 24" xfId="28308"/>
    <cellStyle name="Normal 2 24 2" xfId="28309"/>
    <cellStyle name="Normal 2 25" xfId="28310"/>
    <cellStyle name="Normal 2 25 2" xfId="28311"/>
    <cellStyle name="Normal 2 26" xfId="28312"/>
    <cellStyle name="Normal 2 26 2" xfId="28313"/>
    <cellStyle name="Normal 2 27" xfId="28314"/>
    <cellStyle name="Normal 2 27 2" xfId="28315"/>
    <cellStyle name="Normal 2 28" xfId="28316"/>
    <cellStyle name="Normal 2 28 2" xfId="28317"/>
    <cellStyle name="Normal 2 29" xfId="28318"/>
    <cellStyle name="Normal 2 29 2" xfId="28319"/>
    <cellStyle name="Normal 2 3" xfId="1222"/>
    <cellStyle name="Normal 2 3 10" xfId="28320"/>
    <cellStyle name="Normal 2 3 11" xfId="28321"/>
    <cellStyle name="Normal 2 3 12" xfId="28322"/>
    <cellStyle name="Normal 2 3 2" xfId="1645"/>
    <cellStyle name="Normal 2 3 2 2" xfId="1646"/>
    <cellStyle name="Normal 2 3 2 2 2" xfId="28323"/>
    <cellStyle name="Normal 2 3 2 2 3" xfId="28324"/>
    <cellStyle name="Normal 2 3 2 2 4" xfId="28325"/>
    <cellStyle name="Normal 2 3 2 3" xfId="28326"/>
    <cellStyle name="Normal 2 3 2 4" xfId="28327"/>
    <cellStyle name="Normal 2 3 2 5" xfId="28328"/>
    <cellStyle name="Normal 2 3 2 6" xfId="28329"/>
    <cellStyle name="Normal 2 3 2 7" xfId="28330"/>
    <cellStyle name="Normal 2 3 2 8" xfId="28331"/>
    <cellStyle name="Normal 2 3 2 9" xfId="28332"/>
    <cellStyle name="Normal 2 3 3" xfId="1647"/>
    <cellStyle name="Normal 2 3 3 2" xfId="1648"/>
    <cellStyle name="Normal 2 3 3 2 2" xfId="28333"/>
    <cellStyle name="Normal 2 3 3 2 3" xfId="28334"/>
    <cellStyle name="Normal 2 3 3 3" xfId="28335"/>
    <cellStyle name="Normal 2 3 3 4" xfId="28336"/>
    <cellStyle name="Normal 2 3 3 5" xfId="28337"/>
    <cellStyle name="Normal 2 3 3 6" xfId="28338"/>
    <cellStyle name="Normal 2 3 3 7" xfId="28339"/>
    <cellStyle name="Normal 2 3 3 8" xfId="28340"/>
    <cellStyle name="Normal 2 3 4" xfId="1649"/>
    <cellStyle name="Normal 2 3 4 2" xfId="28341"/>
    <cellStyle name="Normal 2 3 4 3" xfId="28342"/>
    <cellStyle name="Normal 2 3 4 4" xfId="28343"/>
    <cellStyle name="Normal 2 3 5" xfId="1650"/>
    <cellStyle name="Normal 2 3 5 2" xfId="28344"/>
    <cellStyle name="Normal 2 3 5 3" xfId="28345"/>
    <cellStyle name="Normal 2 3 6" xfId="1651"/>
    <cellStyle name="Normal 2 3 6 2" xfId="28346"/>
    <cellStyle name="Normal 2 3 6 3" xfId="28347"/>
    <cellStyle name="Normal 2 3 7" xfId="1644"/>
    <cellStyle name="Normal 2 3 7 2" xfId="28348"/>
    <cellStyle name="Normal 2 3 8" xfId="2126"/>
    <cellStyle name="Normal 2 3 8 2" xfId="28349"/>
    <cellStyle name="Normal 2 3 9" xfId="28350"/>
    <cellStyle name="Normal 2 30" xfId="28351"/>
    <cellStyle name="Normal 2 30 2" xfId="28352"/>
    <cellStyle name="Normal 2 31" xfId="28353"/>
    <cellStyle name="Normal 2 31 2" xfId="28354"/>
    <cellStyle name="Normal 2 32" xfId="28355"/>
    <cellStyle name="Normal 2 32 2" xfId="28356"/>
    <cellStyle name="Normal 2 33" xfId="28357"/>
    <cellStyle name="Normal 2 33 2" xfId="28358"/>
    <cellStyle name="Normal 2 34" xfId="28359"/>
    <cellStyle name="Normal 2 34 2" xfId="28360"/>
    <cellStyle name="Normal 2 35" xfId="28361"/>
    <cellStyle name="Normal 2 35 2" xfId="28362"/>
    <cellStyle name="Normal 2 36" xfId="28363"/>
    <cellStyle name="Normal 2 36 2" xfId="28364"/>
    <cellStyle name="Normal 2 37" xfId="28365"/>
    <cellStyle name="Normal 2 37 2" xfId="28366"/>
    <cellStyle name="Normal 2 38" xfId="28367"/>
    <cellStyle name="Normal 2 38 2" xfId="28368"/>
    <cellStyle name="Normal 2 39" xfId="28369"/>
    <cellStyle name="Normal 2 39 2" xfId="28370"/>
    <cellStyle name="Normal 2 4" xfId="1652"/>
    <cellStyle name="Normal 2 4 10" xfId="28371"/>
    <cellStyle name="Normal 2 4 11" xfId="28372"/>
    <cellStyle name="Normal 2 4 2" xfId="1653"/>
    <cellStyle name="Normal 2 4 2 2" xfId="1654"/>
    <cellStyle name="Normal 2 4 2 2 2" xfId="28373"/>
    <cellStyle name="Normal 2 4 2 2 3" xfId="28374"/>
    <cellStyle name="Normal 2 4 2 2 4" xfId="28375"/>
    <cellStyle name="Normal 2 4 2 3" xfId="28376"/>
    <cellStyle name="Normal 2 4 2 4" xfId="28377"/>
    <cellStyle name="Normal 2 4 2 5" xfId="28378"/>
    <cellStyle name="Normal 2 4 2 6" xfId="28379"/>
    <cellStyle name="Normal 2 4 2 7" xfId="28380"/>
    <cellStyle name="Normal 2 4 2 8" xfId="28381"/>
    <cellStyle name="Normal 2 4 2 9" xfId="28382"/>
    <cellStyle name="Normal 2 4 3" xfId="1655"/>
    <cellStyle name="Normal 2 4 3 2" xfId="1656"/>
    <cellStyle name="Normal 2 4 3 2 2" xfId="28383"/>
    <cellStyle name="Normal 2 4 3 2 3" xfId="28384"/>
    <cellStyle name="Normal 2 4 3 3" xfId="28385"/>
    <cellStyle name="Normal 2 4 3 4" xfId="28386"/>
    <cellStyle name="Normal 2 4 3 5" xfId="28387"/>
    <cellStyle name="Normal 2 4 3 6" xfId="28388"/>
    <cellStyle name="Normal 2 4 3 7" xfId="28389"/>
    <cellStyle name="Normal 2 4 3 8" xfId="28390"/>
    <cellStyle name="Normal 2 4 4" xfId="1657"/>
    <cellStyle name="Normal 2 4 4 2" xfId="28391"/>
    <cellStyle name="Normal 2 4 4 3" xfId="28392"/>
    <cellStyle name="Normal 2 4 4 4" xfId="28393"/>
    <cellStyle name="Normal 2 4 5" xfId="1658"/>
    <cellStyle name="Normal 2 4 5 2" xfId="28394"/>
    <cellStyle name="Normal 2 4 5 3" xfId="28395"/>
    <cellStyle name="Normal 2 4 6" xfId="1659"/>
    <cellStyle name="Normal 2 4 6 2" xfId="28396"/>
    <cellStyle name="Normal 2 4 6 3" xfId="28397"/>
    <cellStyle name="Normal 2 4 7" xfId="28398"/>
    <cellStyle name="Normal 2 4 8" xfId="28399"/>
    <cellStyle name="Normal 2 4 9" xfId="28400"/>
    <cellStyle name="Normal 2 40" xfId="28401"/>
    <cellStyle name="Normal 2 40 2" xfId="28402"/>
    <cellStyle name="Normal 2 41" xfId="28403"/>
    <cellStyle name="Normal 2 41 2" xfId="28404"/>
    <cellStyle name="Normal 2 42" xfId="28405"/>
    <cellStyle name="Normal 2 42 2" xfId="28406"/>
    <cellStyle name="Normal 2 43" xfId="28407"/>
    <cellStyle name="Normal 2 43 2" xfId="28408"/>
    <cellStyle name="Normal 2 44" xfId="28409"/>
    <cellStyle name="Normal 2 44 2" xfId="28410"/>
    <cellStyle name="Normal 2 45" xfId="28411"/>
    <cellStyle name="Normal 2 45 2" xfId="28412"/>
    <cellStyle name="Normal 2 46" xfId="28413"/>
    <cellStyle name="Normal 2 46 2" xfId="28414"/>
    <cellStyle name="Normal 2 47" xfId="28415"/>
    <cellStyle name="Normal 2 47 2" xfId="28416"/>
    <cellStyle name="Normal 2 48" xfId="28417"/>
    <cellStyle name="Normal 2 48 2" xfId="28418"/>
    <cellStyle name="Normal 2 49" xfId="28419"/>
    <cellStyle name="Normal 2 49 2" xfId="28420"/>
    <cellStyle name="Normal 2 5" xfId="1660"/>
    <cellStyle name="Normal 2 5 10" xfId="28421"/>
    <cellStyle name="Normal 2 5 11" xfId="28422"/>
    <cellStyle name="Normal 2 5 2" xfId="1661"/>
    <cellStyle name="Normal 2 5 2 2" xfId="1662"/>
    <cellStyle name="Normal 2 5 2 2 2" xfId="28423"/>
    <cellStyle name="Normal 2 5 2 2 3" xfId="28424"/>
    <cellStyle name="Normal 2 5 2 2 4" xfId="28425"/>
    <cellStyle name="Normal 2 5 2 3" xfId="28426"/>
    <cellStyle name="Normal 2 5 2 4" xfId="28427"/>
    <cellStyle name="Normal 2 5 2 5" xfId="28428"/>
    <cellStyle name="Normal 2 5 2 6" xfId="28429"/>
    <cellStyle name="Normal 2 5 2 7" xfId="28430"/>
    <cellStyle name="Normal 2 5 2 8" xfId="28431"/>
    <cellStyle name="Normal 2 5 2 9" xfId="28432"/>
    <cellStyle name="Normal 2 5 3" xfId="1663"/>
    <cellStyle name="Normal 2 5 3 2" xfId="28433"/>
    <cellStyle name="Normal 2 5 3 3" xfId="28434"/>
    <cellStyle name="Normal 2 5 3 4" xfId="28435"/>
    <cellStyle name="Normal 2 5 3 5" xfId="28436"/>
    <cellStyle name="Normal 2 5 3 6" xfId="28437"/>
    <cellStyle name="Normal 2 5 3 7" xfId="28438"/>
    <cellStyle name="Normal 2 5 3 8" xfId="28439"/>
    <cellStyle name="Normal 2 5 4" xfId="1664"/>
    <cellStyle name="Normal 2 5 4 2" xfId="28440"/>
    <cellStyle name="Normal 2 5 4 3" xfId="28441"/>
    <cellStyle name="Normal 2 5 4 4" xfId="28442"/>
    <cellStyle name="Normal 2 5 5" xfId="1665"/>
    <cellStyle name="Normal 2 5 5 2" xfId="28443"/>
    <cellStyle name="Normal 2 5 5 3" xfId="28444"/>
    <cellStyle name="Normal 2 5 6" xfId="28445"/>
    <cellStyle name="Normal 2 5 7" xfId="28446"/>
    <cellStyle name="Normal 2 5 8" xfId="28447"/>
    <cellStyle name="Normal 2 5 9" xfId="28448"/>
    <cellStyle name="Normal 2 50" xfId="28449"/>
    <cellStyle name="Normal 2 50 2" xfId="28450"/>
    <cellStyle name="Normal 2 51" xfId="28451"/>
    <cellStyle name="Normal 2 51 2" xfId="28452"/>
    <cellStyle name="Normal 2 52" xfId="28453"/>
    <cellStyle name="Normal 2 52 2" xfId="28454"/>
    <cellStyle name="Normal 2 53" xfId="28455"/>
    <cellStyle name="Normal 2 53 2" xfId="28456"/>
    <cellStyle name="Normal 2 54" xfId="28457"/>
    <cellStyle name="Normal 2 55" xfId="28458"/>
    <cellStyle name="Normal 2 56" xfId="28459"/>
    <cellStyle name="Normal 2 57" xfId="28460"/>
    <cellStyle name="Normal 2 58" xfId="28461"/>
    <cellStyle name="Normal 2 59" xfId="28462"/>
    <cellStyle name="Normal 2 6" xfId="1666"/>
    <cellStyle name="Normal 2 6 10" xfId="28463"/>
    <cellStyle name="Normal 2 6 10 2" xfId="28464"/>
    <cellStyle name="Normal 2 6 100" xfId="28465"/>
    <cellStyle name="Normal 2 6 101" xfId="28466"/>
    <cellStyle name="Normal 2 6 102" xfId="28467"/>
    <cellStyle name="Normal 2 6 103" xfId="28468"/>
    <cellStyle name="Normal 2 6 104" xfId="28469"/>
    <cellStyle name="Normal 2 6 105" xfId="28470"/>
    <cellStyle name="Normal 2 6 106" xfId="28471"/>
    <cellStyle name="Normal 2 6 107" xfId="28472"/>
    <cellStyle name="Normal 2 6 108" xfId="28473"/>
    <cellStyle name="Normal 2 6 109" xfId="28474"/>
    <cellStyle name="Normal 2 6 11" xfId="28475"/>
    <cellStyle name="Normal 2 6 11 2" xfId="28476"/>
    <cellStyle name="Normal 2 6 110" xfId="28477"/>
    <cellStyle name="Normal 2 6 111" xfId="28478"/>
    <cellStyle name="Normal 2 6 112" xfId="28479"/>
    <cellStyle name="Normal 2 6 113" xfId="28480"/>
    <cellStyle name="Normal 2 6 114" xfId="28481"/>
    <cellStyle name="Normal 2 6 115" xfId="28482"/>
    <cellStyle name="Normal 2 6 116" xfId="28483"/>
    <cellStyle name="Normal 2 6 117" xfId="28484"/>
    <cellStyle name="Normal 2 6 118" xfId="28485"/>
    <cellStyle name="Normal 2 6 12" xfId="28486"/>
    <cellStyle name="Normal 2 6 12 2" xfId="28487"/>
    <cellStyle name="Normal 2 6 13" xfId="28488"/>
    <cellStyle name="Normal 2 6 13 2" xfId="28489"/>
    <cellStyle name="Normal 2 6 14" xfId="28490"/>
    <cellStyle name="Normal 2 6 14 2" xfId="28491"/>
    <cellStyle name="Normal 2 6 15" xfId="28492"/>
    <cellStyle name="Normal 2 6 15 2" xfId="28493"/>
    <cellStyle name="Normal 2 6 16" xfId="28494"/>
    <cellStyle name="Normal 2 6 16 2" xfId="28495"/>
    <cellStyle name="Normal 2 6 17" xfId="28496"/>
    <cellStyle name="Normal 2 6 17 2" xfId="28497"/>
    <cellStyle name="Normal 2 6 18" xfId="28498"/>
    <cellStyle name="Normal 2 6 18 2" xfId="28499"/>
    <cellStyle name="Normal 2 6 19" xfId="28500"/>
    <cellStyle name="Normal 2 6 19 2" xfId="28501"/>
    <cellStyle name="Normal 2 6 2" xfId="1667"/>
    <cellStyle name="Normal 2 6 2 2" xfId="28502"/>
    <cellStyle name="Normal 2 6 2 2 2" xfId="28503"/>
    <cellStyle name="Normal 2 6 2 3" xfId="28504"/>
    <cellStyle name="Normal 2 6 2 3 2" xfId="28505"/>
    <cellStyle name="Normal 2 6 2 4" xfId="28506"/>
    <cellStyle name="Normal 2 6 2 5" xfId="28507"/>
    <cellStyle name="Normal 2 6 2 6" xfId="28508"/>
    <cellStyle name="Normal 2 6 2 7" xfId="28509"/>
    <cellStyle name="Normal 2 6 2 8" xfId="28510"/>
    <cellStyle name="Normal 2 6 2 9" xfId="28511"/>
    <cellStyle name="Normal 2 6 20" xfId="28512"/>
    <cellStyle name="Normal 2 6 20 2" xfId="28513"/>
    <cellStyle name="Normal 2 6 21" xfId="28514"/>
    <cellStyle name="Normal 2 6 21 2" xfId="28515"/>
    <cellStyle name="Normal 2 6 22" xfId="28516"/>
    <cellStyle name="Normal 2 6 22 2" xfId="28517"/>
    <cellStyle name="Normal 2 6 23" xfId="28518"/>
    <cellStyle name="Normal 2 6 23 2" xfId="28519"/>
    <cellStyle name="Normal 2 6 24" xfId="28520"/>
    <cellStyle name="Normal 2 6 24 2" xfId="28521"/>
    <cellStyle name="Normal 2 6 25" xfId="28522"/>
    <cellStyle name="Normal 2 6 25 2" xfId="28523"/>
    <cellStyle name="Normal 2 6 26" xfId="28524"/>
    <cellStyle name="Normal 2 6 26 2" xfId="28525"/>
    <cellStyle name="Normal 2 6 27" xfId="28526"/>
    <cellStyle name="Normal 2 6 27 2" xfId="28527"/>
    <cellStyle name="Normal 2 6 28" xfId="28528"/>
    <cellStyle name="Normal 2 6 28 2" xfId="28529"/>
    <cellStyle name="Normal 2 6 29" xfId="28530"/>
    <cellStyle name="Normal 2 6 29 2" xfId="28531"/>
    <cellStyle name="Normal 2 6 3" xfId="28532"/>
    <cellStyle name="Normal 2 6 3 2" xfId="28533"/>
    <cellStyle name="Normal 2 6 3 2 2" xfId="28534"/>
    <cellStyle name="Normal 2 6 3 3" xfId="28535"/>
    <cellStyle name="Normal 2 6 3 3 2" xfId="28536"/>
    <cellStyle name="Normal 2 6 3 4" xfId="28537"/>
    <cellStyle name="Normal 2 6 3 5" xfId="28538"/>
    <cellStyle name="Normal 2 6 3 6" xfId="28539"/>
    <cellStyle name="Normal 2 6 30" xfId="28540"/>
    <cellStyle name="Normal 2 6 30 2" xfId="28541"/>
    <cellStyle name="Normal 2 6 31" xfId="28542"/>
    <cellStyle name="Normal 2 6 31 2" xfId="28543"/>
    <cellStyle name="Normal 2 6 32" xfId="28544"/>
    <cellStyle name="Normal 2 6 32 2" xfId="28545"/>
    <cellStyle name="Normal 2 6 33" xfId="28546"/>
    <cellStyle name="Normal 2 6 33 2" xfId="28547"/>
    <cellStyle name="Normal 2 6 34" xfId="28548"/>
    <cellStyle name="Normal 2 6 34 2" xfId="28549"/>
    <cellStyle name="Normal 2 6 35" xfId="28550"/>
    <cellStyle name="Normal 2 6 35 2" xfId="28551"/>
    <cellStyle name="Normal 2 6 36" xfId="28552"/>
    <cellStyle name="Normal 2 6 36 2" xfId="28553"/>
    <cellStyle name="Normal 2 6 37" xfId="28554"/>
    <cellStyle name="Normal 2 6 37 2" xfId="28555"/>
    <cellStyle name="Normal 2 6 38" xfId="28556"/>
    <cellStyle name="Normal 2 6 38 2" xfId="28557"/>
    <cellStyle name="Normal 2 6 39" xfId="28558"/>
    <cellStyle name="Normal 2 6 39 2" xfId="28559"/>
    <cellStyle name="Normal 2 6 4" xfId="28560"/>
    <cellStyle name="Normal 2 6 4 2" xfId="28561"/>
    <cellStyle name="Normal 2 6 4 3" xfId="28562"/>
    <cellStyle name="Normal 2 6 40" xfId="28563"/>
    <cellStyle name="Normal 2 6 40 2" xfId="28564"/>
    <cellStyle name="Normal 2 6 41" xfId="28565"/>
    <cellStyle name="Normal 2 6 41 2" xfId="28566"/>
    <cellStyle name="Normal 2 6 42" xfId="28567"/>
    <cellStyle name="Normal 2 6 42 2" xfId="28568"/>
    <cellStyle name="Normal 2 6 43" xfId="28569"/>
    <cellStyle name="Normal 2 6 43 2" xfId="28570"/>
    <cellStyle name="Normal 2 6 44" xfId="28571"/>
    <cellStyle name="Normal 2 6 44 2" xfId="28572"/>
    <cellStyle name="Normal 2 6 45" xfId="28573"/>
    <cellStyle name="Normal 2 6 45 2" xfId="28574"/>
    <cellStyle name="Normal 2 6 46" xfId="28575"/>
    <cellStyle name="Normal 2 6 46 2" xfId="28576"/>
    <cellStyle name="Normal 2 6 47" xfId="28577"/>
    <cellStyle name="Normal 2 6 47 2" xfId="28578"/>
    <cellStyle name="Normal 2 6 48" xfId="28579"/>
    <cellStyle name="Normal 2 6 48 2" xfId="28580"/>
    <cellStyle name="Normal 2 6 49" xfId="28581"/>
    <cellStyle name="Normal 2 6 49 2" xfId="28582"/>
    <cellStyle name="Normal 2 6 5" xfId="28583"/>
    <cellStyle name="Normal 2 6 5 2" xfId="28584"/>
    <cellStyle name="Normal 2 6 5 3" xfId="28585"/>
    <cellStyle name="Normal 2 6 50" xfId="28586"/>
    <cellStyle name="Normal 2 6 51" xfId="28587"/>
    <cellStyle name="Normal 2 6 52" xfId="28588"/>
    <cellStyle name="Normal 2 6 53" xfId="28589"/>
    <cellStyle name="Normal 2 6 54" xfId="28590"/>
    <cellStyle name="Normal 2 6 55" xfId="28591"/>
    <cellStyle name="Normal 2 6 56" xfId="28592"/>
    <cellStyle name="Normal 2 6 57" xfId="28593"/>
    <cellStyle name="Normal 2 6 58" xfId="28594"/>
    <cellStyle name="Normal 2 6 59" xfId="28595"/>
    <cellStyle name="Normal 2 6 6" xfId="28596"/>
    <cellStyle name="Normal 2 6 6 2" xfId="28597"/>
    <cellStyle name="Normal 2 6 6 3" xfId="28598"/>
    <cellStyle name="Normal 2 6 60" xfId="28599"/>
    <cellStyle name="Normal 2 6 61" xfId="28600"/>
    <cellStyle name="Normal 2 6 62" xfId="28601"/>
    <cellStyle name="Normal 2 6 63" xfId="28602"/>
    <cellStyle name="Normal 2 6 64" xfId="28603"/>
    <cellStyle name="Normal 2 6 65" xfId="28604"/>
    <cellStyle name="Normal 2 6 66" xfId="28605"/>
    <cellStyle name="Normal 2 6 67" xfId="28606"/>
    <cellStyle name="Normal 2 6 68" xfId="28607"/>
    <cellStyle name="Normal 2 6 69" xfId="28608"/>
    <cellStyle name="Normal 2 6 7" xfId="28609"/>
    <cellStyle name="Normal 2 6 7 2" xfId="28610"/>
    <cellStyle name="Normal 2 6 7 3" xfId="28611"/>
    <cellStyle name="Normal 2 6 70" xfId="28612"/>
    <cellStyle name="Normal 2 6 71" xfId="28613"/>
    <cellStyle name="Normal 2 6 72" xfId="28614"/>
    <cellStyle name="Normal 2 6 73" xfId="28615"/>
    <cellStyle name="Normal 2 6 74" xfId="28616"/>
    <cellStyle name="Normal 2 6 75" xfId="28617"/>
    <cellStyle name="Normal 2 6 76" xfId="28618"/>
    <cellStyle name="Normal 2 6 77" xfId="28619"/>
    <cellStyle name="Normal 2 6 78" xfId="28620"/>
    <cellStyle name="Normal 2 6 79" xfId="28621"/>
    <cellStyle name="Normal 2 6 8" xfId="28622"/>
    <cellStyle name="Normal 2 6 8 2" xfId="28623"/>
    <cellStyle name="Normal 2 6 8 3" xfId="28624"/>
    <cellStyle name="Normal 2 6 80" xfId="28625"/>
    <cellStyle name="Normal 2 6 81" xfId="28626"/>
    <cellStyle name="Normal 2 6 82" xfId="28627"/>
    <cellStyle name="Normal 2 6 83" xfId="28628"/>
    <cellStyle name="Normal 2 6 84" xfId="28629"/>
    <cellStyle name="Normal 2 6 85" xfId="28630"/>
    <cellStyle name="Normal 2 6 86" xfId="28631"/>
    <cellStyle name="Normal 2 6 87" xfId="28632"/>
    <cellStyle name="Normal 2 6 88" xfId="28633"/>
    <cellStyle name="Normal 2 6 89" xfId="28634"/>
    <cellStyle name="Normal 2 6 9" xfId="28635"/>
    <cellStyle name="Normal 2 6 9 2" xfId="28636"/>
    <cellStyle name="Normal 2 6 90" xfId="28637"/>
    <cellStyle name="Normal 2 6 91" xfId="28638"/>
    <cellStyle name="Normal 2 6 92" xfId="28639"/>
    <cellStyle name="Normal 2 6 93" xfId="28640"/>
    <cellStyle name="Normal 2 6 94" xfId="28641"/>
    <cellStyle name="Normal 2 6 95" xfId="28642"/>
    <cellStyle name="Normal 2 6 96" xfId="28643"/>
    <cellStyle name="Normal 2 6 97" xfId="28644"/>
    <cellStyle name="Normal 2 6 98" xfId="28645"/>
    <cellStyle name="Normal 2 6 99" xfId="28646"/>
    <cellStyle name="Normal 2 60" xfId="28647"/>
    <cellStyle name="Normal 2 61" xfId="28648"/>
    <cellStyle name="Normal 2 62" xfId="28649"/>
    <cellStyle name="Normal 2 63" xfId="28650"/>
    <cellStyle name="Normal 2 64" xfId="28651"/>
    <cellStyle name="Normal 2 65" xfId="28652"/>
    <cellStyle name="Normal 2 66" xfId="28653"/>
    <cellStyle name="Normal 2 67" xfId="28654"/>
    <cellStyle name="Normal 2 68" xfId="28655"/>
    <cellStyle name="Normal 2 69" xfId="28656"/>
    <cellStyle name="Normal 2 7" xfId="1668"/>
    <cellStyle name="Normal 2 7 10" xfId="28657"/>
    <cellStyle name="Normal 2 7 10 2" xfId="28658"/>
    <cellStyle name="Normal 2 7 100" xfId="28659"/>
    <cellStyle name="Normal 2 7 101" xfId="28660"/>
    <cellStyle name="Normal 2 7 102" xfId="28661"/>
    <cellStyle name="Normal 2 7 103" xfId="28662"/>
    <cellStyle name="Normal 2 7 104" xfId="28663"/>
    <cellStyle name="Normal 2 7 105" xfId="28664"/>
    <cellStyle name="Normal 2 7 106" xfId="28665"/>
    <cellStyle name="Normal 2 7 107" xfId="28666"/>
    <cellStyle name="Normal 2 7 108" xfId="28667"/>
    <cellStyle name="Normal 2 7 109" xfId="28668"/>
    <cellStyle name="Normal 2 7 11" xfId="28669"/>
    <cellStyle name="Normal 2 7 11 2" xfId="28670"/>
    <cellStyle name="Normal 2 7 110" xfId="28671"/>
    <cellStyle name="Normal 2 7 111" xfId="28672"/>
    <cellStyle name="Normal 2 7 112" xfId="28673"/>
    <cellStyle name="Normal 2 7 113" xfId="28674"/>
    <cellStyle name="Normal 2 7 114" xfId="28675"/>
    <cellStyle name="Normal 2 7 115" xfId="28676"/>
    <cellStyle name="Normal 2 7 116" xfId="28677"/>
    <cellStyle name="Normal 2 7 117" xfId="28678"/>
    <cellStyle name="Normal 2 7 118" xfId="28679"/>
    <cellStyle name="Normal 2 7 12" xfId="28680"/>
    <cellStyle name="Normal 2 7 12 2" xfId="28681"/>
    <cellStyle name="Normal 2 7 13" xfId="28682"/>
    <cellStyle name="Normal 2 7 13 2" xfId="28683"/>
    <cellStyle name="Normal 2 7 14" xfId="28684"/>
    <cellStyle name="Normal 2 7 14 2" xfId="28685"/>
    <cellStyle name="Normal 2 7 15" xfId="28686"/>
    <cellStyle name="Normal 2 7 15 2" xfId="28687"/>
    <cellStyle name="Normal 2 7 16" xfId="28688"/>
    <cellStyle name="Normal 2 7 16 2" xfId="28689"/>
    <cellStyle name="Normal 2 7 17" xfId="28690"/>
    <cellStyle name="Normal 2 7 17 2" xfId="28691"/>
    <cellStyle name="Normal 2 7 18" xfId="28692"/>
    <cellStyle name="Normal 2 7 18 2" xfId="28693"/>
    <cellStyle name="Normal 2 7 19" xfId="28694"/>
    <cellStyle name="Normal 2 7 19 2" xfId="28695"/>
    <cellStyle name="Normal 2 7 2" xfId="1669"/>
    <cellStyle name="Normal 2 7 2 2" xfId="28696"/>
    <cellStyle name="Normal 2 7 2 2 2" xfId="28697"/>
    <cellStyle name="Normal 2 7 2 3" xfId="28698"/>
    <cellStyle name="Normal 2 7 2 3 2" xfId="28699"/>
    <cellStyle name="Normal 2 7 2 4" xfId="28700"/>
    <cellStyle name="Normal 2 7 2 5" xfId="28701"/>
    <cellStyle name="Normal 2 7 2 6" xfId="28702"/>
    <cellStyle name="Normal 2 7 2 7" xfId="28703"/>
    <cellStyle name="Normal 2 7 2 8" xfId="28704"/>
    <cellStyle name="Normal 2 7 2 9" xfId="28705"/>
    <cellStyle name="Normal 2 7 20" xfId="28706"/>
    <cellStyle name="Normal 2 7 20 2" xfId="28707"/>
    <cellStyle name="Normal 2 7 21" xfId="28708"/>
    <cellStyle name="Normal 2 7 21 2" xfId="28709"/>
    <cellStyle name="Normal 2 7 22" xfId="28710"/>
    <cellStyle name="Normal 2 7 22 2" xfId="28711"/>
    <cellStyle name="Normal 2 7 23" xfId="28712"/>
    <cellStyle name="Normal 2 7 23 2" xfId="28713"/>
    <cellStyle name="Normal 2 7 24" xfId="28714"/>
    <cellStyle name="Normal 2 7 24 2" xfId="28715"/>
    <cellStyle name="Normal 2 7 25" xfId="28716"/>
    <cellStyle name="Normal 2 7 25 2" xfId="28717"/>
    <cellStyle name="Normal 2 7 26" xfId="28718"/>
    <cellStyle name="Normal 2 7 26 2" xfId="28719"/>
    <cellStyle name="Normal 2 7 27" xfId="28720"/>
    <cellStyle name="Normal 2 7 27 2" xfId="28721"/>
    <cellStyle name="Normal 2 7 28" xfId="28722"/>
    <cellStyle name="Normal 2 7 28 2" xfId="28723"/>
    <cellStyle name="Normal 2 7 29" xfId="28724"/>
    <cellStyle name="Normal 2 7 29 2" xfId="28725"/>
    <cellStyle name="Normal 2 7 3" xfId="28726"/>
    <cellStyle name="Normal 2 7 3 2" xfId="28727"/>
    <cellStyle name="Normal 2 7 3 2 2" xfId="28728"/>
    <cellStyle name="Normal 2 7 3 3" xfId="28729"/>
    <cellStyle name="Normal 2 7 3 3 2" xfId="28730"/>
    <cellStyle name="Normal 2 7 3 4" xfId="28731"/>
    <cellStyle name="Normal 2 7 3 5" xfId="28732"/>
    <cellStyle name="Normal 2 7 3 6" xfId="28733"/>
    <cellStyle name="Normal 2 7 30" xfId="28734"/>
    <cellStyle name="Normal 2 7 30 2" xfId="28735"/>
    <cellStyle name="Normal 2 7 31" xfId="28736"/>
    <cellStyle name="Normal 2 7 31 2" xfId="28737"/>
    <cellStyle name="Normal 2 7 32" xfId="28738"/>
    <cellStyle name="Normal 2 7 32 2" xfId="28739"/>
    <cellStyle name="Normal 2 7 33" xfId="28740"/>
    <cellStyle name="Normal 2 7 33 2" xfId="28741"/>
    <cellStyle name="Normal 2 7 34" xfId="28742"/>
    <cellStyle name="Normal 2 7 34 2" xfId="28743"/>
    <cellStyle name="Normal 2 7 35" xfId="28744"/>
    <cellStyle name="Normal 2 7 35 2" xfId="28745"/>
    <cellStyle name="Normal 2 7 36" xfId="28746"/>
    <cellStyle name="Normal 2 7 36 2" xfId="28747"/>
    <cellStyle name="Normal 2 7 37" xfId="28748"/>
    <cellStyle name="Normal 2 7 37 2" xfId="28749"/>
    <cellStyle name="Normal 2 7 38" xfId="28750"/>
    <cellStyle name="Normal 2 7 38 2" xfId="28751"/>
    <cellStyle name="Normal 2 7 39" xfId="28752"/>
    <cellStyle name="Normal 2 7 39 2" xfId="28753"/>
    <cellStyle name="Normal 2 7 4" xfId="28754"/>
    <cellStyle name="Normal 2 7 4 2" xfId="28755"/>
    <cellStyle name="Normal 2 7 4 3" xfId="28756"/>
    <cellStyle name="Normal 2 7 40" xfId="28757"/>
    <cellStyle name="Normal 2 7 40 2" xfId="28758"/>
    <cellStyle name="Normal 2 7 41" xfId="28759"/>
    <cellStyle name="Normal 2 7 41 2" xfId="28760"/>
    <cellStyle name="Normal 2 7 42" xfId="28761"/>
    <cellStyle name="Normal 2 7 42 2" xfId="28762"/>
    <cellStyle name="Normal 2 7 43" xfId="28763"/>
    <cellStyle name="Normal 2 7 43 2" xfId="28764"/>
    <cellStyle name="Normal 2 7 44" xfId="28765"/>
    <cellStyle name="Normal 2 7 44 2" xfId="28766"/>
    <cellStyle name="Normal 2 7 45" xfId="28767"/>
    <cellStyle name="Normal 2 7 45 2" xfId="28768"/>
    <cellStyle name="Normal 2 7 46" xfId="28769"/>
    <cellStyle name="Normal 2 7 46 2" xfId="28770"/>
    <cellStyle name="Normal 2 7 47" xfId="28771"/>
    <cellStyle name="Normal 2 7 47 2" xfId="28772"/>
    <cellStyle name="Normal 2 7 48" xfId="28773"/>
    <cellStyle name="Normal 2 7 48 2" xfId="28774"/>
    <cellStyle name="Normal 2 7 49" xfId="28775"/>
    <cellStyle name="Normal 2 7 49 2" xfId="28776"/>
    <cellStyle name="Normal 2 7 5" xfId="28777"/>
    <cellStyle name="Normal 2 7 5 2" xfId="28778"/>
    <cellStyle name="Normal 2 7 5 3" xfId="28779"/>
    <cellStyle name="Normal 2 7 50" xfId="28780"/>
    <cellStyle name="Normal 2 7 51" xfId="28781"/>
    <cellStyle name="Normal 2 7 52" xfId="28782"/>
    <cellStyle name="Normal 2 7 53" xfId="28783"/>
    <cellStyle name="Normal 2 7 54" xfId="28784"/>
    <cellStyle name="Normal 2 7 55" xfId="28785"/>
    <cellStyle name="Normal 2 7 56" xfId="28786"/>
    <cellStyle name="Normal 2 7 57" xfId="28787"/>
    <cellStyle name="Normal 2 7 58" xfId="28788"/>
    <cellStyle name="Normal 2 7 59" xfId="28789"/>
    <cellStyle name="Normal 2 7 6" xfId="28790"/>
    <cellStyle name="Normal 2 7 6 2" xfId="28791"/>
    <cellStyle name="Normal 2 7 6 3" xfId="28792"/>
    <cellStyle name="Normal 2 7 60" xfId="28793"/>
    <cellStyle name="Normal 2 7 61" xfId="28794"/>
    <cellStyle name="Normal 2 7 62" xfId="28795"/>
    <cellStyle name="Normal 2 7 63" xfId="28796"/>
    <cellStyle name="Normal 2 7 64" xfId="28797"/>
    <cellStyle name="Normal 2 7 65" xfId="28798"/>
    <cellStyle name="Normal 2 7 66" xfId="28799"/>
    <cellStyle name="Normal 2 7 67" xfId="28800"/>
    <cellStyle name="Normal 2 7 68" xfId="28801"/>
    <cellStyle name="Normal 2 7 69" xfId="28802"/>
    <cellStyle name="Normal 2 7 7" xfId="28803"/>
    <cellStyle name="Normal 2 7 7 2" xfId="28804"/>
    <cellStyle name="Normal 2 7 7 3" xfId="28805"/>
    <cellStyle name="Normal 2 7 70" xfId="28806"/>
    <cellStyle name="Normal 2 7 71" xfId="28807"/>
    <cellStyle name="Normal 2 7 72" xfId="28808"/>
    <cellStyle name="Normal 2 7 73" xfId="28809"/>
    <cellStyle name="Normal 2 7 74" xfId="28810"/>
    <cellStyle name="Normal 2 7 75" xfId="28811"/>
    <cellStyle name="Normal 2 7 76" xfId="28812"/>
    <cellStyle name="Normal 2 7 77" xfId="28813"/>
    <cellStyle name="Normal 2 7 78" xfId="28814"/>
    <cellStyle name="Normal 2 7 79" xfId="28815"/>
    <cellStyle name="Normal 2 7 8" xfId="28816"/>
    <cellStyle name="Normal 2 7 8 2" xfId="28817"/>
    <cellStyle name="Normal 2 7 8 3" xfId="28818"/>
    <cellStyle name="Normal 2 7 80" xfId="28819"/>
    <cellStyle name="Normal 2 7 81" xfId="28820"/>
    <cellStyle name="Normal 2 7 82" xfId="28821"/>
    <cellStyle name="Normal 2 7 83" xfId="28822"/>
    <cellStyle name="Normal 2 7 84" xfId="28823"/>
    <cellStyle name="Normal 2 7 85" xfId="28824"/>
    <cellStyle name="Normal 2 7 86" xfId="28825"/>
    <cellStyle name="Normal 2 7 87" xfId="28826"/>
    <cellStyle name="Normal 2 7 88" xfId="28827"/>
    <cellStyle name="Normal 2 7 89" xfId="28828"/>
    <cellStyle name="Normal 2 7 9" xfId="28829"/>
    <cellStyle name="Normal 2 7 9 2" xfId="28830"/>
    <cellStyle name="Normal 2 7 90" xfId="28831"/>
    <cellStyle name="Normal 2 7 91" xfId="28832"/>
    <cellStyle name="Normal 2 7 92" xfId="28833"/>
    <cellStyle name="Normal 2 7 93" xfId="28834"/>
    <cellStyle name="Normal 2 7 94" xfId="28835"/>
    <cellStyle name="Normal 2 7 95" xfId="28836"/>
    <cellStyle name="Normal 2 7 96" xfId="28837"/>
    <cellStyle name="Normal 2 7 97" xfId="28838"/>
    <cellStyle name="Normal 2 7 98" xfId="28839"/>
    <cellStyle name="Normal 2 7 99" xfId="28840"/>
    <cellStyle name="Normal 2 70" xfId="28841"/>
    <cellStyle name="Normal 2 71" xfId="28842"/>
    <cellStyle name="Normal 2 72" xfId="28843"/>
    <cellStyle name="Normal 2 73" xfId="28844"/>
    <cellStyle name="Normal 2 74" xfId="28845"/>
    <cellStyle name="Normal 2 75" xfId="28846"/>
    <cellStyle name="Normal 2 76" xfId="28847"/>
    <cellStyle name="Normal 2 77" xfId="28848"/>
    <cellStyle name="Normal 2 78" xfId="28849"/>
    <cellStyle name="Normal 2 79" xfId="28850"/>
    <cellStyle name="Normal 2 8" xfId="1670"/>
    <cellStyle name="Normal 2 8 10" xfId="28851"/>
    <cellStyle name="Normal 2 8 10 2" xfId="28852"/>
    <cellStyle name="Normal 2 8 100" xfId="28853"/>
    <cellStyle name="Normal 2 8 101" xfId="28854"/>
    <cellStyle name="Normal 2 8 102" xfId="28855"/>
    <cellStyle name="Normal 2 8 103" xfId="28856"/>
    <cellStyle name="Normal 2 8 104" xfId="28857"/>
    <cellStyle name="Normal 2 8 105" xfId="28858"/>
    <cellStyle name="Normal 2 8 106" xfId="28859"/>
    <cellStyle name="Normal 2 8 107" xfId="28860"/>
    <cellStyle name="Normal 2 8 108" xfId="28861"/>
    <cellStyle name="Normal 2 8 109" xfId="28862"/>
    <cellStyle name="Normal 2 8 11" xfId="28863"/>
    <cellStyle name="Normal 2 8 11 2" xfId="28864"/>
    <cellStyle name="Normal 2 8 110" xfId="28865"/>
    <cellStyle name="Normal 2 8 111" xfId="28866"/>
    <cellStyle name="Normal 2 8 112" xfId="28867"/>
    <cellStyle name="Normal 2 8 113" xfId="28868"/>
    <cellStyle name="Normal 2 8 114" xfId="28869"/>
    <cellStyle name="Normal 2 8 115" xfId="28870"/>
    <cellStyle name="Normal 2 8 116" xfId="28871"/>
    <cellStyle name="Normal 2 8 117" xfId="28872"/>
    <cellStyle name="Normal 2 8 12" xfId="28873"/>
    <cellStyle name="Normal 2 8 12 2" xfId="28874"/>
    <cellStyle name="Normal 2 8 13" xfId="28875"/>
    <cellStyle name="Normal 2 8 13 2" xfId="28876"/>
    <cellStyle name="Normal 2 8 14" xfId="28877"/>
    <cellStyle name="Normal 2 8 14 2" xfId="28878"/>
    <cellStyle name="Normal 2 8 15" xfId="28879"/>
    <cellStyle name="Normal 2 8 15 2" xfId="28880"/>
    <cellStyle name="Normal 2 8 16" xfId="28881"/>
    <cellStyle name="Normal 2 8 16 2" xfId="28882"/>
    <cellStyle name="Normal 2 8 17" xfId="28883"/>
    <cellStyle name="Normal 2 8 17 2" xfId="28884"/>
    <cellStyle name="Normal 2 8 18" xfId="28885"/>
    <cellStyle name="Normal 2 8 18 2" xfId="28886"/>
    <cellStyle name="Normal 2 8 19" xfId="28887"/>
    <cellStyle name="Normal 2 8 19 2" xfId="28888"/>
    <cellStyle name="Normal 2 8 2" xfId="28889"/>
    <cellStyle name="Normal 2 8 2 2" xfId="28890"/>
    <cellStyle name="Normal 2 8 2 2 2" xfId="28891"/>
    <cellStyle name="Normal 2 8 2 3" xfId="28892"/>
    <cellStyle name="Normal 2 8 2 3 2" xfId="28893"/>
    <cellStyle name="Normal 2 8 2 4" xfId="28894"/>
    <cellStyle name="Normal 2 8 2 5" xfId="28895"/>
    <cellStyle name="Normal 2 8 2 6" xfId="28896"/>
    <cellStyle name="Normal 2 8 2 7" xfId="28897"/>
    <cellStyle name="Normal 2 8 20" xfId="28898"/>
    <cellStyle name="Normal 2 8 20 2" xfId="28899"/>
    <cellStyle name="Normal 2 8 21" xfId="28900"/>
    <cellStyle name="Normal 2 8 21 2" xfId="28901"/>
    <cellStyle name="Normal 2 8 22" xfId="28902"/>
    <cellStyle name="Normal 2 8 22 2" xfId="28903"/>
    <cellStyle name="Normal 2 8 23" xfId="28904"/>
    <cellStyle name="Normal 2 8 23 2" xfId="28905"/>
    <cellStyle name="Normal 2 8 24" xfId="28906"/>
    <cellStyle name="Normal 2 8 24 2" xfId="28907"/>
    <cellStyle name="Normal 2 8 25" xfId="28908"/>
    <cellStyle name="Normal 2 8 25 2" xfId="28909"/>
    <cellStyle name="Normal 2 8 26" xfId="28910"/>
    <cellStyle name="Normal 2 8 26 2" xfId="28911"/>
    <cellStyle name="Normal 2 8 27" xfId="28912"/>
    <cellStyle name="Normal 2 8 27 2" xfId="28913"/>
    <cellStyle name="Normal 2 8 28" xfId="28914"/>
    <cellStyle name="Normal 2 8 28 2" xfId="28915"/>
    <cellStyle name="Normal 2 8 29" xfId="28916"/>
    <cellStyle name="Normal 2 8 29 2" xfId="28917"/>
    <cellStyle name="Normal 2 8 3" xfId="28918"/>
    <cellStyle name="Normal 2 8 3 2" xfId="28919"/>
    <cellStyle name="Normal 2 8 3 2 2" xfId="28920"/>
    <cellStyle name="Normal 2 8 3 3" xfId="28921"/>
    <cellStyle name="Normal 2 8 3 3 2" xfId="28922"/>
    <cellStyle name="Normal 2 8 3 4" xfId="28923"/>
    <cellStyle name="Normal 2 8 3 5" xfId="28924"/>
    <cellStyle name="Normal 2 8 3 6" xfId="28925"/>
    <cellStyle name="Normal 2 8 30" xfId="28926"/>
    <cellStyle name="Normal 2 8 30 2" xfId="28927"/>
    <cellStyle name="Normal 2 8 31" xfId="28928"/>
    <cellStyle name="Normal 2 8 31 2" xfId="28929"/>
    <cellStyle name="Normal 2 8 32" xfId="28930"/>
    <cellStyle name="Normal 2 8 32 2" xfId="28931"/>
    <cellStyle name="Normal 2 8 33" xfId="28932"/>
    <cellStyle name="Normal 2 8 33 2" xfId="28933"/>
    <cellStyle name="Normal 2 8 34" xfId="28934"/>
    <cellStyle name="Normal 2 8 34 2" xfId="28935"/>
    <cellStyle name="Normal 2 8 35" xfId="28936"/>
    <cellStyle name="Normal 2 8 35 2" xfId="28937"/>
    <cellStyle name="Normal 2 8 36" xfId="28938"/>
    <cellStyle name="Normal 2 8 36 2" xfId="28939"/>
    <cellStyle name="Normal 2 8 37" xfId="28940"/>
    <cellStyle name="Normal 2 8 37 2" xfId="28941"/>
    <cellStyle name="Normal 2 8 38" xfId="28942"/>
    <cellStyle name="Normal 2 8 38 2" xfId="28943"/>
    <cellStyle name="Normal 2 8 39" xfId="28944"/>
    <cellStyle name="Normal 2 8 39 2" xfId="28945"/>
    <cellStyle name="Normal 2 8 4" xfId="28946"/>
    <cellStyle name="Normal 2 8 4 2" xfId="28947"/>
    <cellStyle name="Normal 2 8 4 3" xfId="28948"/>
    <cellStyle name="Normal 2 8 40" xfId="28949"/>
    <cellStyle name="Normal 2 8 40 2" xfId="28950"/>
    <cellStyle name="Normal 2 8 41" xfId="28951"/>
    <cellStyle name="Normal 2 8 41 2" xfId="28952"/>
    <cellStyle name="Normal 2 8 42" xfId="28953"/>
    <cellStyle name="Normal 2 8 42 2" xfId="28954"/>
    <cellStyle name="Normal 2 8 43" xfId="28955"/>
    <cellStyle name="Normal 2 8 43 2" xfId="28956"/>
    <cellStyle name="Normal 2 8 44" xfId="28957"/>
    <cellStyle name="Normal 2 8 44 2" xfId="28958"/>
    <cellStyle name="Normal 2 8 45" xfId="28959"/>
    <cellStyle name="Normal 2 8 45 2" xfId="28960"/>
    <cellStyle name="Normal 2 8 46" xfId="28961"/>
    <cellStyle name="Normal 2 8 46 2" xfId="28962"/>
    <cellStyle name="Normal 2 8 47" xfId="28963"/>
    <cellStyle name="Normal 2 8 47 2" xfId="28964"/>
    <cellStyle name="Normal 2 8 48" xfId="28965"/>
    <cellStyle name="Normal 2 8 48 2" xfId="28966"/>
    <cellStyle name="Normal 2 8 49" xfId="28967"/>
    <cellStyle name="Normal 2 8 5" xfId="28968"/>
    <cellStyle name="Normal 2 8 5 2" xfId="28969"/>
    <cellStyle name="Normal 2 8 5 3" xfId="28970"/>
    <cellStyle name="Normal 2 8 50" xfId="28971"/>
    <cellStyle name="Normal 2 8 51" xfId="28972"/>
    <cellStyle name="Normal 2 8 52" xfId="28973"/>
    <cellStyle name="Normal 2 8 53" xfId="28974"/>
    <cellStyle name="Normal 2 8 54" xfId="28975"/>
    <cellStyle name="Normal 2 8 55" xfId="28976"/>
    <cellStyle name="Normal 2 8 56" xfId="28977"/>
    <cellStyle name="Normal 2 8 57" xfId="28978"/>
    <cellStyle name="Normal 2 8 58" xfId="28979"/>
    <cellStyle name="Normal 2 8 59" xfId="28980"/>
    <cellStyle name="Normal 2 8 6" xfId="28981"/>
    <cellStyle name="Normal 2 8 6 2" xfId="28982"/>
    <cellStyle name="Normal 2 8 6 3" xfId="28983"/>
    <cellStyle name="Normal 2 8 60" xfId="28984"/>
    <cellStyle name="Normal 2 8 61" xfId="28985"/>
    <cellStyle name="Normal 2 8 62" xfId="28986"/>
    <cellStyle name="Normal 2 8 63" xfId="28987"/>
    <cellStyle name="Normal 2 8 64" xfId="28988"/>
    <cellStyle name="Normal 2 8 65" xfId="28989"/>
    <cellStyle name="Normal 2 8 66" xfId="28990"/>
    <cellStyle name="Normal 2 8 67" xfId="28991"/>
    <cellStyle name="Normal 2 8 68" xfId="28992"/>
    <cellStyle name="Normal 2 8 69" xfId="28993"/>
    <cellStyle name="Normal 2 8 7" xfId="28994"/>
    <cellStyle name="Normal 2 8 7 2" xfId="28995"/>
    <cellStyle name="Normal 2 8 7 3" xfId="28996"/>
    <cellStyle name="Normal 2 8 70" xfId="28997"/>
    <cellStyle name="Normal 2 8 71" xfId="28998"/>
    <cellStyle name="Normal 2 8 72" xfId="28999"/>
    <cellStyle name="Normal 2 8 73" xfId="29000"/>
    <cellStyle name="Normal 2 8 74" xfId="29001"/>
    <cellStyle name="Normal 2 8 75" xfId="29002"/>
    <cellStyle name="Normal 2 8 76" xfId="29003"/>
    <cellStyle name="Normal 2 8 77" xfId="29004"/>
    <cellStyle name="Normal 2 8 78" xfId="29005"/>
    <cellStyle name="Normal 2 8 79" xfId="29006"/>
    <cellStyle name="Normal 2 8 8" xfId="29007"/>
    <cellStyle name="Normal 2 8 8 2" xfId="29008"/>
    <cellStyle name="Normal 2 8 8 3" xfId="29009"/>
    <cellStyle name="Normal 2 8 80" xfId="29010"/>
    <cellStyle name="Normal 2 8 81" xfId="29011"/>
    <cellStyle name="Normal 2 8 82" xfId="29012"/>
    <cellStyle name="Normal 2 8 83" xfId="29013"/>
    <cellStyle name="Normal 2 8 84" xfId="29014"/>
    <cellStyle name="Normal 2 8 85" xfId="29015"/>
    <cellStyle name="Normal 2 8 86" xfId="29016"/>
    <cellStyle name="Normal 2 8 87" xfId="29017"/>
    <cellStyle name="Normal 2 8 88" xfId="29018"/>
    <cellStyle name="Normal 2 8 89" xfId="29019"/>
    <cellStyle name="Normal 2 8 9" xfId="29020"/>
    <cellStyle name="Normal 2 8 9 2" xfId="29021"/>
    <cellStyle name="Normal 2 8 90" xfId="29022"/>
    <cellStyle name="Normal 2 8 91" xfId="29023"/>
    <cellStyle name="Normal 2 8 92" xfId="29024"/>
    <cellStyle name="Normal 2 8 93" xfId="29025"/>
    <cellStyle name="Normal 2 8 94" xfId="29026"/>
    <cellStyle name="Normal 2 8 95" xfId="29027"/>
    <cellStyle name="Normal 2 8 96" xfId="29028"/>
    <cellStyle name="Normal 2 8 97" xfId="29029"/>
    <cellStyle name="Normal 2 8 98" xfId="29030"/>
    <cellStyle name="Normal 2 8 99" xfId="29031"/>
    <cellStyle name="Normal 2 80" xfId="29032"/>
    <cellStyle name="Normal 2 81" xfId="29033"/>
    <cellStyle name="Normal 2 82" xfId="29034"/>
    <cellStyle name="Normal 2 83" xfId="29035"/>
    <cellStyle name="Normal 2 84" xfId="29036"/>
    <cellStyle name="Normal 2 85" xfId="29037"/>
    <cellStyle name="Normal 2 86" xfId="29038"/>
    <cellStyle name="Normal 2 87" xfId="29039"/>
    <cellStyle name="Normal 2 88" xfId="29040"/>
    <cellStyle name="Normal 2 89" xfId="29041"/>
    <cellStyle name="Normal 2 9" xfId="1671"/>
    <cellStyle name="Normal 2 9 10" xfId="29042"/>
    <cellStyle name="Normal 2 9 10 2" xfId="29043"/>
    <cellStyle name="Normal 2 9 100" xfId="29044"/>
    <cellStyle name="Normal 2 9 101" xfId="29045"/>
    <cellStyle name="Normal 2 9 102" xfId="29046"/>
    <cellStyle name="Normal 2 9 103" xfId="29047"/>
    <cellStyle name="Normal 2 9 104" xfId="29048"/>
    <cellStyle name="Normal 2 9 105" xfId="29049"/>
    <cellStyle name="Normal 2 9 106" xfId="29050"/>
    <cellStyle name="Normal 2 9 107" xfId="29051"/>
    <cellStyle name="Normal 2 9 108" xfId="29052"/>
    <cellStyle name="Normal 2 9 109" xfId="29053"/>
    <cellStyle name="Normal 2 9 11" xfId="29054"/>
    <cellStyle name="Normal 2 9 11 2" xfId="29055"/>
    <cellStyle name="Normal 2 9 110" xfId="29056"/>
    <cellStyle name="Normal 2 9 111" xfId="29057"/>
    <cellStyle name="Normal 2 9 112" xfId="29058"/>
    <cellStyle name="Normal 2 9 113" xfId="29059"/>
    <cellStyle name="Normal 2 9 114" xfId="29060"/>
    <cellStyle name="Normal 2 9 12" xfId="29061"/>
    <cellStyle name="Normal 2 9 12 2" xfId="29062"/>
    <cellStyle name="Normal 2 9 13" xfId="29063"/>
    <cellStyle name="Normal 2 9 13 2" xfId="29064"/>
    <cellStyle name="Normal 2 9 14" xfId="29065"/>
    <cellStyle name="Normal 2 9 14 2" xfId="29066"/>
    <cellStyle name="Normal 2 9 15" xfId="29067"/>
    <cellStyle name="Normal 2 9 15 2" xfId="29068"/>
    <cellStyle name="Normal 2 9 16" xfId="29069"/>
    <cellStyle name="Normal 2 9 16 2" xfId="29070"/>
    <cellStyle name="Normal 2 9 17" xfId="29071"/>
    <cellStyle name="Normal 2 9 17 2" xfId="29072"/>
    <cellStyle name="Normal 2 9 18" xfId="29073"/>
    <cellStyle name="Normal 2 9 18 2" xfId="29074"/>
    <cellStyle name="Normal 2 9 19" xfId="29075"/>
    <cellStyle name="Normal 2 9 19 2" xfId="29076"/>
    <cellStyle name="Normal 2 9 2" xfId="29077"/>
    <cellStyle name="Normal 2 9 2 2" xfId="29078"/>
    <cellStyle name="Normal 2 9 2 2 2" xfId="29079"/>
    <cellStyle name="Normal 2 9 2 3" xfId="29080"/>
    <cellStyle name="Normal 2 9 2 3 2" xfId="29081"/>
    <cellStyle name="Normal 2 9 2 4" xfId="29082"/>
    <cellStyle name="Normal 2 9 2 5" xfId="29083"/>
    <cellStyle name="Normal 2 9 2 6" xfId="29084"/>
    <cellStyle name="Normal 2 9 2 7" xfId="29085"/>
    <cellStyle name="Normal 2 9 20" xfId="29086"/>
    <cellStyle name="Normal 2 9 20 2" xfId="29087"/>
    <cellStyle name="Normal 2 9 21" xfId="29088"/>
    <cellStyle name="Normal 2 9 21 2" xfId="29089"/>
    <cellStyle name="Normal 2 9 22" xfId="29090"/>
    <cellStyle name="Normal 2 9 22 2" xfId="29091"/>
    <cellStyle name="Normal 2 9 23" xfId="29092"/>
    <cellStyle name="Normal 2 9 23 2" xfId="29093"/>
    <cellStyle name="Normal 2 9 24" xfId="29094"/>
    <cellStyle name="Normal 2 9 24 2" xfId="29095"/>
    <cellStyle name="Normal 2 9 25" xfId="29096"/>
    <cellStyle name="Normal 2 9 25 2" xfId="29097"/>
    <cellStyle name="Normal 2 9 26" xfId="29098"/>
    <cellStyle name="Normal 2 9 26 2" xfId="29099"/>
    <cellStyle name="Normal 2 9 27" xfId="29100"/>
    <cellStyle name="Normal 2 9 27 2" xfId="29101"/>
    <cellStyle name="Normal 2 9 28" xfId="29102"/>
    <cellStyle name="Normal 2 9 28 2" xfId="29103"/>
    <cellStyle name="Normal 2 9 29" xfId="29104"/>
    <cellStyle name="Normal 2 9 29 2" xfId="29105"/>
    <cellStyle name="Normal 2 9 3" xfId="29106"/>
    <cellStyle name="Normal 2 9 3 2" xfId="29107"/>
    <cellStyle name="Normal 2 9 3 2 2" xfId="29108"/>
    <cellStyle name="Normal 2 9 3 3" xfId="29109"/>
    <cellStyle name="Normal 2 9 3 3 2" xfId="29110"/>
    <cellStyle name="Normal 2 9 3 4" xfId="29111"/>
    <cellStyle name="Normal 2 9 3 5" xfId="29112"/>
    <cellStyle name="Normal 2 9 3 6" xfId="29113"/>
    <cellStyle name="Normal 2 9 30" xfId="29114"/>
    <cellStyle name="Normal 2 9 30 2" xfId="29115"/>
    <cellStyle name="Normal 2 9 31" xfId="29116"/>
    <cellStyle name="Normal 2 9 31 2" xfId="29117"/>
    <cellStyle name="Normal 2 9 32" xfId="29118"/>
    <cellStyle name="Normal 2 9 32 2" xfId="29119"/>
    <cellStyle name="Normal 2 9 33" xfId="29120"/>
    <cellStyle name="Normal 2 9 33 2" xfId="29121"/>
    <cellStyle name="Normal 2 9 34" xfId="29122"/>
    <cellStyle name="Normal 2 9 34 2" xfId="29123"/>
    <cellStyle name="Normal 2 9 35" xfId="29124"/>
    <cellStyle name="Normal 2 9 35 2" xfId="29125"/>
    <cellStyle name="Normal 2 9 36" xfId="29126"/>
    <cellStyle name="Normal 2 9 36 2" xfId="29127"/>
    <cellStyle name="Normal 2 9 37" xfId="29128"/>
    <cellStyle name="Normal 2 9 37 2" xfId="29129"/>
    <cellStyle name="Normal 2 9 38" xfId="29130"/>
    <cellStyle name="Normal 2 9 38 2" xfId="29131"/>
    <cellStyle name="Normal 2 9 39" xfId="29132"/>
    <cellStyle name="Normal 2 9 39 2" xfId="29133"/>
    <cellStyle name="Normal 2 9 4" xfId="29134"/>
    <cellStyle name="Normal 2 9 4 2" xfId="29135"/>
    <cellStyle name="Normal 2 9 4 3" xfId="29136"/>
    <cellStyle name="Normal 2 9 40" xfId="29137"/>
    <cellStyle name="Normal 2 9 40 2" xfId="29138"/>
    <cellStyle name="Normal 2 9 41" xfId="29139"/>
    <cellStyle name="Normal 2 9 41 2" xfId="29140"/>
    <cellStyle name="Normal 2 9 42" xfId="29141"/>
    <cellStyle name="Normal 2 9 42 2" xfId="29142"/>
    <cellStyle name="Normal 2 9 43" xfId="29143"/>
    <cellStyle name="Normal 2 9 43 2" xfId="29144"/>
    <cellStyle name="Normal 2 9 44" xfId="29145"/>
    <cellStyle name="Normal 2 9 44 2" xfId="29146"/>
    <cellStyle name="Normal 2 9 45" xfId="29147"/>
    <cellStyle name="Normal 2 9 45 2" xfId="29148"/>
    <cellStyle name="Normal 2 9 46" xfId="29149"/>
    <cellStyle name="Normal 2 9 46 2" xfId="29150"/>
    <cellStyle name="Normal 2 9 47" xfId="29151"/>
    <cellStyle name="Normal 2 9 48" xfId="29152"/>
    <cellStyle name="Normal 2 9 49" xfId="29153"/>
    <cellStyle name="Normal 2 9 5" xfId="29154"/>
    <cellStyle name="Normal 2 9 5 2" xfId="29155"/>
    <cellStyle name="Normal 2 9 5 3" xfId="29156"/>
    <cellStyle name="Normal 2 9 50" xfId="29157"/>
    <cellStyle name="Normal 2 9 51" xfId="29158"/>
    <cellStyle name="Normal 2 9 52" xfId="29159"/>
    <cellStyle name="Normal 2 9 53" xfId="29160"/>
    <cellStyle name="Normal 2 9 54" xfId="29161"/>
    <cellStyle name="Normal 2 9 55" xfId="29162"/>
    <cellStyle name="Normal 2 9 56" xfId="29163"/>
    <cellStyle name="Normal 2 9 57" xfId="29164"/>
    <cellStyle name="Normal 2 9 58" xfId="29165"/>
    <cellStyle name="Normal 2 9 59" xfId="29166"/>
    <cellStyle name="Normal 2 9 6" xfId="29167"/>
    <cellStyle name="Normal 2 9 6 2" xfId="29168"/>
    <cellStyle name="Normal 2 9 6 3" xfId="29169"/>
    <cellStyle name="Normal 2 9 60" xfId="29170"/>
    <cellStyle name="Normal 2 9 61" xfId="29171"/>
    <cellStyle name="Normal 2 9 62" xfId="29172"/>
    <cellStyle name="Normal 2 9 63" xfId="29173"/>
    <cellStyle name="Normal 2 9 64" xfId="29174"/>
    <cellStyle name="Normal 2 9 65" xfId="29175"/>
    <cellStyle name="Normal 2 9 66" xfId="29176"/>
    <cellStyle name="Normal 2 9 67" xfId="29177"/>
    <cellStyle name="Normal 2 9 68" xfId="29178"/>
    <cellStyle name="Normal 2 9 69" xfId="29179"/>
    <cellStyle name="Normal 2 9 7" xfId="29180"/>
    <cellStyle name="Normal 2 9 7 2" xfId="29181"/>
    <cellStyle name="Normal 2 9 7 3" xfId="29182"/>
    <cellStyle name="Normal 2 9 70" xfId="29183"/>
    <cellStyle name="Normal 2 9 71" xfId="29184"/>
    <cellStyle name="Normal 2 9 72" xfId="29185"/>
    <cellStyle name="Normal 2 9 73" xfId="29186"/>
    <cellStyle name="Normal 2 9 74" xfId="29187"/>
    <cellStyle name="Normal 2 9 75" xfId="29188"/>
    <cellStyle name="Normal 2 9 76" xfId="29189"/>
    <cellStyle name="Normal 2 9 77" xfId="29190"/>
    <cellStyle name="Normal 2 9 78" xfId="29191"/>
    <cellStyle name="Normal 2 9 79" xfId="29192"/>
    <cellStyle name="Normal 2 9 8" xfId="29193"/>
    <cellStyle name="Normal 2 9 8 2" xfId="29194"/>
    <cellStyle name="Normal 2 9 8 3" xfId="29195"/>
    <cellStyle name="Normal 2 9 80" xfId="29196"/>
    <cellStyle name="Normal 2 9 81" xfId="29197"/>
    <cellStyle name="Normal 2 9 82" xfId="29198"/>
    <cellStyle name="Normal 2 9 83" xfId="29199"/>
    <cellStyle name="Normal 2 9 84" xfId="29200"/>
    <cellStyle name="Normal 2 9 85" xfId="29201"/>
    <cellStyle name="Normal 2 9 86" xfId="29202"/>
    <cellStyle name="Normal 2 9 87" xfId="29203"/>
    <cellStyle name="Normal 2 9 88" xfId="29204"/>
    <cellStyle name="Normal 2 9 89" xfId="29205"/>
    <cellStyle name="Normal 2 9 9" xfId="29206"/>
    <cellStyle name="Normal 2 9 9 2" xfId="29207"/>
    <cellStyle name="Normal 2 9 90" xfId="29208"/>
    <cellStyle name="Normal 2 9 91" xfId="29209"/>
    <cellStyle name="Normal 2 9 92" xfId="29210"/>
    <cellStyle name="Normal 2 9 93" xfId="29211"/>
    <cellStyle name="Normal 2 9 94" xfId="29212"/>
    <cellStyle name="Normal 2 9 95" xfId="29213"/>
    <cellStyle name="Normal 2 9 96" xfId="29214"/>
    <cellStyle name="Normal 2 9 97" xfId="29215"/>
    <cellStyle name="Normal 2 9 98" xfId="29216"/>
    <cellStyle name="Normal 2 9 99" xfId="29217"/>
    <cellStyle name="Normal 2 90" xfId="29218"/>
    <cellStyle name="Normal 2 91" xfId="29219"/>
    <cellStyle name="Normal 2 92" xfId="29220"/>
    <cellStyle name="Normal 2 93" xfId="29221"/>
    <cellStyle name="Normal 2 94" xfId="29222"/>
    <cellStyle name="Normal 2 95" xfId="29223"/>
    <cellStyle name="Normal 2 96" xfId="29224"/>
    <cellStyle name="Normal 2 97" xfId="29225"/>
    <cellStyle name="Normal 2 98" xfId="29226"/>
    <cellStyle name="Normal 2 99" xfId="29227"/>
    <cellStyle name="Normal 20" xfId="476"/>
    <cellStyle name="Normal 20 10" xfId="29228"/>
    <cellStyle name="Normal 20 10 2" xfId="29229"/>
    <cellStyle name="Normal 20 100" xfId="29230"/>
    <cellStyle name="Normal 20 101" xfId="29231"/>
    <cellStyle name="Normal 20 102" xfId="29232"/>
    <cellStyle name="Normal 20 103" xfId="29233"/>
    <cellStyle name="Normal 20 104" xfId="29234"/>
    <cellStyle name="Normal 20 105" xfId="29235"/>
    <cellStyle name="Normal 20 106" xfId="29236"/>
    <cellStyle name="Normal 20 107" xfId="29237"/>
    <cellStyle name="Normal 20 108" xfId="29238"/>
    <cellStyle name="Normal 20 109" xfId="29239"/>
    <cellStyle name="Normal 20 11" xfId="29240"/>
    <cellStyle name="Normal 20 11 2" xfId="29241"/>
    <cellStyle name="Normal 20 12" xfId="29242"/>
    <cellStyle name="Normal 20 12 2" xfId="29243"/>
    <cellStyle name="Normal 20 13" xfId="29244"/>
    <cellStyle name="Normal 20 13 2" xfId="29245"/>
    <cellStyle name="Normal 20 14" xfId="29246"/>
    <cellStyle name="Normal 20 14 2" xfId="29247"/>
    <cellStyle name="Normal 20 15" xfId="29248"/>
    <cellStyle name="Normal 20 15 2" xfId="29249"/>
    <cellStyle name="Normal 20 16" xfId="29250"/>
    <cellStyle name="Normal 20 16 2" xfId="29251"/>
    <cellStyle name="Normal 20 17" xfId="29252"/>
    <cellStyle name="Normal 20 17 2" xfId="29253"/>
    <cellStyle name="Normal 20 18" xfId="29254"/>
    <cellStyle name="Normal 20 18 2" xfId="29255"/>
    <cellStyle name="Normal 20 19" xfId="29256"/>
    <cellStyle name="Normal 20 19 2" xfId="29257"/>
    <cellStyle name="Normal 20 2" xfId="1281"/>
    <cellStyle name="Normal 20 2 2" xfId="29258"/>
    <cellStyle name="Normal 20 2 3" xfId="29259"/>
    <cellStyle name="Normal 20 20" xfId="29260"/>
    <cellStyle name="Normal 20 20 2" xfId="29261"/>
    <cellStyle name="Normal 20 21" xfId="29262"/>
    <cellStyle name="Normal 20 21 2" xfId="29263"/>
    <cellStyle name="Normal 20 22" xfId="29264"/>
    <cellStyle name="Normal 20 22 2" xfId="29265"/>
    <cellStyle name="Normal 20 23" xfId="29266"/>
    <cellStyle name="Normal 20 23 2" xfId="29267"/>
    <cellStyle name="Normal 20 24" xfId="29268"/>
    <cellStyle name="Normal 20 24 2" xfId="29269"/>
    <cellStyle name="Normal 20 25" xfId="29270"/>
    <cellStyle name="Normal 20 25 2" xfId="29271"/>
    <cellStyle name="Normal 20 26" xfId="29272"/>
    <cellStyle name="Normal 20 26 2" xfId="29273"/>
    <cellStyle name="Normal 20 27" xfId="29274"/>
    <cellStyle name="Normal 20 27 2" xfId="29275"/>
    <cellStyle name="Normal 20 28" xfId="29276"/>
    <cellStyle name="Normal 20 28 2" xfId="29277"/>
    <cellStyle name="Normal 20 29" xfId="29278"/>
    <cellStyle name="Normal 20 29 2" xfId="29279"/>
    <cellStyle name="Normal 20 3" xfId="29280"/>
    <cellStyle name="Normal 20 3 2" xfId="29281"/>
    <cellStyle name="Normal 20 30" xfId="29282"/>
    <cellStyle name="Normal 20 30 2" xfId="29283"/>
    <cellStyle name="Normal 20 31" xfId="29284"/>
    <cellStyle name="Normal 20 31 2" xfId="29285"/>
    <cellStyle name="Normal 20 32" xfId="29286"/>
    <cellStyle name="Normal 20 32 2" xfId="29287"/>
    <cellStyle name="Normal 20 33" xfId="29288"/>
    <cellStyle name="Normal 20 33 2" xfId="29289"/>
    <cellStyle name="Normal 20 34" xfId="29290"/>
    <cellStyle name="Normal 20 34 2" xfId="29291"/>
    <cellStyle name="Normal 20 35" xfId="29292"/>
    <cellStyle name="Normal 20 35 2" xfId="29293"/>
    <cellStyle name="Normal 20 36" xfId="29294"/>
    <cellStyle name="Normal 20 36 2" xfId="29295"/>
    <cellStyle name="Normal 20 37" xfId="29296"/>
    <cellStyle name="Normal 20 37 2" xfId="29297"/>
    <cellStyle name="Normal 20 38" xfId="29298"/>
    <cellStyle name="Normal 20 38 2" xfId="29299"/>
    <cellStyle name="Normal 20 39" xfId="29300"/>
    <cellStyle name="Normal 20 39 2" xfId="29301"/>
    <cellStyle name="Normal 20 4" xfId="29302"/>
    <cellStyle name="Normal 20 4 2" xfId="29303"/>
    <cellStyle name="Normal 20 40" xfId="29304"/>
    <cellStyle name="Normal 20 40 2" xfId="29305"/>
    <cellStyle name="Normal 20 41" xfId="29306"/>
    <cellStyle name="Normal 20 41 2" xfId="29307"/>
    <cellStyle name="Normal 20 42" xfId="29308"/>
    <cellStyle name="Normal 20 42 2" xfId="29309"/>
    <cellStyle name="Normal 20 43" xfId="29310"/>
    <cellStyle name="Normal 20 43 2" xfId="29311"/>
    <cellStyle name="Normal 20 44" xfId="29312"/>
    <cellStyle name="Normal 20 44 2" xfId="29313"/>
    <cellStyle name="Normal 20 45" xfId="29314"/>
    <cellStyle name="Normal 20 46" xfId="29315"/>
    <cellStyle name="Normal 20 47" xfId="29316"/>
    <cellStyle name="Normal 20 48" xfId="29317"/>
    <cellStyle name="Normal 20 49" xfId="29318"/>
    <cellStyle name="Normal 20 5" xfId="29319"/>
    <cellStyle name="Normal 20 5 2" xfId="29320"/>
    <cellStyle name="Normal 20 50" xfId="29321"/>
    <cellStyle name="Normal 20 51" xfId="29322"/>
    <cellStyle name="Normal 20 52" xfId="29323"/>
    <cellStyle name="Normal 20 53" xfId="29324"/>
    <cellStyle name="Normal 20 54" xfId="29325"/>
    <cellStyle name="Normal 20 55" xfId="29326"/>
    <cellStyle name="Normal 20 56" xfId="29327"/>
    <cellStyle name="Normal 20 57" xfId="29328"/>
    <cellStyle name="Normal 20 58" xfId="29329"/>
    <cellStyle name="Normal 20 59" xfId="29330"/>
    <cellStyle name="Normal 20 6" xfId="29331"/>
    <cellStyle name="Normal 20 6 2" xfId="29332"/>
    <cellStyle name="Normal 20 60" xfId="29333"/>
    <cellStyle name="Normal 20 61" xfId="29334"/>
    <cellStyle name="Normal 20 62" xfId="29335"/>
    <cellStyle name="Normal 20 63" xfId="29336"/>
    <cellStyle name="Normal 20 64" xfId="29337"/>
    <cellStyle name="Normal 20 65" xfId="29338"/>
    <cellStyle name="Normal 20 66" xfId="29339"/>
    <cellStyle name="Normal 20 67" xfId="29340"/>
    <cellStyle name="Normal 20 68" xfId="29341"/>
    <cellStyle name="Normal 20 69" xfId="29342"/>
    <cellStyle name="Normal 20 7" xfId="29343"/>
    <cellStyle name="Normal 20 7 2" xfId="29344"/>
    <cellStyle name="Normal 20 70" xfId="29345"/>
    <cellStyle name="Normal 20 71" xfId="29346"/>
    <cellStyle name="Normal 20 72" xfId="29347"/>
    <cellStyle name="Normal 20 73" xfId="29348"/>
    <cellStyle name="Normal 20 74" xfId="29349"/>
    <cellStyle name="Normal 20 75" xfId="29350"/>
    <cellStyle name="Normal 20 76" xfId="29351"/>
    <cellStyle name="Normal 20 77" xfId="29352"/>
    <cellStyle name="Normal 20 78" xfId="29353"/>
    <cellStyle name="Normal 20 79" xfId="29354"/>
    <cellStyle name="Normal 20 8" xfId="29355"/>
    <cellStyle name="Normal 20 8 2" xfId="29356"/>
    <cellStyle name="Normal 20 80" xfId="29357"/>
    <cellStyle name="Normal 20 81" xfId="29358"/>
    <cellStyle name="Normal 20 82" xfId="29359"/>
    <cellStyle name="Normal 20 83" xfId="29360"/>
    <cellStyle name="Normal 20 84" xfId="29361"/>
    <cellStyle name="Normal 20 85" xfId="29362"/>
    <cellStyle name="Normal 20 86" xfId="29363"/>
    <cellStyle name="Normal 20 87" xfId="29364"/>
    <cellStyle name="Normal 20 88" xfId="29365"/>
    <cellStyle name="Normal 20 89" xfId="29366"/>
    <cellStyle name="Normal 20 9" xfId="29367"/>
    <cellStyle name="Normal 20 9 2" xfId="29368"/>
    <cellStyle name="Normal 20 90" xfId="29369"/>
    <cellStyle name="Normal 20 91" xfId="29370"/>
    <cellStyle name="Normal 20 92" xfId="29371"/>
    <cellStyle name="Normal 20 93" xfId="29372"/>
    <cellStyle name="Normal 20 94" xfId="29373"/>
    <cellStyle name="Normal 20 95" xfId="29374"/>
    <cellStyle name="Normal 20 96" xfId="29375"/>
    <cellStyle name="Normal 20 97" xfId="29376"/>
    <cellStyle name="Normal 20 98" xfId="29377"/>
    <cellStyle name="Normal 20 99" xfId="29378"/>
    <cellStyle name="Normal 200" xfId="846"/>
    <cellStyle name="Normal 201" xfId="848"/>
    <cellStyle name="Normal 202" xfId="850"/>
    <cellStyle name="Normal 203" xfId="852"/>
    <cellStyle name="Normal 204" xfId="854"/>
    <cellStyle name="Normal 205" xfId="856"/>
    <cellStyle name="Normal 206" xfId="858"/>
    <cellStyle name="Normal 207" xfId="860"/>
    <cellStyle name="Normal 208" xfId="862"/>
    <cellStyle name="Normal 209" xfId="864"/>
    <cellStyle name="Normal 21" xfId="434"/>
    <cellStyle name="Normal 21 10" xfId="29379"/>
    <cellStyle name="Normal 21 10 2" xfId="29380"/>
    <cellStyle name="Normal 21 100" xfId="29381"/>
    <cellStyle name="Normal 21 101" xfId="29382"/>
    <cellStyle name="Normal 21 102" xfId="29383"/>
    <cellStyle name="Normal 21 103" xfId="29384"/>
    <cellStyle name="Normal 21 104" xfId="29385"/>
    <cellStyle name="Normal 21 105" xfId="29386"/>
    <cellStyle name="Normal 21 106" xfId="29387"/>
    <cellStyle name="Normal 21 107" xfId="29388"/>
    <cellStyle name="Normal 21 108" xfId="29389"/>
    <cellStyle name="Normal 21 109" xfId="29390"/>
    <cellStyle name="Normal 21 11" xfId="29391"/>
    <cellStyle name="Normal 21 11 2" xfId="29392"/>
    <cellStyle name="Normal 21 110" xfId="29393"/>
    <cellStyle name="Normal 21 111" xfId="29394"/>
    <cellStyle name="Normal 21 112" xfId="29395"/>
    <cellStyle name="Normal 21 113" xfId="29396"/>
    <cellStyle name="Normal 21 12" xfId="29397"/>
    <cellStyle name="Normal 21 12 2" xfId="29398"/>
    <cellStyle name="Normal 21 13" xfId="29399"/>
    <cellStyle name="Normal 21 13 2" xfId="29400"/>
    <cellStyle name="Normal 21 14" xfId="29401"/>
    <cellStyle name="Normal 21 14 2" xfId="29402"/>
    <cellStyle name="Normal 21 15" xfId="29403"/>
    <cellStyle name="Normal 21 15 2" xfId="29404"/>
    <cellStyle name="Normal 21 16" xfId="29405"/>
    <cellStyle name="Normal 21 16 2" xfId="29406"/>
    <cellStyle name="Normal 21 17" xfId="29407"/>
    <cellStyle name="Normal 21 17 2" xfId="29408"/>
    <cellStyle name="Normal 21 18" xfId="29409"/>
    <cellStyle name="Normal 21 18 2" xfId="29410"/>
    <cellStyle name="Normal 21 19" xfId="29411"/>
    <cellStyle name="Normal 21 19 2" xfId="29412"/>
    <cellStyle name="Normal 21 2" xfId="1250"/>
    <cellStyle name="Normal 21 2 10" xfId="29413"/>
    <cellStyle name="Normal 21 2 11" xfId="29414"/>
    <cellStyle name="Normal 21 2 12" xfId="29415"/>
    <cellStyle name="Normal 21 2 13" xfId="29416"/>
    <cellStyle name="Normal 21 2 14" xfId="29417"/>
    <cellStyle name="Normal 21 2 15" xfId="29418"/>
    <cellStyle name="Normal 21 2 16" xfId="29419"/>
    <cellStyle name="Normal 21 2 17" xfId="29420"/>
    <cellStyle name="Normal 21 2 18" xfId="29421"/>
    <cellStyle name="Normal 21 2 19" xfId="29422"/>
    <cellStyle name="Normal 21 2 2" xfId="29423"/>
    <cellStyle name="Normal 21 2 20" xfId="29424"/>
    <cellStyle name="Normal 21 2 21" xfId="29425"/>
    <cellStyle name="Normal 21 2 22" xfId="29426"/>
    <cellStyle name="Normal 21 2 23" xfId="29427"/>
    <cellStyle name="Normal 21 2 24" xfId="29428"/>
    <cellStyle name="Normal 21 2 25" xfId="29429"/>
    <cellStyle name="Normal 21 2 26" xfId="29430"/>
    <cellStyle name="Normal 21 2 27" xfId="29431"/>
    <cellStyle name="Normal 21 2 28" xfId="29432"/>
    <cellStyle name="Normal 21 2 29" xfId="29433"/>
    <cellStyle name="Normal 21 2 3" xfId="29434"/>
    <cellStyle name="Normal 21 2 30" xfId="29435"/>
    <cellStyle name="Normal 21 2 31" xfId="29436"/>
    <cellStyle name="Normal 21 2 32" xfId="29437"/>
    <cellStyle name="Normal 21 2 33" xfId="29438"/>
    <cellStyle name="Normal 21 2 34" xfId="29439"/>
    <cellStyle name="Normal 21 2 35" xfId="29440"/>
    <cellStyle name="Normal 21 2 36" xfId="29441"/>
    <cellStyle name="Normal 21 2 37" xfId="29442"/>
    <cellStyle name="Normal 21 2 38" xfId="29443"/>
    <cellStyle name="Normal 21 2 39" xfId="29444"/>
    <cellStyle name="Normal 21 2 4" xfId="29445"/>
    <cellStyle name="Normal 21 2 40" xfId="29446"/>
    <cellStyle name="Normal 21 2 41" xfId="29447"/>
    <cellStyle name="Normal 21 2 42" xfId="29448"/>
    <cellStyle name="Normal 21 2 43" xfId="29449"/>
    <cellStyle name="Normal 21 2 44" xfId="29450"/>
    <cellStyle name="Normal 21 2 45" xfId="29451"/>
    <cellStyle name="Normal 21 2 46" xfId="29452"/>
    <cellStyle name="Normal 21 2 5" xfId="29453"/>
    <cellStyle name="Normal 21 2 6" xfId="29454"/>
    <cellStyle name="Normal 21 2 7" xfId="29455"/>
    <cellStyle name="Normal 21 2 8" xfId="29456"/>
    <cellStyle name="Normal 21 2 9" xfId="29457"/>
    <cellStyle name="Normal 21 20" xfId="29458"/>
    <cellStyle name="Normal 21 20 2" xfId="29459"/>
    <cellStyle name="Normal 21 21" xfId="29460"/>
    <cellStyle name="Normal 21 21 2" xfId="29461"/>
    <cellStyle name="Normal 21 22" xfId="29462"/>
    <cellStyle name="Normal 21 22 2" xfId="29463"/>
    <cellStyle name="Normal 21 23" xfId="29464"/>
    <cellStyle name="Normal 21 23 2" xfId="29465"/>
    <cellStyle name="Normal 21 24" xfId="29466"/>
    <cellStyle name="Normal 21 24 2" xfId="29467"/>
    <cellStyle name="Normal 21 25" xfId="29468"/>
    <cellStyle name="Normal 21 25 2" xfId="29469"/>
    <cellStyle name="Normal 21 26" xfId="29470"/>
    <cellStyle name="Normal 21 26 2" xfId="29471"/>
    <cellStyle name="Normal 21 27" xfId="29472"/>
    <cellStyle name="Normal 21 27 2" xfId="29473"/>
    <cellStyle name="Normal 21 28" xfId="29474"/>
    <cellStyle name="Normal 21 28 2" xfId="29475"/>
    <cellStyle name="Normal 21 29" xfId="29476"/>
    <cellStyle name="Normal 21 29 2" xfId="29477"/>
    <cellStyle name="Normal 21 3" xfId="29478"/>
    <cellStyle name="Normal 21 3 10" xfId="29479"/>
    <cellStyle name="Normal 21 3 11" xfId="29480"/>
    <cellStyle name="Normal 21 3 12" xfId="29481"/>
    <cellStyle name="Normal 21 3 13" xfId="29482"/>
    <cellStyle name="Normal 21 3 14" xfId="29483"/>
    <cellStyle name="Normal 21 3 15" xfId="29484"/>
    <cellStyle name="Normal 21 3 16" xfId="29485"/>
    <cellStyle name="Normal 21 3 17" xfId="29486"/>
    <cellStyle name="Normal 21 3 18" xfId="29487"/>
    <cellStyle name="Normal 21 3 19" xfId="29488"/>
    <cellStyle name="Normal 21 3 2" xfId="29489"/>
    <cellStyle name="Normal 21 3 20" xfId="29490"/>
    <cellStyle name="Normal 21 3 21" xfId="29491"/>
    <cellStyle name="Normal 21 3 22" xfId="29492"/>
    <cellStyle name="Normal 21 3 23" xfId="29493"/>
    <cellStyle name="Normal 21 3 24" xfId="29494"/>
    <cellStyle name="Normal 21 3 25" xfId="29495"/>
    <cellStyle name="Normal 21 3 26" xfId="29496"/>
    <cellStyle name="Normal 21 3 27" xfId="29497"/>
    <cellStyle name="Normal 21 3 28" xfId="29498"/>
    <cellStyle name="Normal 21 3 29" xfId="29499"/>
    <cellStyle name="Normal 21 3 3" xfId="29500"/>
    <cellStyle name="Normal 21 3 30" xfId="29501"/>
    <cellStyle name="Normal 21 3 31" xfId="29502"/>
    <cellStyle name="Normal 21 3 32" xfId="29503"/>
    <cellStyle name="Normal 21 3 33" xfId="29504"/>
    <cellStyle name="Normal 21 3 34" xfId="29505"/>
    <cellStyle name="Normal 21 3 35" xfId="29506"/>
    <cellStyle name="Normal 21 3 36" xfId="29507"/>
    <cellStyle name="Normal 21 3 37" xfId="29508"/>
    <cellStyle name="Normal 21 3 38" xfId="29509"/>
    <cellStyle name="Normal 21 3 39" xfId="29510"/>
    <cellStyle name="Normal 21 3 4" xfId="29511"/>
    <cellStyle name="Normal 21 3 40" xfId="29512"/>
    <cellStyle name="Normal 21 3 41" xfId="29513"/>
    <cellStyle name="Normal 21 3 42" xfId="29514"/>
    <cellStyle name="Normal 21 3 43" xfId="29515"/>
    <cellStyle name="Normal 21 3 44" xfId="29516"/>
    <cellStyle name="Normal 21 3 45" xfId="29517"/>
    <cellStyle name="Normal 21 3 5" xfId="29518"/>
    <cellStyle name="Normal 21 3 6" xfId="29519"/>
    <cellStyle name="Normal 21 3 7" xfId="29520"/>
    <cellStyle name="Normal 21 3 8" xfId="29521"/>
    <cellStyle name="Normal 21 3 9" xfId="29522"/>
    <cellStyle name="Normal 21 30" xfId="29523"/>
    <cellStyle name="Normal 21 30 2" xfId="29524"/>
    <cellStyle name="Normal 21 31" xfId="29525"/>
    <cellStyle name="Normal 21 31 2" xfId="29526"/>
    <cellStyle name="Normal 21 32" xfId="29527"/>
    <cellStyle name="Normal 21 32 2" xfId="29528"/>
    <cellStyle name="Normal 21 33" xfId="29529"/>
    <cellStyle name="Normal 21 33 2" xfId="29530"/>
    <cellStyle name="Normal 21 34" xfId="29531"/>
    <cellStyle name="Normal 21 34 2" xfId="29532"/>
    <cellStyle name="Normal 21 35" xfId="29533"/>
    <cellStyle name="Normal 21 35 2" xfId="29534"/>
    <cellStyle name="Normal 21 36" xfId="29535"/>
    <cellStyle name="Normal 21 36 2" xfId="29536"/>
    <cellStyle name="Normal 21 37" xfId="29537"/>
    <cellStyle name="Normal 21 37 2" xfId="29538"/>
    <cellStyle name="Normal 21 38" xfId="29539"/>
    <cellStyle name="Normal 21 38 2" xfId="29540"/>
    <cellStyle name="Normal 21 39" xfId="29541"/>
    <cellStyle name="Normal 21 39 2" xfId="29542"/>
    <cellStyle name="Normal 21 4" xfId="29543"/>
    <cellStyle name="Normal 21 4 10" xfId="29544"/>
    <cellStyle name="Normal 21 4 11" xfId="29545"/>
    <cellStyle name="Normal 21 4 12" xfId="29546"/>
    <cellStyle name="Normal 21 4 13" xfId="29547"/>
    <cellStyle name="Normal 21 4 14" xfId="29548"/>
    <cellStyle name="Normal 21 4 15" xfId="29549"/>
    <cellStyle name="Normal 21 4 16" xfId="29550"/>
    <cellStyle name="Normal 21 4 17" xfId="29551"/>
    <cellStyle name="Normal 21 4 18" xfId="29552"/>
    <cellStyle name="Normal 21 4 19" xfId="29553"/>
    <cellStyle name="Normal 21 4 2" xfId="29554"/>
    <cellStyle name="Normal 21 4 20" xfId="29555"/>
    <cellStyle name="Normal 21 4 21" xfId="29556"/>
    <cellStyle name="Normal 21 4 22" xfId="29557"/>
    <cellStyle name="Normal 21 4 23" xfId="29558"/>
    <cellStyle name="Normal 21 4 24" xfId="29559"/>
    <cellStyle name="Normal 21 4 25" xfId="29560"/>
    <cellStyle name="Normal 21 4 26" xfId="29561"/>
    <cellStyle name="Normal 21 4 27" xfId="29562"/>
    <cellStyle name="Normal 21 4 28" xfId="29563"/>
    <cellStyle name="Normal 21 4 29" xfId="29564"/>
    <cellStyle name="Normal 21 4 3" xfId="29565"/>
    <cellStyle name="Normal 21 4 30" xfId="29566"/>
    <cellStyle name="Normal 21 4 31" xfId="29567"/>
    <cellStyle name="Normal 21 4 32" xfId="29568"/>
    <cellStyle name="Normal 21 4 33" xfId="29569"/>
    <cellStyle name="Normal 21 4 34" xfId="29570"/>
    <cellStyle name="Normal 21 4 35" xfId="29571"/>
    <cellStyle name="Normal 21 4 36" xfId="29572"/>
    <cellStyle name="Normal 21 4 37" xfId="29573"/>
    <cellStyle name="Normal 21 4 38" xfId="29574"/>
    <cellStyle name="Normal 21 4 39" xfId="29575"/>
    <cellStyle name="Normal 21 4 4" xfId="29576"/>
    <cellStyle name="Normal 21 4 40" xfId="29577"/>
    <cellStyle name="Normal 21 4 41" xfId="29578"/>
    <cellStyle name="Normal 21 4 42" xfId="29579"/>
    <cellStyle name="Normal 21 4 43" xfId="29580"/>
    <cellStyle name="Normal 21 4 44" xfId="29581"/>
    <cellStyle name="Normal 21 4 45" xfId="29582"/>
    <cellStyle name="Normal 21 4 5" xfId="29583"/>
    <cellStyle name="Normal 21 4 6" xfId="29584"/>
    <cellStyle name="Normal 21 4 7" xfId="29585"/>
    <cellStyle name="Normal 21 4 8" xfId="29586"/>
    <cellStyle name="Normal 21 4 9" xfId="29587"/>
    <cellStyle name="Normal 21 40" xfId="29588"/>
    <cellStyle name="Normal 21 40 2" xfId="29589"/>
    <cellStyle name="Normal 21 41" xfId="29590"/>
    <cellStyle name="Normal 21 41 2" xfId="29591"/>
    <cellStyle name="Normal 21 42" xfId="29592"/>
    <cellStyle name="Normal 21 42 2" xfId="29593"/>
    <cellStyle name="Normal 21 43" xfId="29594"/>
    <cellStyle name="Normal 21 43 2" xfId="29595"/>
    <cellStyle name="Normal 21 44" xfId="29596"/>
    <cellStyle name="Normal 21 44 2" xfId="29597"/>
    <cellStyle name="Normal 21 45" xfId="29598"/>
    <cellStyle name="Normal 21 45 2" xfId="29599"/>
    <cellStyle name="Normal 21 46" xfId="29600"/>
    <cellStyle name="Normal 21 46 2" xfId="29601"/>
    <cellStyle name="Normal 21 47" xfId="29602"/>
    <cellStyle name="Normal 21 47 2" xfId="29603"/>
    <cellStyle name="Normal 21 48" xfId="29604"/>
    <cellStyle name="Normal 21 48 2" xfId="29605"/>
    <cellStyle name="Normal 21 49" xfId="29606"/>
    <cellStyle name="Normal 21 5" xfId="29607"/>
    <cellStyle name="Normal 21 5 10" xfId="29608"/>
    <cellStyle name="Normal 21 5 11" xfId="29609"/>
    <cellStyle name="Normal 21 5 12" xfId="29610"/>
    <cellStyle name="Normal 21 5 13" xfId="29611"/>
    <cellStyle name="Normal 21 5 14" xfId="29612"/>
    <cellStyle name="Normal 21 5 15" xfId="29613"/>
    <cellStyle name="Normal 21 5 16" xfId="29614"/>
    <cellStyle name="Normal 21 5 17" xfId="29615"/>
    <cellStyle name="Normal 21 5 18" xfId="29616"/>
    <cellStyle name="Normal 21 5 19" xfId="29617"/>
    <cellStyle name="Normal 21 5 2" xfId="29618"/>
    <cellStyle name="Normal 21 5 20" xfId="29619"/>
    <cellStyle name="Normal 21 5 21" xfId="29620"/>
    <cellStyle name="Normal 21 5 22" xfId="29621"/>
    <cellStyle name="Normal 21 5 23" xfId="29622"/>
    <cellStyle name="Normal 21 5 24" xfId="29623"/>
    <cellStyle name="Normal 21 5 25" xfId="29624"/>
    <cellStyle name="Normal 21 5 26" xfId="29625"/>
    <cellStyle name="Normal 21 5 27" xfId="29626"/>
    <cellStyle name="Normal 21 5 28" xfId="29627"/>
    <cellStyle name="Normal 21 5 29" xfId="29628"/>
    <cellStyle name="Normal 21 5 3" xfId="29629"/>
    <cellStyle name="Normal 21 5 30" xfId="29630"/>
    <cellStyle name="Normal 21 5 31" xfId="29631"/>
    <cellStyle name="Normal 21 5 32" xfId="29632"/>
    <cellStyle name="Normal 21 5 33" xfId="29633"/>
    <cellStyle name="Normal 21 5 34" xfId="29634"/>
    <cellStyle name="Normal 21 5 35" xfId="29635"/>
    <cellStyle name="Normal 21 5 36" xfId="29636"/>
    <cellStyle name="Normal 21 5 37" xfId="29637"/>
    <cellStyle name="Normal 21 5 38" xfId="29638"/>
    <cellStyle name="Normal 21 5 39" xfId="29639"/>
    <cellStyle name="Normal 21 5 4" xfId="29640"/>
    <cellStyle name="Normal 21 5 40" xfId="29641"/>
    <cellStyle name="Normal 21 5 41" xfId="29642"/>
    <cellStyle name="Normal 21 5 42" xfId="29643"/>
    <cellStyle name="Normal 21 5 43" xfId="29644"/>
    <cellStyle name="Normal 21 5 44" xfId="29645"/>
    <cellStyle name="Normal 21 5 45" xfId="29646"/>
    <cellStyle name="Normal 21 5 5" xfId="29647"/>
    <cellStyle name="Normal 21 5 6" xfId="29648"/>
    <cellStyle name="Normal 21 5 7" xfId="29649"/>
    <cellStyle name="Normal 21 5 8" xfId="29650"/>
    <cellStyle name="Normal 21 5 9" xfId="29651"/>
    <cellStyle name="Normal 21 50" xfId="29652"/>
    <cellStyle name="Normal 21 51" xfId="29653"/>
    <cellStyle name="Normal 21 52" xfId="29654"/>
    <cellStyle name="Normal 21 53" xfId="29655"/>
    <cellStyle name="Normal 21 54" xfId="29656"/>
    <cellStyle name="Normal 21 55" xfId="29657"/>
    <cellStyle name="Normal 21 56" xfId="29658"/>
    <cellStyle name="Normal 21 57" xfId="29659"/>
    <cellStyle name="Normal 21 58" xfId="29660"/>
    <cellStyle name="Normal 21 59" xfId="29661"/>
    <cellStyle name="Normal 21 6" xfId="29662"/>
    <cellStyle name="Normal 21 6 2" xfId="29663"/>
    <cellStyle name="Normal 21 60" xfId="29664"/>
    <cellStyle name="Normal 21 61" xfId="29665"/>
    <cellStyle name="Normal 21 62" xfId="29666"/>
    <cellStyle name="Normal 21 63" xfId="29667"/>
    <cellStyle name="Normal 21 64" xfId="29668"/>
    <cellStyle name="Normal 21 65" xfId="29669"/>
    <cellStyle name="Normal 21 66" xfId="29670"/>
    <cellStyle name="Normal 21 67" xfId="29671"/>
    <cellStyle name="Normal 21 68" xfId="29672"/>
    <cellStyle name="Normal 21 69" xfId="29673"/>
    <cellStyle name="Normal 21 7" xfId="29674"/>
    <cellStyle name="Normal 21 7 2" xfId="29675"/>
    <cellStyle name="Normal 21 70" xfId="29676"/>
    <cellStyle name="Normal 21 71" xfId="29677"/>
    <cellStyle name="Normal 21 72" xfId="29678"/>
    <cellStyle name="Normal 21 73" xfId="29679"/>
    <cellStyle name="Normal 21 74" xfId="29680"/>
    <cellStyle name="Normal 21 75" xfId="29681"/>
    <cellStyle name="Normal 21 76" xfId="29682"/>
    <cellStyle name="Normal 21 77" xfId="29683"/>
    <cellStyle name="Normal 21 78" xfId="29684"/>
    <cellStyle name="Normal 21 79" xfId="29685"/>
    <cellStyle name="Normal 21 8" xfId="29686"/>
    <cellStyle name="Normal 21 8 2" xfId="29687"/>
    <cellStyle name="Normal 21 80" xfId="29688"/>
    <cellStyle name="Normal 21 81" xfId="29689"/>
    <cellStyle name="Normal 21 82" xfId="29690"/>
    <cellStyle name="Normal 21 83" xfId="29691"/>
    <cellStyle name="Normal 21 84" xfId="29692"/>
    <cellStyle name="Normal 21 85" xfId="29693"/>
    <cellStyle name="Normal 21 86" xfId="29694"/>
    <cellStyle name="Normal 21 87" xfId="29695"/>
    <cellStyle name="Normal 21 88" xfId="29696"/>
    <cellStyle name="Normal 21 89" xfId="29697"/>
    <cellStyle name="Normal 21 9" xfId="29698"/>
    <cellStyle name="Normal 21 9 2" xfId="29699"/>
    <cellStyle name="Normal 21 90" xfId="29700"/>
    <cellStyle name="Normal 21 91" xfId="29701"/>
    <cellStyle name="Normal 21 92" xfId="29702"/>
    <cellStyle name="Normal 21 93" xfId="29703"/>
    <cellStyle name="Normal 21 94" xfId="29704"/>
    <cellStyle name="Normal 21 95" xfId="29705"/>
    <cellStyle name="Normal 21 96" xfId="29706"/>
    <cellStyle name="Normal 21 97" xfId="29707"/>
    <cellStyle name="Normal 21 98" xfId="29708"/>
    <cellStyle name="Normal 21 99" xfId="29709"/>
    <cellStyle name="Normal 210" xfId="866"/>
    <cellStyle name="Normal 211" xfId="868"/>
    <cellStyle name="Normal 212" xfId="870"/>
    <cellStyle name="Normal 213" xfId="872"/>
    <cellStyle name="Normal 214" xfId="874"/>
    <cellStyle name="Normal 215" xfId="876"/>
    <cellStyle name="Normal 216" xfId="878"/>
    <cellStyle name="Normal 217" xfId="880"/>
    <cellStyle name="Normal 218" xfId="882"/>
    <cellStyle name="Normal 219" xfId="884"/>
    <cellStyle name="Normal 22" xfId="469"/>
    <cellStyle name="Normal 22 10" xfId="29710"/>
    <cellStyle name="Normal 22 10 2" xfId="29711"/>
    <cellStyle name="Normal 22 100" xfId="29712"/>
    <cellStyle name="Normal 22 101" xfId="29713"/>
    <cellStyle name="Normal 22 102" xfId="29714"/>
    <cellStyle name="Normal 22 103" xfId="29715"/>
    <cellStyle name="Normal 22 104" xfId="29716"/>
    <cellStyle name="Normal 22 105" xfId="29717"/>
    <cellStyle name="Normal 22 106" xfId="29718"/>
    <cellStyle name="Normal 22 107" xfId="29719"/>
    <cellStyle name="Normal 22 108" xfId="29720"/>
    <cellStyle name="Normal 22 109" xfId="29721"/>
    <cellStyle name="Normal 22 11" xfId="29722"/>
    <cellStyle name="Normal 22 11 2" xfId="29723"/>
    <cellStyle name="Normal 22 110" xfId="29724"/>
    <cellStyle name="Normal 22 111" xfId="29725"/>
    <cellStyle name="Normal 22 112" xfId="29726"/>
    <cellStyle name="Normal 22 113" xfId="29727"/>
    <cellStyle name="Normal 22 12" xfId="29728"/>
    <cellStyle name="Normal 22 12 2" xfId="29729"/>
    <cellStyle name="Normal 22 13" xfId="29730"/>
    <cellStyle name="Normal 22 13 2" xfId="29731"/>
    <cellStyle name="Normal 22 14" xfId="29732"/>
    <cellStyle name="Normal 22 14 2" xfId="29733"/>
    <cellStyle name="Normal 22 15" xfId="29734"/>
    <cellStyle name="Normal 22 15 2" xfId="29735"/>
    <cellStyle name="Normal 22 16" xfId="29736"/>
    <cellStyle name="Normal 22 16 2" xfId="29737"/>
    <cellStyle name="Normal 22 17" xfId="29738"/>
    <cellStyle name="Normal 22 17 2" xfId="29739"/>
    <cellStyle name="Normal 22 18" xfId="29740"/>
    <cellStyle name="Normal 22 18 2" xfId="29741"/>
    <cellStyle name="Normal 22 19" xfId="29742"/>
    <cellStyle name="Normal 22 19 2" xfId="29743"/>
    <cellStyle name="Normal 22 2" xfId="1274"/>
    <cellStyle name="Normal 22 2 10" xfId="29744"/>
    <cellStyle name="Normal 22 2 11" xfId="29745"/>
    <cellStyle name="Normal 22 2 12" xfId="29746"/>
    <cellStyle name="Normal 22 2 13" xfId="29747"/>
    <cellStyle name="Normal 22 2 14" xfId="29748"/>
    <cellStyle name="Normal 22 2 15" xfId="29749"/>
    <cellStyle name="Normal 22 2 16" xfId="29750"/>
    <cellStyle name="Normal 22 2 17" xfId="29751"/>
    <cellStyle name="Normal 22 2 18" xfId="29752"/>
    <cellStyle name="Normal 22 2 19" xfId="29753"/>
    <cellStyle name="Normal 22 2 2" xfId="29754"/>
    <cellStyle name="Normal 22 2 20" xfId="29755"/>
    <cellStyle name="Normal 22 2 21" xfId="29756"/>
    <cellStyle name="Normal 22 2 22" xfId="29757"/>
    <cellStyle name="Normal 22 2 23" xfId="29758"/>
    <cellStyle name="Normal 22 2 24" xfId="29759"/>
    <cellStyle name="Normal 22 2 25" xfId="29760"/>
    <cellStyle name="Normal 22 2 26" xfId="29761"/>
    <cellStyle name="Normal 22 2 27" xfId="29762"/>
    <cellStyle name="Normal 22 2 28" xfId="29763"/>
    <cellStyle name="Normal 22 2 29" xfId="29764"/>
    <cellStyle name="Normal 22 2 3" xfId="29765"/>
    <cellStyle name="Normal 22 2 30" xfId="29766"/>
    <cellStyle name="Normal 22 2 31" xfId="29767"/>
    <cellStyle name="Normal 22 2 32" xfId="29768"/>
    <cellStyle name="Normal 22 2 33" xfId="29769"/>
    <cellStyle name="Normal 22 2 34" xfId="29770"/>
    <cellStyle name="Normal 22 2 35" xfId="29771"/>
    <cellStyle name="Normal 22 2 36" xfId="29772"/>
    <cellStyle name="Normal 22 2 37" xfId="29773"/>
    <cellStyle name="Normal 22 2 38" xfId="29774"/>
    <cellStyle name="Normal 22 2 39" xfId="29775"/>
    <cellStyle name="Normal 22 2 4" xfId="29776"/>
    <cellStyle name="Normal 22 2 40" xfId="29777"/>
    <cellStyle name="Normal 22 2 41" xfId="29778"/>
    <cellStyle name="Normal 22 2 42" xfId="29779"/>
    <cellStyle name="Normal 22 2 43" xfId="29780"/>
    <cellStyle name="Normal 22 2 44" xfId="29781"/>
    <cellStyle name="Normal 22 2 45" xfId="29782"/>
    <cellStyle name="Normal 22 2 46" xfId="29783"/>
    <cellStyle name="Normal 22 2 5" xfId="29784"/>
    <cellStyle name="Normal 22 2 6" xfId="29785"/>
    <cellStyle name="Normal 22 2 7" xfId="29786"/>
    <cellStyle name="Normal 22 2 8" xfId="29787"/>
    <cellStyle name="Normal 22 2 9" xfId="29788"/>
    <cellStyle name="Normal 22 20" xfId="29789"/>
    <cellStyle name="Normal 22 20 2" xfId="29790"/>
    <cellStyle name="Normal 22 21" xfId="29791"/>
    <cellStyle name="Normal 22 21 2" xfId="29792"/>
    <cellStyle name="Normal 22 22" xfId="29793"/>
    <cellStyle name="Normal 22 22 2" xfId="29794"/>
    <cellStyle name="Normal 22 23" xfId="29795"/>
    <cellStyle name="Normal 22 23 2" xfId="29796"/>
    <cellStyle name="Normal 22 24" xfId="29797"/>
    <cellStyle name="Normal 22 24 2" xfId="29798"/>
    <cellStyle name="Normal 22 25" xfId="29799"/>
    <cellStyle name="Normal 22 25 2" xfId="29800"/>
    <cellStyle name="Normal 22 26" xfId="29801"/>
    <cellStyle name="Normal 22 26 2" xfId="29802"/>
    <cellStyle name="Normal 22 27" xfId="29803"/>
    <cellStyle name="Normal 22 27 2" xfId="29804"/>
    <cellStyle name="Normal 22 28" xfId="29805"/>
    <cellStyle name="Normal 22 28 2" xfId="29806"/>
    <cellStyle name="Normal 22 29" xfId="29807"/>
    <cellStyle name="Normal 22 29 2" xfId="29808"/>
    <cellStyle name="Normal 22 3" xfId="1672"/>
    <cellStyle name="Normal 22 3 10" xfId="29809"/>
    <cellStyle name="Normal 22 3 11" xfId="29810"/>
    <cellStyle name="Normal 22 3 12" xfId="29811"/>
    <cellStyle name="Normal 22 3 13" xfId="29812"/>
    <cellStyle name="Normal 22 3 14" xfId="29813"/>
    <cellStyle name="Normal 22 3 15" xfId="29814"/>
    <cellStyle name="Normal 22 3 16" xfId="29815"/>
    <cellStyle name="Normal 22 3 17" xfId="29816"/>
    <cellStyle name="Normal 22 3 18" xfId="29817"/>
    <cellStyle name="Normal 22 3 19" xfId="29818"/>
    <cellStyle name="Normal 22 3 2" xfId="29819"/>
    <cellStyle name="Normal 22 3 20" xfId="29820"/>
    <cellStyle name="Normal 22 3 21" xfId="29821"/>
    <cellStyle name="Normal 22 3 22" xfId="29822"/>
    <cellStyle name="Normal 22 3 23" xfId="29823"/>
    <cellStyle name="Normal 22 3 24" xfId="29824"/>
    <cellStyle name="Normal 22 3 25" xfId="29825"/>
    <cellStyle name="Normal 22 3 26" xfId="29826"/>
    <cellStyle name="Normal 22 3 27" xfId="29827"/>
    <cellStyle name="Normal 22 3 28" xfId="29828"/>
    <cellStyle name="Normal 22 3 29" xfId="29829"/>
    <cellStyle name="Normal 22 3 3" xfId="29830"/>
    <cellStyle name="Normal 22 3 30" xfId="29831"/>
    <cellStyle name="Normal 22 3 31" xfId="29832"/>
    <cellStyle name="Normal 22 3 32" xfId="29833"/>
    <cellStyle name="Normal 22 3 33" xfId="29834"/>
    <cellStyle name="Normal 22 3 34" xfId="29835"/>
    <cellStyle name="Normal 22 3 35" xfId="29836"/>
    <cellStyle name="Normal 22 3 36" xfId="29837"/>
    <cellStyle name="Normal 22 3 37" xfId="29838"/>
    <cellStyle name="Normal 22 3 38" xfId="29839"/>
    <cellStyle name="Normal 22 3 39" xfId="29840"/>
    <cellStyle name="Normal 22 3 4" xfId="29841"/>
    <cellStyle name="Normal 22 3 40" xfId="29842"/>
    <cellStyle name="Normal 22 3 41" xfId="29843"/>
    <cellStyle name="Normal 22 3 42" xfId="29844"/>
    <cellStyle name="Normal 22 3 43" xfId="29845"/>
    <cellStyle name="Normal 22 3 44" xfId="29846"/>
    <cellStyle name="Normal 22 3 45" xfId="29847"/>
    <cellStyle name="Normal 22 3 46" xfId="29848"/>
    <cellStyle name="Normal 22 3 5" xfId="29849"/>
    <cellStyle name="Normal 22 3 6" xfId="29850"/>
    <cellStyle name="Normal 22 3 7" xfId="29851"/>
    <cellStyle name="Normal 22 3 8" xfId="29852"/>
    <cellStyle name="Normal 22 3 9" xfId="29853"/>
    <cellStyle name="Normal 22 30" xfId="29854"/>
    <cellStyle name="Normal 22 30 2" xfId="29855"/>
    <cellStyle name="Normal 22 31" xfId="29856"/>
    <cellStyle name="Normal 22 31 2" xfId="29857"/>
    <cellStyle name="Normal 22 32" xfId="29858"/>
    <cellStyle name="Normal 22 32 2" xfId="29859"/>
    <cellStyle name="Normal 22 33" xfId="29860"/>
    <cellStyle name="Normal 22 33 2" xfId="29861"/>
    <cellStyle name="Normal 22 34" xfId="29862"/>
    <cellStyle name="Normal 22 34 2" xfId="29863"/>
    <cellStyle name="Normal 22 35" xfId="29864"/>
    <cellStyle name="Normal 22 35 2" xfId="29865"/>
    <cellStyle name="Normal 22 36" xfId="29866"/>
    <cellStyle name="Normal 22 36 2" xfId="29867"/>
    <cellStyle name="Normal 22 37" xfId="29868"/>
    <cellStyle name="Normal 22 37 2" xfId="29869"/>
    <cellStyle name="Normal 22 38" xfId="29870"/>
    <cellStyle name="Normal 22 38 2" xfId="29871"/>
    <cellStyle name="Normal 22 39" xfId="29872"/>
    <cellStyle name="Normal 22 39 2" xfId="29873"/>
    <cellStyle name="Normal 22 4" xfId="29874"/>
    <cellStyle name="Normal 22 4 10" xfId="29875"/>
    <cellStyle name="Normal 22 4 11" xfId="29876"/>
    <cellStyle name="Normal 22 4 12" xfId="29877"/>
    <cellStyle name="Normal 22 4 13" xfId="29878"/>
    <cellStyle name="Normal 22 4 14" xfId="29879"/>
    <cellStyle name="Normal 22 4 15" xfId="29880"/>
    <cellStyle name="Normal 22 4 16" xfId="29881"/>
    <cellStyle name="Normal 22 4 17" xfId="29882"/>
    <cellStyle name="Normal 22 4 18" xfId="29883"/>
    <cellStyle name="Normal 22 4 19" xfId="29884"/>
    <cellStyle name="Normal 22 4 2" xfId="29885"/>
    <cellStyle name="Normal 22 4 20" xfId="29886"/>
    <cellStyle name="Normal 22 4 21" xfId="29887"/>
    <cellStyle name="Normal 22 4 22" xfId="29888"/>
    <cellStyle name="Normal 22 4 23" xfId="29889"/>
    <cellStyle name="Normal 22 4 24" xfId="29890"/>
    <cellStyle name="Normal 22 4 25" xfId="29891"/>
    <cellStyle name="Normal 22 4 26" xfId="29892"/>
    <cellStyle name="Normal 22 4 27" xfId="29893"/>
    <cellStyle name="Normal 22 4 28" xfId="29894"/>
    <cellStyle name="Normal 22 4 29" xfId="29895"/>
    <cellStyle name="Normal 22 4 3" xfId="29896"/>
    <cellStyle name="Normal 22 4 30" xfId="29897"/>
    <cellStyle name="Normal 22 4 31" xfId="29898"/>
    <cellStyle name="Normal 22 4 32" xfId="29899"/>
    <cellStyle name="Normal 22 4 33" xfId="29900"/>
    <cellStyle name="Normal 22 4 34" xfId="29901"/>
    <cellStyle name="Normal 22 4 35" xfId="29902"/>
    <cellStyle name="Normal 22 4 36" xfId="29903"/>
    <cellStyle name="Normal 22 4 37" xfId="29904"/>
    <cellStyle name="Normal 22 4 38" xfId="29905"/>
    <cellStyle name="Normal 22 4 39" xfId="29906"/>
    <cellStyle name="Normal 22 4 4" xfId="29907"/>
    <cellStyle name="Normal 22 4 40" xfId="29908"/>
    <cellStyle name="Normal 22 4 41" xfId="29909"/>
    <cellStyle name="Normal 22 4 42" xfId="29910"/>
    <cellStyle name="Normal 22 4 43" xfId="29911"/>
    <cellStyle name="Normal 22 4 44" xfId="29912"/>
    <cellStyle name="Normal 22 4 45" xfId="29913"/>
    <cellStyle name="Normal 22 4 5" xfId="29914"/>
    <cellStyle name="Normal 22 4 6" xfId="29915"/>
    <cellStyle name="Normal 22 4 7" xfId="29916"/>
    <cellStyle name="Normal 22 4 8" xfId="29917"/>
    <cellStyle name="Normal 22 4 9" xfId="29918"/>
    <cellStyle name="Normal 22 40" xfId="29919"/>
    <cellStyle name="Normal 22 40 2" xfId="29920"/>
    <cellStyle name="Normal 22 41" xfId="29921"/>
    <cellStyle name="Normal 22 41 2" xfId="29922"/>
    <cellStyle name="Normal 22 42" xfId="29923"/>
    <cellStyle name="Normal 22 42 2" xfId="29924"/>
    <cellStyle name="Normal 22 43" xfId="29925"/>
    <cellStyle name="Normal 22 43 2" xfId="29926"/>
    <cellStyle name="Normal 22 44" xfId="29927"/>
    <cellStyle name="Normal 22 44 2" xfId="29928"/>
    <cellStyle name="Normal 22 45" xfId="29929"/>
    <cellStyle name="Normal 22 45 2" xfId="29930"/>
    <cellStyle name="Normal 22 46" xfId="29931"/>
    <cellStyle name="Normal 22 46 2" xfId="29932"/>
    <cellStyle name="Normal 22 47" xfId="29933"/>
    <cellStyle name="Normal 22 47 2" xfId="29934"/>
    <cellStyle name="Normal 22 48" xfId="29935"/>
    <cellStyle name="Normal 22 48 2" xfId="29936"/>
    <cellStyle name="Normal 22 49" xfId="29937"/>
    <cellStyle name="Normal 22 5" xfId="29938"/>
    <cellStyle name="Normal 22 5 10" xfId="29939"/>
    <cellStyle name="Normal 22 5 11" xfId="29940"/>
    <cellStyle name="Normal 22 5 12" xfId="29941"/>
    <cellStyle name="Normal 22 5 13" xfId="29942"/>
    <cellStyle name="Normal 22 5 14" xfId="29943"/>
    <cellStyle name="Normal 22 5 15" xfId="29944"/>
    <cellStyle name="Normal 22 5 16" xfId="29945"/>
    <cellStyle name="Normal 22 5 17" xfId="29946"/>
    <cellStyle name="Normal 22 5 18" xfId="29947"/>
    <cellStyle name="Normal 22 5 19" xfId="29948"/>
    <cellStyle name="Normal 22 5 2" xfId="29949"/>
    <cellStyle name="Normal 22 5 20" xfId="29950"/>
    <cellStyle name="Normal 22 5 21" xfId="29951"/>
    <cellStyle name="Normal 22 5 22" xfId="29952"/>
    <cellStyle name="Normal 22 5 23" xfId="29953"/>
    <cellStyle name="Normal 22 5 24" xfId="29954"/>
    <cellStyle name="Normal 22 5 25" xfId="29955"/>
    <cellStyle name="Normal 22 5 26" xfId="29956"/>
    <cellStyle name="Normal 22 5 27" xfId="29957"/>
    <cellStyle name="Normal 22 5 28" xfId="29958"/>
    <cellStyle name="Normal 22 5 29" xfId="29959"/>
    <cellStyle name="Normal 22 5 3" xfId="29960"/>
    <cellStyle name="Normal 22 5 30" xfId="29961"/>
    <cellStyle name="Normal 22 5 31" xfId="29962"/>
    <cellStyle name="Normal 22 5 32" xfId="29963"/>
    <cellStyle name="Normal 22 5 33" xfId="29964"/>
    <cellStyle name="Normal 22 5 34" xfId="29965"/>
    <cellStyle name="Normal 22 5 35" xfId="29966"/>
    <cellStyle name="Normal 22 5 36" xfId="29967"/>
    <cellStyle name="Normal 22 5 37" xfId="29968"/>
    <cellStyle name="Normal 22 5 38" xfId="29969"/>
    <cellStyle name="Normal 22 5 39" xfId="29970"/>
    <cellStyle name="Normal 22 5 4" xfId="29971"/>
    <cellStyle name="Normal 22 5 40" xfId="29972"/>
    <cellStyle name="Normal 22 5 41" xfId="29973"/>
    <cellStyle name="Normal 22 5 42" xfId="29974"/>
    <cellStyle name="Normal 22 5 43" xfId="29975"/>
    <cellStyle name="Normal 22 5 44" xfId="29976"/>
    <cellStyle name="Normal 22 5 45" xfId="29977"/>
    <cellStyle name="Normal 22 5 5" xfId="29978"/>
    <cellStyle name="Normal 22 5 6" xfId="29979"/>
    <cellStyle name="Normal 22 5 7" xfId="29980"/>
    <cellStyle name="Normal 22 5 8" xfId="29981"/>
    <cellStyle name="Normal 22 5 9" xfId="29982"/>
    <cellStyle name="Normal 22 50" xfId="29983"/>
    <cellStyle name="Normal 22 51" xfId="29984"/>
    <cellStyle name="Normal 22 52" xfId="29985"/>
    <cellStyle name="Normal 22 53" xfId="29986"/>
    <cellStyle name="Normal 22 54" xfId="29987"/>
    <cellStyle name="Normal 22 55" xfId="29988"/>
    <cellStyle name="Normal 22 56" xfId="29989"/>
    <cellStyle name="Normal 22 57" xfId="29990"/>
    <cellStyle name="Normal 22 58" xfId="29991"/>
    <cellStyle name="Normal 22 59" xfId="29992"/>
    <cellStyle name="Normal 22 6" xfId="29993"/>
    <cellStyle name="Normal 22 6 2" xfId="29994"/>
    <cellStyle name="Normal 22 60" xfId="29995"/>
    <cellStyle name="Normal 22 61" xfId="29996"/>
    <cellStyle name="Normal 22 62" xfId="29997"/>
    <cellStyle name="Normal 22 63" xfId="29998"/>
    <cellStyle name="Normal 22 64" xfId="29999"/>
    <cellStyle name="Normal 22 65" xfId="30000"/>
    <cellStyle name="Normal 22 66" xfId="30001"/>
    <cellStyle name="Normal 22 67" xfId="30002"/>
    <cellStyle name="Normal 22 68" xfId="30003"/>
    <cellStyle name="Normal 22 69" xfId="30004"/>
    <cellStyle name="Normal 22 7" xfId="30005"/>
    <cellStyle name="Normal 22 7 2" xfId="30006"/>
    <cellStyle name="Normal 22 70" xfId="30007"/>
    <cellStyle name="Normal 22 71" xfId="30008"/>
    <cellStyle name="Normal 22 72" xfId="30009"/>
    <cellStyle name="Normal 22 73" xfId="30010"/>
    <cellStyle name="Normal 22 74" xfId="30011"/>
    <cellStyle name="Normal 22 75" xfId="30012"/>
    <cellStyle name="Normal 22 76" xfId="30013"/>
    <cellStyle name="Normal 22 77" xfId="30014"/>
    <cellStyle name="Normal 22 78" xfId="30015"/>
    <cellStyle name="Normal 22 79" xfId="30016"/>
    <cellStyle name="Normal 22 8" xfId="30017"/>
    <cellStyle name="Normal 22 8 2" xfId="30018"/>
    <cellStyle name="Normal 22 80" xfId="30019"/>
    <cellStyle name="Normal 22 81" xfId="30020"/>
    <cellStyle name="Normal 22 82" xfId="30021"/>
    <cellStyle name="Normal 22 83" xfId="30022"/>
    <cellStyle name="Normal 22 84" xfId="30023"/>
    <cellStyle name="Normal 22 85" xfId="30024"/>
    <cellStyle name="Normal 22 86" xfId="30025"/>
    <cellStyle name="Normal 22 87" xfId="30026"/>
    <cellStyle name="Normal 22 88" xfId="30027"/>
    <cellStyle name="Normal 22 89" xfId="30028"/>
    <cellStyle name="Normal 22 9" xfId="30029"/>
    <cellStyle name="Normal 22 9 2" xfId="30030"/>
    <cellStyle name="Normal 22 90" xfId="30031"/>
    <cellStyle name="Normal 22 91" xfId="30032"/>
    <cellStyle name="Normal 22 92" xfId="30033"/>
    <cellStyle name="Normal 22 93" xfId="30034"/>
    <cellStyle name="Normal 22 94" xfId="30035"/>
    <cellStyle name="Normal 22 95" xfId="30036"/>
    <cellStyle name="Normal 22 96" xfId="30037"/>
    <cellStyle name="Normal 22 97" xfId="30038"/>
    <cellStyle name="Normal 22 98" xfId="30039"/>
    <cellStyle name="Normal 22 99" xfId="30040"/>
    <cellStyle name="Normal 220" xfId="769"/>
    <cellStyle name="Normal 220 2" xfId="1343"/>
    <cellStyle name="Normal 220 3" xfId="933"/>
    <cellStyle name="Normal 221" xfId="773"/>
    <cellStyle name="Normal 221 2" xfId="1350"/>
    <cellStyle name="Normal 221 3" xfId="965"/>
    <cellStyle name="Normal 222" xfId="770"/>
    <cellStyle name="Normal 222 2" xfId="1344"/>
    <cellStyle name="Normal 222 3" xfId="936"/>
    <cellStyle name="Normal 223" xfId="920"/>
    <cellStyle name="Normal 223 2" xfId="1352"/>
    <cellStyle name="Normal 223 3" xfId="970"/>
    <cellStyle name="Normal 224" xfId="772"/>
    <cellStyle name="Normal 224 2" xfId="1353"/>
    <cellStyle name="Normal 224 3" xfId="979"/>
    <cellStyle name="Normal 225" xfId="959"/>
    <cellStyle name="Normal 225 2" xfId="1348"/>
    <cellStyle name="Normal 226" xfId="940"/>
    <cellStyle name="Normal 226 2" xfId="1346"/>
    <cellStyle name="Normal 227" xfId="954"/>
    <cellStyle name="Normal 227 2" xfId="1347"/>
    <cellStyle name="Normal 228" xfId="982"/>
    <cellStyle name="Normal 228 2" xfId="1354"/>
    <cellStyle name="Normal 229" xfId="964"/>
    <cellStyle name="Normal 229 2" xfId="1349"/>
    <cellStyle name="Normal 23" xfId="406"/>
    <cellStyle name="Normal 23 10" xfId="30041"/>
    <cellStyle name="Normal 23 10 2" xfId="30042"/>
    <cellStyle name="Normal 23 100" xfId="30043"/>
    <cellStyle name="Normal 23 101" xfId="30044"/>
    <cellStyle name="Normal 23 102" xfId="30045"/>
    <cellStyle name="Normal 23 103" xfId="30046"/>
    <cellStyle name="Normal 23 104" xfId="30047"/>
    <cellStyle name="Normal 23 105" xfId="30048"/>
    <cellStyle name="Normal 23 106" xfId="30049"/>
    <cellStyle name="Normal 23 107" xfId="30050"/>
    <cellStyle name="Normal 23 108" xfId="30051"/>
    <cellStyle name="Normal 23 109" xfId="30052"/>
    <cellStyle name="Normal 23 11" xfId="30053"/>
    <cellStyle name="Normal 23 11 2" xfId="30054"/>
    <cellStyle name="Normal 23 12" xfId="30055"/>
    <cellStyle name="Normal 23 12 2" xfId="30056"/>
    <cellStyle name="Normal 23 13" xfId="30057"/>
    <cellStyle name="Normal 23 13 2" xfId="30058"/>
    <cellStyle name="Normal 23 14" xfId="30059"/>
    <cellStyle name="Normal 23 14 2" xfId="30060"/>
    <cellStyle name="Normal 23 15" xfId="30061"/>
    <cellStyle name="Normal 23 15 2" xfId="30062"/>
    <cellStyle name="Normal 23 16" xfId="30063"/>
    <cellStyle name="Normal 23 16 2" xfId="30064"/>
    <cellStyle name="Normal 23 17" xfId="30065"/>
    <cellStyle name="Normal 23 17 2" xfId="30066"/>
    <cellStyle name="Normal 23 18" xfId="30067"/>
    <cellStyle name="Normal 23 18 2" xfId="30068"/>
    <cellStyle name="Normal 23 19" xfId="30069"/>
    <cellStyle name="Normal 23 19 2" xfId="30070"/>
    <cellStyle name="Normal 23 2" xfId="1230"/>
    <cellStyle name="Normal 23 2 2" xfId="30071"/>
    <cellStyle name="Normal 23 2 3" xfId="30072"/>
    <cellStyle name="Normal 23 20" xfId="30073"/>
    <cellStyle name="Normal 23 20 2" xfId="30074"/>
    <cellStyle name="Normal 23 21" xfId="30075"/>
    <cellStyle name="Normal 23 21 2" xfId="30076"/>
    <cellStyle name="Normal 23 22" xfId="30077"/>
    <cellStyle name="Normal 23 22 2" xfId="30078"/>
    <cellStyle name="Normal 23 23" xfId="30079"/>
    <cellStyle name="Normal 23 23 2" xfId="30080"/>
    <cellStyle name="Normal 23 24" xfId="30081"/>
    <cellStyle name="Normal 23 24 2" xfId="30082"/>
    <cellStyle name="Normal 23 25" xfId="30083"/>
    <cellStyle name="Normal 23 25 2" xfId="30084"/>
    <cellStyle name="Normal 23 26" xfId="30085"/>
    <cellStyle name="Normal 23 26 2" xfId="30086"/>
    <cellStyle name="Normal 23 27" xfId="30087"/>
    <cellStyle name="Normal 23 27 2" xfId="30088"/>
    <cellStyle name="Normal 23 28" xfId="30089"/>
    <cellStyle name="Normal 23 28 2" xfId="30090"/>
    <cellStyle name="Normal 23 29" xfId="30091"/>
    <cellStyle name="Normal 23 29 2" xfId="30092"/>
    <cellStyle name="Normal 23 3" xfId="1673"/>
    <cellStyle name="Normal 23 3 2" xfId="30093"/>
    <cellStyle name="Normal 23 3 3" xfId="30094"/>
    <cellStyle name="Normal 23 30" xfId="30095"/>
    <cellStyle name="Normal 23 30 2" xfId="30096"/>
    <cellStyle name="Normal 23 31" xfId="30097"/>
    <cellStyle name="Normal 23 31 2" xfId="30098"/>
    <cellStyle name="Normal 23 32" xfId="30099"/>
    <cellStyle name="Normal 23 32 2" xfId="30100"/>
    <cellStyle name="Normal 23 33" xfId="30101"/>
    <cellStyle name="Normal 23 33 2" xfId="30102"/>
    <cellStyle name="Normal 23 34" xfId="30103"/>
    <cellStyle name="Normal 23 34 2" xfId="30104"/>
    <cellStyle name="Normal 23 35" xfId="30105"/>
    <cellStyle name="Normal 23 35 2" xfId="30106"/>
    <cellStyle name="Normal 23 36" xfId="30107"/>
    <cellStyle name="Normal 23 36 2" xfId="30108"/>
    <cellStyle name="Normal 23 37" xfId="30109"/>
    <cellStyle name="Normal 23 37 2" xfId="30110"/>
    <cellStyle name="Normal 23 38" xfId="30111"/>
    <cellStyle name="Normal 23 38 2" xfId="30112"/>
    <cellStyle name="Normal 23 39" xfId="30113"/>
    <cellStyle name="Normal 23 39 2" xfId="30114"/>
    <cellStyle name="Normal 23 4" xfId="30115"/>
    <cellStyle name="Normal 23 4 2" xfId="30116"/>
    <cellStyle name="Normal 23 40" xfId="30117"/>
    <cellStyle name="Normal 23 40 2" xfId="30118"/>
    <cellStyle name="Normal 23 41" xfId="30119"/>
    <cellStyle name="Normal 23 41 2" xfId="30120"/>
    <cellStyle name="Normal 23 42" xfId="30121"/>
    <cellStyle name="Normal 23 42 2" xfId="30122"/>
    <cellStyle name="Normal 23 43" xfId="30123"/>
    <cellStyle name="Normal 23 43 2" xfId="30124"/>
    <cellStyle name="Normal 23 44" xfId="30125"/>
    <cellStyle name="Normal 23 44 2" xfId="30126"/>
    <cellStyle name="Normal 23 45" xfId="30127"/>
    <cellStyle name="Normal 23 46" xfId="30128"/>
    <cellStyle name="Normal 23 47" xfId="30129"/>
    <cellStyle name="Normal 23 48" xfId="30130"/>
    <cellStyle name="Normal 23 49" xfId="30131"/>
    <cellStyle name="Normal 23 5" xfId="30132"/>
    <cellStyle name="Normal 23 5 2" xfId="30133"/>
    <cellStyle name="Normal 23 50" xfId="30134"/>
    <cellStyle name="Normal 23 51" xfId="30135"/>
    <cellStyle name="Normal 23 52" xfId="30136"/>
    <cellStyle name="Normal 23 53" xfId="30137"/>
    <cellStyle name="Normal 23 54" xfId="30138"/>
    <cellStyle name="Normal 23 55" xfId="30139"/>
    <cellStyle name="Normal 23 56" xfId="30140"/>
    <cellStyle name="Normal 23 57" xfId="30141"/>
    <cellStyle name="Normal 23 58" xfId="30142"/>
    <cellStyle name="Normal 23 59" xfId="30143"/>
    <cellStyle name="Normal 23 6" xfId="30144"/>
    <cellStyle name="Normal 23 6 2" xfId="30145"/>
    <cellStyle name="Normal 23 60" xfId="30146"/>
    <cellStyle name="Normal 23 61" xfId="30147"/>
    <cellStyle name="Normal 23 62" xfId="30148"/>
    <cellStyle name="Normal 23 63" xfId="30149"/>
    <cellStyle name="Normal 23 64" xfId="30150"/>
    <cellStyle name="Normal 23 65" xfId="30151"/>
    <cellStyle name="Normal 23 66" xfId="30152"/>
    <cellStyle name="Normal 23 67" xfId="30153"/>
    <cellStyle name="Normal 23 68" xfId="30154"/>
    <cellStyle name="Normal 23 69" xfId="30155"/>
    <cellStyle name="Normal 23 7" xfId="30156"/>
    <cellStyle name="Normal 23 7 2" xfId="30157"/>
    <cellStyle name="Normal 23 70" xfId="30158"/>
    <cellStyle name="Normal 23 71" xfId="30159"/>
    <cellStyle name="Normal 23 72" xfId="30160"/>
    <cellStyle name="Normal 23 73" xfId="30161"/>
    <cellStyle name="Normal 23 74" xfId="30162"/>
    <cellStyle name="Normal 23 75" xfId="30163"/>
    <cellStyle name="Normal 23 76" xfId="30164"/>
    <cellStyle name="Normal 23 77" xfId="30165"/>
    <cellStyle name="Normal 23 78" xfId="30166"/>
    <cellStyle name="Normal 23 79" xfId="30167"/>
    <cellStyle name="Normal 23 8" xfId="30168"/>
    <cellStyle name="Normal 23 8 2" xfId="30169"/>
    <cellStyle name="Normal 23 80" xfId="30170"/>
    <cellStyle name="Normal 23 81" xfId="30171"/>
    <cellStyle name="Normal 23 82" xfId="30172"/>
    <cellStyle name="Normal 23 83" xfId="30173"/>
    <cellStyle name="Normal 23 84" xfId="30174"/>
    <cellStyle name="Normal 23 85" xfId="30175"/>
    <cellStyle name="Normal 23 86" xfId="30176"/>
    <cellStyle name="Normal 23 87" xfId="30177"/>
    <cellStyle name="Normal 23 88" xfId="30178"/>
    <cellStyle name="Normal 23 89" xfId="30179"/>
    <cellStyle name="Normal 23 9" xfId="30180"/>
    <cellStyle name="Normal 23 9 2" xfId="30181"/>
    <cellStyle name="Normal 23 90" xfId="30182"/>
    <cellStyle name="Normal 23 91" xfId="30183"/>
    <cellStyle name="Normal 23 92" xfId="30184"/>
    <cellStyle name="Normal 23 93" xfId="30185"/>
    <cellStyle name="Normal 23 94" xfId="30186"/>
    <cellStyle name="Normal 23 95" xfId="30187"/>
    <cellStyle name="Normal 23 96" xfId="30188"/>
    <cellStyle name="Normal 23 97" xfId="30189"/>
    <cellStyle name="Normal 23 98" xfId="30190"/>
    <cellStyle name="Normal 23 99" xfId="30191"/>
    <cellStyle name="Normal 230" xfId="937"/>
    <cellStyle name="Normal 230 2" xfId="1345"/>
    <cellStyle name="Normal 231" xfId="969"/>
    <cellStyle name="Normal 231 2" xfId="1351"/>
    <cellStyle name="Normal 232" xfId="978"/>
    <cellStyle name="Normal 233" xfId="958"/>
    <cellStyle name="Normal 234" xfId="941"/>
    <cellStyle name="Normal 235" xfId="953"/>
    <cellStyle name="Normal 236" xfId="981"/>
    <cellStyle name="Normal 237" xfId="963"/>
    <cellStyle name="Normal 238" xfId="938"/>
    <cellStyle name="Normal 239" xfId="968"/>
    <cellStyle name="Normal 24" xfId="485"/>
    <cellStyle name="Normal 24 10" xfId="30192"/>
    <cellStyle name="Normal 24 10 2" xfId="30193"/>
    <cellStyle name="Normal 24 100" xfId="30194"/>
    <cellStyle name="Normal 24 101" xfId="30195"/>
    <cellStyle name="Normal 24 102" xfId="30196"/>
    <cellStyle name="Normal 24 103" xfId="30197"/>
    <cellStyle name="Normal 24 104" xfId="30198"/>
    <cellStyle name="Normal 24 105" xfId="30199"/>
    <cellStyle name="Normal 24 106" xfId="30200"/>
    <cellStyle name="Normal 24 107" xfId="30201"/>
    <cellStyle name="Normal 24 108" xfId="30202"/>
    <cellStyle name="Normal 24 109" xfId="30203"/>
    <cellStyle name="Normal 24 11" xfId="30204"/>
    <cellStyle name="Normal 24 11 2" xfId="30205"/>
    <cellStyle name="Normal 24 110" xfId="30206"/>
    <cellStyle name="Normal 24 12" xfId="30207"/>
    <cellStyle name="Normal 24 12 2" xfId="30208"/>
    <cellStyle name="Normal 24 13" xfId="30209"/>
    <cellStyle name="Normal 24 13 2" xfId="30210"/>
    <cellStyle name="Normal 24 14" xfId="30211"/>
    <cellStyle name="Normal 24 14 2" xfId="30212"/>
    <cellStyle name="Normal 24 15" xfId="30213"/>
    <cellStyle name="Normal 24 15 2" xfId="30214"/>
    <cellStyle name="Normal 24 16" xfId="30215"/>
    <cellStyle name="Normal 24 16 2" xfId="30216"/>
    <cellStyle name="Normal 24 17" xfId="30217"/>
    <cellStyle name="Normal 24 17 2" xfId="30218"/>
    <cellStyle name="Normal 24 18" xfId="30219"/>
    <cellStyle name="Normal 24 18 2" xfId="30220"/>
    <cellStyle name="Normal 24 19" xfId="30221"/>
    <cellStyle name="Normal 24 19 2" xfId="30222"/>
    <cellStyle name="Normal 24 2" xfId="1290"/>
    <cellStyle name="Normal 24 2 2" xfId="30223"/>
    <cellStyle name="Normal 24 2 3" xfId="30224"/>
    <cellStyle name="Normal 24 20" xfId="30225"/>
    <cellStyle name="Normal 24 20 2" xfId="30226"/>
    <cellStyle name="Normal 24 21" xfId="30227"/>
    <cellStyle name="Normal 24 21 2" xfId="30228"/>
    <cellStyle name="Normal 24 22" xfId="30229"/>
    <cellStyle name="Normal 24 22 2" xfId="30230"/>
    <cellStyle name="Normal 24 23" xfId="30231"/>
    <cellStyle name="Normal 24 23 2" xfId="30232"/>
    <cellStyle name="Normal 24 24" xfId="30233"/>
    <cellStyle name="Normal 24 24 2" xfId="30234"/>
    <cellStyle name="Normal 24 25" xfId="30235"/>
    <cellStyle name="Normal 24 25 2" xfId="30236"/>
    <cellStyle name="Normal 24 26" xfId="30237"/>
    <cellStyle name="Normal 24 26 2" xfId="30238"/>
    <cellStyle name="Normal 24 27" xfId="30239"/>
    <cellStyle name="Normal 24 27 2" xfId="30240"/>
    <cellStyle name="Normal 24 28" xfId="30241"/>
    <cellStyle name="Normal 24 28 2" xfId="30242"/>
    <cellStyle name="Normal 24 29" xfId="30243"/>
    <cellStyle name="Normal 24 29 2" xfId="30244"/>
    <cellStyle name="Normal 24 3" xfId="1674"/>
    <cellStyle name="Normal 24 3 2" xfId="30245"/>
    <cellStyle name="Normal 24 3 3" xfId="30246"/>
    <cellStyle name="Normal 24 30" xfId="30247"/>
    <cellStyle name="Normal 24 30 2" xfId="30248"/>
    <cellStyle name="Normal 24 31" xfId="30249"/>
    <cellStyle name="Normal 24 31 2" xfId="30250"/>
    <cellStyle name="Normal 24 32" xfId="30251"/>
    <cellStyle name="Normal 24 32 2" xfId="30252"/>
    <cellStyle name="Normal 24 33" xfId="30253"/>
    <cellStyle name="Normal 24 33 2" xfId="30254"/>
    <cellStyle name="Normal 24 34" xfId="30255"/>
    <cellStyle name="Normal 24 34 2" xfId="30256"/>
    <cellStyle name="Normal 24 35" xfId="30257"/>
    <cellStyle name="Normal 24 35 2" xfId="30258"/>
    <cellStyle name="Normal 24 36" xfId="30259"/>
    <cellStyle name="Normal 24 36 2" xfId="30260"/>
    <cellStyle name="Normal 24 37" xfId="30261"/>
    <cellStyle name="Normal 24 37 2" xfId="30262"/>
    <cellStyle name="Normal 24 38" xfId="30263"/>
    <cellStyle name="Normal 24 38 2" xfId="30264"/>
    <cellStyle name="Normal 24 39" xfId="30265"/>
    <cellStyle name="Normal 24 39 2" xfId="30266"/>
    <cellStyle name="Normal 24 4" xfId="30267"/>
    <cellStyle name="Normal 24 4 2" xfId="30268"/>
    <cellStyle name="Normal 24 40" xfId="30269"/>
    <cellStyle name="Normal 24 40 2" xfId="30270"/>
    <cellStyle name="Normal 24 41" xfId="30271"/>
    <cellStyle name="Normal 24 41 2" xfId="30272"/>
    <cellStyle name="Normal 24 42" xfId="30273"/>
    <cellStyle name="Normal 24 42 2" xfId="30274"/>
    <cellStyle name="Normal 24 43" xfId="30275"/>
    <cellStyle name="Normal 24 43 2" xfId="30276"/>
    <cellStyle name="Normal 24 44" xfId="30277"/>
    <cellStyle name="Normal 24 44 2" xfId="30278"/>
    <cellStyle name="Normal 24 45" xfId="30279"/>
    <cellStyle name="Normal 24 46" xfId="30280"/>
    <cellStyle name="Normal 24 47" xfId="30281"/>
    <cellStyle name="Normal 24 48" xfId="30282"/>
    <cellStyle name="Normal 24 49" xfId="30283"/>
    <cellStyle name="Normal 24 5" xfId="30284"/>
    <cellStyle name="Normal 24 5 2" xfId="30285"/>
    <cellStyle name="Normal 24 50" xfId="30286"/>
    <cellStyle name="Normal 24 51" xfId="30287"/>
    <cellStyle name="Normal 24 52" xfId="30288"/>
    <cellStyle name="Normal 24 53" xfId="30289"/>
    <cellStyle name="Normal 24 54" xfId="30290"/>
    <cellStyle name="Normal 24 55" xfId="30291"/>
    <cellStyle name="Normal 24 56" xfId="30292"/>
    <cellStyle name="Normal 24 57" xfId="30293"/>
    <cellStyle name="Normal 24 58" xfId="30294"/>
    <cellStyle name="Normal 24 59" xfId="30295"/>
    <cellStyle name="Normal 24 6" xfId="30296"/>
    <cellStyle name="Normal 24 6 2" xfId="30297"/>
    <cellStyle name="Normal 24 60" xfId="30298"/>
    <cellStyle name="Normal 24 61" xfId="30299"/>
    <cellStyle name="Normal 24 62" xfId="30300"/>
    <cellStyle name="Normal 24 63" xfId="30301"/>
    <cellStyle name="Normal 24 64" xfId="30302"/>
    <cellStyle name="Normal 24 65" xfId="30303"/>
    <cellStyle name="Normal 24 66" xfId="30304"/>
    <cellStyle name="Normal 24 67" xfId="30305"/>
    <cellStyle name="Normal 24 68" xfId="30306"/>
    <cellStyle name="Normal 24 69" xfId="30307"/>
    <cellStyle name="Normal 24 7" xfId="30308"/>
    <cellStyle name="Normal 24 7 2" xfId="30309"/>
    <cellStyle name="Normal 24 70" xfId="30310"/>
    <cellStyle name="Normal 24 71" xfId="30311"/>
    <cellStyle name="Normal 24 72" xfId="30312"/>
    <cellStyle name="Normal 24 73" xfId="30313"/>
    <cellStyle name="Normal 24 74" xfId="30314"/>
    <cellStyle name="Normal 24 75" xfId="30315"/>
    <cellStyle name="Normal 24 76" xfId="30316"/>
    <cellStyle name="Normal 24 77" xfId="30317"/>
    <cellStyle name="Normal 24 78" xfId="30318"/>
    <cellStyle name="Normal 24 79" xfId="30319"/>
    <cellStyle name="Normal 24 8" xfId="30320"/>
    <cellStyle name="Normal 24 8 2" xfId="30321"/>
    <cellStyle name="Normal 24 80" xfId="30322"/>
    <cellStyle name="Normal 24 81" xfId="30323"/>
    <cellStyle name="Normal 24 82" xfId="30324"/>
    <cellStyle name="Normal 24 83" xfId="30325"/>
    <cellStyle name="Normal 24 84" xfId="30326"/>
    <cellStyle name="Normal 24 85" xfId="30327"/>
    <cellStyle name="Normal 24 86" xfId="30328"/>
    <cellStyle name="Normal 24 87" xfId="30329"/>
    <cellStyle name="Normal 24 88" xfId="30330"/>
    <cellStyle name="Normal 24 89" xfId="30331"/>
    <cellStyle name="Normal 24 9" xfId="30332"/>
    <cellStyle name="Normal 24 9 2" xfId="30333"/>
    <cellStyle name="Normal 24 90" xfId="30334"/>
    <cellStyle name="Normal 24 91" xfId="30335"/>
    <cellStyle name="Normal 24 92" xfId="30336"/>
    <cellStyle name="Normal 24 93" xfId="30337"/>
    <cellStyle name="Normal 24 94" xfId="30338"/>
    <cellStyle name="Normal 24 95" xfId="30339"/>
    <cellStyle name="Normal 24 96" xfId="30340"/>
    <cellStyle name="Normal 24 97" xfId="30341"/>
    <cellStyle name="Normal 24 98" xfId="30342"/>
    <cellStyle name="Normal 24 99" xfId="30343"/>
    <cellStyle name="Normal 240" xfId="934"/>
    <cellStyle name="Normal 241" xfId="957"/>
    <cellStyle name="Normal 242" xfId="942"/>
    <cellStyle name="Normal 243" xfId="952"/>
    <cellStyle name="Normal 244" xfId="980"/>
    <cellStyle name="Normal 245" xfId="962"/>
    <cellStyle name="Normal 246" xfId="939"/>
    <cellStyle name="Normal 247" xfId="967"/>
    <cellStyle name="Normal 248" xfId="996"/>
    <cellStyle name="Normal 249" xfId="956"/>
    <cellStyle name="Normal 25" xfId="449"/>
    <cellStyle name="Normal 25 10" xfId="30344"/>
    <cellStyle name="Normal 25 10 2" xfId="30345"/>
    <cellStyle name="Normal 25 100" xfId="30346"/>
    <cellStyle name="Normal 25 101" xfId="30347"/>
    <cellStyle name="Normal 25 102" xfId="30348"/>
    <cellStyle name="Normal 25 103" xfId="30349"/>
    <cellStyle name="Normal 25 104" xfId="30350"/>
    <cellStyle name="Normal 25 105" xfId="30351"/>
    <cellStyle name="Normal 25 106" xfId="30352"/>
    <cellStyle name="Normal 25 107" xfId="30353"/>
    <cellStyle name="Normal 25 108" xfId="30354"/>
    <cellStyle name="Normal 25 109" xfId="30355"/>
    <cellStyle name="Normal 25 11" xfId="30356"/>
    <cellStyle name="Normal 25 11 2" xfId="30357"/>
    <cellStyle name="Normal 25 12" xfId="30358"/>
    <cellStyle name="Normal 25 12 2" xfId="30359"/>
    <cellStyle name="Normal 25 13" xfId="30360"/>
    <cellStyle name="Normal 25 13 2" xfId="30361"/>
    <cellStyle name="Normal 25 14" xfId="30362"/>
    <cellStyle name="Normal 25 14 2" xfId="30363"/>
    <cellStyle name="Normal 25 15" xfId="30364"/>
    <cellStyle name="Normal 25 15 2" xfId="30365"/>
    <cellStyle name="Normal 25 16" xfId="30366"/>
    <cellStyle name="Normal 25 16 2" xfId="30367"/>
    <cellStyle name="Normal 25 17" xfId="30368"/>
    <cellStyle name="Normal 25 17 2" xfId="30369"/>
    <cellStyle name="Normal 25 18" xfId="30370"/>
    <cellStyle name="Normal 25 18 2" xfId="30371"/>
    <cellStyle name="Normal 25 19" xfId="30372"/>
    <cellStyle name="Normal 25 19 2" xfId="30373"/>
    <cellStyle name="Normal 25 2" xfId="1259"/>
    <cellStyle name="Normal 25 2 2" xfId="30374"/>
    <cellStyle name="Normal 25 2 3" xfId="30375"/>
    <cellStyle name="Normal 25 20" xfId="30376"/>
    <cellStyle name="Normal 25 20 2" xfId="30377"/>
    <cellStyle name="Normal 25 21" xfId="30378"/>
    <cellStyle name="Normal 25 21 2" xfId="30379"/>
    <cellStyle name="Normal 25 22" xfId="30380"/>
    <cellStyle name="Normal 25 22 2" xfId="30381"/>
    <cellStyle name="Normal 25 23" xfId="30382"/>
    <cellStyle name="Normal 25 23 2" xfId="30383"/>
    <cellStyle name="Normal 25 24" xfId="30384"/>
    <cellStyle name="Normal 25 24 2" xfId="30385"/>
    <cellStyle name="Normal 25 25" xfId="30386"/>
    <cellStyle name="Normal 25 25 2" xfId="30387"/>
    <cellStyle name="Normal 25 26" xfId="30388"/>
    <cellStyle name="Normal 25 26 2" xfId="30389"/>
    <cellStyle name="Normal 25 27" xfId="30390"/>
    <cellStyle name="Normal 25 27 2" xfId="30391"/>
    <cellStyle name="Normal 25 28" xfId="30392"/>
    <cellStyle name="Normal 25 28 2" xfId="30393"/>
    <cellStyle name="Normal 25 29" xfId="30394"/>
    <cellStyle name="Normal 25 29 2" xfId="30395"/>
    <cellStyle name="Normal 25 3" xfId="30396"/>
    <cellStyle name="Normal 25 3 2" xfId="30397"/>
    <cellStyle name="Normal 25 30" xfId="30398"/>
    <cellStyle name="Normal 25 30 2" xfId="30399"/>
    <cellStyle name="Normal 25 31" xfId="30400"/>
    <cellStyle name="Normal 25 31 2" xfId="30401"/>
    <cellStyle name="Normal 25 32" xfId="30402"/>
    <cellStyle name="Normal 25 32 2" xfId="30403"/>
    <cellStyle name="Normal 25 33" xfId="30404"/>
    <cellStyle name="Normal 25 33 2" xfId="30405"/>
    <cellStyle name="Normal 25 34" xfId="30406"/>
    <cellStyle name="Normal 25 34 2" xfId="30407"/>
    <cellStyle name="Normal 25 35" xfId="30408"/>
    <cellStyle name="Normal 25 35 2" xfId="30409"/>
    <cellStyle name="Normal 25 36" xfId="30410"/>
    <cellStyle name="Normal 25 36 2" xfId="30411"/>
    <cellStyle name="Normal 25 37" xfId="30412"/>
    <cellStyle name="Normal 25 37 2" xfId="30413"/>
    <cellStyle name="Normal 25 38" xfId="30414"/>
    <cellStyle name="Normal 25 38 2" xfId="30415"/>
    <cellStyle name="Normal 25 39" xfId="30416"/>
    <cellStyle name="Normal 25 39 2" xfId="30417"/>
    <cellStyle name="Normal 25 4" xfId="30418"/>
    <cellStyle name="Normal 25 4 2" xfId="30419"/>
    <cellStyle name="Normal 25 40" xfId="30420"/>
    <cellStyle name="Normal 25 40 2" xfId="30421"/>
    <cellStyle name="Normal 25 41" xfId="30422"/>
    <cellStyle name="Normal 25 41 2" xfId="30423"/>
    <cellStyle name="Normal 25 42" xfId="30424"/>
    <cellStyle name="Normal 25 42 2" xfId="30425"/>
    <cellStyle name="Normal 25 43" xfId="30426"/>
    <cellStyle name="Normal 25 43 2" xfId="30427"/>
    <cellStyle name="Normal 25 44" xfId="30428"/>
    <cellStyle name="Normal 25 44 2" xfId="30429"/>
    <cellStyle name="Normal 25 45" xfId="30430"/>
    <cellStyle name="Normal 25 46" xfId="30431"/>
    <cellStyle name="Normal 25 47" xfId="30432"/>
    <cellStyle name="Normal 25 48" xfId="30433"/>
    <cellStyle name="Normal 25 49" xfId="30434"/>
    <cellStyle name="Normal 25 5" xfId="30435"/>
    <cellStyle name="Normal 25 5 2" xfId="30436"/>
    <cellStyle name="Normal 25 50" xfId="30437"/>
    <cellStyle name="Normal 25 51" xfId="30438"/>
    <cellStyle name="Normal 25 52" xfId="30439"/>
    <cellStyle name="Normal 25 53" xfId="30440"/>
    <cellStyle name="Normal 25 54" xfId="30441"/>
    <cellStyle name="Normal 25 55" xfId="30442"/>
    <cellStyle name="Normal 25 56" xfId="30443"/>
    <cellStyle name="Normal 25 57" xfId="30444"/>
    <cellStyle name="Normal 25 58" xfId="30445"/>
    <cellStyle name="Normal 25 59" xfId="30446"/>
    <cellStyle name="Normal 25 6" xfId="30447"/>
    <cellStyle name="Normal 25 6 2" xfId="30448"/>
    <cellStyle name="Normal 25 60" xfId="30449"/>
    <cellStyle name="Normal 25 61" xfId="30450"/>
    <cellStyle name="Normal 25 62" xfId="30451"/>
    <cellStyle name="Normal 25 63" xfId="30452"/>
    <cellStyle name="Normal 25 64" xfId="30453"/>
    <cellStyle name="Normal 25 65" xfId="30454"/>
    <cellStyle name="Normal 25 66" xfId="30455"/>
    <cellStyle name="Normal 25 67" xfId="30456"/>
    <cellStyle name="Normal 25 68" xfId="30457"/>
    <cellStyle name="Normal 25 69" xfId="30458"/>
    <cellStyle name="Normal 25 7" xfId="30459"/>
    <cellStyle name="Normal 25 7 2" xfId="30460"/>
    <cellStyle name="Normal 25 70" xfId="30461"/>
    <cellStyle name="Normal 25 71" xfId="30462"/>
    <cellStyle name="Normal 25 72" xfId="30463"/>
    <cellStyle name="Normal 25 73" xfId="30464"/>
    <cellStyle name="Normal 25 74" xfId="30465"/>
    <cellStyle name="Normal 25 75" xfId="30466"/>
    <cellStyle name="Normal 25 76" xfId="30467"/>
    <cellStyle name="Normal 25 77" xfId="30468"/>
    <cellStyle name="Normal 25 78" xfId="30469"/>
    <cellStyle name="Normal 25 79" xfId="30470"/>
    <cellStyle name="Normal 25 8" xfId="30471"/>
    <cellStyle name="Normal 25 8 2" xfId="30472"/>
    <cellStyle name="Normal 25 80" xfId="30473"/>
    <cellStyle name="Normal 25 81" xfId="30474"/>
    <cellStyle name="Normal 25 82" xfId="30475"/>
    <cellStyle name="Normal 25 83" xfId="30476"/>
    <cellStyle name="Normal 25 84" xfId="30477"/>
    <cellStyle name="Normal 25 85" xfId="30478"/>
    <cellStyle name="Normal 25 86" xfId="30479"/>
    <cellStyle name="Normal 25 87" xfId="30480"/>
    <cellStyle name="Normal 25 88" xfId="30481"/>
    <cellStyle name="Normal 25 89" xfId="30482"/>
    <cellStyle name="Normal 25 9" xfId="30483"/>
    <cellStyle name="Normal 25 9 2" xfId="30484"/>
    <cellStyle name="Normal 25 90" xfId="30485"/>
    <cellStyle name="Normal 25 91" xfId="30486"/>
    <cellStyle name="Normal 25 92" xfId="30487"/>
    <cellStyle name="Normal 25 93" xfId="30488"/>
    <cellStyle name="Normal 25 94" xfId="30489"/>
    <cellStyle name="Normal 25 95" xfId="30490"/>
    <cellStyle name="Normal 25 96" xfId="30491"/>
    <cellStyle name="Normal 25 97" xfId="30492"/>
    <cellStyle name="Normal 25 98" xfId="30493"/>
    <cellStyle name="Normal 25 99" xfId="30494"/>
    <cellStyle name="Normal 250" xfId="1007"/>
    <cellStyle name="Normal 251" xfId="951"/>
    <cellStyle name="Normal 252" xfId="1009"/>
    <cellStyle name="Normal 253" xfId="960"/>
    <cellStyle name="Normal 254" xfId="1010"/>
    <cellStyle name="Normal 255" xfId="966"/>
    <cellStyle name="Normal 256" xfId="935"/>
    <cellStyle name="Normal 257" xfId="955"/>
    <cellStyle name="Normal 258" xfId="1021"/>
    <cellStyle name="Normal 258 2" xfId="1378"/>
    <cellStyle name="Normal 259" xfId="943"/>
    <cellStyle name="Normal 26" xfId="478"/>
    <cellStyle name="Normal 26 10" xfId="30495"/>
    <cellStyle name="Normal 26 10 2" xfId="30496"/>
    <cellStyle name="Normal 26 100" xfId="30497"/>
    <cellStyle name="Normal 26 101" xfId="30498"/>
    <cellStyle name="Normal 26 102" xfId="30499"/>
    <cellStyle name="Normal 26 103" xfId="30500"/>
    <cellStyle name="Normal 26 104" xfId="30501"/>
    <cellStyle name="Normal 26 105" xfId="30502"/>
    <cellStyle name="Normal 26 106" xfId="30503"/>
    <cellStyle name="Normal 26 107" xfId="30504"/>
    <cellStyle name="Normal 26 108" xfId="30505"/>
    <cellStyle name="Normal 26 109" xfId="30506"/>
    <cellStyle name="Normal 26 11" xfId="30507"/>
    <cellStyle name="Normal 26 11 2" xfId="30508"/>
    <cellStyle name="Normal 26 12" xfId="30509"/>
    <cellStyle name="Normal 26 12 2" xfId="30510"/>
    <cellStyle name="Normal 26 13" xfId="30511"/>
    <cellStyle name="Normal 26 13 2" xfId="30512"/>
    <cellStyle name="Normal 26 14" xfId="30513"/>
    <cellStyle name="Normal 26 14 2" xfId="30514"/>
    <cellStyle name="Normal 26 15" xfId="30515"/>
    <cellStyle name="Normal 26 15 2" xfId="30516"/>
    <cellStyle name="Normal 26 16" xfId="30517"/>
    <cellStyle name="Normal 26 16 2" xfId="30518"/>
    <cellStyle name="Normal 26 17" xfId="30519"/>
    <cellStyle name="Normal 26 17 2" xfId="30520"/>
    <cellStyle name="Normal 26 18" xfId="30521"/>
    <cellStyle name="Normal 26 18 2" xfId="30522"/>
    <cellStyle name="Normal 26 19" xfId="30523"/>
    <cellStyle name="Normal 26 19 2" xfId="30524"/>
    <cellStyle name="Normal 26 2" xfId="1283"/>
    <cellStyle name="Normal 26 2 2" xfId="30525"/>
    <cellStyle name="Normal 26 2 3" xfId="30526"/>
    <cellStyle name="Normal 26 20" xfId="30527"/>
    <cellStyle name="Normal 26 20 2" xfId="30528"/>
    <cellStyle name="Normal 26 21" xfId="30529"/>
    <cellStyle name="Normal 26 21 2" xfId="30530"/>
    <cellStyle name="Normal 26 22" xfId="30531"/>
    <cellStyle name="Normal 26 22 2" xfId="30532"/>
    <cellStyle name="Normal 26 23" xfId="30533"/>
    <cellStyle name="Normal 26 23 2" xfId="30534"/>
    <cellStyle name="Normal 26 24" xfId="30535"/>
    <cellStyle name="Normal 26 24 2" xfId="30536"/>
    <cellStyle name="Normal 26 25" xfId="30537"/>
    <cellStyle name="Normal 26 25 2" xfId="30538"/>
    <cellStyle name="Normal 26 26" xfId="30539"/>
    <cellStyle name="Normal 26 26 2" xfId="30540"/>
    <cellStyle name="Normal 26 27" xfId="30541"/>
    <cellStyle name="Normal 26 27 2" xfId="30542"/>
    <cellStyle name="Normal 26 28" xfId="30543"/>
    <cellStyle name="Normal 26 28 2" xfId="30544"/>
    <cellStyle name="Normal 26 29" xfId="30545"/>
    <cellStyle name="Normal 26 29 2" xfId="30546"/>
    <cellStyle name="Normal 26 3" xfId="30547"/>
    <cellStyle name="Normal 26 3 2" xfId="30548"/>
    <cellStyle name="Normal 26 30" xfId="30549"/>
    <cellStyle name="Normal 26 30 2" xfId="30550"/>
    <cellStyle name="Normal 26 31" xfId="30551"/>
    <cellStyle name="Normal 26 31 2" xfId="30552"/>
    <cellStyle name="Normal 26 32" xfId="30553"/>
    <cellStyle name="Normal 26 32 2" xfId="30554"/>
    <cellStyle name="Normal 26 33" xfId="30555"/>
    <cellStyle name="Normal 26 33 2" xfId="30556"/>
    <cellStyle name="Normal 26 34" xfId="30557"/>
    <cellStyle name="Normal 26 34 2" xfId="30558"/>
    <cellStyle name="Normal 26 35" xfId="30559"/>
    <cellStyle name="Normal 26 35 2" xfId="30560"/>
    <cellStyle name="Normal 26 36" xfId="30561"/>
    <cellStyle name="Normal 26 36 2" xfId="30562"/>
    <cellStyle name="Normal 26 37" xfId="30563"/>
    <cellStyle name="Normal 26 37 2" xfId="30564"/>
    <cellStyle name="Normal 26 38" xfId="30565"/>
    <cellStyle name="Normal 26 38 2" xfId="30566"/>
    <cellStyle name="Normal 26 39" xfId="30567"/>
    <cellStyle name="Normal 26 39 2" xfId="30568"/>
    <cellStyle name="Normal 26 4" xfId="30569"/>
    <cellStyle name="Normal 26 4 2" xfId="30570"/>
    <cellStyle name="Normal 26 40" xfId="30571"/>
    <cellStyle name="Normal 26 40 2" xfId="30572"/>
    <cellStyle name="Normal 26 41" xfId="30573"/>
    <cellStyle name="Normal 26 41 2" xfId="30574"/>
    <cellStyle name="Normal 26 42" xfId="30575"/>
    <cellStyle name="Normal 26 42 2" xfId="30576"/>
    <cellStyle name="Normal 26 43" xfId="30577"/>
    <cellStyle name="Normal 26 43 2" xfId="30578"/>
    <cellStyle name="Normal 26 44" xfId="30579"/>
    <cellStyle name="Normal 26 44 2" xfId="30580"/>
    <cellStyle name="Normal 26 45" xfId="30581"/>
    <cellStyle name="Normal 26 46" xfId="30582"/>
    <cellStyle name="Normal 26 47" xfId="30583"/>
    <cellStyle name="Normal 26 48" xfId="30584"/>
    <cellStyle name="Normal 26 49" xfId="30585"/>
    <cellStyle name="Normal 26 5" xfId="30586"/>
    <cellStyle name="Normal 26 5 2" xfId="30587"/>
    <cellStyle name="Normal 26 50" xfId="30588"/>
    <cellStyle name="Normal 26 51" xfId="30589"/>
    <cellStyle name="Normal 26 52" xfId="30590"/>
    <cellStyle name="Normal 26 53" xfId="30591"/>
    <cellStyle name="Normal 26 54" xfId="30592"/>
    <cellStyle name="Normal 26 55" xfId="30593"/>
    <cellStyle name="Normal 26 56" xfId="30594"/>
    <cellStyle name="Normal 26 57" xfId="30595"/>
    <cellStyle name="Normal 26 58" xfId="30596"/>
    <cellStyle name="Normal 26 59" xfId="30597"/>
    <cellStyle name="Normal 26 6" xfId="30598"/>
    <cellStyle name="Normal 26 6 2" xfId="30599"/>
    <cellStyle name="Normal 26 60" xfId="30600"/>
    <cellStyle name="Normal 26 61" xfId="30601"/>
    <cellStyle name="Normal 26 62" xfId="30602"/>
    <cellStyle name="Normal 26 63" xfId="30603"/>
    <cellStyle name="Normal 26 64" xfId="30604"/>
    <cellStyle name="Normal 26 65" xfId="30605"/>
    <cellStyle name="Normal 26 66" xfId="30606"/>
    <cellStyle name="Normal 26 67" xfId="30607"/>
    <cellStyle name="Normal 26 68" xfId="30608"/>
    <cellStyle name="Normal 26 69" xfId="30609"/>
    <cellStyle name="Normal 26 7" xfId="30610"/>
    <cellStyle name="Normal 26 7 2" xfId="30611"/>
    <cellStyle name="Normal 26 70" xfId="30612"/>
    <cellStyle name="Normal 26 71" xfId="30613"/>
    <cellStyle name="Normal 26 72" xfId="30614"/>
    <cellStyle name="Normal 26 73" xfId="30615"/>
    <cellStyle name="Normal 26 74" xfId="30616"/>
    <cellStyle name="Normal 26 75" xfId="30617"/>
    <cellStyle name="Normal 26 76" xfId="30618"/>
    <cellStyle name="Normal 26 77" xfId="30619"/>
    <cellStyle name="Normal 26 78" xfId="30620"/>
    <cellStyle name="Normal 26 79" xfId="30621"/>
    <cellStyle name="Normal 26 8" xfId="30622"/>
    <cellStyle name="Normal 26 8 2" xfId="30623"/>
    <cellStyle name="Normal 26 80" xfId="30624"/>
    <cellStyle name="Normal 26 81" xfId="30625"/>
    <cellStyle name="Normal 26 82" xfId="30626"/>
    <cellStyle name="Normal 26 83" xfId="30627"/>
    <cellStyle name="Normal 26 84" xfId="30628"/>
    <cellStyle name="Normal 26 85" xfId="30629"/>
    <cellStyle name="Normal 26 86" xfId="30630"/>
    <cellStyle name="Normal 26 87" xfId="30631"/>
    <cellStyle name="Normal 26 88" xfId="30632"/>
    <cellStyle name="Normal 26 89" xfId="30633"/>
    <cellStyle name="Normal 26 9" xfId="30634"/>
    <cellStyle name="Normal 26 9 2" xfId="30635"/>
    <cellStyle name="Normal 26 90" xfId="30636"/>
    <cellStyle name="Normal 26 91" xfId="30637"/>
    <cellStyle name="Normal 26 92" xfId="30638"/>
    <cellStyle name="Normal 26 93" xfId="30639"/>
    <cellStyle name="Normal 26 94" xfId="30640"/>
    <cellStyle name="Normal 26 95" xfId="30641"/>
    <cellStyle name="Normal 26 96" xfId="30642"/>
    <cellStyle name="Normal 26 97" xfId="30643"/>
    <cellStyle name="Normal 26 98" xfId="30644"/>
    <cellStyle name="Normal 26 99" xfId="30645"/>
    <cellStyle name="Normal 260" xfId="1263"/>
    <cellStyle name="Normal 261" xfId="947"/>
    <cellStyle name="Normal 262" xfId="1324"/>
    <cellStyle name="Normal 263" xfId="1357"/>
    <cellStyle name="Normal 264" xfId="961"/>
    <cellStyle name="Normal 265" xfId="1322"/>
    <cellStyle name="Normal 266" xfId="921"/>
    <cellStyle name="Normal 266 2" xfId="1387"/>
    <cellStyle name="Normal 267" xfId="1358"/>
    <cellStyle name="Normal 268" xfId="1388"/>
    <cellStyle name="Normal 269" xfId="1360"/>
    <cellStyle name="Normal 27" xfId="437"/>
    <cellStyle name="Normal 27 10" xfId="30646"/>
    <cellStyle name="Normal 27 10 2" xfId="30647"/>
    <cellStyle name="Normal 27 100" xfId="30648"/>
    <cellStyle name="Normal 27 101" xfId="30649"/>
    <cellStyle name="Normal 27 102" xfId="30650"/>
    <cellStyle name="Normal 27 103" xfId="30651"/>
    <cellStyle name="Normal 27 104" xfId="30652"/>
    <cellStyle name="Normal 27 105" xfId="30653"/>
    <cellStyle name="Normal 27 106" xfId="30654"/>
    <cellStyle name="Normal 27 107" xfId="30655"/>
    <cellStyle name="Normal 27 108" xfId="30656"/>
    <cellStyle name="Normal 27 109" xfId="30657"/>
    <cellStyle name="Normal 27 11" xfId="30658"/>
    <cellStyle name="Normal 27 11 2" xfId="30659"/>
    <cellStyle name="Normal 27 12" xfId="30660"/>
    <cellStyle name="Normal 27 12 2" xfId="30661"/>
    <cellStyle name="Normal 27 13" xfId="30662"/>
    <cellStyle name="Normal 27 13 2" xfId="30663"/>
    <cellStyle name="Normal 27 14" xfId="30664"/>
    <cellStyle name="Normal 27 14 2" xfId="30665"/>
    <cellStyle name="Normal 27 15" xfId="30666"/>
    <cellStyle name="Normal 27 15 2" xfId="30667"/>
    <cellStyle name="Normal 27 16" xfId="30668"/>
    <cellStyle name="Normal 27 16 2" xfId="30669"/>
    <cellStyle name="Normal 27 17" xfId="30670"/>
    <cellStyle name="Normal 27 17 2" xfId="30671"/>
    <cellStyle name="Normal 27 18" xfId="30672"/>
    <cellStyle name="Normal 27 18 2" xfId="30673"/>
    <cellStyle name="Normal 27 19" xfId="30674"/>
    <cellStyle name="Normal 27 19 2" xfId="30675"/>
    <cellStyle name="Normal 27 2" xfId="1252"/>
    <cellStyle name="Normal 27 2 2" xfId="30676"/>
    <cellStyle name="Normal 27 2 3" xfId="30677"/>
    <cellStyle name="Normal 27 20" xfId="30678"/>
    <cellStyle name="Normal 27 20 2" xfId="30679"/>
    <cellStyle name="Normal 27 21" xfId="30680"/>
    <cellStyle name="Normal 27 21 2" xfId="30681"/>
    <cellStyle name="Normal 27 22" xfId="30682"/>
    <cellStyle name="Normal 27 22 2" xfId="30683"/>
    <cellStyle name="Normal 27 23" xfId="30684"/>
    <cellStyle name="Normal 27 23 2" xfId="30685"/>
    <cellStyle name="Normal 27 24" xfId="30686"/>
    <cellStyle name="Normal 27 24 2" xfId="30687"/>
    <cellStyle name="Normal 27 25" xfId="30688"/>
    <cellStyle name="Normal 27 25 2" xfId="30689"/>
    <cellStyle name="Normal 27 26" xfId="30690"/>
    <cellStyle name="Normal 27 26 2" xfId="30691"/>
    <cellStyle name="Normal 27 27" xfId="30692"/>
    <cellStyle name="Normal 27 27 2" xfId="30693"/>
    <cellStyle name="Normal 27 28" xfId="30694"/>
    <cellStyle name="Normal 27 28 2" xfId="30695"/>
    <cellStyle name="Normal 27 29" xfId="30696"/>
    <cellStyle name="Normal 27 29 2" xfId="30697"/>
    <cellStyle name="Normal 27 3" xfId="30698"/>
    <cellStyle name="Normal 27 3 2" xfId="30699"/>
    <cellStyle name="Normal 27 30" xfId="30700"/>
    <cellStyle name="Normal 27 30 2" xfId="30701"/>
    <cellStyle name="Normal 27 31" xfId="30702"/>
    <cellStyle name="Normal 27 31 2" xfId="30703"/>
    <cellStyle name="Normal 27 32" xfId="30704"/>
    <cellStyle name="Normal 27 32 2" xfId="30705"/>
    <cellStyle name="Normal 27 33" xfId="30706"/>
    <cellStyle name="Normal 27 33 2" xfId="30707"/>
    <cellStyle name="Normal 27 34" xfId="30708"/>
    <cellStyle name="Normal 27 34 2" xfId="30709"/>
    <cellStyle name="Normal 27 35" xfId="30710"/>
    <cellStyle name="Normal 27 35 2" xfId="30711"/>
    <cellStyle name="Normal 27 36" xfId="30712"/>
    <cellStyle name="Normal 27 36 2" xfId="30713"/>
    <cellStyle name="Normal 27 37" xfId="30714"/>
    <cellStyle name="Normal 27 37 2" xfId="30715"/>
    <cellStyle name="Normal 27 38" xfId="30716"/>
    <cellStyle name="Normal 27 38 2" xfId="30717"/>
    <cellStyle name="Normal 27 39" xfId="30718"/>
    <cellStyle name="Normal 27 39 2" xfId="30719"/>
    <cellStyle name="Normal 27 4" xfId="30720"/>
    <cellStyle name="Normal 27 4 2" xfId="30721"/>
    <cellStyle name="Normal 27 40" xfId="30722"/>
    <cellStyle name="Normal 27 40 2" xfId="30723"/>
    <cellStyle name="Normal 27 41" xfId="30724"/>
    <cellStyle name="Normal 27 41 2" xfId="30725"/>
    <cellStyle name="Normal 27 42" xfId="30726"/>
    <cellStyle name="Normal 27 42 2" xfId="30727"/>
    <cellStyle name="Normal 27 43" xfId="30728"/>
    <cellStyle name="Normal 27 43 2" xfId="30729"/>
    <cellStyle name="Normal 27 44" xfId="30730"/>
    <cellStyle name="Normal 27 44 2" xfId="30731"/>
    <cellStyle name="Normal 27 45" xfId="30732"/>
    <cellStyle name="Normal 27 46" xfId="30733"/>
    <cellStyle name="Normal 27 47" xfId="30734"/>
    <cellStyle name="Normal 27 48" xfId="30735"/>
    <cellStyle name="Normal 27 49" xfId="30736"/>
    <cellStyle name="Normal 27 5" xfId="30737"/>
    <cellStyle name="Normal 27 5 2" xfId="30738"/>
    <cellStyle name="Normal 27 50" xfId="30739"/>
    <cellStyle name="Normal 27 51" xfId="30740"/>
    <cellStyle name="Normal 27 52" xfId="30741"/>
    <cellStyle name="Normal 27 53" xfId="30742"/>
    <cellStyle name="Normal 27 54" xfId="30743"/>
    <cellStyle name="Normal 27 55" xfId="30744"/>
    <cellStyle name="Normal 27 56" xfId="30745"/>
    <cellStyle name="Normal 27 57" xfId="30746"/>
    <cellStyle name="Normal 27 58" xfId="30747"/>
    <cellStyle name="Normal 27 59" xfId="30748"/>
    <cellStyle name="Normal 27 6" xfId="30749"/>
    <cellStyle name="Normal 27 6 2" xfId="30750"/>
    <cellStyle name="Normal 27 60" xfId="30751"/>
    <cellStyle name="Normal 27 61" xfId="30752"/>
    <cellStyle name="Normal 27 62" xfId="30753"/>
    <cellStyle name="Normal 27 63" xfId="30754"/>
    <cellStyle name="Normal 27 64" xfId="30755"/>
    <cellStyle name="Normal 27 65" xfId="30756"/>
    <cellStyle name="Normal 27 66" xfId="30757"/>
    <cellStyle name="Normal 27 67" xfId="30758"/>
    <cellStyle name="Normal 27 68" xfId="30759"/>
    <cellStyle name="Normal 27 69" xfId="30760"/>
    <cellStyle name="Normal 27 7" xfId="30761"/>
    <cellStyle name="Normal 27 7 2" xfId="30762"/>
    <cellStyle name="Normal 27 70" xfId="30763"/>
    <cellStyle name="Normal 27 71" xfId="30764"/>
    <cellStyle name="Normal 27 72" xfId="30765"/>
    <cellStyle name="Normal 27 73" xfId="30766"/>
    <cellStyle name="Normal 27 74" xfId="30767"/>
    <cellStyle name="Normal 27 75" xfId="30768"/>
    <cellStyle name="Normal 27 76" xfId="30769"/>
    <cellStyle name="Normal 27 77" xfId="30770"/>
    <cellStyle name="Normal 27 78" xfId="30771"/>
    <cellStyle name="Normal 27 79" xfId="30772"/>
    <cellStyle name="Normal 27 8" xfId="30773"/>
    <cellStyle name="Normal 27 8 2" xfId="30774"/>
    <cellStyle name="Normal 27 80" xfId="30775"/>
    <cellStyle name="Normal 27 81" xfId="30776"/>
    <cellStyle name="Normal 27 82" xfId="30777"/>
    <cellStyle name="Normal 27 83" xfId="30778"/>
    <cellStyle name="Normal 27 84" xfId="30779"/>
    <cellStyle name="Normal 27 85" xfId="30780"/>
    <cellStyle name="Normal 27 86" xfId="30781"/>
    <cellStyle name="Normal 27 87" xfId="30782"/>
    <cellStyle name="Normal 27 88" xfId="30783"/>
    <cellStyle name="Normal 27 89" xfId="30784"/>
    <cellStyle name="Normal 27 9" xfId="30785"/>
    <cellStyle name="Normal 27 9 2" xfId="30786"/>
    <cellStyle name="Normal 27 90" xfId="30787"/>
    <cellStyle name="Normal 27 91" xfId="30788"/>
    <cellStyle name="Normal 27 92" xfId="30789"/>
    <cellStyle name="Normal 27 93" xfId="30790"/>
    <cellStyle name="Normal 27 94" xfId="30791"/>
    <cellStyle name="Normal 27 95" xfId="30792"/>
    <cellStyle name="Normal 27 96" xfId="30793"/>
    <cellStyle name="Normal 27 97" xfId="30794"/>
    <cellStyle name="Normal 27 98" xfId="30795"/>
    <cellStyle name="Normal 27 99" xfId="30796"/>
    <cellStyle name="Normal 270" xfId="1389"/>
    <cellStyle name="Normal 271" xfId="1390"/>
    <cellStyle name="Normal 272" xfId="1391"/>
    <cellStyle name="Normal 273" xfId="1368"/>
    <cellStyle name="Normal 274" xfId="1392"/>
    <cellStyle name="Normal 275" xfId="1379"/>
    <cellStyle name="Normal 276" xfId="1393"/>
    <cellStyle name="Normal 277" xfId="1394"/>
    <cellStyle name="Normal 278" xfId="1423"/>
    <cellStyle name="Normal 279" xfId="1395"/>
    <cellStyle name="Normal 28" xfId="471"/>
    <cellStyle name="Normal 28 10" xfId="30797"/>
    <cellStyle name="Normal 28 10 2" xfId="30798"/>
    <cellStyle name="Normal 28 100" xfId="30799"/>
    <cellStyle name="Normal 28 101" xfId="30800"/>
    <cellStyle name="Normal 28 102" xfId="30801"/>
    <cellStyle name="Normal 28 103" xfId="30802"/>
    <cellStyle name="Normal 28 104" xfId="30803"/>
    <cellStyle name="Normal 28 105" xfId="30804"/>
    <cellStyle name="Normal 28 106" xfId="30805"/>
    <cellStyle name="Normal 28 107" xfId="30806"/>
    <cellStyle name="Normal 28 108" xfId="30807"/>
    <cellStyle name="Normal 28 109" xfId="30808"/>
    <cellStyle name="Normal 28 11" xfId="30809"/>
    <cellStyle name="Normal 28 11 2" xfId="30810"/>
    <cellStyle name="Normal 28 12" xfId="30811"/>
    <cellStyle name="Normal 28 12 2" xfId="30812"/>
    <cellStyle name="Normal 28 13" xfId="30813"/>
    <cellStyle name="Normal 28 13 2" xfId="30814"/>
    <cellStyle name="Normal 28 14" xfId="30815"/>
    <cellStyle name="Normal 28 14 2" xfId="30816"/>
    <cellStyle name="Normal 28 15" xfId="30817"/>
    <cellStyle name="Normal 28 15 2" xfId="30818"/>
    <cellStyle name="Normal 28 16" xfId="30819"/>
    <cellStyle name="Normal 28 16 2" xfId="30820"/>
    <cellStyle name="Normal 28 17" xfId="30821"/>
    <cellStyle name="Normal 28 17 2" xfId="30822"/>
    <cellStyle name="Normal 28 18" xfId="30823"/>
    <cellStyle name="Normal 28 18 2" xfId="30824"/>
    <cellStyle name="Normal 28 19" xfId="30825"/>
    <cellStyle name="Normal 28 19 2" xfId="30826"/>
    <cellStyle name="Normal 28 2" xfId="1276"/>
    <cellStyle name="Normal 28 2 2" xfId="30827"/>
    <cellStyle name="Normal 28 2 3" xfId="30828"/>
    <cellStyle name="Normal 28 20" xfId="30829"/>
    <cellStyle name="Normal 28 20 2" xfId="30830"/>
    <cellStyle name="Normal 28 21" xfId="30831"/>
    <cellStyle name="Normal 28 21 2" xfId="30832"/>
    <cellStyle name="Normal 28 22" xfId="30833"/>
    <cellStyle name="Normal 28 22 2" xfId="30834"/>
    <cellStyle name="Normal 28 23" xfId="30835"/>
    <cellStyle name="Normal 28 23 2" xfId="30836"/>
    <cellStyle name="Normal 28 24" xfId="30837"/>
    <cellStyle name="Normal 28 24 2" xfId="30838"/>
    <cellStyle name="Normal 28 25" xfId="30839"/>
    <cellStyle name="Normal 28 25 2" xfId="30840"/>
    <cellStyle name="Normal 28 26" xfId="30841"/>
    <cellStyle name="Normal 28 26 2" xfId="30842"/>
    <cellStyle name="Normal 28 27" xfId="30843"/>
    <cellStyle name="Normal 28 27 2" xfId="30844"/>
    <cellStyle name="Normal 28 28" xfId="30845"/>
    <cellStyle name="Normal 28 28 2" xfId="30846"/>
    <cellStyle name="Normal 28 29" xfId="30847"/>
    <cellStyle name="Normal 28 29 2" xfId="30848"/>
    <cellStyle name="Normal 28 3" xfId="1675"/>
    <cellStyle name="Normal 28 3 2" xfId="30849"/>
    <cellStyle name="Normal 28 3 3" xfId="30850"/>
    <cellStyle name="Normal 28 30" xfId="30851"/>
    <cellStyle name="Normal 28 30 2" xfId="30852"/>
    <cellStyle name="Normal 28 31" xfId="30853"/>
    <cellStyle name="Normal 28 31 2" xfId="30854"/>
    <cellStyle name="Normal 28 32" xfId="30855"/>
    <cellStyle name="Normal 28 32 2" xfId="30856"/>
    <cellStyle name="Normal 28 33" xfId="30857"/>
    <cellStyle name="Normal 28 33 2" xfId="30858"/>
    <cellStyle name="Normal 28 34" xfId="30859"/>
    <cellStyle name="Normal 28 34 2" xfId="30860"/>
    <cellStyle name="Normal 28 35" xfId="30861"/>
    <cellStyle name="Normal 28 35 2" xfId="30862"/>
    <cellStyle name="Normal 28 36" xfId="30863"/>
    <cellStyle name="Normal 28 36 2" xfId="30864"/>
    <cellStyle name="Normal 28 37" xfId="30865"/>
    <cellStyle name="Normal 28 37 2" xfId="30866"/>
    <cellStyle name="Normal 28 38" xfId="30867"/>
    <cellStyle name="Normal 28 38 2" xfId="30868"/>
    <cellStyle name="Normal 28 39" xfId="30869"/>
    <cellStyle name="Normal 28 39 2" xfId="30870"/>
    <cellStyle name="Normal 28 4" xfId="30871"/>
    <cellStyle name="Normal 28 4 2" xfId="30872"/>
    <cellStyle name="Normal 28 40" xfId="30873"/>
    <cellStyle name="Normal 28 40 2" xfId="30874"/>
    <cellStyle name="Normal 28 41" xfId="30875"/>
    <cellStyle name="Normal 28 41 2" xfId="30876"/>
    <cellStyle name="Normal 28 42" xfId="30877"/>
    <cellStyle name="Normal 28 42 2" xfId="30878"/>
    <cellStyle name="Normal 28 43" xfId="30879"/>
    <cellStyle name="Normal 28 43 2" xfId="30880"/>
    <cellStyle name="Normal 28 44" xfId="30881"/>
    <cellStyle name="Normal 28 44 2" xfId="30882"/>
    <cellStyle name="Normal 28 45" xfId="30883"/>
    <cellStyle name="Normal 28 46" xfId="30884"/>
    <cellStyle name="Normal 28 47" xfId="30885"/>
    <cellStyle name="Normal 28 48" xfId="30886"/>
    <cellStyle name="Normal 28 49" xfId="30887"/>
    <cellStyle name="Normal 28 5" xfId="30888"/>
    <cellStyle name="Normal 28 5 2" xfId="30889"/>
    <cellStyle name="Normal 28 50" xfId="30890"/>
    <cellStyle name="Normal 28 51" xfId="30891"/>
    <cellStyle name="Normal 28 52" xfId="30892"/>
    <cellStyle name="Normal 28 53" xfId="30893"/>
    <cellStyle name="Normal 28 54" xfId="30894"/>
    <cellStyle name="Normal 28 55" xfId="30895"/>
    <cellStyle name="Normal 28 56" xfId="30896"/>
    <cellStyle name="Normal 28 57" xfId="30897"/>
    <cellStyle name="Normal 28 58" xfId="30898"/>
    <cellStyle name="Normal 28 59" xfId="30899"/>
    <cellStyle name="Normal 28 6" xfId="30900"/>
    <cellStyle name="Normal 28 6 2" xfId="30901"/>
    <cellStyle name="Normal 28 60" xfId="30902"/>
    <cellStyle name="Normal 28 61" xfId="30903"/>
    <cellStyle name="Normal 28 62" xfId="30904"/>
    <cellStyle name="Normal 28 63" xfId="30905"/>
    <cellStyle name="Normal 28 64" xfId="30906"/>
    <cellStyle name="Normal 28 65" xfId="30907"/>
    <cellStyle name="Normal 28 66" xfId="30908"/>
    <cellStyle name="Normal 28 67" xfId="30909"/>
    <cellStyle name="Normal 28 68" xfId="30910"/>
    <cellStyle name="Normal 28 69" xfId="30911"/>
    <cellStyle name="Normal 28 7" xfId="30912"/>
    <cellStyle name="Normal 28 7 2" xfId="30913"/>
    <cellStyle name="Normal 28 70" xfId="30914"/>
    <cellStyle name="Normal 28 71" xfId="30915"/>
    <cellStyle name="Normal 28 72" xfId="30916"/>
    <cellStyle name="Normal 28 73" xfId="30917"/>
    <cellStyle name="Normal 28 74" xfId="30918"/>
    <cellStyle name="Normal 28 75" xfId="30919"/>
    <cellStyle name="Normal 28 76" xfId="30920"/>
    <cellStyle name="Normal 28 77" xfId="30921"/>
    <cellStyle name="Normal 28 78" xfId="30922"/>
    <cellStyle name="Normal 28 79" xfId="30923"/>
    <cellStyle name="Normal 28 8" xfId="30924"/>
    <cellStyle name="Normal 28 8 2" xfId="30925"/>
    <cellStyle name="Normal 28 80" xfId="30926"/>
    <cellStyle name="Normal 28 81" xfId="30927"/>
    <cellStyle name="Normal 28 82" xfId="30928"/>
    <cellStyle name="Normal 28 83" xfId="30929"/>
    <cellStyle name="Normal 28 84" xfId="30930"/>
    <cellStyle name="Normal 28 85" xfId="30931"/>
    <cellStyle name="Normal 28 86" xfId="30932"/>
    <cellStyle name="Normal 28 87" xfId="30933"/>
    <cellStyle name="Normal 28 88" xfId="30934"/>
    <cellStyle name="Normal 28 89" xfId="30935"/>
    <cellStyle name="Normal 28 9" xfId="30936"/>
    <cellStyle name="Normal 28 9 2" xfId="30937"/>
    <cellStyle name="Normal 28 90" xfId="30938"/>
    <cellStyle name="Normal 28 91" xfId="30939"/>
    <cellStyle name="Normal 28 92" xfId="30940"/>
    <cellStyle name="Normal 28 93" xfId="30941"/>
    <cellStyle name="Normal 28 94" xfId="30942"/>
    <cellStyle name="Normal 28 95" xfId="30943"/>
    <cellStyle name="Normal 28 96" xfId="30944"/>
    <cellStyle name="Normal 28 97" xfId="30945"/>
    <cellStyle name="Normal 28 98" xfId="30946"/>
    <cellStyle name="Normal 28 99" xfId="30947"/>
    <cellStyle name="Normal 280" xfId="1396"/>
    <cellStyle name="Normal 281" xfId="1755"/>
    <cellStyle name="Normal 282" xfId="1397"/>
    <cellStyle name="Normal 283" xfId="1398"/>
    <cellStyle name="Normal 284" xfId="1399"/>
    <cellStyle name="Normal 285" xfId="1765"/>
    <cellStyle name="Normal 286" xfId="1400"/>
    <cellStyle name="Normal 287" xfId="1401"/>
    <cellStyle name="Normal 288" xfId="1402"/>
    <cellStyle name="Normal 289" xfId="1753"/>
    <cellStyle name="Normal 29" xfId="410"/>
    <cellStyle name="Normal 29 10" xfId="30948"/>
    <cellStyle name="Normal 29 10 2" xfId="30949"/>
    <cellStyle name="Normal 29 100" xfId="30950"/>
    <cellStyle name="Normal 29 101" xfId="30951"/>
    <cellStyle name="Normal 29 102" xfId="30952"/>
    <cellStyle name="Normal 29 103" xfId="30953"/>
    <cellStyle name="Normal 29 104" xfId="30954"/>
    <cellStyle name="Normal 29 105" xfId="30955"/>
    <cellStyle name="Normal 29 106" xfId="30956"/>
    <cellStyle name="Normal 29 107" xfId="30957"/>
    <cellStyle name="Normal 29 108" xfId="30958"/>
    <cellStyle name="Normal 29 109" xfId="30959"/>
    <cellStyle name="Normal 29 11" xfId="30960"/>
    <cellStyle name="Normal 29 11 2" xfId="30961"/>
    <cellStyle name="Normal 29 12" xfId="30962"/>
    <cellStyle name="Normal 29 12 2" xfId="30963"/>
    <cellStyle name="Normal 29 13" xfId="30964"/>
    <cellStyle name="Normal 29 13 2" xfId="30965"/>
    <cellStyle name="Normal 29 14" xfId="30966"/>
    <cellStyle name="Normal 29 14 2" xfId="30967"/>
    <cellStyle name="Normal 29 15" xfId="30968"/>
    <cellStyle name="Normal 29 15 2" xfId="30969"/>
    <cellStyle name="Normal 29 16" xfId="30970"/>
    <cellStyle name="Normal 29 16 2" xfId="30971"/>
    <cellStyle name="Normal 29 17" xfId="30972"/>
    <cellStyle name="Normal 29 17 2" xfId="30973"/>
    <cellStyle name="Normal 29 18" xfId="30974"/>
    <cellStyle name="Normal 29 18 2" xfId="30975"/>
    <cellStyle name="Normal 29 19" xfId="30976"/>
    <cellStyle name="Normal 29 19 2" xfId="30977"/>
    <cellStyle name="Normal 29 2" xfId="1233"/>
    <cellStyle name="Normal 29 2 2" xfId="30978"/>
    <cellStyle name="Normal 29 2 3" xfId="30979"/>
    <cellStyle name="Normal 29 20" xfId="30980"/>
    <cellStyle name="Normal 29 20 2" xfId="30981"/>
    <cellStyle name="Normal 29 21" xfId="30982"/>
    <cellStyle name="Normal 29 21 2" xfId="30983"/>
    <cellStyle name="Normal 29 22" xfId="30984"/>
    <cellStyle name="Normal 29 22 2" xfId="30985"/>
    <cellStyle name="Normal 29 23" xfId="30986"/>
    <cellStyle name="Normal 29 23 2" xfId="30987"/>
    <cellStyle name="Normal 29 24" xfId="30988"/>
    <cellStyle name="Normal 29 24 2" xfId="30989"/>
    <cellStyle name="Normal 29 25" xfId="30990"/>
    <cellStyle name="Normal 29 25 2" xfId="30991"/>
    <cellStyle name="Normal 29 26" xfId="30992"/>
    <cellStyle name="Normal 29 26 2" xfId="30993"/>
    <cellStyle name="Normal 29 27" xfId="30994"/>
    <cellStyle name="Normal 29 27 2" xfId="30995"/>
    <cellStyle name="Normal 29 28" xfId="30996"/>
    <cellStyle name="Normal 29 28 2" xfId="30997"/>
    <cellStyle name="Normal 29 29" xfId="30998"/>
    <cellStyle name="Normal 29 29 2" xfId="30999"/>
    <cellStyle name="Normal 29 3" xfId="31000"/>
    <cellStyle name="Normal 29 3 2" xfId="31001"/>
    <cellStyle name="Normal 29 30" xfId="31002"/>
    <cellStyle name="Normal 29 30 2" xfId="31003"/>
    <cellStyle name="Normal 29 31" xfId="31004"/>
    <cellStyle name="Normal 29 31 2" xfId="31005"/>
    <cellStyle name="Normal 29 32" xfId="31006"/>
    <cellStyle name="Normal 29 32 2" xfId="31007"/>
    <cellStyle name="Normal 29 33" xfId="31008"/>
    <cellStyle name="Normal 29 33 2" xfId="31009"/>
    <cellStyle name="Normal 29 34" xfId="31010"/>
    <cellStyle name="Normal 29 34 2" xfId="31011"/>
    <cellStyle name="Normal 29 35" xfId="31012"/>
    <cellStyle name="Normal 29 35 2" xfId="31013"/>
    <cellStyle name="Normal 29 36" xfId="31014"/>
    <cellStyle name="Normal 29 36 2" xfId="31015"/>
    <cellStyle name="Normal 29 37" xfId="31016"/>
    <cellStyle name="Normal 29 37 2" xfId="31017"/>
    <cellStyle name="Normal 29 38" xfId="31018"/>
    <cellStyle name="Normal 29 38 2" xfId="31019"/>
    <cellStyle name="Normal 29 39" xfId="31020"/>
    <cellStyle name="Normal 29 39 2" xfId="31021"/>
    <cellStyle name="Normal 29 4" xfId="31022"/>
    <cellStyle name="Normal 29 4 2" xfId="31023"/>
    <cellStyle name="Normal 29 40" xfId="31024"/>
    <cellStyle name="Normal 29 40 2" xfId="31025"/>
    <cellStyle name="Normal 29 41" xfId="31026"/>
    <cellStyle name="Normal 29 41 2" xfId="31027"/>
    <cellStyle name="Normal 29 42" xfId="31028"/>
    <cellStyle name="Normal 29 42 2" xfId="31029"/>
    <cellStyle name="Normal 29 43" xfId="31030"/>
    <cellStyle name="Normal 29 43 2" xfId="31031"/>
    <cellStyle name="Normal 29 44" xfId="31032"/>
    <cellStyle name="Normal 29 44 2" xfId="31033"/>
    <cellStyle name="Normal 29 45" xfId="31034"/>
    <cellStyle name="Normal 29 46" xfId="31035"/>
    <cellStyle name="Normal 29 47" xfId="31036"/>
    <cellStyle name="Normal 29 48" xfId="31037"/>
    <cellStyle name="Normal 29 49" xfId="31038"/>
    <cellStyle name="Normal 29 5" xfId="31039"/>
    <cellStyle name="Normal 29 5 2" xfId="31040"/>
    <cellStyle name="Normal 29 50" xfId="31041"/>
    <cellStyle name="Normal 29 51" xfId="31042"/>
    <cellStyle name="Normal 29 52" xfId="31043"/>
    <cellStyle name="Normal 29 53" xfId="31044"/>
    <cellStyle name="Normal 29 54" xfId="31045"/>
    <cellStyle name="Normal 29 55" xfId="31046"/>
    <cellStyle name="Normal 29 56" xfId="31047"/>
    <cellStyle name="Normal 29 57" xfId="31048"/>
    <cellStyle name="Normal 29 58" xfId="31049"/>
    <cellStyle name="Normal 29 59" xfId="31050"/>
    <cellStyle name="Normal 29 6" xfId="31051"/>
    <cellStyle name="Normal 29 6 2" xfId="31052"/>
    <cellStyle name="Normal 29 60" xfId="31053"/>
    <cellStyle name="Normal 29 61" xfId="31054"/>
    <cellStyle name="Normal 29 62" xfId="31055"/>
    <cellStyle name="Normal 29 63" xfId="31056"/>
    <cellStyle name="Normal 29 64" xfId="31057"/>
    <cellStyle name="Normal 29 65" xfId="31058"/>
    <cellStyle name="Normal 29 66" xfId="31059"/>
    <cellStyle name="Normal 29 67" xfId="31060"/>
    <cellStyle name="Normal 29 68" xfId="31061"/>
    <cellStyle name="Normal 29 69" xfId="31062"/>
    <cellStyle name="Normal 29 7" xfId="31063"/>
    <cellStyle name="Normal 29 7 2" xfId="31064"/>
    <cellStyle name="Normal 29 70" xfId="31065"/>
    <cellStyle name="Normal 29 71" xfId="31066"/>
    <cellStyle name="Normal 29 72" xfId="31067"/>
    <cellStyle name="Normal 29 73" xfId="31068"/>
    <cellStyle name="Normal 29 74" xfId="31069"/>
    <cellStyle name="Normal 29 75" xfId="31070"/>
    <cellStyle name="Normal 29 76" xfId="31071"/>
    <cellStyle name="Normal 29 77" xfId="31072"/>
    <cellStyle name="Normal 29 78" xfId="31073"/>
    <cellStyle name="Normal 29 79" xfId="31074"/>
    <cellStyle name="Normal 29 8" xfId="31075"/>
    <cellStyle name="Normal 29 8 2" xfId="31076"/>
    <cellStyle name="Normal 29 80" xfId="31077"/>
    <cellStyle name="Normal 29 81" xfId="31078"/>
    <cellStyle name="Normal 29 82" xfId="31079"/>
    <cellStyle name="Normal 29 83" xfId="31080"/>
    <cellStyle name="Normal 29 84" xfId="31081"/>
    <cellStyle name="Normal 29 85" xfId="31082"/>
    <cellStyle name="Normal 29 86" xfId="31083"/>
    <cellStyle name="Normal 29 87" xfId="31084"/>
    <cellStyle name="Normal 29 88" xfId="31085"/>
    <cellStyle name="Normal 29 89" xfId="31086"/>
    <cellStyle name="Normal 29 9" xfId="31087"/>
    <cellStyle name="Normal 29 9 2" xfId="31088"/>
    <cellStyle name="Normal 29 90" xfId="31089"/>
    <cellStyle name="Normal 29 91" xfId="31090"/>
    <cellStyle name="Normal 29 92" xfId="31091"/>
    <cellStyle name="Normal 29 93" xfId="31092"/>
    <cellStyle name="Normal 29 94" xfId="31093"/>
    <cellStyle name="Normal 29 95" xfId="31094"/>
    <cellStyle name="Normal 29 96" xfId="31095"/>
    <cellStyle name="Normal 29 97" xfId="31096"/>
    <cellStyle name="Normal 29 98" xfId="31097"/>
    <cellStyle name="Normal 29 99" xfId="31098"/>
    <cellStyle name="Normal 290" xfId="1403"/>
    <cellStyle name="Normal 291" xfId="1764"/>
    <cellStyle name="Normal 292" xfId="1404"/>
    <cellStyle name="Normal 293" xfId="1405"/>
    <cellStyle name="Normal 294" xfId="1406"/>
    <cellStyle name="Normal 295" xfId="1407"/>
    <cellStyle name="Normal 296" xfId="1750"/>
    <cellStyle name="Normal 297" xfId="1408"/>
    <cellStyle name="Normal 298" xfId="1409"/>
    <cellStyle name="Normal 299" xfId="1763"/>
    <cellStyle name="Normal 3" xfId="170"/>
    <cellStyle name="Normal 3 10" xfId="1812"/>
    <cellStyle name="Normal 3 10 2" xfId="31099"/>
    <cellStyle name="Normal 3 10 3" xfId="31100"/>
    <cellStyle name="Normal 3 100" xfId="31101"/>
    <cellStyle name="Normal 3 101" xfId="31102"/>
    <cellStyle name="Normal 3 102" xfId="31103"/>
    <cellStyle name="Normal 3 103" xfId="31104"/>
    <cellStyle name="Normal 3 104" xfId="31105"/>
    <cellStyle name="Normal 3 105" xfId="31106"/>
    <cellStyle name="Normal 3 106" xfId="31107"/>
    <cellStyle name="Normal 3 107" xfId="31108"/>
    <cellStyle name="Normal 3 108" xfId="31109"/>
    <cellStyle name="Normal 3 109" xfId="31110"/>
    <cellStyle name="Normal 3 11" xfId="31111"/>
    <cellStyle name="Normal 3 11 2" xfId="31112"/>
    <cellStyle name="Normal 3 110" xfId="31113"/>
    <cellStyle name="Normal 3 111" xfId="31114"/>
    <cellStyle name="Normal 3 112" xfId="31115"/>
    <cellStyle name="Normal 3 113" xfId="31116"/>
    <cellStyle name="Normal 3 114" xfId="31117"/>
    <cellStyle name="Normal 3 115" xfId="31118"/>
    <cellStyle name="Normal 3 116" xfId="31119"/>
    <cellStyle name="Normal 3 117" xfId="31120"/>
    <cellStyle name="Normal 3 118" xfId="31121"/>
    <cellStyle name="Normal 3 119" xfId="31122"/>
    <cellStyle name="Normal 3 12" xfId="31123"/>
    <cellStyle name="Normal 3 12 2" xfId="31124"/>
    <cellStyle name="Normal 3 120" xfId="31125"/>
    <cellStyle name="Normal 3 121" xfId="31126"/>
    <cellStyle name="Normal 3 122" xfId="31127"/>
    <cellStyle name="Normal 3 123" xfId="31128"/>
    <cellStyle name="Normal 3 124" xfId="31129"/>
    <cellStyle name="Normal 3 125" xfId="31130"/>
    <cellStyle name="Normal 3 13" xfId="31131"/>
    <cellStyle name="Normal 3 13 2" xfId="31132"/>
    <cellStyle name="Normal 3 14" xfId="31133"/>
    <cellStyle name="Normal 3 14 2" xfId="31134"/>
    <cellStyle name="Normal 3 15" xfId="31135"/>
    <cellStyle name="Normal 3 15 2" xfId="31136"/>
    <cellStyle name="Normal 3 16" xfId="31137"/>
    <cellStyle name="Normal 3 16 2" xfId="31138"/>
    <cellStyle name="Normal 3 17" xfId="31139"/>
    <cellStyle name="Normal 3 17 2" xfId="31140"/>
    <cellStyle name="Normal 3 18" xfId="31141"/>
    <cellStyle name="Normal 3 18 2" xfId="31142"/>
    <cellStyle name="Normal 3 19" xfId="31143"/>
    <cellStyle name="Normal 3 19 2" xfId="31144"/>
    <cellStyle name="Normal 3 2" xfId="456"/>
    <cellStyle name="Normal 3 2 2" xfId="1264"/>
    <cellStyle name="Normal 3 2 2 2" xfId="31145"/>
    <cellStyle name="Normal 3 2 3" xfId="1380"/>
    <cellStyle name="Normal 3 2 3 2" xfId="31146"/>
    <cellStyle name="Normal 3 2 4" xfId="1677"/>
    <cellStyle name="Normal 3 2 5" xfId="2005"/>
    <cellStyle name="Normal 3 2 6" xfId="31147"/>
    <cellStyle name="Normal 3 20" xfId="31148"/>
    <cellStyle name="Normal 3 20 2" xfId="31149"/>
    <cellStyle name="Normal 3 21" xfId="31150"/>
    <cellStyle name="Normal 3 21 2" xfId="31151"/>
    <cellStyle name="Normal 3 22" xfId="31152"/>
    <cellStyle name="Normal 3 22 2" xfId="31153"/>
    <cellStyle name="Normal 3 23" xfId="31154"/>
    <cellStyle name="Normal 3 23 2" xfId="31155"/>
    <cellStyle name="Normal 3 24" xfId="31156"/>
    <cellStyle name="Normal 3 24 2" xfId="31157"/>
    <cellStyle name="Normal 3 25" xfId="31158"/>
    <cellStyle name="Normal 3 25 2" xfId="31159"/>
    <cellStyle name="Normal 3 26" xfId="31160"/>
    <cellStyle name="Normal 3 26 2" xfId="31161"/>
    <cellStyle name="Normal 3 27" xfId="31162"/>
    <cellStyle name="Normal 3 27 2" xfId="31163"/>
    <cellStyle name="Normal 3 28" xfId="31164"/>
    <cellStyle name="Normal 3 28 2" xfId="31165"/>
    <cellStyle name="Normal 3 29" xfId="31166"/>
    <cellStyle name="Normal 3 29 2" xfId="31167"/>
    <cellStyle name="Normal 3 3" xfId="589"/>
    <cellStyle name="Normal 3 3 2" xfId="1972"/>
    <cellStyle name="Normal 3 3 2 2" xfId="31168"/>
    <cellStyle name="Normal 3 3 3" xfId="31169"/>
    <cellStyle name="Normal 3 30" xfId="31170"/>
    <cellStyle name="Normal 3 30 2" xfId="31171"/>
    <cellStyle name="Normal 3 31" xfId="31172"/>
    <cellStyle name="Normal 3 31 2" xfId="31173"/>
    <cellStyle name="Normal 3 32" xfId="31174"/>
    <cellStyle name="Normal 3 32 2" xfId="31175"/>
    <cellStyle name="Normal 3 33" xfId="31176"/>
    <cellStyle name="Normal 3 33 2" xfId="31177"/>
    <cellStyle name="Normal 3 34" xfId="31178"/>
    <cellStyle name="Normal 3 34 2" xfId="31179"/>
    <cellStyle name="Normal 3 35" xfId="31180"/>
    <cellStyle name="Normal 3 35 2" xfId="31181"/>
    <cellStyle name="Normal 3 36" xfId="31182"/>
    <cellStyle name="Normal 3 36 2" xfId="31183"/>
    <cellStyle name="Normal 3 37" xfId="31184"/>
    <cellStyle name="Normal 3 37 2" xfId="31185"/>
    <cellStyle name="Normal 3 38" xfId="31186"/>
    <cellStyle name="Normal 3 38 2" xfId="31187"/>
    <cellStyle name="Normal 3 39" xfId="31188"/>
    <cellStyle name="Normal 3 39 2" xfId="31189"/>
    <cellStyle name="Normal 3 4" xfId="712"/>
    <cellStyle name="Normal 3 4 2" xfId="31190"/>
    <cellStyle name="Normal 3 4 3" xfId="31191"/>
    <cellStyle name="Normal 3 40" xfId="31192"/>
    <cellStyle name="Normal 3 40 2" xfId="31193"/>
    <cellStyle name="Normal 3 41" xfId="31194"/>
    <cellStyle name="Normal 3 41 2" xfId="31195"/>
    <cellStyle name="Normal 3 42" xfId="31196"/>
    <cellStyle name="Normal 3 42 2" xfId="31197"/>
    <cellStyle name="Normal 3 43" xfId="31198"/>
    <cellStyle name="Normal 3 43 2" xfId="31199"/>
    <cellStyle name="Normal 3 44" xfId="31200"/>
    <cellStyle name="Normal 3 44 2" xfId="31201"/>
    <cellStyle name="Normal 3 45" xfId="31202"/>
    <cellStyle name="Normal 3 45 2" xfId="31203"/>
    <cellStyle name="Normal 3 46" xfId="31204"/>
    <cellStyle name="Normal 3 46 2" xfId="31205"/>
    <cellStyle name="Normal 3 47" xfId="31206"/>
    <cellStyle name="Normal 3 47 2" xfId="31207"/>
    <cellStyle name="Normal 3 48" xfId="31208"/>
    <cellStyle name="Normal 3 48 2" xfId="31209"/>
    <cellStyle name="Normal 3 49" xfId="31210"/>
    <cellStyle name="Normal 3 49 2" xfId="31211"/>
    <cellStyle name="Normal 3 5" xfId="774"/>
    <cellStyle name="Normal 3 5 10" xfId="31212"/>
    <cellStyle name="Normal 3 5 10 2" xfId="31213"/>
    <cellStyle name="Normal 3 5 100" xfId="31214"/>
    <cellStyle name="Normal 3 5 101" xfId="31215"/>
    <cellStyle name="Normal 3 5 102" xfId="31216"/>
    <cellStyle name="Normal 3 5 103" xfId="31217"/>
    <cellStyle name="Normal 3 5 104" xfId="31218"/>
    <cellStyle name="Normal 3 5 105" xfId="31219"/>
    <cellStyle name="Normal 3 5 106" xfId="31220"/>
    <cellStyle name="Normal 3 5 107" xfId="31221"/>
    <cellStyle name="Normal 3 5 108" xfId="31222"/>
    <cellStyle name="Normal 3 5 109" xfId="31223"/>
    <cellStyle name="Normal 3 5 11" xfId="31224"/>
    <cellStyle name="Normal 3 5 11 2" xfId="31225"/>
    <cellStyle name="Normal 3 5 110" xfId="31226"/>
    <cellStyle name="Normal 3 5 111" xfId="31227"/>
    <cellStyle name="Normal 3 5 112" xfId="31228"/>
    <cellStyle name="Normal 3 5 113" xfId="31229"/>
    <cellStyle name="Normal 3 5 114" xfId="31230"/>
    <cellStyle name="Normal 3 5 115" xfId="31231"/>
    <cellStyle name="Normal 3 5 12" xfId="31232"/>
    <cellStyle name="Normal 3 5 12 2" xfId="31233"/>
    <cellStyle name="Normal 3 5 13" xfId="31234"/>
    <cellStyle name="Normal 3 5 13 2" xfId="31235"/>
    <cellStyle name="Normal 3 5 14" xfId="31236"/>
    <cellStyle name="Normal 3 5 14 2" xfId="31237"/>
    <cellStyle name="Normal 3 5 15" xfId="31238"/>
    <cellStyle name="Normal 3 5 15 2" xfId="31239"/>
    <cellStyle name="Normal 3 5 16" xfId="31240"/>
    <cellStyle name="Normal 3 5 16 2" xfId="31241"/>
    <cellStyle name="Normal 3 5 17" xfId="31242"/>
    <cellStyle name="Normal 3 5 17 2" xfId="31243"/>
    <cellStyle name="Normal 3 5 18" xfId="31244"/>
    <cellStyle name="Normal 3 5 18 2" xfId="31245"/>
    <cellStyle name="Normal 3 5 19" xfId="31246"/>
    <cellStyle name="Normal 3 5 19 2" xfId="31247"/>
    <cellStyle name="Normal 3 5 2" xfId="31248"/>
    <cellStyle name="Normal 3 5 2 2" xfId="31249"/>
    <cellStyle name="Normal 3 5 20" xfId="31250"/>
    <cellStyle name="Normal 3 5 20 2" xfId="31251"/>
    <cellStyle name="Normal 3 5 21" xfId="31252"/>
    <cellStyle name="Normal 3 5 21 2" xfId="31253"/>
    <cellStyle name="Normal 3 5 22" xfId="31254"/>
    <cellStyle name="Normal 3 5 22 2" xfId="31255"/>
    <cellStyle name="Normal 3 5 23" xfId="31256"/>
    <cellStyle name="Normal 3 5 23 2" xfId="31257"/>
    <cellStyle name="Normal 3 5 24" xfId="31258"/>
    <cellStyle name="Normal 3 5 24 2" xfId="31259"/>
    <cellStyle name="Normal 3 5 25" xfId="31260"/>
    <cellStyle name="Normal 3 5 25 2" xfId="31261"/>
    <cellStyle name="Normal 3 5 26" xfId="31262"/>
    <cellStyle name="Normal 3 5 26 2" xfId="31263"/>
    <cellStyle name="Normal 3 5 27" xfId="31264"/>
    <cellStyle name="Normal 3 5 27 2" xfId="31265"/>
    <cellStyle name="Normal 3 5 28" xfId="31266"/>
    <cellStyle name="Normal 3 5 28 2" xfId="31267"/>
    <cellStyle name="Normal 3 5 29" xfId="31268"/>
    <cellStyle name="Normal 3 5 29 2" xfId="31269"/>
    <cellStyle name="Normal 3 5 3" xfId="31270"/>
    <cellStyle name="Normal 3 5 3 2" xfId="31271"/>
    <cellStyle name="Normal 3 5 30" xfId="31272"/>
    <cellStyle name="Normal 3 5 30 2" xfId="31273"/>
    <cellStyle name="Normal 3 5 31" xfId="31274"/>
    <cellStyle name="Normal 3 5 31 2" xfId="31275"/>
    <cellStyle name="Normal 3 5 32" xfId="31276"/>
    <cellStyle name="Normal 3 5 32 2" xfId="31277"/>
    <cellStyle name="Normal 3 5 33" xfId="31278"/>
    <cellStyle name="Normal 3 5 33 2" xfId="31279"/>
    <cellStyle name="Normal 3 5 34" xfId="31280"/>
    <cellStyle name="Normal 3 5 34 2" xfId="31281"/>
    <cellStyle name="Normal 3 5 35" xfId="31282"/>
    <cellStyle name="Normal 3 5 35 2" xfId="31283"/>
    <cellStyle name="Normal 3 5 36" xfId="31284"/>
    <cellStyle name="Normal 3 5 36 2" xfId="31285"/>
    <cellStyle name="Normal 3 5 37" xfId="31286"/>
    <cellStyle name="Normal 3 5 37 2" xfId="31287"/>
    <cellStyle name="Normal 3 5 38" xfId="31288"/>
    <cellStyle name="Normal 3 5 38 2" xfId="31289"/>
    <cellStyle name="Normal 3 5 39" xfId="31290"/>
    <cellStyle name="Normal 3 5 39 2" xfId="31291"/>
    <cellStyle name="Normal 3 5 4" xfId="31292"/>
    <cellStyle name="Normal 3 5 4 2" xfId="31293"/>
    <cellStyle name="Normal 3 5 40" xfId="31294"/>
    <cellStyle name="Normal 3 5 40 2" xfId="31295"/>
    <cellStyle name="Normal 3 5 41" xfId="31296"/>
    <cellStyle name="Normal 3 5 41 2" xfId="31297"/>
    <cellStyle name="Normal 3 5 42" xfId="31298"/>
    <cellStyle name="Normal 3 5 42 2" xfId="31299"/>
    <cellStyle name="Normal 3 5 43" xfId="31300"/>
    <cellStyle name="Normal 3 5 43 2" xfId="31301"/>
    <cellStyle name="Normal 3 5 44" xfId="31302"/>
    <cellStyle name="Normal 3 5 44 2" xfId="31303"/>
    <cellStyle name="Normal 3 5 45" xfId="31304"/>
    <cellStyle name="Normal 3 5 45 2" xfId="31305"/>
    <cellStyle name="Normal 3 5 46" xfId="31306"/>
    <cellStyle name="Normal 3 5 46 2" xfId="31307"/>
    <cellStyle name="Normal 3 5 47" xfId="31308"/>
    <cellStyle name="Normal 3 5 47 2" xfId="31309"/>
    <cellStyle name="Normal 3 5 48" xfId="31310"/>
    <cellStyle name="Normal 3 5 48 2" xfId="31311"/>
    <cellStyle name="Normal 3 5 49" xfId="31312"/>
    <cellStyle name="Normal 3 5 49 2" xfId="31313"/>
    <cellStyle name="Normal 3 5 5" xfId="31314"/>
    <cellStyle name="Normal 3 5 5 2" xfId="31315"/>
    <cellStyle name="Normal 3 5 50" xfId="31316"/>
    <cellStyle name="Normal 3 5 51" xfId="31317"/>
    <cellStyle name="Normal 3 5 52" xfId="31318"/>
    <cellStyle name="Normal 3 5 53" xfId="31319"/>
    <cellStyle name="Normal 3 5 54" xfId="31320"/>
    <cellStyle name="Normal 3 5 55" xfId="31321"/>
    <cellStyle name="Normal 3 5 56" xfId="31322"/>
    <cellStyle name="Normal 3 5 57" xfId="31323"/>
    <cellStyle name="Normal 3 5 58" xfId="31324"/>
    <cellStyle name="Normal 3 5 59" xfId="31325"/>
    <cellStyle name="Normal 3 5 6" xfId="31326"/>
    <cellStyle name="Normal 3 5 6 2" xfId="31327"/>
    <cellStyle name="Normal 3 5 60" xfId="31328"/>
    <cellStyle name="Normal 3 5 61" xfId="31329"/>
    <cellStyle name="Normal 3 5 62" xfId="31330"/>
    <cellStyle name="Normal 3 5 63" xfId="31331"/>
    <cellStyle name="Normal 3 5 64" xfId="31332"/>
    <cellStyle name="Normal 3 5 65" xfId="31333"/>
    <cellStyle name="Normal 3 5 66" xfId="31334"/>
    <cellStyle name="Normal 3 5 67" xfId="31335"/>
    <cellStyle name="Normal 3 5 68" xfId="31336"/>
    <cellStyle name="Normal 3 5 69" xfId="31337"/>
    <cellStyle name="Normal 3 5 7" xfId="31338"/>
    <cellStyle name="Normal 3 5 7 2" xfId="31339"/>
    <cellStyle name="Normal 3 5 70" xfId="31340"/>
    <cellStyle name="Normal 3 5 71" xfId="31341"/>
    <cellStyle name="Normal 3 5 72" xfId="31342"/>
    <cellStyle name="Normal 3 5 73" xfId="31343"/>
    <cellStyle name="Normal 3 5 74" xfId="31344"/>
    <cellStyle name="Normal 3 5 75" xfId="31345"/>
    <cellStyle name="Normal 3 5 76" xfId="31346"/>
    <cellStyle name="Normal 3 5 77" xfId="31347"/>
    <cellStyle name="Normal 3 5 78" xfId="31348"/>
    <cellStyle name="Normal 3 5 79" xfId="31349"/>
    <cellStyle name="Normal 3 5 8" xfId="31350"/>
    <cellStyle name="Normal 3 5 8 2" xfId="31351"/>
    <cellStyle name="Normal 3 5 80" xfId="31352"/>
    <cellStyle name="Normal 3 5 81" xfId="31353"/>
    <cellStyle name="Normal 3 5 82" xfId="31354"/>
    <cellStyle name="Normal 3 5 83" xfId="31355"/>
    <cellStyle name="Normal 3 5 84" xfId="31356"/>
    <cellStyle name="Normal 3 5 85" xfId="31357"/>
    <cellStyle name="Normal 3 5 86" xfId="31358"/>
    <cellStyle name="Normal 3 5 87" xfId="31359"/>
    <cellStyle name="Normal 3 5 88" xfId="31360"/>
    <cellStyle name="Normal 3 5 89" xfId="31361"/>
    <cellStyle name="Normal 3 5 9" xfId="31362"/>
    <cellStyle name="Normal 3 5 9 2" xfId="31363"/>
    <cellStyle name="Normal 3 5 90" xfId="31364"/>
    <cellStyle name="Normal 3 5 91" xfId="31365"/>
    <cellStyle name="Normal 3 5 92" xfId="31366"/>
    <cellStyle name="Normal 3 5 93" xfId="31367"/>
    <cellStyle name="Normal 3 5 94" xfId="31368"/>
    <cellStyle name="Normal 3 5 95" xfId="31369"/>
    <cellStyle name="Normal 3 5 96" xfId="31370"/>
    <cellStyle name="Normal 3 5 97" xfId="31371"/>
    <cellStyle name="Normal 3 5 98" xfId="31372"/>
    <cellStyle name="Normal 3 5 99" xfId="31373"/>
    <cellStyle name="Normal 3 50" xfId="31374"/>
    <cellStyle name="Normal 3 50 2" xfId="31375"/>
    <cellStyle name="Normal 3 51" xfId="31376"/>
    <cellStyle name="Normal 3 51 2" xfId="31377"/>
    <cellStyle name="Normal 3 52" xfId="31378"/>
    <cellStyle name="Normal 3 52 2" xfId="31379"/>
    <cellStyle name="Normal 3 53" xfId="31380"/>
    <cellStyle name="Normal 3 53 2" xfId="31381"/>
    <cellStyle name="Normal 3 54" xfId="31382"/>
    <cellStyle name="Normal 3 54 2" xfId="31383"/>
    <cellStyle name="Normal 3 55" xfId="31384"/>
    <cellStyle name="Normal 3 55 2" xfId="31385"/>
    <cellStyle name="Normal 3 56" xfId="31386"/>
    <cellStyle name="Normal 3 56 2" xfId="31387"/>
    <cellStyle name="Normal 3 57" xfId="31388"/>
    <cellStyle name="Normal 3 57 2" xfId="31389"/>
    <cellStyle name="Normal 3 58" xfId="31390"/>
    <cellStyle name="Normal 3 58 2" xfId="31391"/>
    <cellStyle name="Normal 3 59" xfId="31392"/>
    <cellStyle name="Normal 3 59 2" xfId="31393"/>
    <cellStyle name="Normal 3 6" xfId="924"/>
    <cellStyle name="Normal 3 6 10" xfId="31394"/>
    <cellStyle name="Normal 3 6 10 2" xfId="31395"/>
    <cellStyle name="Normal 3 6 100" xfId="31396"/>
    <cellStyle name="Normal 3 6 101" xfId="31397"/>
    <cellStyle name="Normal 3 6 102" xfId="31398"/>
    <cellStyle name="Normal 3 6 103" xfId="31399"/>
    <cellStyle name="Normal 3 6 104" xfId="31400"/>
    <cellStyle name="Normal 3 6 105" xfId="31401"/>
    <cellStyle name="Normal 3 6 106" xfId="31402"/>
    <cellStyle name="Normal 3 6 107" xfId="31403"/>
    <cellStyle name="Normal 3 6 108" xfId="31404"/>
    <cellStyle name="Normal 3 6 109" xfId="31405"/>
    <cellStyle name="Normal 3 6 11" xfId="31406"/>
    <cellStyle name="Normal 3 6 11 2" xfId="31407"/>
    <cellStyle name="Normal 3 6 110" xfId="31408"/>
    <cellStyle name="Normal 3 6 111" xfId="31409"/>
    <cellStyle name="Normal 3 6 112" xfId="31410"/>
    <cellStyle name="Normal 3 6 113" xfId="31411"/>
    <cellStyle name="Normal 3 6 114" xfId="31412"/>
    <cellStyle name="Normal 3 6 115" xfId="31413"/>
    <cellStyle name="Normal 3 6 12" xfId="31414"/>
    <cellStyle name="Normal 3 6 12 2" xfId="31415"/>
    <cellStyle name="Normal 3 6 13" xfId="31416"/>
    <cellStyle name="Normal 3 6 13 2" xfId="31417"/>
    <cellStyle name="Normal 3 6 14" xfId="31418"/>
    <cellStyle name="Normal 3 6 14 2" xfId="31419"/>
    <cellStyle name="Normal 3 6 15" xfId="31420"/>
    <cellStyle name="Normal 3 6 15 2" xfId="31421"/>
    <cellStyle name="Normal 3 6 16" xfId="31422"/>
    <cellStyle name="Normal 3 6 16 2" xfId="31423"/>
    <cellStyle name="Normal 3 6 17" xfId="31424"/>
    <cellStyle name="Normal 3 6 17 2" xfId="31425"/>
    <cellStyle name="Normal 3 6 18" xfId="31426"/>
    <cellStyle name="Normal 3 6 18 2" xfId="31427"/>
    <cellStyle name="Normal 3 6 19" xfId="31428"/>
    <cellStyle name="Normal 3 6 19 2" xfId="31429"/>
    <cellStyle name="Normal 3 6 2" xfId="31430"/>
    <cellStyle name="Normal 3 6 2 2" xfId="31431"/>
    <cellStyle name="Normal 3 6 20" xfId="31432"/>
    <cellStyle name="Normal 3 6 20 2" xfId="31433"/>
    <cellStyle name="Normal 3 6 21" xfId="31434"/>
    <cellStyle name="Normal 3 6 21 2" xfId="31435"/>
    <cellStyle name="Normal 3 6 22" xfId="31436"/>
    <cellStyle name="Normal 3 6 22 2" xfId="31437"/>
    <cellStyle name="Normal 3 6 23" xfId="31438"/>
    <cellStyle name="Normal 3 6 23 2" xfId="31439"/>
    <cellStyle name="Normal 3 6 24" xfId="31440"/>
    <cellStyle name="Normal 3 6 24 2" xfId="31441"/>
    <cellStyle name="Normal 3 6 25" xfId="31442"/>
    <cellStyle name="Normal 3 6 25 2" xfId="31443"/>
    <cellStyle name="Normal 3 6 26" xfId="31444"/>
    <cellStyle name="Normal 3 6 26 2" xfId="31445"/>
    <cellStyle name="Normal 3 6 27" xfId="31446"/>
    <cellStyle name="Normal 3 6 27 2" xfId="31447"/>
    <cellStyle name="Normal 3 6 28" xfId="31448"/>
    <cellStyle name="Normal 3 6 28 2" xfId="31449"/>
    <cellStyle name="Normal 3 6 29" xfId="31450"/>
    <cellStyle name="Normal 3 6 29 2" xfId="31451"/>
    <cellStyle name="Normal 3 6 3" xfId="31452"/>
    <cellStyle name="Normal 3 6 3 2" xfId="31453"/>
    <cellStyle name="Normal 3 6 30" xfId="31454"/>
    <cellStyle name="Normal 3 6 30 2" xfId="31455"/>
    <cellStyle name="Normal 3 6 31" xfId="31456"/>
    <cellStyle name="Normal 3 6 31 2" xfId="31457"/>
    <cellStyle name="Normal 3 6 32" xfId="31458"/>
    <cellStyle name="Normal 3 6 32 2" xfId="31459"/>
    <cellStyle name="Normal 3 6 33" xfId="31460"/>
    <cellStyle name="Normal 3 6 33 2" xfId="31461"/>
    <cellStyle name="Normal 3 6 34" xfId="31462"/>
    <cellStyle name="Normal 3 6 34 2" xfId="31463"/>
    <cellStyle name="Normal 3 6 35" xfId="31464"/>
    <cellStyle name="Normal 3 6 35 2" xfId="31465"/>
    <cellStyle name="Normal 3 6 36" xfId="31466"/>
    <cellStyle name="Normal 3 6 36 2" xfId="31467"/>
    <cellStyle name="Normal 3 6 37" xfId="31468"/>
    <cellStyle name="Normal 3 6 37 2" xfId="31469"/>
    <cellStyle name="Normal 3 6 38" xfId="31470"/>
    <cellStyle name="Normal 3 6 38 2" xfId="31471"/>
    <cellStyle name="Normal 3 6 39" xfId="31472"/>
    <cellStyle name="Normal 3 6 39 2" xfId="31473"/>
    <cellStyle name="Normal 3 6 4" xfId="31474"/>
    <cellStyle name="Normal 3 6 4 2" xfId="31475"/>
    <cellStyle name="Normal 3 6 40" xfId="31476"/>
    <cellStyle name="Normal 3 6 40 2" xfId="31477"/>
    <cellStyle name="Normal 3 6 41" xfId="31478"/>
    <cellStyle name="Normal 3 6 41 2" xfId="31479"/>
    <cellStyle name="Normal 3 6 42" xfId="31480"/>
    <cellStyle name="Normal 3 6 42 2" xfId="31481"/>
    <cellStyle name="Normal 3 6 43" xfId="31482"/>
    <cellStyle name="Normal 3 6 43 2" xfId="31483"/>
    <cellStyle name="Normal 3 6 44" xfId="31484"/>
    <cellStyle name="Normal 3 6 44 2" xfId="31485"/>
    <cellStyle name="Normal 3 6 45" xfId="31486"/>
    <cellStyle name="Normal 3 6 45 2" xfId="31487"/>
    <cellStyle name="Normal 3 6 46" xfId="31488"/>
    <cellStyle name="Normal 3 6 46 2" xfId="31489"/>
    <cellStyle name="Normal 3 6 47" xfId="31490"/>
    <cellStyle name="Normal 3 6 47 2" xfId="31491"/>
    <cellStyle name="Normal 3 6 48" xfId="31492"/>
    <cellStyle name="Normal 3 6 48 2" xfId="31493"/>
    <cellStyle name="Normal 3 6 49" xfId="31494"/>
    <cellStyle name="Normal 3 6 49 2" xfId="31495"/>
    <cellStyle name="Normal 3 6 5" xfId="31496"/>
    <cellStyle name="Normal 3 6 5 2" xfId="31497"/>
    <cellStyle name="Normal 3 6 50" xfId="31498"/>
    <cellStyle name="Normal 3 6 51" xfId="31499"/>
    <cellStyle name="Normal 3 6 52" xfId="31500"/>
    <cellStyle name="Normal 3 6 53" xfId="31501"/>
    <cellStyle name="Normal 3 6 54" xfId="31502"/>
    <cellStyle name="Normal 3 6 55" xfId="31503"/>
    <cellStyle name="Normal 3 6 56" xfId="31504"/>
    <cellStyle name="Normal 3 6 57" xfId="31505"/>
    <cellStyle name="Normal 3 6 58" xfId="31506"/>
    <cellStyle name="Normal 3 6 59" xfId="31507"/>
    <cellStyle name="Normal 3 6 6" xfId="31508"/>
    <cellStyle name="Normal 3 6 6 2" xfId="31509"/>
    <cellStyle name="Normal 3 6 60" xfId="31510"/>
    <cellStyle name="Normal 3 6 61" xfId="31511"/>
    <cellStyle name="Normal 3 6 62" xfId="31512"/>
    <cellStyle name="Normal 3 6 63" xfId="31513"/>
    <cellStyle name="Normal 3 6 64" xfId="31514"/>
    <cellStyle name="Normal 3 6 65" xfId="31515"/>
    <cellStyle name="Normal 3 6 66" xfId="31516"/>
    <cellStyle name="Normal 3 6 67" xfId="31517"/>
    <cellStyle name="Normal 3 6 68" xfId="31518"/>
    <cellStyle name="Normal 3 6 69" xfId="31519"/>
    <cellStyle name="Normal 3 6 7" xfId="31520"/>
    <cellStyle name="Normal 3 6 7 2" xfId="31521"/>
    <cellStyle name="Normal 3 6 70" xfId="31522"/>
    <cellStyle name="Normal 3 6 71" xfId="31523"/>
    <cellStyle name="Normal 3 6 72" xfId="31524"/>
    <cellStyle name="Normal 3 6 73" xfId="31525"/>
    <cellStyle name="Normal 3 6 74" xfId="31526"/>
    <cellStyle name="Normal 3 6 75" xfId="31527"/>
    <cellStyle name="Normal 3 6 76" xfId="31528"/>
    <cellStyle name="Normal 3 6 77" xfId="31529"/>
    <cellStyle name="Normal 3 6 78" xfId="31530"/>
    <cellStyle name="Normal 3 6 79" xfId="31531"/>
    <cellStyle name="Normal 3 6 8" xfId="31532"/>
    <cellStyle name="Normal 3 6 8 2" xfId="31533"/>
    <cellStyle name="Normal 3 6 80" xfId="31534"/>
    <cellStyle name="Normal 3 6 81" xfId="31535"/>
    <cellStyle name="Normal 3 6 82" xfId="31536"/>
    <cellStyle name="Normal 3 6 83" xfId="31537"/>
    <cellStyle name="Normal 3 6 84" xfId="31538"/>
    <cellStyle name="Normal 3 6 85" xfId="31539"/>
    <cellStyle name="Normal 3 6 86" xfId="31540"/>
    <cellStyle name="Normal 3 6 87" xfId="31541"/>
    <cellStyle name="Normal 3 6 88" xfId="31542"/>
    <cellStyle name="Normal 3 6 89" xfId="31543"/>
    <cellStyle name="Normal 3 6 9" xfId="31544"/>
    <cellStyle name="Normal 3 6 9 2" xfId="31545"/>
    <cellStyle name="Normal 3 6 90" xfId="31546"/>
    <cellStyle name="Normal 3 6 91" xfId="31547"/>
    <cellStyle name="Normal 3 6 92" xfId="31548"/>
    <cellStyle name="Normal 3 6 93" xfId="31549"/>
    <cellStyle name="Normal 3 6 94" xfId="31550"/>
    <cellStyle name="Normal 3 6 95" xfId="31551"/>
    <cellStyle name="Normal 3 6 96" xfId="31552"/>
    <cellStyle name="Normal 3 6 97" xfId="31553"/>
    <cellStyle name="Normal 3 6 98" xfId="31554"/>
    <cellStyle name="Normal 3 6 99" xfId="31555"/>
    <cellStyle name="Normal 3 60" xfId="31556"/>
    <cellStyle name="Normal 3 60 2" xfId="31557"/>
    <cellStyle name="Normal 3 61" xfId="31558"/>
    <cellStyle name="Normal 3 61 2" xfId="31559"/>
    <cellStyle name="Normal 3 62" xfId="31560"/>
    <cellStyle name="Normal 3 62 2" xfId="31561"/>
    <cellStyle name="Normal 3 63" xfId="31562"/>
    <cellStyle name="Normal 3 63 2" xfId="31563"/>
    <cellStyle name="Normal 3 64" xfId="31564"/>
    <cellStyle name="Normal 3 64 2" xfId="31565"/>
    <cellStyle name="Normal 3 65" xfId="31566"/>
    <cellStyle name="Normal 3 65 2" xfId="31567"/>
    <cellStyle name="Normal 3 66" xfId="31568"/>
    <cellStyle name="Normal 3 66 2" xfId="31569"/>
    <cellStyle name="Normal 3 67" xfId="31570"/>
    <cellStyle name="Normal 3 67 2" xfId="31571"/>
    <cellStyle name="Normal 3 68" xfId="31572"/>
    <cellStyle name="Normal 3 68 2" xfId="31573"/>
    <cellStyle name="Normal 3 69" xfId="31574"/>
    <cellStyle name="Normal 3 69 2" xfId="31575"/>
    <cellStyle name="Normal 3 7" xfId="1361"/>
    <cellStyle name="Normal 3 7 2" xfId="31576"/>
    <cellStyle name="Normal 3 7 3" xfId="31577"/>
    <cellStyle name="Normal 3 70" xfId="31578"/>
    <cellStyle name="Normal 3 70 2" xfId="31579"/>
    <cellStyle name="Normal 3 71" xfId="31580"/>
    <cellStyle name="Normal 3 71 2" xfId="31581"/>
    <cellStyle name="Normal 3 72" xfId="31582"/>
    <cellStyle name="Normal 3 72 2" xfId="31583"/>
    <cellStyle name="Normal 3 73" xfId="31584"/>
    <cellStyle name="Normal 3 73 2" xfId="31585"/>
    <cellStyle name="Normal 3 74" xfId="31586"/>
    <cellStyle name="Normal 3 74 2" xfId="31587"/>
    <cellStyle name="Normal 3 75" xfId="31588"/>
    <cellStyle name="Normal 3 75 2" xfId="31589"/>
    <cellStyle name="Normal 3 76" xfId="31590"/>
    <cellStyle name="Normal 3 76 2" xfId="31591"/>
    <cellStyle name="Normal 3 77" xfId="31592"/>
    <cellStyle name="Normal 3 77 2" xfId="31593"/>
    <cellStyle name="Normal 3 78" xfId="31594"/>
    <cellStyle name="Normal 3 78 2" xfId="31595"/>
    <cellStyle name="Normal 3 79" xfId="31596"/>
    <cellStyle name="Normal 3 79 2" xfId="31597"/>
    <cellStyle name="Normal 3 8" xfId="1676"/>
    <cellStyle name="Normal 3 8 2" xfId="31598"/>
    <cellStyle name="Normal 3 8 3" xfId="31599"/>
    <cellStyle name="Normal 3 80" xfId="31600"/>
    <cellStyle name="Normal 3 80 2" xfId="31601"/>
    <cellStyle name="Normal 3 81" xfId="31602"/>
    <cellStyle name="Normal 3 81 2" xfId="31603"/>
    <cellStyle name="Normal 3 82" xfId="31604"/>
    <cellStyle name="Normal 3 82 2" xfId="31605"/>
    <cellStyle name="Normal 3 83" xfId="31606"/>
    <cellStyle name="Normal 3 83 2" xfId="31607"/>
    <cellStyle name="Normal 3 84" xfId="31608"/>
    <cellStyle name="Normal 3 84 2" xfId="31609"/>
    <cellStyle name="Normal 3 85" xfId="31610"/>
    <cellStyle name="Normal 3 85 2" xfId="31611"/>
    <cellStyle name="Normal 3 86" xfId="31612"/>
    <cellStyle name="Normal 3 86 2" xfId="31613"/>
    <cellStyle name="Normal 3 87" xfId="31614"/>
    <cellStyle name="Normal 3 87 2" xfId="31615"/>
    <cellStyle name="Normal 3 88" xfId="31616"/>
    <cellStyle name="Normal 3 88 2" xfId="31617"/>
    <cellStyle name="Normal 3 89" xfId="31618"/>
    <cellStyle name="Normal 3 89 2" xfId="31619"/>
    <cellStyle name="Normal 3 9" xfId="1773"/>
    <cellStyle name="Normal 3 9 2" xfId="31620"/>
    <cellStyle name="Normal 3 9 3" xfId="31621"/>
    <cellStyle name="Normal 3 90" xfId="31622"/>
    <cellStyle name="Normal 3 90 2" xfId="31623"/>
    <cellStyle name="Normal 3 91" xfId="31624"/>
    <cellStyle name="Normal 3 91 2" xfId="31625"/>
    <cellStyle name="Normal 3 92" xfId="31626"/>
    <cellStyle name="Normal 3 92 2" xfId="31627"/>
    <cellStyle name="Normal 3 93" xfId="31628"/>
    <cellStyle name="Normal 3 93 2" xfId="31629"/>
    <cellStyle name="Normal 3 94" xfId="31630"/>
    <cellStyle name="Normal 3 94 2" xfId="31631"/>
    <cellStyle name="Normal 3 95" xfId="31632"/>
    <cellStyle name="Normal 3 95 2" xfId="31633"/>
    <cellStyle name="Normal 3 96" xfId="31634"/>
    <cellStyle name="Normal 3 97" xfId="31635"/>
    <cellStyle name="Normal 3 98" xfId="31636"/>
    <cellStyle name="Normal 3 99" xfId="31637"/>
    <cellStyle name="Normal 30" xfId="487"/>
    <cellStyle name="Normal 30 10" xfId="31638"/>
    <cellStyle name="Normal 30 10 2" xfId="31639"/>
    <cellStyle name="Normal 30 100" xfId="31640"/>
    <cellStyle name="Normal 30 101" xfId="31641"/>
    <cellStyle name="Normal 30 102" xfId="31642"/>
    <cellStyle name="Normal 30 103" xfId="31643"/>
    <cellStyle name="Normal 30 104" xfId="31644"/>
    <cellStyle name="Normal 30 105" xfId="31645"/>
    <cellStyle name="Normal 30 106" xfId="31646"/>
    <cellStyle name="Normal 30 107" xfId="31647"/>
    <cellStyle name="Normal 30 108" xfId="31648"/>
    <cellStyle name="Normal 30 109" xfId="31649"/>
    <cellStyle name="Normal 30 11" xfId="31650"/>
    <cellStyle name="Normal 30 11 2" xfId="31651"/>
    <cellStyle name="Normal 30 110" xfId="31652"/>
    <cellStyle name="Normal 30 12" xfId="31653"/>
    <cellStyle name="Normal 30 12 2" xfId="31654"/>
    <cellStyle name="Normal 30 13" xfId="31655"/>
    <cellStyle name="Normal 30 13 2" xfId="31656"/>
    <cellStyle name="Normal 30 14" xfId="31657"/>
    <cellStyle name="Normal 30 14 2" xfId="31658"/>
    <cellStyle name="Normal 30 15" xfId="31659"/>
    <cellStyle name="Normal 30 15 2" xfId="31660"/>
    <cellStyle name="Normal 30 16" xfId="31661"/>
    <cellStyle name="Normal 30 16 2" xfId="31662"/>
    <cellStyle name="Normal 30 17" xfId="31663"/>
    <cellStyle name="Normal 30 17 2" xfId="31664"/>
    <cellStyle name="Normal 30 18" xfId="31665"/>
    <cellStyle name="Normal 30 18 2" xfId="31666"/>
    <cellStyle name="Normal 30 19" xfId="31667"/>
    <cellStyle name="Normal 30 19 2" xfId="31668"/>
    <cellStyle name="Normal 30 2" xfId="1292"/>
    <cellStyle name="Normal 30 2 2" xfId="31669"/>
    <cellStyle name="Normal 30 2 3" xfId="31670"/>
    <cellStyle name="Normal 30 20" xfId="31671"/>
    <cellStyle name="Normal 30 20 2" xfId="31672"/>
    <cellStyle name="Normal 30 21" xfId="31673"/>
    <cellStyle name="Normal 30 21 2" xfId="31674"/>
    <cellStyle name="Normal 30 22" xfId="31675"/>
    <cellStyle name="Normal 30 22 2" xfId="31676"/>
    <cellStyle name="Normal 30 23" xfId="31677"/>
    <cellStyle name="Normal 30 23 2" xfId="31678"/>
    <cellStyle name="Normal 30 24" xfId="31679"/>
    <cellStyle name="Normal 30 24 2" xfId="31680"/>
    <cellStyle name="Normal 30 25" xfId="31681"/>
    <cellStyle name="Normal 30 25 2" xfId="31682"/>
    <cellStyle name="Normal 30 26" xfId="31683"/>
    <cellStyle name="Normal 30 26 2" xfId="31684"/>
    <cellStyle name="Normal 30 27" xfId="31685"/>
    <cellStyle name="Normal 30 27 2" xfId="31686"/>
    <cellStyle name="Normal 30 28" xfId="31687"/>
    <cellStyle name="Normal 30 28 2" xfId="31688"/>
    <cellStyle name="Normal 30 29" xfId="31689"/>
    <cellStyle name="Normal 30 29 2" xfId="31690"/>
    <cellStyle name="Normal 30 3" xfId="1678"/>
    <cellStyle name="Normal 30 3 2" xfId="31691"/>
    <cellStyle name="Normal 30 3 3" xfId="31692"/>
    <cellStyle name="Normal 30 30" xfId="31693"/>
    <cellStyle name="Normal 30 30 2" xfId="31694"/>
    <cellStyle name="Normal 30 31" xfId="31695"/>
    <cellStyle name="Normal 30 31 2" xfId="31696"/>
    <cellStyle name="Normal 30 32" xfId="31697"/>
    <cellStyle name="Normal 30 32 2" xfId="31698"/>
    <cellStyle name="Normal 30 33" xfId="31699"/>
    <cellStyle name="Normal 30 33 2" xfId="31700"/>
    <cellStyle name="Normal 30 34" xfId="31701"/>
    <cellStyle name="Normal 30 34 2" xfId="31702"/>
    <cellStyle name="Normal 30 35" xfId="31703"/>
    <cellStyle name="Normal 30 35 2" xfId="31704"/>
    <cellStyle name="Normal 30 36" xfId="31705"/>
    <cellStyle name="Normal 30 36 2" xfId="31706"/>
    <cellStyle name="Normal 30 37" xfId="31707"/>
    <cellStyle name="Normal 30 37 2" xfId="31708"/>
    <cellStyle name="Normal 30 38" xfId="31709"/>
    <cellStyle name="Normal 30 38 2" xfId="31710"/>
    <cellStyle name="Normal 30 39" xfId="31711"/>
    <cellStyle name="Normal 30 39 2" xfId="31712"/>
    <cellStyle name="Normal 30 4" xfId="31713"/>
    <cellStyle name="Normal 30 4 2" xfId="31714"/>
    <cellStyle name="Normal 30 40" xfId="31715"/>
    <cellStyle name="Normal 30 40 2" xfId="31716"/>
    <cellStyle name="Normal 30 41" xfId="31717"/>
    <cellStyle name="Normal 30 41 2" xfId="31718"/>
    <cellStyle name="Normal 30 42" xfId="31719"/>
    <cellStyle name="Normal 30 42 2" xfId="31720"/>
    <cellStyle name="Normal 30 43" xfId="31721"/>
    <cellStyle name="Normal 30 43 2" xfId="31722"/>
    <cellStyle name="Normal 30 44" xfId="31723"/>
    <cellStyle name="Normal 30 44 2" xfId="31724"/>
    <cellStyle name="Normal 30 45" xfId="31725"/>
    <cellStyle name="Normal 30 46" xfId="31726"/>
    <cellStyle name="Normal 30 47" xfId="31727"/>
    <cellStyle name="Normal 30 48" xfId="31728"/>
    <cellStyle name="Normal 30 49" xfId="31729"/>
    <cellStyle name="Normal 30 5" xfId="31730"/>
    <cellStyle name="Normal 30 5 2" xfId="31731"/>
    <cellStyle name="Normal 30 50" xfId="31732"/>
    <cellStyle name="Normal 30 51" xfId="31733"/>
    <cellStyle name="Normal 30 52" xfId="31734"/>
    <cellStyle name="Normal 30 53" xfId="31735"/>
    <cellStyle name="Normal 30 54" xfId="31736"/>
    <cellStyle name="Normal 30 55" xfId="31737"/>
    <cellStyle name="Normal 30 56" xfId="31738"/>
    <cellStyle name="Normal 30 57" xfId="31739"/>
    <cellStyle name="Normal 30 58" xfId="31740"/>
    <cellStyle name="Normal 30 59" xfId="31741"/>
    <cellStyle name="Normal 30 6" xfId="31742"/>
    <cellStyle name="Normal 30 6 2" xfId="31743"/>
    <cellStyle name="Normal 30 60" xfId="31744"/>
    <cellStyle name="Normal 30 61" xfId="31745"/>
    <cellStyle name="Normal 30 62" xfId="31746"/>
    <cellStyle name="Normal 30 63" xfId="31747"/>
    <cellStyle name="Normal 30 64" xfId="31748"/>
    <cellStyle name="Normal 30 65" xfId="31749"/>
    <cellStyle name="Normal 30 66" xfId="31750"/>
    <cellStyle name="Normal 30 67" xfId="31751"/>
    <cellStyle name="Normal 30 68" xfId="31752"/>
    <cellStyle name="Normal 30 69" xfId="31753"/>
    <cellStyle name="Normal 30 7" xfId="31754"/>
    <cellStyle name="Normal 30 7 2" xfId="31755"/>
    <cellStyle name="Normal 30 70" xfId="31756"/>
    <cellStyle name="Normal 30 71" xfId="31757"/>
    <cellStyle name="Normal 30 72" xfId="31758"/>
    <cellStyle name="Normal 30 73" xfId="31759"/>
    <cellStyle name="Normal 30 74" xfId="31760"/>
    <cellStyle name="Normal 30 75" xfId="31761"/>
    <cellStyle name="Normal 30 76" xfId="31762"/>
    <cellStyle name="Normal 30 77" xfId="31763"/>
    <cellStyle name="Normal 30 78" xfId="31764"/>
    <cellStyle name="Normal 30 79" xfId="31765"/>
    <cellStyle name="Normal 30 8" xfId="31766"/>
    <cellStyle name="Normal 30 8 2" xfId="31767"/>
    <cellStyle name="Normal 30 80" xfId="31768"/>
    <cellStyle name="Normal 30 81" xfId="31769"/>
    <cellStyle name="Normal 30 82" xfId="31770"/>
    <cellStyle name="Normal 30 83" xfId="31771"/>
    <cellStyle name="Normal 30 84" xfId="31772"/>
    <cellStyle name="Normal 30 85" xfId="31773"/>
    <cellStyle name="Normal 30 86" xfId="31774"/>
    <cellStyle name="Normal 30 87" xfId="31775"/>
    <cellStyle name="Normal 30 88" xfId="31776"/>
    <cellStyle name="Normal 30 89" xfId="31777"/>
    <cellStyle name="Normal 30 9" xfId="31778"/>
    <cellStyle name="Normal 30 9 2" xfId="31779"/>
    <cellStyle name="Normal 30 90" xfId="31780"/>
    <cellStyle name="Normal 30 91" xfId="31781"/>
    <cellStyle name="Normal 30 92" xfId="31782"/>
    <cellStyle name="Normal 30 93" xfId="31783"/>
    <cellStyle name="Normal 30 94" xfId="31784"/>
    <cellStyle name="Normal 30 95" xfId="31785"/>
    <cellStyle name="Normal 30 96" xfId="31786"/>
    <cellStyle name="Normal 30 97" xfId="31787"/>
    <cellStyle name="Normal 30 98" xfId="31788"/>
    <cellStyle name="Normal 30 99" xfId="31789"/>
    <cellStyle name="Normal 300" xfId="1415"/>
    <cellStyle name="Normal 301" xfId="1766"/>
    <cellStyle name="Normal 302" xfId="1410"/>
    <cellStyle name="Normal 303" xfId="1412"/>
    <cellStyle name="Normal 304" xfId="1411"/>
    <cellStyle name="Normal 305" xfId="1414"/>
    <cellStyle name="Normal 306" xfId="1768"/>
    <cellStyle name="Normal 307" xfId="1413"/>
    <cellStyle name="Normal 308" xfId="1416"/>
    <cellStyle name="Normal 309" xfId="1767"/>
    <cellStyle name="Normal 31" xfId="452"/>
    <cellStyle name="Normal 31 10" xfId="31790"/>
    <cellStyle name="Normal 31 10 2" xfId="31791"/>
    <cellStyle name="Normal 31 100" xfId="31792"/>
    <cellStyle name="Normal 31 101" xfId="31793"/>
    <cellStyle name="Normal 31 102" xfId="31794"/>
    <cellStyle name="Normal 31 103" xfId="31795"/>
    <cellStyle name="Normal 31 104" xfId="31796"/>
    <cellStyle name="Normal 31 105" xfId="31797"/>
    <cellStyle name="Normal 31 106" xfId="31798"/>
    <cellStyle name="Normal 31 107" xfId="31799"/>
    <cellStyle name="Normal 31 108" xfId="31800"/>
    <cellStyle name="Normal 31 109" xfId="31801"/>
    <cellStyle name="Normal 31 11" xfId="31802"/>
    <cellStyle name="Normal 31 11 2" xfId="31803"/>
    <cellStyle name="Normal 31 12" xfId="31804"/>
    <cellStyle name="Normal 31 12 2" xfId="31805"/>
    <cellStyle name="Normal 31 13" xfId="31806"/>
    <cellStyle name="Normal 31 13 2" xfId="31807"/>
    <cellStyle name="Normal 31 14" xfId="31808"/>
    <cellStyle name="Normal 31 14 2" xfId="31809"/>
    <cellStyle name="Normal 31 15" xfId="31810"/>
    <cellStyle name="Normal 31 15 2" xfId="31811"/>
    <cellStyle name="Normal 31 16" xfId="31812"/>
    <cellStyle name="Normal 31 16 2" xfId="31813"/>
    <cellStyle name="Normal 31 17" xfId="31814"/>
    <cellStyle name="Normal 31 17 2" xfId="31815"/>
    <cellStyle name="Normal 31 18" xfId="31816"/>
    <cellStyle name="Normal 31 18 2" xfId="31817"/>
    <cellStyle name="Normal 31 19" xfId="31818"/>
    <cellStyle name="Normal 31 19 2" xfId="31819"/>
    <cellStyle name="Normal 31 2" xfId="1261"/>
    <cellStyle name="Normal 31 2 2" xfId="31820"/>
    <cellStyle name="Normal 31 2 3" xfId="31821"/>
    <cellStyle name="Normal 31 20" xfId="31822"/>
    <cellStyle name="Normal 31 20 2" xfId="31823"/>
    <cellStyle name="Normal 31 21" xfId="31824"/>
    <cellStyle name="Normal 31 21 2" xfId="31825"/>
    <cellStyle name="Normal 31 22" xfId="31826"/>
    <cellStyle name="Normal 31 22 2" xfId="31827"/>
    <cellStyle name="Normal 31 23" xfId="31828"/>
    <cellStyle name="Normal 31 23 2" xfId="31829"/>
    <cellStyle name="Normal 31 24" xfId="31830"/>
    <cellStyle name="Normal 31 24 2" xfId="31831"/>
    <cellStyle name="Normal 31 25" xfId="31832"/>
    <cellStyle name="Normal 31 25 2" xfId="31833"/>
    <cellStyle name="Normal 31 26" xfId="31834"/>
    <cellStyle name="Normal 31 26 2" xfId="31835"/>
    <cellStyle name="Normal 31 27" xfId="31836"/>
    <cellStyle name="Normal 31 27 2" xfId="31837"/>
    <cellStyle name="Normal 31 28" xfId="31838"/>
    <cellStyle name="Normal 31 28 2" xfId="31839"/>
    <cellStyle name="Normal 31 29" xfId="31840"/>
    <cellStyle name="Normal 31 29 2" xfId="31841"/>
    <cellStyle name="Normal 31 3" xfId="31842"/>
    <cellStyle name="Normal 31 3 2" xfId="31843"/>
    <cellStyle name="Normal 31 30" xfId="31844"/>
    <cellStyle name="Normal 31 30 2" xfId="31845"/>
    <cellStyle name="Normal 31 31" xfId="31846"/>
    <cellStyle name="Normal 31 31 2" xfId="31847"/>
    <cellStyle name="Normal 31 32" xfId="31848"/>
    <cellStyle name="Normal 31 32 2" xfId="31849"/>
    <cellStyle name="Normal 31 33" xfId="31850"/>
    <cellStyle name="Normal 31 33 2" xfId="31851"/>
    <cellStyle name="Normal 31 34" xfId="31852"/>
    <cellStyle name="Normal 31 34 2" xfId="31853"/>
    <cellStyle name="Normal 31 35" xfId="31854"/>
    <cellStyle name="Normal 31 35 2" xfId="31855"/>
    <cellStyle name="Normal 31 36" xfId="31856"/>
    <cellStyle name="Normal 31 36 2" xfId="31857"/>
    <cellStyle name="Normal 31 37" xfId="31858"/>
    <cellStyle name="Normal 31 37 2" xfId="31859"/>
    <cellStyle name="Normal 31 38" xfId="31860"/>
    <cellStyle name="Normal 31 38 2" xfId="31861"/>
    <cellStyle name="Normal 31 39" xfId="31862"/>
    <cellStyle name="Normal 31 39 2" xfId="31863"/>
    <cellStyle name="Normal 31 4" xfId="31864"/>
    <cellStyle name="Normal 31 4 2" xfId="31865"/>
    <cellStyle name="Normal 31 40" xfId="31866"/>
    <cellStyle name="Normal 31 40 2" xfId="31867"/>
    <cellStyle name="Normal 31 41" xfId="31868"/>
    <cellStyle name="Normal 31 41 2" xfId="31869"/>
    <cellStyle name="Normal 31 42" xfId="31870"/>
    <cellStyle name="Normal 31 42 2" xfId="31871"/>
    <cellStyle name="Normal 31 43" xfId="31872"/>
    <cellStyle name="Normal 31 43 2" xfId="31873"/>
    <cellStyle name="Normal 31 44" xfId="31874"/>
    <cellStyle name="Normal 31 44 2" xfId="31875"/>
    <cellStyle name="Normal 31 45" xfId="31876"/>
    <cellStyle name="Normal 31 46" xfId="31877"/>
    <cellStyle name="Normal 31 47" xfId="31878"/>
    <cellStyle name="Normal 31 48" xfId="31879"/>
    <cellStyle name="Normal 31 49" xfId="31880"/>
    <cellStyle name="Normal 31 5" xfId="31881"/>
    <cellStyle name="Normal 31 5 2" xfId="31882"/>
    <cellStyle name="Normal 31 50" xfId="31883"/>
    <cellStyle name="Normal 31 51" xfId="31884"/>
    <cellStyle name="Normal 31 52" xfId="31885"/>
    <cellStyle name="Normal 31 53" xfId="31886"/>
    <cellStyle name="Normal 31 54" xfId="31887"/>
    <cellStyle name="Normal 31 55" xfId="31888"/>
    <cellStyle name="Normal 31 56" xfId="31889"/>
    <cellStyle name="Normal 31 57" xfId="31890"/>
    <cellStyle name="Normal 31 58" xfId="31891"/>
    <cellStyle name="Normal 31 59" xfId="31892"/>
    <cellStyle name="Normal 31 6" xfId="31893"/>
    <cellStyle name="Normal 31 6 2" xfId="31894"/>
    <cellStyle name="Normal 31 60" xfId="31895"/>
    <cellStyle name="Normal 31 61" xfId="31896"/>
    <cellStyle name="Normal 31 62" xfId="31897"/>
    <cellStyle name="Normal 31 63" xfId="31898"/>
    <cellStyle name="Normal 31 64" xfId="31899"/>
    <cellStyle name="Normal 31 65" xfId="31900"/>
    <cellStyle name="Normal 31 66" xfId="31901"/>
    <cellStyle name="Normal 31 67" xfId="31902"/>
    <cellStyle name="Normal 31 68" xfId="31903"/>
    <cellStyle name="Normal 31 69" xfId="31904"/>
    <cellStyle name="Normal 31 7" xfId="31905"/>
    <cellStyle name="Normal 31 7 2" xfId="31906"/>
    <cellStyle name="Normal 31 70" xfId="31907"/>
    <cellStyle name="Normal 31 71" xfId="31908"/>
    <cellStyle name="Normal 31 72" xfId="31909"/>
    <cellStyle name="Normal 31 73" xfId="31910"/>
    <cellStyle name="Normal 31 74" xfId="31911"/>
    <cellStyle name="Normal 31 75" xfId="31912"/>
    <cellStyle name="Normal 31 76" xfId="31913"/>
    <cellStyle name="Normal 31 77" xfId="31914"/>
    <cellStyle name="Normal 31 78" xfId="31915"/>
    <cellStyle name="Normal 31 79" xfId="31916"/>
    <cellStyle name="Normal 31 8" xfId="31917"/>
    <cellStyle name="Normal 31 8 2" xfId="31918"/>
    <cellStyle name="Normal 31 80" xfId="31919"/>
    <cellStyle name="Normal 31 81" xfId="31920"/>
    <cellStyle name="Normal 31 82" xfId="31921"/>
    <cellStyle name="Normal 31 83" xfId="31922"/>
    <cellStyle name="Normal 31 84" xfId="31923"/>
    <cellStyle name="Normal 31 85" xfId="31924"/>
    <cellStyle name="Normal 31 86" xfId="31925"/>
    <cellStyle name="Normal 31 87" xfId="31926"/>
    <cellStyle name="Normal 31 88" xfId="31927"/>
    <cellStyle name="Normal 31 89" xfId="31928"/>
    <cellStyle name="Normal 31 9" xfId="31929"/>
    <cellStyle name="Normal 31 9 2" xfId="31930"/>
    <cellStyle name="Normal 31 90" xfId="31931"/>
    <cellStyle name="Normal 31 91" xfId="31932"/>
    <cellStyle name="Normal 31 92" xfId="31933"/>
    <cellStyle name="Normal 31 93" xfId="31934"/>
    <cellStyle name="Normal 31 94" xfId="31935"/>
    <cellStyle name="Normal 31 95" xfId="31936"/>
    <cellStyle name="Normal 31 96" xfId="31937"/>
    <cellStyle name="Normal 31 97" xfId="31938"/>
    <cellStyle name="Normal 31 98" xfId="31939"/>
    <cellStyle name="Normal 31 99" xfId="31940"/>
    <cellStyle name="Normal 310" xfId="1417"/>
    <cellStyle name="Normal 311" xfId="1418"/>
    <cellStyle name="Normal 312" xfId="1419"/>
    <cellStyle name="Normal 313" xfId="1422"/>
    <cellStyle name="Normal 314" xfId="1769"/>
    <cellStyle name="Normal 315" xfId="1770"/>
    <cellStyle name="Normal 316" xfId="1772"/>
    <cellStyle name="Normal 317" xfId="1792"/>
    <cellStyle name="Normal 318" xfId="1420"/>
    <cellStyle name="Normal 319" xfId="1421"/>
    <cellStyle name="Normal 32" xfId="480"/>
    <cellStyle name="Normal 32 10" xfId="31941"/>
    <cellStyle name="Normal 32 10 2" xfId="31942"/>
    <cellStyle name="Normal 32 100" xfId="31943"/>
    <cellStyle name="Normal 32 101" xfId="31944"/>
    <cellStyle name="Normal 32 102" xfId="31945"/>
    <cellStyle name="Normal 32 103" xfId="31946"/>
    <cellStyle name="Normal 32 104" xfId="31947"/>
    <cellStyle name="Normal 32 105" xfId="31948"/>
    <cellStyle name="Normal 32 106" xfId="31949"/>
    <cellStyle name="Normal 32 107" xfId="31950"/>
    <cellStyle name="Normal 32 108" xfId="31951"/>
    <cellStyle name="Normal 32 109" xfId="31952"/>
    <cellStyle name="Normal 32 11" xfId="31953"/>
    <cellStyle name="Normal 32 11 2" xfId="31954"/>
    <cellStyle name="Normal 32 12" xfId="31955"/>
    <cellStyle name="Normal 32 12 2" xfId="31956"/>
    <cellStyle name="Normal 32 13" xfId="31957"/>
    <cellStyle name="Normal 32 13 2" xfId="31958"/>
    <cellStyle name="Normal 32 14" xfId="31959"/>
    <cellStyle name="Normal 32 14 2" xfId="31960"/>
    <cellStyle name="Normal 32 15" xfId="31961"/>
    <cellStyle name="Normal 32 15 2" xfId="31962"/>
    <cellStyle name="Normal 32 16" xfId="31963"/>
    <cellStyle name="Normal 32 16 2" xfId="31964"/>
    <cellStyle name="Normal 32 17" xfId="31965"/>
    <cellStyle name="Normal 32 17 2" xfId="31966"/>
    <cellStyle name="Normal 32 18" xfId="31967"/>
    <cellStyle name="Normal 32 18 2" xfId="31968"/>
    <cellStyle name="Normal 32 19" xfId="31969"/>
    <cellStyle name="Normal 32 19 2" xfId="31970"/>
    <cellStyle name="Normal 32 2" xfId="1285"/>
    <cellStyle name="Normal 32 2 2" xfId="31971"/>
    <cellStyle name="Normal 32 2 3" xfId="31972"/>
    <cellStyle name="Normal 32 20" xfId="31973"/>
    <cellStyle name="Normal 32 20 2" xfId="31974"/>
    <cellStyle name="Normal 32 21" xfId="31975"/>
    <cellStyle name="Normal 32 21 2" xfId="31976"/>
    <cellStyle name="Normal 32 22" xfId="31977"/>
    <cellStyle name="Normal 32 22 2" xfId="31978"/>
    <cellStyle name="Normal 32 23" xfId="31979"/>
    <cellStyle name="Normal 32 23 2" xfId="31980"/>
    <cellStyle name="Normal 32 24" xfId="31981"/>
    <cellStyle name="Normal 32 24 2" xfId="31982"/>
    <cellStyle name="Normal 32 25" xfId="31983"/>
    <cellStyle name="Normal 32 25 2" xfId="31984"/>
    <cellStyle name="Normal 32 26" xfId="31985"/>
    <cellStyle name="Normal 32 26 2" xfId="31986"/>
    <cellStyle name="Normal 32 27" xfId="31987"/>
    <cellStyle name="Normal 32 27 2" xfId="31988"/>
    <cellStyle name="Normal 32 28" xfId="31989"/>
    <cellStyle name="Normal 32 28 2" xfId="31990"/>
    <cellStyle name="Normal 32 29" xfId="31991"/>
    <cellStyle name="Normal 32 29 2" xfId="31992"/>
    <cellStyle name="Normal 32 3" xfId="31993"/>
    <cellStyle name="Normal 32 3 2" xfId="31994"/>
    <cellStyle name="Normal 32 30" xfId="31995"/>
    <cellStyle name="Normal 32 30 2" xfId="31996"/>
    <cellStyle name="Normal 32 31" xfId="31997"/>
    <cellStyle name="Normal 32 31 2" xfId="31998"/>
    <cellStyle name="Normal 32 32" xfId="31999"/>
    <cellStyle name="Normal 32 32 2" xfId="32000"/>
    <cellStyle name="Normal 32 33" xfId="32001"/>
    <cellStyle name="Normal 32 33 2" xfId="32002"/>
    <cellStyle name="Normal 32 34" xfId="32003"/>
    <cellStyle name="Normal 32 34 2" xfId="32004"/>
    <cellStyle name="Normal 32 35" xfId="32005"/>
    <cellStyle name="Normal 32 35 2" xfId="32006"/>
    <cellStyle name="Normal 32 36" xfId="32007"/>
    <cellStyle name="Normal 32 36 2" xfId="32008"/>
    <cellStyle name="Normal 32 37" xfId="32009"/>
    <cellStyle name="Normal 32 37 2" xfId="32010"/>
    <cellStyle name="Normal 32 38" xfId="32011"/>
    <cellStyle name="Normal 32 38 2" xfId="32012"/>
    <cellStyle name="Normal 32 39" xfId="32013"/>
    <cellStyle name="Normal 32 39 2" xfId="32014"/>
    <cellStyle name="Normal 32 4" xfId="32015"/>
    <cellStyle name="Normal 32 4 2" xfId="32016"/>
    <cellStyle name="Normal 32 40" xfId="32017"/>
    <cellStyle name="Normal 32 40 2" xfId="32018"/>
    <cellStyle name="Normal 32 41" xfId="32019"/>
    <cellStyle name="Normal 32 41 2" xfId="32020"/>
    <cellStyle name="Normal 32 42" xfId="32021"/>
    <cellStyle name="Normal 32 42 2" xfId="32022"/>
    <cellStyle name="Normal 32 43" xfId="32023"/>
    <cellStyle name="Normal 32 43 2" xfId="32024"/>
    <cellStyle name="Normal 32 44" xfId="32025"/>
    <cellStyle name="Normal 32 44 2" xfId="32026"/>
    <cellStyle name="Normal 32 45" xfId="32027"/>
    <cellStyle name="Normal 32 46" xfId="32028"/>
    <cellStyle name="Normal 32 47" xfId="32029"/>
    <cellStyle name="Normal 32 48" xfId="32030"/>
    <cellStyle name="Normal 32 49" xfId="32031"/>
    <cellStyle name="Normal 32 5" xfId="32032"/>
    <cellStyle name="Normal 32 5 2" xfId="32033"/>
    <cellStyle name="Normal 32 50" xfId="32034"/>
    <cellStyle name="Normal 32 51" xfId="32035"/>
    <cellStyle name="Normal 32 52" xfId="32036"/>
    <cellStyle name="Normal 32 53" xfId="32037"/>
    <cellStyle name="Normal 32 54" xfId="32038"/>
    <cellStyle name="Normal 32 55" xfId="32039"/>
    <cellStyle name="Normal 32 56" xfId="32040"/>
    <cellStyle name="Normal 32 57" xfId="32041"/>
    <cellStyle name="Normal 32 58" xfId="32042"/>
    <cellStyle name="Normal 32 59" xfId="32043"/>
    <cellStyle name="Normal 32 6" xfId="32044"/>
    <cellStyle name="Normal 32 6 2" xfId="32045"/>
    <cellStyle name="Normal 32 60" xfId="32046"/>
    <cellStyle name="Normal 32 61" xfId="32047"/>
    <cellStyle name="Normal 32 62" xfId="32048"/>
    <cellStyle name="Normal 32 63" xfId="32049"/>
    <cellStyle name="Normal 32 64" xfId="32050"/>
    <cellStyle name="Normal 32 65" xfId="32051"/>
    <cellStyle name="Normal 32 66" xfId="32052"/>
    <cellStyle name="Normal 32 67" xfId="32053"/>
    <cellStyle name="Normal 32 68" xfId="32054"/>
    <cellStyle name="Normal 32 69" xfId="32055"/>
    <cellStyle name="Normal 32 7" xfId="32056"/>
    <cellStyle name="Normal 32 7 2" xfId="32057"/>
    <cellStyle name="Normal 32 70" xfId="32058"/>
    <cellStyle name="Normal 32 71" xfId="32059"/>
    <cellStyle name="Normal 32 72" xfId="32060"/>
    <cellStyle name="Normal 32 73" xfId="32061"/>
    <cellStyle name="Normal 32 74" xfId="32062"/>
    <cellStyle name="Normal 32 75" xfId="32063"/>
    <cellStyle name="Normal 32 76" xfId="32064"/>
    <cellStyle name="Normal 32 77" xfId="32065"/>
    <cellStyle name="Normal 32 78" xfId="32066"/>
    <cellStyle name="Normal 32 79" xfId="32067"/>
    <cellStyle name="Normal 32 8" xfId="32068"/>
    <cellStyle name="Normal 32 8 2" xfId="32069"/>
    <cellStyle name="Normal 32 80" xfId="32070"/>
    <cellStyle name="Normal 32 81" xfId="32071"/>
    <cellStyle name="Normal 32 82" xfId="32072"/>
    <cellStyle name="Normal 32 83" xfId="32073"/>
    <cellStyle name="Normal 32 84" xfId="32074"/>
    <cellStyle name="Normal 32 85" xfId="32075"/>
    <cellStyle name="Normal 32 86" xfId="32076"/>
    <cellStyle name="Normal 32 87" xfId="32077"/>
    <cellStyle name="Normal 32 88" xfId="32078"/>
    <cellStyle name="Normal 32 89" xfId="32079"/>
    <cellStyle name="Normal 32 9" xfId="32080"/>
    <cellStyle name="Normal 32 9 2" xfId="32081"/>
    <cellStyle name="Normal 32 90" xfId="32082"/>
    <cellStyle name="Normal 32 91" xfId="32083"/>
    <cellStyle name="Normal 32 92" xfId="32084"/>
    <cellStyle name="Normal 32 93" xfId="32085"/>
    <cellStyle name="Normal 32 94" xfId="32086"/>
    <cellStyle name="Normal 32 95" xfId="32087"/>
    <cellStyle name="Normal 32 96" xfId="32088"/>
    <cellStyle name="Normal 32 97" xfId="32089"/>
    <cellStyle name="Normal 32 98" xfId="32090"/>
    <cellStyle name="Normal 32 99" xfId="32091"/>
    <cellStyle name="Normal 320" xfId="1794"/>
    <cellStyle name="Normal 321" xfId="1795"/>
    <cellStyle name="Normal 322" xfId="1796"/>
    <cellStyle name="Normal 323" xfId="1811"/>
    <cellStyle name="Normal 33" xfId="443"/>
    <cellStyle name="Normal 33 10" xfId="32092"/>
    <cellStyle name="Normal 33 10 2" xfId="32093"/>
    <cellStyle name="Normal 33 100" xfId="32094"/>
    <cellStyle name="Normal 33 101" xfId="32095"/>
    <cellStyle name="Normal 33 102" xfId="32096"/>
    <cellStyle name="Normal 33 103" xfId="32097"/>
    <cellStyle name="Normal 33 104" xfId="32098"/>
    <cellStyle name="Normal 33 105" xfId="32099"/>
    <cellStyle name="Normal 33 106" xfId="32100"/>
    <cellStyle name="Normal 33 107" xfId="32101"/>
    <cellStyle name="Normal 33 108" xfId="32102"/>
    <cellStyle name="Normal 33 109" xfId="32103"/>
    <cellStyle name="Normal 33 11" xfId="32104"/>
    <cellStyle name="Normal 33 11 2" xfId="32105"/>
    <cellStyle name="Normal 33 12" xfId="32106"/>
    <cellStyle name="Normal 33 12 2" xfId="32107"/>
    <cellStyle name="Normal 33 13" xfId="32108"/>
    <cellStyle name="Normal 33 13 2" xfId="32109"/>
    <cellStyle name="Normal 33 14" xfId="32110"/>
    <cellStyle name="Normal 33 14 2" xfId="32111"/>
    <cellStyle name="Normal 33 15" xfId="32112"/>
    <cellStyle name="Normal 33 15 2" xfId="32113"/>
    <cellStyle name="Normal 33 16" xfId="32114"/>
    <cellStyle name="Normal 33 16 2" xfId="32115"/>
    <cellStyle name="Normal 33 17" xfId="32116"/>
    <cellStyle name="Normal 33 17 2" xfId="32117"/>
    <cellStyle name="Normal 33 18" xfId="32118"/>
    <cellStyle name="Normal 33 18 2" xfId="32119"/>
    <cellStyle name="Normal 33 19" xfId="32120"/>
    <cellStyle name="Normal 33 19 2" xfId="32121"/>
    <cellStyle name="Normal 33 2" xfId="1254"/>
    <cellStyle name="Normal 33 2 2" xfId="32122"/>
    <cellStyle name="Normal 33 2 3" xfId="32123"/>
    <cellStyle name="Normal 33 20" xfId="32124"/>
    <cellStyle name="Normal 33 20 2" xfId="32125"/>
    <cellStyle name="Normal 33 21" xfId="32126"/>
    <cellStyle name="Normal 33 21 2" xfId="32127"/>
    <cellStyle name="Normal 33 22" xfId="32128"/>
    <cellStyle name="Normal 33 22 2" xfId="32129"/>
    <cellStyle name="Normal 33 23" xfId="32130"/>
    <cellStyle name="Normal 33 23 2" xfId="32131"/>
    <cellStyle name="Normal 33 24" xfId="32132"/>
    <cellStyle name="Normal 33 24 2" xfId="32133"/>
    <cellStyle name="Normal 33 25" xfId="32134"/>
    <cellStyle name="Normal 33 25 2" xfId="32135"/>
    <cellStyle name="Normal 33 26" xfId="32136"/>
    <cellStyle name="Normal 33 26 2" xfId="32137"/>
    <cellStyle name="Normal 33 27" xfId="32138"/>
    <cellStyle name="Normal 33 27 2" xfId="32139"/>
    <cellStyle name="Normal 33 28" xfId="32140"/>
    <cellStyle name="Normal 33 28 2" xfId="32141"/>
    <cellStyle name="Normal 33 29" xfId="32142"/>
    <cellStyle name="Normal 33 29 2" xfId="32143"/>
    <cellStyle name="Normal 33 3" xfId="32144"/>
    <cellStyle name="Normal 33 3 2" xfId="32145"/>
    <cellStyle name="Normal 33 30" xfId="32146"/>
    <cellStyle name="Normal 33 30 2" xfId="32147"/>
    <cellStyle name="Normal 33 31" xfId="32148"/>
    <cellStyle name="Normal 33 31 2" xfId="32149"/>
    <cellStyle name="Normal 33 32" xfId="32150"/>
    <cellStyle name="Normal 33 32 2" xfId="32151"/>
    <cellStyle name="Normal 33 33" xfId="32152"/>
    <cellStyle name="Normal 33 33 2" xfId="32153"/>
    <cellStyle name="Normal 33 34" xfId="32154"/>
    <cellStyle name="Normal 33 34 2" xfId="32155"/>
    <cellStyle name="Normal 33 35" xfId="32156"/>
    <cellStyle name="Normal 33 35 2" xfId="32157"/>
    <cellStyle name="Normal 33 36" xfId="32158"/>
    <cellStyle name="Normal 33 36 2" xfId="32159"/>
    <cellStyle name="Normal 33 37" xfId="32160"/>
    <cellStyle name="Normal 33 37 2" xfId="32161"/>
    <cellStyle name="Normal 33 38" xfId="32162"/>
    <cellStyle name="Normal 33 38 2" xfId="32163"/>
    <cellStyle name="Normal 33 39" xfId="32164"/>
    <cellStyle name="Normal 33 39 2" xfId="32165"/>
    <cellStyle name="Normal 33 4" xfId="32166"/>
    <cellStyle name="Normal 33 4 2" xfId="32167"/>
    <cellStyle name="Normal 33 40" xfId="32168"/>
    <cellStyle name="Normal 33 40 2" xfId="32169"/>
    <cellStyle name="Normal 33 41" xfId="32170"/>
    <cellStyle name="Normal 33 41 2" xfId="32171"/>
    <cellStyle name="Normal 33 42" xfId="32172"/>
    <cellStyle name="Normal 33 42 2" xfId="32173"/>
    <cellStyle name="Normal 33 43" xfId="32174"/>
    <cellStyle name="Normal 33 43 2" xfId="32175"/>
    <cellStyle name="Normal 33 44" xfId="32176"/>
    <cellStyle name="Normal 33 44 2" xfId="32177"/>
    <cellStyle name="Normal 33 45" xfId="32178"/>
    <cellStyle name="Normal 33 46" xfId="32179"/>
    <cellStyle name="Normal 33 47" xfId="32180"/>
    <cellStyle name="Normal 33 48" xfId="32181"/>
    <cellStyle name="Normal 33 49" xfId="32182"/>
    <cellStyle name="Normal 33 5" xfId="32183"/>
    <cellStyle name="Normal 33 5 2" xfId="32184"/>
    <cellStyle name="Normal 33 50" xfId="32185"/>
    <cellStyle name="Normal 33 51" xfId="32186"/>
    <cellStyle name="Normal 33 52" xfId="32187"/>
    <cellStyle name="Normal 33 53" xfId="32188"/>
    <cellStyle name="Normal 33 54" xfId="32189"/>
    <cellStyle name="Normal 33 55" xfId="32190"/>
    <cellStyle name="Normal 33 56" xfId="32191"/>
    <cellStyle name="Normal 33 57" xfId="32192"/>
    <cellStyle name="Normal 33 58" xfId="32193"/>
    <cellStyle name="Normal 33 59" xfId="32194"/>
    <cellStyle name="Normal 33 6" xfId="32195"/>
    <cellStyle name="Normal 33 6 2" xfId="32196"/>
    <cellStyle name="Normal 33 60" xfId="32197"/>
    <cellStyle name="Normal 33 61" xfId="32198"/>
    <cellStyle name="Normal 33 62" xfId="32199"/>
    <cellStyle name="Normal 33 63" xfId="32200"/>
    <cellStyle name="Normal 33 64" xfId="32201"/>
    <cellStyle name="Normal 33 65" xfId="32202"/>
    <cellStyle name="Normal 33 66" xfId="32203"/>
    <cellStyle name="Normal 33 67" xfId="32204"/>
    <cellStyle name="Normal 33 68" xfId="32205"/>
    <cellStyle name="Normal 33 69" xfId="32206"/>
    <cellStyle name="Normal 33 7" xfId="32207"/>
    <cellStyle name="Normal 33 7 2" xfId="32208"/>
    <cellStyle name="Normal 33 70" xfId="32209"/>
    <cellStyle name="Normal 33 71" xfId="32210"/>
    <cellStyle name="Normal 33 72" xfId="32211"/>
    <cellStyle name="Normal 33 73" xfId="32212"/>
    <cellStyle name="Normal 33 74" xfId="32213"/>
    <cellStyle name="Normal 33 75" xfId="32214"/>
    <cellStyle name="Normal 33 76" xfId="32215"/>
    <cellStyle name="Normal 33 77" xfId="32216"/>
    <cellStyle name="Normal 33 78" xfId="32217"/>
    <cellStyle name="Normal 33 79" xfId="32218"/>
    <cellStyle name="Normal 33 8" xfId="32219"/>
    <cellStyle name="Normal 33 8 2" xfId="32220"/>
    <cellStyle name="Normal 33 80" xfId="32221"/>
    <cellStyle name="Normal 33 81" xfId="32222"/>
    <cellStyle name="Normal 33 82" xfId="32223"/>
    <cellStyle name="Normal 33 83" xfId="32224"/>
    <cellStyle name="Normal 33 84" xfId="32225"/>
    <cellStyle name="Normal 33 85" xfId="32226"/>
    <cellStyle name="Normal 33 86" xfId="32227"/>
    <cellStyle name="Normal 33 87" xfId="32228"/>
    <cellStyle name="Normal 33 88" xfId="32229"/>
    <cellStyle name="Normal 33 89" xfId="32230"/>
    <cellStyle name="Normal 33 9" xfId="32231"/>
    <cellStyle name="Normal 33 9 2" xfId="32232"/>
    <cellStyle name="Normal 33 90" xfId="32233"/>
    <cellStyle name="Normal 33 91" xfId="32234"/>
    <cellStyle name="Normal 33 92" xfId="32235"/>
    <cellStyle name="Normal 33 93" xfId="32236"/>
    <cellStyle name="Normal 33 94" xfId="32237"/>
    <cellStyle name="Normal 33 95" xfId="32238"/>
    <cellStyle name="Normal 33 96" xfId="32239"/>
    <cellStyle name="Normal 33 97" xfId="32240"/>
    <cellStyle name="Normal 33 98" xfId="32241"/>
    <cellStyle name="Normal 33 99" xfId="32242"/>
    <cellStyle name="Normal 34" xfId="473"/>
    <cellStyle name="Normal 34 10" xfId="32243"/>
    <cellStyle name="Normal 34 10 2" xfId="32244"/>
    <cellStyle name="Normal 34 100" xfId="32245"/>
    <cellStyle name="Normal 34 101" xfId="32246"/>
    <cellStyle name="Normal 34 102" xfId="32247"/>
    <cellStyle name="Normal 34 103" xfId="32248"/>
    <cellStyle name="Normal 34 104" xfId="32249"/>
    <cellStyle name="Normal 34 105" xfId="32250"/>
    <cellStyle name="Normal 34 106" xfId="32251"/>
    <cellStyle name="Normal 34 107" xfId="32252"/>
    <cellStyle name="Normal 34 108" xfId="32253"/>
    <cellStyle name="Normal 34 109" xfId="32254"/>
    <cellStyle name="Normal 34 11" xfId="32255"/>
    <cellStyle name="Normal 34 11 2" xfId="32256"/>
    <cellStyle name="Normal 34 12" xfId="32257"/>
    <cellStyle name="Normal 34 12 2" xfId="32258"/>
    <cellStyle name="Normal 34 13" xfId="32259"/>
    <cellStyle name="Normal 34 13 2" xfId="32260"/>
    <cellStyle name="Normal 34 14" xfId="32261"/>
    <cellStyle name="Normal 34 14 2" xfId="32262"/>
    <cellStyle name="Normal 34 15" xfId="32263"/>
    <cellStyle name="Normal 34 15 2" xfId="32264"/>
    <cellStyle name="Normal 34 16" xfId="32265"/>
    <cellStyle name="Normal 34 16 2" xfId="32266"/>
    <cellStyle name="Normal 34 17" xfId="32267"/>
    <cellStyle name="Normal 34 17 2" xfId="32268"/>
    <cellStyle name="Normal 34 18" xfId="32269"/>
    <cellStyle name="Normal 34 18 2" xfId="32270"/>
    <cellStyle name="Normal 34 19" xfId="32271"/>
    <cellStyle name="Normal 34 19 2" xfId="32272"/>
    <cellStyle name="Normal 34 2" xfId="1278"/>
    <cellStyle name="Normal 34 2 2" xfId="32273"/>
    <cellStyle name="Normal 34 2 3" xfId="32274"/>
    <cellStyle name="Normal 34 20" xfId="32275"/>
    <cellStyle name="Normal 34 20 2" xfId="32276"/>
    <cellStyle name="Normal 34 21" xfId="32277"/>
    <cellStyle name="Normal 34 21 2" xfId="32278"/>
    <cellStyle name="Normal 34 22" xfId="32279"/>
    <cellStyle name="Normal 34 22 2" xfId="32280"/>
    <cellStyle name="Normal 34 23" xfId="32281"/>
    <cellStyle name="Normal 34 23 2" xfId="32282"/>
    <cellStyle name="Normal 34 24" xfId="32283"/>
    <cellStyle name="Normal 34 24 2" xfId="32284"/>
    <cellStyle name="Normal 34 25" xfId="32285"/>
    <cellStyle name="Normal 34 25 2" xfId="32286"/>
    <cellStyle name="Normal 34 26" xfId="32287"/>
    <cellStyle name="Normal 34 26 2" xfId="32288"/>
    <cellStyle name="Normal 34 27" xfId="32289"/>
    <cellStyle name="Normal 34 27 2" xfId="32290"/>
    <cellStyle name="Normal 34 28" xfId="32291"/>
    <cellStyle name="Normal 34 28 2" xfId="32292"/>
    <cellStyle name="Normal 34 29" xfId="32293"/>
    <cellStyle name="Normal 34 29 2" xfId="32294"/>
    <cellStyle name="Normal 34 3" xfId="32295"/>
    <cellStyle name="Normal 34 3 2" xfId="32296"/>
    <cellStyle name="Normal 34 30" xfId="32297"/>
    <cellStyle name="Normal 34 30 2" xfId="32298"/>
    <cellStyle name="Normal 34 31" xfId="32299"/>
    <cellStyle name="Normal 34 31 2" xfId="32300"/>
    <cellStyle name="Normal 34 32" xfId="32301"/>
    <cellStyle name="Normal 34 32 2" xfId="32302"/>
    <cellStyle name="Normal 34 33" xfId="32303"/>
    <cellStyle name="Normal 34 33 2" xfId="32304"/>
    <cellStyle name="Normal 34 34" xfId="32305"/>
    <cellStyle name="Normal 34 34 2" xfId="32306"/>
    <cellStyle name="Normal 34 35" xfId="32307"/>
    <cellStyle name="Normal 34 35 2" xfId="32308"/>
    <cellStyle name="Normal 34 36" xfId="32309"/>
    <cellStyle name="Normal 34 36 2" xfId="32310"/>
    <cellStyle name="Normal 34 37" xfId="32311"/>
    <cellStyle name="Normal 34 37 2" xfId="32312"/>
    <cellStyle name="Normal 34 38" xfId="32313"/>
    <cellStyle name="Normal 34 38 2" xfId="32314"/>
    <cellStyle name="Normal 34 39" xfId="32315"/>
    <cellStyle name="Normal 34 39 2" xfId="32316"/>
    <cellStyle name="Normal 34 4" xfId="32317"/>
    <cellStyle name="Normal 34 4 2" xfId="32318"/>
    <cellStyle name="Normal 34 40" xfId="32319"/>
    <cellStyle name="Normal 34 40 2" xfId="32320"/>
    <cellStyle name="Normal 34 41" xfId="32321"/>
    <cellStyle name="Normal 34 41 2" xfId="32322"/>
    <cellStyle name="Normal 34 42" xfId="32323"/>
    <cellStyle name="Normal 34 42 2" xfId="32324"/>
    <cellStyle name="Normal 34 43" xfId="32325"/>
    <cellStyle name="Normal 34 43 2" xfId="32326"/>
    <cellStyle name="Normal 34 44" xfId="32327"/>
    <cellStyle name="Normal 34 44 2" xfId="32328"/>
    <cellStyle name="Normal 34 45" xfId="32329"/>
    <cellStyle name="Normal 34 46" xfId="32330"/>
    <cellStyle name="Normal 34 47" xfId="32331"/>
    <cellStyle name="Normal 34 48" xfId="32332"/>
    <cellStyle name="Normal 34 49" xfId="32333"/>
    <cellStyle name="Normal 34 5" xfId="32334"/>
    <cellStyle name="Normal 34 5 2" xfId="32335"/>
    <cellStyle name="Normal 34 50" xfId="32336"/>
    <cellStyle name="Normal 34 51" xfId="32337"/>
    <cellStyle name="Normal 34 52" xfId="32338"/>
    <cellStyle name="Normal 34 53" xfId="32339"/>
    <cellStyle name="Normal 34 54" xfId="32340"/>
    <cellStyle name="Normal 34 55" xfId="32341"/>
    <cellStyle name="Normal 34 56" xfId="32342"/>
    <cellStyle name="Normal 34 57" xfId="32343"/>
    <cellStyle name="Normal 34 58" xfId="32344"/>
    <cellStyle name="Normal 34 59" xfId="32345"/>
    <cellStyle name="Normal 34 6" xfId="32346"/>
    <cellStyle name="Normal 34 6 2" xfId="32347"/>
    <cellStyle name="Normal 34 60" xfId="32348"/>
    <cellStyle name="Normal 34 61" xfId="32349"/>
    <cellStyle name="Normal 34 62" xfId="32350"/>
    <cellStyle name="Normal 34 63" xfId="32351"/>
    <cellStyle name="Normal 34 64" xfId="32352"/>
    <cellStyle name="Normal 34 65" xfId="32353"/>
    <cellStyle name="Normal 34 66" xfId="32354"/>
    <cellStyle name="Normal 34 67" xfId="32355"/>
    <cellStyle name="Normal 34 68" xfId="32356"/>
    <cellStyle name="Normal 34 69" xfId="32357"/>
    <cellStyle name="Normal 34 7" xfId="32358"/>
    <cellStyle name="Normal 34 7 2" xfId="32359"/>
    <cellStyle name="Normal 34 70" xfId="32360"/>
    <cellStyle name="Normal 34 71" xfId="32361"/>
    <cellStyle name="Normal 34 72" xfId="32362"/>
    <cellStyle name="Normal 34 73" xfId="32363"/>
    <cellStyle name="Normal 34 74" xfId="32364"/>
    <cellStyle name="Normal 34 75" xfId="32365"/>
    <cellStyle name="Normal 34 76" xfId="32366"/>
    <cellStyle name="Normal 34 77" xfId="32367"/>
    <cellStyle name="Normal 34 78" xfId="32368"/>
    <cellStyle name="Normal 34 79" xfId="32369"/>
    <cellStyle name="Normal 34 8" xfId="32370"/>
    <cellStyle name="Normal 34 8 2" xfId="32371"/>
    <cellStyle name="Normal 34 80" xfId="32372"/>
    <cellStyle name="Normal 34 81" xfId="32373"/>
    <cellStyle name="Normal 34 82" xfId="32374"/>
    <cellStyle name="Normal 34 83" xfId="32375"/>
    <cellStyle name="Normal 34 84" xfId="32376"/>
    <cellStyle name="Normal 34 85" xfId="32377"/>
    <cellStyle name="Normal 34 86" xfId="32378"/>
    <cellStyle name="Normal 34 87" xfId="32379"/>
    <cellStyle name="Normal 34 88" xfId="32380"/>
    <cellStyle name="Normal 34 89" xfId="32381"/>
    <cellStyle name="Normal 34 9" xfId="32382"/>
    <cellStyle name="Normal 34 9 2" xfId="32383"/>
    <cellStyle name="Normal 34 90" xfId="32384"/>
    <cellStyle name="Normal 34 91" xfId="32385"/>
    <cellStyle name="Normal 34 92" xfId="32386"/>
    <cellStyle name="Normal 34 93" xfId="32387"/>
    <cellStyle name="Normal 34 94" xfId="32388"/>
    <cellStyle name="Normal 34 95" xfId="32389"/>
    <cellStyle name="Normal 34 96" xfId="32390"/>
    <cellStyle name="Normal 34 97" xfId="32391"/>
    <cellStyle name="Normal 34 98" xfId="32392"/>
    <cellStyle name="Normal 34 99" xfId="32393"/>
    <cellStyle name="Normal 35" xfId="422"/>
    <cellStyle name="Normal 35 10" xfId="32394"/>
    <cellStyle name="Normal 35 11" xfId="32395"/>
    <cellStyle name="Normal 35 12" xfId="32396"/>
    <cellStyle name="Normal 35 13" xfId="32397"/>
    <cellStyle name="Normal 35 14" xfId="32398"/>
    <cellStyle name="Normal 35 15" xfId="32399"/>
    <cellStyle name="Normal 35 16" xfId="32400"/>
    <cellStyle name="Normal 35 17" xfId="32401"/>
    <cellStyle name="Normal 35 18" xfId="32402"/>
    <cellStyle name="Normal 35 19" xfId="32403"/>
    <cellStyle name="Normal 35 2" xfId="1243"/>
    <cellStyle name="Normal 35 2 2" xfId="32404"/>
    <cellStyle name="Normal 35 20" xfId="32405"/>
    <cellStyle name="Normal 35 21" xfId="32406"/>
    <cellStyle name="Normal 35 22" xfId="32407"/>
    <cellStyle name="Normal 35 23" xfId="32408"/>
    <cellStyle name="Normal 35 24" xfId="32409"/>
    <cellStyle name="Normal 35 25" xfId="32410"/>
    <cellStyle name="Normal 35 26" xfId="32411"/>
    <cellStyle name="Normal 35 27" xfId="32412"/>
    <cellStyle name="Normal 35 28" xfId="32413"/>
    <cellStyle name="Normal 35 29" xfId="32414"/>
    <cellStyle name="Normal 35 3" xfId="32415"/>
    <cellStyle name="Normal 35 30" xfId="32416"/>
    <cellStyle name="Normal 35 31" xfId="32417"/>
    <cellStyle name="Normal 35 32" xfId="32418"/>
    <cellStyle name="Normal 35 33" xfId="32419"/>
    <cellStyle name="Normal 35 34" xfId="32420"/>
    <cellStyle name="Normal 35 35" xfId="32421"/>
    <cellStyle name="Normal 35 36" xfId="32422"/>
    <cellStyle name="Normal 35 37" xfId="32423"/>
    <cellStyle name="Normal 35 38" xfId="32424"/>
    <cellStyle name="Normal 35 39" xfId="32425"/>
    <cellStyle name="Normal 35 4" xfId="32426"/>
    <cellStyle name="Normal 35 40" xfId="32427"/>
    <cellStyle name="Normal 35 41" xfId="32428"/>
    <cellStyle name="Normal 35 42" xfId="32429"/>
    <cellStyle name="Normal 35 43" xfId="32430"/>
    <cellStyle name="Normal 35 44" xfId="32431"/>
    <cellStyle name="Normal 35 5" xfId="32432"/>
    <cellStyle name="Normal 35 6" xfId="32433"/>
    <cellStyle name="Normal 35 7" xfId="32434"/>
    <cellStyle name="Normal 35 8" xfId="32435"/>
    <cellStyle name="Normal 35 9" xfId="32436"/>
    <cellStyle name="Normal 36" xfId="466"/>
    <cellStyle name="Normal 36 10" xfId="32437"/>
    <cellStyle name="Normal 36 10 2" xfId="32438"/>
    <cellStyle name="Normal 36 100" xfId="32439"/>
    <cellStyle name="Normal 36 101" xfId="32440"/>
    <cellStyle name="Normal 36 102" xfId="32441"/>
    <cellStyle name="Normal 36 103" xfId="32442"/>
    <cellStyle name="Normal 36 104" xfId="32443"/>
    <cellStyle name="Normal 36 105" xfId="32444"/>
    <cellStyle name="Normal 36 106" xfId="32445"/>
    <cellStyle name="Normal 36 107" xfId="32446"/>
    <cellStyle name="Normal 36 108" xfId="32447"/>
    <cellStyle name="Normal 36 109" xfId="32448"/>
    <cellStyle name="Normal 36 11" xfId="32449"/>
    <cellStyle name="Normal 36 11 2" xfId="32450"/>
    <cellStyle name="Normal 36 12" xfId="32451"/>
    <cellStyle name="Normal 36 12 2" xfId="32452"/>
    <cellStyle name="Normal 36 13" xfId="32453"/>
    <cellStyle name="Normal 36 13 2" xfId="32454"/>
    <cellStyle name="Normal 36 14" xfId="32455"/>
    <cellStyle name="Normal 36 14 2" xfId="32456"/>
    <cellStyle name="Normal 36 15" xfId="32457"/>
    <cellStyle name="Normal 36 15 2" xfId="32458"/>
    <cellStyle name="Normal 36 16" xfId="32459"/>
    <cellStyle name="Normal 36 16 2" xfId="32460"/>
    <cellStyle name="Normal 36 17" xfId="32461"/>
    <cellStyle name="Normal 36 17 2" xfId="32462"/>
    <cellStyle name="Normal 36 18" xfId="32463"/>
    <cellStyle name="Normal 36 18 2" xfId="32464"/>
    <cellStyle name="Normal 36 19" xfId="32465"/>
    <cellStyle name="Normal 36 19 2" xfId="32466"/>
    <cellStyle name="Normal 36 2" xfId="1271"/>
    <cellStyle name="Normal 36 2 2" xfId="32467"/>
    <cellStyle name="Normal 36 2 3" xfId="32468"/>
    <cellStyle name="Normal 36 20" xfId="32469"/>
    <cellStyle name="Normal 36 20 2" xfId="32470"/>
    <cellStyle name="Normal 36 21" xfId="32471"/>
    <cellStyle name="Normal 36 21 2" xfId="32472"/>
    <cellStyle name="Normal 36 22" xfId="32473"/>
    <cellStyle name="Normal 36 22 2" xfId="32474"/>
    <cellStyle name="Normal 36 23" xfId="32475"/>
    <cellStyle name="Normal 36 23 2" xfId="32476"/>
    <cellStyle name="Normal 36 24" xfId="32477"/>
    <cellStyle name="Normal 36 24 2" xfId="32478"/>
    <cellStyle name="Normal 36 25" xfId="32479"/>
    <cellStyle name="Normal 36 25 2" xfId="32480"/>
    <cellStyle name="Normal 36 26" xfId="32481"/>
    <cellStyle name="Normal 36 26 2" xfId="32482"/>
    <cellStyle name="Normal 36 27" xfId="32483"/>
    <cellStyle name="Normal 36 27 2" xfId="32484"/>
    <cellStyle name="Normal 36 28" xfId="32485"/>
    <cellStyle name="Normal 36 28 2" xfId="32486"/>
    <cellStyle name="Normal 36 29" xfId="32487"/>
    <cellStyle name="Normal 36 29 2" xfId="32488"/>
    <cellStyle name="Normal 36 3" xfId="32489"/>
    <cellStyle name="Normal 36 3 2" xfId="32490"/>
    <cellStyle name="Normal 36 30" xfId="32491"/>
    <cellStyle name="Normal 36 30 2" xfId="32492"/>
    <cellStyle name="Normal 36 31" xfId="32493"/>
    <cellStyle name="Normal 36 31 2" xfId="32494"/>
    <cellStyle name="Normal 36 32" xfId="32495"/>
    <cellStyle name="Normal 36 32 2" xfId="32496"/>
    <cellStyle name="Normal 36 33" xfId="32497"/>
    <cellStyle name="Normal 36 33 2" xfId="32498"/>
    <cellStyle name="Normal 36 34" xfId="32499"/>
    <cellStyle name="Normal 36 34 2" xfId="32500"/>
    <cellStyle name="Normal 36 35" xfId="32501"/>
    <cellStyle name="Normal 36 35 2" xfId="32502"/>
    <cellStyle name="Normal 36 36" xfId="32503"/>
    <cellStyle name="Normal 36 36 2" xfId="32504"/>
    <cellStyle name="Normal 36 37" xfId="32505"/>
    <cellStyle name="Normal 36 37 2" xfId="32506"/>
    <cellStyle name="Normal 36 38" xfId="32507"/>
    <cellStyle name="Normal 36 38 2" xfId="32508"/>
    <cellStyle name="Normal 36 39" xfId="32509"/>
    <cellStyle name="Normal 36 39 2" xfId="32510"/>
    <cellStyle name="Normal 36 4" xfId="32511"/>
    <cellStyle name="Normal 36 4 2" xfId="32512"/>
    <cellStyle name="Normal 36 40" xfId="32513"/>
    <cellStyle name="Normal 36 40 2" xfId="32514"/>
    <cellStyle name="Normal 36 41" xfId="32515"/>
    <cellStyle name="Normal 36 41 2" xfId="32516"/>
    <cellStyle name="Normal 36 42" xfId="32517"/>
    <cellStyle name="Normal 36 42 2" xfId="32518"/>
    <cellStyle name="Normal 36 43" xfId="32519"/>
    <cellStyle name="Normal 36 43 2" xfId="32520"/>
    <cellStyle name="Normal 36 44" xfId="32521"/>
    <cellStyle name="Normal 36 44 2" xfId="32522"/>
    <cellStyle name="Normal 36 45" xfId="32523"/>
    <cellStyle name="Normal 36 46" xfId="32524"/>
    <cellStyle name="Normal 36 47" xfId="32525"/>
    <cellStyle name="Normal 36 48" xfId="32526"/>
    <cellStyle name="Normal 36 49" xfId="32527"/>
    <cellStyle name="Normal 36 5" xfId="32528"/>
    <cellStyle name="Normal 36 5 2" xfId="32529"/>
    <cellStyle name="Normal 36 50" xfId="32530"/>
    <cellStyle name="Normal 36 51" xfId="32531"/>
    <cellStyle name="Normal 36 52" xfId="32532"/>
    <cellStyle name="Normal 36 53" xfId="32533"/>
    <cellStyle name="Normal 36 54" xfId="32534"/>
    <cellStyle name="Normal 36 55" xfId="32535"/>
    <cellStyle name="Normal 36 56" xfId="32536"/>
    <cellStyle name="Normal 36 57" xfId="32537"/>
    <cellStyle name="Normal 36 58" xfId="32538"/>
    <cellStyle name="Normal 36 59" xfId="32539"/>
    <cellStyle name="Normal 36 6" xfId="32540"/>
    <cellStyle name="Normal 36 6 2" xfId="32541"/>
    <cellStyle name="Normal 36 60" xfId="32542"/>
    <cellStyle name="Normal 36 61" xfId="32543"/>
    <cellStyle name="Normal 36 62" xfId="32544"/>
    <cellStyle name="Normal 36 63" xfId="32545"/>
    <cellStyle name="Normal 36 64" xfId="32546"/>
    <cellStyle name="Normal 36 65" xfId="32547"/>
    <cellStyle name="Normal 36 66" xfId="32548"/>
    <cellStyle name="Normal 36 67" xfId="32549"/>
    <cellStyle name="Normal 36 68" xfId="32550"/>
    <cellStyle name="Normal 36 69" xfId="32551"/>
    <cellStyle name="Normal 36 7" xfId="32552"/>
    <cellStyle name="Normal 36 7 2" xfId="32553"/>
    <cellStyle name="Normal 36 70" xfId="32554"/>
    <cellStyle name="Normal 36 71" xfId="32555"/>
    <cellStyle name="Normal 36 72" xfId="32556"/>
    <cellStyle name="Normal 36 73" xfId="32557"/>
    <cellStyle name="Normal 36 74" xfId="32558"/>
    <cellStyle name="Normal 36 75" xfId="32559"/>
    <cellStyle name="Normal 36 76" xfId="32560"/>
    <cellStyle name="Normal 36 77" xfId="32561"/>
    <cellStyle name="Normal 36 78" xfId="32562"/>
    <cellStyle name="Normal 36 79" xfId="32563"/>
    <cellStyle name="Normal 36 8" xfId="32564"/>
    <cellStyle name="Normal 36 8 2" xfId="32565"/>
    <cellStyle name="Normal 36 80" xfId="32566"/>
    <cellStyle name="Normal 36 81" xfId="32567"/>
    <cellStyle name="Normal 36 82" xfId="32568"/>
    <cellStyle name="Normal 36 83" xfId="32569"/>
    <cellStyle name="Normal 36 84" xfId="32570"/>
    <cellStyle name="Normal 36 85" xfId="32571"/>
    <cellStyle name="Normal 36 86" xfId="32572"/>
    <cellStyle name="Normal 36 87" xfId="32573"/>
    <cellStyle name="Normal 36 88" xfId="32574"/>
    <cellStyle name="Normal 36 89" xfId="32575"/>
    <cellStyle name="Normal 36 9" xfId="32576"/>
    <cellStyle name="Normal 36 9 2" xfId="32577"/>
    <cellStyle name="Normal 36 90" xfId="32578"/>
    <cellStyle name="Normal 36 91" xfId="32579"/>
    <cellStyle name="Normal 36 92" xfId="32580"/>
    <cellStyle name="Normal 36 93" xfId="32581"/>
    <cellStyle name="Normal 36 94" xfId="32582"/>
    <cellStyle name="Normal 36 95" xfId="32583"/>
    <cellStyle name="Normal 36 96" xfId="32584"/>
    <cellStyle name="Normal 36 97" xfId="32585"/>
    <cellStyle name="Normal 36 98" xfId="32586"/>
    <cellStyle name="Normal 36 99" xfId="32587"/>
    <cellStyle name="Normal 37" xfId="403"/>
    <cellStyle name="Normal 37 10" xfId="32588"/>
    <cellStyle name="Normal 37 10 2" xfId="32589"/>
    <cellStyle name="Normal 37 100" xfId="32590"/>
    <cellStyle name="Normal 37 101" xfId="32591"/>
    <cellStyle name="Normal 37 102" xfId="32592"/>
    <cellStyle name="Normal 37 103" xfId="32593"/>
    <cellStyle name="Normal 37 104" xfId="32594"/>
    <cellStyle name="Normal 37 105" xfId="32595"/>
    <cellStyle name="Normal 37 106" xfId="32596"/>
    <cellStyle name="Normal 37 107" xfId="32597"/>
    <cellStyle name="Normal 37 108" xfId="32598"/>
    <cellStyle name="Normal 37 109" xfId="32599"/>
    <cellStyle name="Normal 37 11" xfId="32600"/>
    <cellStyle name="Normal 37 11 2" xfId="32601"/>
    <cellStyle name="Normal 37 12" xfId="32602"/>
    <cellStyle name="Normal 37 12 2" xfId="32603"/>
    <cellStyle name="Normal 37 13" xfId="32604"/>
    <cellStyle name="Normal 37 13 2" xfId="32605"/>
    <cellStyle name="Normal 37 14" xfId="32606"/>
    <cellStyle name="Normal 37 14 2" xfId="32607"/>
    <cellStyle name="Normal 37 15" xfId="32608"/>
    <cellStyle name="Normal 37 15 2" xfId="32609"/>
    <cellStyle name="Normal 37 16" xfId="32610"/>
    <cellStyle name="Normal 37 16 2" xfId="32611"/>
    <cellStyle name="Normal 37 17" xfId="32612"/>
    <cellStyle name="Normal 37 17 2" xfId="32613"/>
    <cellStyle name="Normal 37 18" xfId="32614"/>
    <cellStyle name="Normal 37 18 2" xfId="32615"/>
    <cellStyle name="Normal 37 19" xfId="32616"/>
    <cellStyle name="Normal 37 19 2" xfId="32617"/>
    <cellStyle name="Normal 37 2" xfId="1227"/>
    <cellStyle name="Normal 37 2 2" xfId="32618"/>
    <cellStyle name="Normal 37 2 3" xfId="32619"/>
    <cellStyle name="Normal 37 20" xfId="32620"/>
    <cellStyle name="Normal 37 20 2" xfId="32621"/>
    <cellStyle name="Normal 37 21" xfId="32622"/>
    <cellStyle name="Normal 37 21 2" xfId="32623"/>
    <cellStyle name="Normal 37 22" xfId="32624"/>
    <cellStyle name="Normal 37 22 2" xfId="32625"/>
    <cellStyle name="Normal 37 23" xfId="32626"/>
    <cellStyle name="Normal 37 23 2" xfId="32627"/>
    <cellStyle name="Normal 37 24" xfId="32628"/>
    <cellStyle name="Normal 37 24 2" xfId="32629"/>
    <cellStyle name="Normal 37 25" xfId="32630"/>
    <cellStyle name="Normal 37 25 2" xfId="32631"/>
    <cellStyle name="Normal 37 26" xfId="32632"/>
    <cellStyle name="Normal 37 26 2" xfId="32633"/>
    <cellStyle name="Normal 37 27" xfId="32634"/>
    <cellStyle name="Normal 37 27 2" xfId="32635"/>
    <cellStyle name="Normal 37 28" xfId="32636"/>
    <cellStyle name="Normal 37 28 2" xfId="32637"/>
    <cellStyle name="Normal 37 29" xfId="32638"/>
    <cellStyle name="Normal 37 29 2" xfId="32639"/>
    <cellStyle name="Normal 37 3" xfId="32640"/>
    <cellStyle name="Normal 37 3 2" xfId="32641"/>
    <cellStyle name="Normal 37 30" xfId="32642"/>
    <cellStyle name="Normal 37 30 2" xfId="32643"/>
    <cellStyle name="Normal 37 31" xfId="32644"/>
    <cellStyle name="Normal 37 31 2" xfId="32645"/>
    <cellStyle name="Normal 37 32" xfId="32646"/>
    <cellStyle name="Normal 37 32 2" xfId="32647"/>
    <cellStyle name="Normal 37 33" xfId="32648"/>
    <cellStyle name="Normal 37 33 2" xfId="32649"/>
    <cellStyle name="Normal 37 34" xfId="32650"/>
    <cellStyle name="Normal 37 34 2" xfId="32651"/>
    <cellStyle name="Normal 37 35" xfId="32652"/>
    <cellStyle name="Normal 37 35 2" xfId="32653"/>
    <cellStyle name="Normal 37 36" xfId="32654"/>
    <cellStyle name="Normal 37 36 2" xfId="32655"/>
    <cellStyle name="Normal 37 37" xfId="32656"/>
    <cellStyle name="Normal 37 37 2" xfId="32657"/>
    <cellStyle name="Normal 37 38" xfId="32658"/>
    <cellStyle name="Normal 37 38 2" xfId="32659"/>
    <cellStyle name="Normal 37 39" xfId="32660"/>
    <cellStyle name="Normal 37 39 2" xfId="32661"/>
    <cellStyle name="Normal 37 4" xfId="32662"/>
    <cellStyle name="Normal 37 4 2" xfId="32663"/>
    <cellStyle name="Normal 37 40" xfId="32664"/>
    <cellStyle name="Normal 37 40 2" xfId="32665"/>
    <cellStyle name="Normal 37 41" xfId="32666"/>
    <cellStyle name="Normal 37 41 2" xfId="32667"/>
    <cellStyle name="Normal 37 42" xfId="32668"/>
    <cellStyle name="Normal 37 42 2" xfId="32669"/>
    <cellStyle name="Normal 37 43" xfId="32670"/>
    <cellStyle name="Normal 37 43 2" xfId="32671"/>
    <cellStyle name="Normal 37 44" xfId="32672"/>
    <cellStyle name="Normal 37 44 2" xfId="32673"/>
    <cellStyle name="Normal 37 45" xfId="32674"/>
    <cellStyle name="Normal 37 46" xfId="32675"/>
    <cellStyle name="Normal 37 47" xfId="32676"/>
    <cellStyle name="Normal 37 48" xfId="32677"/>
    <cellStyle name="Normal 37 49" xfId="32678"/>
    <cellStyle name="Normal 37 5" xfId="32679"/>
    <cellStyle name="Normal 37 5 2" xfId="32680"/>
    <cellStyle name="Normal 37 50" xfId="32681"/>
    <cellStyle name="Normal 37 51" xfId="32682"/>
    <cellStyle name="Normal 37 52" xfId="32683"/>
    <cellStyle name="Normal 37 53" xfId="32684"/>
    <cellStyle name="Normal 37 54" xfId="32685"/>
    <cellStyle name="Normal 37 55" xfId="32686"/>
    <cellStyle name="Normal 37 56" xfId="32687"/>
    <cellStyle name="Normal 37 57" xfId="32688"/>
    <cellStyle name="Normal 37 58" xfId="32689"/>
    <cellStyle name="Normal 37 59" xfId="32690"/>
    <cellStyle name="Normal 37 6" xfId="32691"/>
    <cellStyle name="Normal 37 6 2" xfId="32692"/>
    <cellStyle name="Normal 37 60" xfId="32693"/>
    <cellStyle name="Normal 37 61" xfId="32694"/>
    <cellStyle name="Normal 37 62" xfId="32695"/>
    <cellStyle name="Normal 37 63" xfId="32696"/>
    <cellStyle name="Normal 37 64" xfId="32697"/>
    <cellStyle name="Normal 37 65" xfId="32698"/>
    <cellStyle name="Normal 37 66" xfId="32699"/>
    <cellStyle name="Normal 37 67" xfId="32700"/>
    <cellStyle name="Normal 37 68" xfId="32701"/>
    <cellStyle name="Normal 37 69" xfId="32702"/>
    <cellStyle name="Normal 37 7" xfId="32703"/>
    <cellStyle name="Normal 37 7 2" xfId="32704"/>
    <cellStyle name="Normal 37 70" xfId="32705"/>
    <cellStyle name="Normal 37 71" xfId="32706"/>
    <cellStyle name="Normal 37 72" xfId="32707"/>
    <cellStyle name="Normal 37 73" xfId="32708"/>
    <cellStyle name="Normal 37 74" xfId="32709"/>
    <cellStyle name="Normal 37 75" xfId="32710"/>
    <cellStyle name="Normal 37 76" xfId="32711"/>
    <cellStyle name="Normal 37 77" xfId="32712"/>
    <cellStyle name="Normal 37 78" xfId="32713"/>
    <cellStyle name="Normal 37 79" xfId="32714"/>
    <cellStyle name="Normal 37 8" xfId="32715"/>
    <cellStyle name="Normal 37 8 2" xfId="32716"/>
    <cellStyle name="Normal 37 80" xfId="32717"/>
    <cellStyle name="Normal 37 81" xfId="32718"/>
    <cellStyle name="Normal 37 82" xfId="32719"/>
    <cellStyle name="Normal 37 83" xfId="32720"/>
    <cellStyle name="Normal 37 84" xfId="32721"/>
    <cellStyle name="Normal 37 85" xfId="32722"/>
    <cellStyle name="Normal 37 86" xfId="32723"/>
    <cellStyle name="Normal 37 87" xfId="32724"/>
    <cellStyle name="Normal 37 88" xfId="32725"/>
    <cellStyle name="Normal 37 89" xfId="32726"/>
    <cellStyle name="Normal 37 9" xfId="32727"/>
    <cellStyle name="Normal 37 9 2" xfId="32728"/>
    <cellStyle name="Normal 37 90" xfId="32729"/>
    <cellStyle name="Normal 37 91" xfId="32730"/>
    <cellStyle name="Normal 37 92" xfId="32731"/>
    <cellStyle name="Normal 37 93" xfId="32732"/>
    <cellStyle name="Normal 37 94" xfId="32733"/>
    <cellStyle name="Normal 37 95" xfId="32734"/>
    <cellStyle name="Normal 37 96" xfId="32735"/>
    <cellStyle name="Normal 37 97" xfId="32736"/>
    <cellStyle name="Normal 37 98" xfId="32737"/>
    <cellStyle name="Normal 37 99" xfId="32738"/>
    <cellStyle name="Normal 38" xfId="482"/>
    <cellStyle name="Normal 38 10" xfId="32739"/>
    <cellStyle name="Normal 38 10 2" xfId="32740"/>
    <cellStyle name="Normal 38 11" xfId="32741"/>
    <cellStyle name="Normal 38 11 2" xfId="32742"/>
    <cellStyle name="Normal 38 12" xfId="32743"/>
    <cellStyle name="Normal 38 12 2" xfId="32744"/>
    <cellStyle name="Normal 38 13" xfId="32745"/>
    <cellStyle name="Normal 38 13 2" xfId="32746"/>
    <cellStyle name="Normal 38 14" xfId="32747"/>
    <cellStyle name="Normal 38 14 2" xfId="32748"/>
    <cellStyle name="Normal 38 15" xfId="32749"/>
    <cellStyle name="Normal 38 15 2" xfId="32750"/>
    <cellStyle name="Normal 38 16" xfId="32751"/>
    <cellStyle name="Normal 38 16 2" xfId="32752"/>
    <cellStyle name="Normal 38 17" xfId="32753"/>
    <cellStyle name="Normal 38 17 2" xfId="32754"/>
    <cellStyle name="Normal 38 18" xfId="32755"/>
    <cellStyle name="Normal 38 18 2" xfId="32756"/>
    <cellStyle name="Normal 38 19" xfId="32757"/>
    <cellStyle name="Normal 38 19 2" xfId="32758"/>
    <cellStyle name="Normal 38 2" xfId="1287"/>
    <cellStyle name="Normal 38 2 2" xfId="32759"/>
    <cellStyle name="Normal 38 2 3" xfId="32760"/>
    <cellStyle name="Normal 38 20" xfId="32761"/>
    <cellStyle name="Normal 38 20 2" xfId="32762"/>
    <cellStyle name="Normal 38 21" xfId="32763"/>
    <cellStyle name="Normal 38 21 2" xfId="32764"/>
    <cellStyle name="Normal 38 22" xfId="32765"/>
    <cellStyle name="Normal 38 22 2" xfId="32766"/>
    <cellStyle name="Normal 38 23" xfId="32767"/>
    <cellStyle name="Normal 38 23 2" xfId="32768"/>
    <cellStyle name="Normal 38 24" xfId="32769"/>
    <cellStyle name="Normal 38 24 2" xfId="32770"/>
    <cellStyle name="Normal 38 25" xfId="32771"/>
    <cellStyle name="Normal 38 25 2" xfId="32772"/>
    <cellStyle name="Normal 38 26" xfId="32773"/>
    <cellStyle name="Normal 38 26 2" xfId="32774"/>
    <cellStyle name="Normal 38 27" xfId="32775"/>
    <cellStyle name="Normal 38 27 2" xfId="32776"/>
    <cellStyle name="Normal 38 28" xfId="32777"/>
    <cellStyle name="Normal 38 28 2" xfId="32778"/>
    <cellStyle name="Normal 38 29" xfId="32779"/>
    <cellStyle name="Normal 38 29 2" xfId="32780"/>
    <cellStyle name="Normal 38 3" xfId="32781"/>
    <cellStyle name="Normal 38 3 2" xfId="32782"/>
    <cellStyle name="Normal 38 30" xfId="32783"/>
    <cellStyle name="Normal 38 30 2" xfId="32784"/>
    <cellStyle name="Normal 38 31" xfId="32785"/>
    <cellStyle name="Normal 38 31 2" xfId="32786"/>
    <cellStyle name="Normal 38 32" xfId="32787"/>
    <cellStyle name="Normal 38 32 2" xfId="32788"/>
    <cellStyle name="Normal 38 33" xfId="32789"/>
    <cellStyle name="Normal 38 33 2" xfId="32790"/>
    <cellStyle name="Normal 38 34" xfId="32791"/>
    <cellStyle name="Normal 38 34 2" xfId="32792"/>
    <cellStyle name="Normal 38 35" xfId="32793"/>
    <cellStyle name="Normal 38 35 2" xfId="32794"/>
    <cellStyle name="Normal 38 36" xfId="32795"/>
    <cellStyle name="Normal 38 36 2" xfId="32796"/>
    <cellStyle name="Normal 38 37" xfId="32797"/>
    <cellStyle name="Normal 38 37 2" xfId="32798"/>
    <cellStyle name="Normal 38 38" xfId="32799"/>
    <cellStyle name="Normal 38 38 2" xfId="32800"/>
    <cellStyle name="Normal 38 39" xfId="32801"/>
    <cellStyle name="Normal 38 39 2" xfId="32802"/>
    <cellStyle name="Normal 38 4" xfId="32803"/>
    <cellStyle name="Normal 38 4 2" xfId="32804"/>
    <cellStyle name="Normal 38 40" xfId="32805"/>
    <cellStyle name="Normal 38 40 2" xfId="32806"/>
    <cellStyle name="Normal 38 41" xfId="32807"/>
    <cellStyle name="Normal 38 41 2" xfId="32808"/>
    <cellStyle name="Normal 38 42" xfId="32809"/>
    <cellStyle name="Normal 38 42 2" xfId="32810"/>
    <cellStyle name="Normal 38 43" xfId="32811"/>
    <cellStyle name="Normal 38 43 2" xfId="32812"/>
    <cellStyle name="Normal 38 44" xfId="32813"/>
    <cellStyle name="Normal 38 44 2" xfId="32814"/>
    <cellStyle name="Normal 38 45" xfId="32815"/>
    <cellStyle name="Normal 38 46" xfId="32816"/>
    <cellStyle name="Normal 38 47" xfId="32817"/>
    <cellStyle name="Normal 38 48" xfId="32818"/>
    <cellStyle name="Normal 38 49" xfId="32819"/>
    <cellStyle name="Normal 38 5" xfId="32820"/>
    <cellStyle name="Normal 38 5 2" xfId="32821"/>
    <cellStyle name="Normal 38 50" xfId="32822"/>
    <cellStyle name="Normal 38 51" xfId="32823"/>
    <cellStyle name="Normal 38 52" xfId="32824"/>
    <cellStyle name="Normal 38 53" xfId="32825"/>
    <cellStyle name="Normal 38 54" xfId="32826"/>
    <cellStyle name="Normal 38 55" xfId="32827"/>
    <cellStyle name="Normal 38 56" xfId="32828"/>
    <cellStyle name="Normal 38 57" xfId="32829"/>
    <cellStyle name="Normal 38 58" xfId="32830"/>
    <cellStyle name="Normal 38 59" xfId="32831"/>
    <cellStyle name="Normal 38 6" xfId="32832"/>
    <cellStyle name="Normal 38 6 2" xfId="32833"/>
    <cellStyle name="Normal 38 60" xfId="32834"/>
    <cellStyle name="Normal 38 61" xfId="32835"/>
    <cellStyle name="Normal 38 62" xfId="32836"/>
    <cellStyle name="Normal 38 63" xfId="32837"/>
    <cellStyle name="Normal 38 64" xfId="32838"/>
    <cellStyle name="Normal 38 65" xfId="32839"/>
    <cellStyle name="Normal 38 66" xfId="32840"/>
    <cellStyle name="Normal 38 67" xfId="32841"/>
    <cellStyle name="Normal 38 68" xfId="32842"/>
    <cellStyle name="Normal 38 69" xfId="32843"/>
    <cellStyle name="Normal 38 7" xfId="32844"/>
    <cellStyle name="Normal 38 7 2" xfId="32845"/>
    <cellStyle name="Normal 38 70" xfId="32846"/>
    <cellStyle name="Normal 38 71" xfId="32847"/>
    <cellStyle name="Normal 38 72" xfId="32848"/>
    <cellStyle name="Normal 38 73" xfId="32849"/>
    <cellStyle name="Normal 38 74" xfId="32850"/>
    <cellStyle name="Normal 38 75" xfId="32851"/>
    <cellStyle name="Normal 38 76" xfId="32852"/>
    <cellStyle name="Normal 38 77" xfId="32853"/>
    <cellStyle name="Normal 38 78" xfId="32854"/>
    <cellStyle name="Normal 38 79" xfId="32855"/>
    <cellStyle name="Normal 38 8" xfId="32856"/>
    <cellStyle name="Normal 38 8 2" xfId="32857"/>
    <cellStyle name="Normal 38 80" xfId="32858"/>
    <cellStyle name="Normal 38 81" xfId="32859"/>
    <cellStyle name="Normal 38 82" xfId="32860"/>
    <cellStyle name="Normal 38 83" xfId="32861"/>
    <cellStyle name="Normal 38 84" xfId="32862"/>
    <cellStyle name="Normal 38 9" xfId="32863"/>
    <cellStyle name="Normal 38 9 2" xfId="32864"/>
    <cellStyle name="Normal 39" xfId="445"/>
    <cellStyle name="Normal 39 10" xfId="32865"/>
    <cellStyle name="Normal 39 100" xfId="32866"/>
    <cellStyle name="Normal 39 101" xfId="32867"/>
    <cellStyle name="Normal 39 102" xfId="32868"/>
    <cellStyle name="Normal 39 103" xfId="32869"/>
    <cellStyle name="Normal 39 104" xfId="32870"/>
    <cellStyle name="Normal 39 105" xfId="32871"/>
    <cellStyle name="Normal 39 106" xfId="32872"/>
    <cellStyle name="Normal 39 107" xfId="32873"/>
    <cellStyle name="Normal 39 108" xfId="32874"/>
    <cellStyle name="Normal 39 109" xfId="32875"/>
    <cellStyle name="Normal 39 11" xfId="32876"/>
    <cellStyle name="Normal 39 12" xfId="32877"/>
    <cellStyle name="Normal 39 13" xfId="32878"/>
    <cellStyle name="Normal 39 14" xfId="32879"/>
    <cellStyle name="Normal 39 15" xfId="32880"/>
    <cellStyle name="Normal 39 16" xfId="32881"/>
    <cellStyle name="Normal 39 17" xfId="32882"/>
    <cellStyle name="Normal 39 18" xfId="32883"/>
    <cellStyle name="Normal 39 19" xfId="32884"/>
    <cellStyle name="Normal 39 2" xfId="1256"/>
    <cellStyle name="Normal 39 2 2" xfId="32885"/>
    <cellStyle name="Normal 39 20" xfId="32886"/>
    <cellStyle name="Normal 39 21" xfId="32887"/>
    <cellStyle name="Normal 39 22" xfId="32888"/>
    <cellStyle name="Normal 39 23" xfId="32889"/>
    <cellStyle name="Normal 39 24" xfId="32890"/>
    <cellStyle name="Normal 39 25" xfId="32891"/>
    <cellStyle name="Normal 39 26" xfId="32892"/>
    <cellStyle name="Normal 39 27" xfId="32893"/>
    <cellStyle name="Normal 39 28" xfId="32894"/>
    <cellStyle name="Normal 39 29" xfId="32895"/>
    <cellStyle name="Normal 39 3" xfId="32896"/>
    <cellStyle name="Normal 39 30" xfId="32897"/>
    <cellStyle name="Normal 39 31" xfId="32898"/>
    <cellStyle name="Normal 39 32" xfId="32899"/>
    <cellStyle name="Normal 39 33" xfId="32900"/>
    <cellStyle name="Normal 39 34" xfId="32901"/>
    <cellStyle name="Normal 39 35" xfId="32902"/>
    <cellStyle name="Normal 39 36" xfId="32903"/>
    <cellStyle name="Normal 39 37" xfId="32904"/>
    <cellStyle name="Normal 39 38" xfId="32905"/>
    <cellStyle name="Normal 39 39" xfId="32906"/>
    <cellStyle name="Normal 39 4" xfId="32907"/>
    <cellStyle name="Normal 39 40" xfId="32908"/>
    <cellStyle name="Normal 39 41" xfId="32909"/>
    <cellStyle name="Normal 39 42" xfId="32910"/>
    <cellStyle name="Normal 39 43" xfId="32911"/>
    <cellStyle name="Normal 39 44" xfId="32912"/>
    <cellStyle name="Normal 39 45" xfId="32913"/>
    <cellStyle name="Normal 39 46" xfId="32914"/>
    <cellStyle name="Normal 39 47" xfId="32915"/>
    <cellStyle name="Normal 39 48" xfId="32916"/>
    <cellStyle name="Normal 39 49" xfId="32917"/>
    <cellStyle name="Normal 39 5" xfId="32918"/>
    <cellStyle name="Normal 39 50" xfId="32919"/>
    <cellStyle name="Normal 39 51" xfId="32920"/>
    <cellStyle name="Normal 39 52" xfId="32921"/>
    <cellStyle name="Normal 39 53" xfId="32922"/>
    <cellStyle name="Normal 39 54" xfId="32923"/>
    <cellStyle name="Normal 39 55" xfId="32924"/>
    <cellStyle name="Normal 39 56" xfId="32925"/>
    <cellStyle name="Normal 39 57" xfId="32926"/>
    <cellStyle name="Normal 39 58" xfId="32927"/>
    <cellStyle name="Normal 39 59" xfId="32928"/>
    <cellStyle name="Normal 39 6" xfId="32929"/>
    <cellStyle name="Normal 39 60" xfId="32930"/>
    <cellStyle name="Normal 39 61" xfId="32931"/>
    <cellStyle name="Normal 39 62" xfId="32932"/>
    <cellStyle name="Normal 39 63" xfId="32933"/>
    <cellStyle name="Normal 39 64" xfId="32934"/>
    <cellStyle name="Normal 39 65" xfId="32935"/>
    <cellStyle name="Normal 39 66" xfId="32936"/>
    <cellStyle name="Normal 39 67" xfId="32937"/>
    <cellStyle name="Normal 39 68" xfId="32938"/>
    <cellStyle name="Normal 39 69" xfId="32939"/>
    <cellStyle name="Normal 39 7" xfId="32940"/>
    <cellStyle name="Normal 39 70" xfId="32941"/>
    <cellStyle name="Normal 39 71" xfId="32942"/>
    <cellStyle name="Normal 39 72" xfId="32943"/>
    <cellStyle name="Normal 39 73" xfId="32944"/>
    <cellStyle name="Normal 39 74" xfId="32945"/>
    <cellStyle name="Normal 39 75" xfId="32946"/>
    <cellStyle name="Normal 39 76" xfId="32947"/>
    <cellStyle name="Normal 39 77" xfId="32948"/>
    <cellStyle name="Normal 39 78" xfId="32949"/>
    <cellStyle name="Normal 39 79" xfId="32950"/>
    <cellStyle name="Normal 39 8" xfId="32951"/>
    <cellStyle name="Normal 39 80" xfId="32952"/>
    <cellStyle name="Normal 39 81" xfId="32953"/>
    <cellStyle name="Normal 39 82" xfId="32954"/>
    <cellStyle name="Normal 39 83" xfId="32955"/>
    <cellStyle name="Normal 39 84" xfId="32956"/>
    <cellStyle name="Normal 39 85" xfId="32957"/>
    <cellStyle name="Normal 39 86" xfId="32958"/>
    <cellStyle name="Normal 39 87" xfId="32959"/>
    <cellStyle name="Normal 39 88" xfId="32960"/>
    <cellStyle name="Normal 39 89" xfId="32961"/>
    <cellStyle name="Normal 39 9" xfId="32962"/>
    <cellStyle name="Normal 39 90" xfId="32963"/>
    <cellStyle name="Normal 39 91" xfId="32964"/>
    <cellStyle name="Normal 39 92" xfId="32965"/>
    <cellStyle name="Normal 39 93" xfId="32966"/>
    <cellStyle name="Normal 39 94" xfId="32967"/>
    <cellStyle name="Normal 39 95" xfId="32968"/>
    <cellStyle name="Normal 39 96" xfId="32969"/>
    <cellStyle name="Normal 39 97" xfId="32970"/>
    <cellStyle name="Normal 39 98" xfId="32971"/>
    <cellStyle name="Normal 39 99" xfId="32972"/>
    <cellStyle name="Normal 4" xfId="333"/>
    <cellStyle name="Normal 4 10" xfId="1813"/>
    <cellStyle name="Normal 4 10 2" xfId="32973"/>
    <cellStyle name="Normal 4 10 2 2" xfId="32974"/>
    <cellStyle name="Normal 4 10 3" xfId="32975"/>
    <cellStyle name="Normal 4 10 3 2" xfId="32976"/>
    <cellStyle name="Normal 4 10 4" xfId="32977"/>
    <cellStyle name="Normal 4 10 5" xfId="32978"/>
    <cellStyle name="Normal 4 10 6" xfId="32979"/>
    <cellStyle name="Normal 4 10 7" xfId="32980"/>
    <cellStyle name="Normal 4 10 8" xfId="32981"/>
    <cellStyle name="Normal 4 100" xfId="32982"/>
    <cellStyle name="Normal 4 101" xfId="32983"/>
    <cellStyle name="Normal 4 102" xfId="32984"/>
    <cellStyle name="Normal 4 103" xfId="32985"/>
    <cellStyle name="Normal 4 104" xfId="32986"/>
    <cellStyle name="Normal 4 105" xfId="32987"/>
    <cellStyle name="Normal 4 106" xfId="32988"/>
    <cellStyle name="Normal 4 107" xfId="32989"/>
    <cellStyle name="Normal 4 108" xfId="32990"/>
    <cellStyle name="Normal 4 109" xfId="32991"/>
    <cellStyle name="Normal 4 11" xfId="32992"/>
    <cellStyle name="Normal 4 11 2" xfId="32993"/>
    <cellStyle name="Normal 4 11 2 2" xfId="32994"/>
    <cellStyle name="Normal 4 11 3" xfId="32995"/>
    <cellStyle name="Normal 4 11 3 2" xfId="32996"/>
    <cellStyle name="Normal 4 11 4" xfId="32997"/>
    <cellStyle name="Normal 4 11 5" xfId="32998"/>
    <cellStyle name="Normal 4 11 6" xfId="32999"/>
    <cellStyle name="Normal 4 110" xfId="33000"/>
    <cellStyle name="Normal 4 111" xfId="33001"/>
    <cellStyle name="Normal 4 112" xfId="33002"/>
    <cellStyle name="Normal 4 113" xfId="33003"/>
    <cellStyle name="Normal 4 114" xfId="33004"/>
    <cellStyle name="Normal 4 115" xfId="33005"/>
    <cellStyle name="Normal 4 116" xfId="33006"/>
    <cellStyle name="Normal 4 117" xfId="33007"/>
    <cellStyle name="Normal 4 118" xfId="33008"/>
    <cellStyle name="Normal 4 119" xfId="33009"/>
    <cellStyle name="Normal 4 12" xfId="33010"/>
    <cellStyle name="Normal 4 12 2" xfId="33011"/>
    <cellStyle name="Normal 4 12 3" xfId="33012"/>
    <cellStyle name="Normal 4 13" xfId="33013"/>
    <cellStyle name="Normal 4 13 2" xfId="33014"/>
    <cellStyle name="Normal 4 13 3" xfId="33015"/>
    <cellStyle name="Normal 4 14" xfId="33016"/>
    <cellStyle name="Normal 4 14 2" xfId="33017"/>
    <cellStyle name="Normal 4 14 3" xfId="33018"/>
    <cellStyle name="Normal 4 15" xfId="33019"/>
    <cellStyle name="Normal 4 15 2" xfId="33020"/>
    <cellStyle name="Normal 4 15 3" xfId="33021"/>
    <cellStyle name="Normal 4 16" xfId="33022"/>
    <cellStyle name="Normal 4 16 2" xfId="33023"/>
    <cellStyle name="Normal 4 16 3" xfId="33024"/>
    <cellStyle name="Normal 4 17" xfId="33025"/>
    <cellStyle name="Normal 4 17 2" xfId="33026"/>
    <cellStyle name="Normal 4 18" xfId="33027"/>
    <cellStyle name="Normal 4 18 2" xfId="33028"/>
    <cellStyle name="Normal 4 19" xfId="33029"/>
    <cellStyle name="Normal 4 19 2" xfId="33030"/>
    <cellStyle name="Normal 4 2" xfId="457"/>
    <cellStyle name="Normal 4 2 10" xfId="33031"/>
    <cellStyle name="Normal 4 2 11" xfId="33032"/>
    <cellStyle name="Normal 4 2 2" xfId="1265"/>
    <cellStyle name="Normal 4 2 2 2" xfId="1681"/>
    <cellStyle name="Normal 4 2 2 2 2" xfId="33033"/>
    <cellStyle name="Normal 4 2 2 2 3" xfId="33034"/>
    <cellStyle name="Normal 4 2 2 3" xfId="33035"/>
    <cellStyle name="Normal 4 2 2 4" xfId="33036"/>
    <cellStyle name="Normal 4 2 2 5" xfId="33037"/>
    <cellStyle name="Normal 4 2 2 6" xfId="33038"/>
    <cellStyle name="Normal 4 2 2 7" xfId="33039"/>
    <cellStyle name="Normal 4 2 2 8" xfId="33040"/>
    <cellStyle name="Normal 4 2 2 9" xfId="33041"/>
    <cellStyle name="Normal 4 2 3" xfId="1381"/>
    <cellStyle name="Normal 4 2 3 2" xfId="33042"/>
    <cellStyle name="Normal 4 2 3 3" xfId="33043"/>
    <cellStyle name="Normal 4 2 3 4" xfId="33044"/>
    <cellStyle name="Normal 4 2 3 5" xfId="33045"/>
    <cellStyle name="Normal 4 2 3 6" xfId="33046"/>
    <cellStyle name="Normal 4 2 3 7" xfId="33047"/>
    <cellStyle name="Normal 4 2 4" xfId="1680"/>
    <cellStyle name="Normal 4 2 4 2" xfId="33048"/>
    <cellStyle name="Normal 4 2 4 3" xfId="33049"/>
    <cellStyle name="Normal 4 2 5" xfId="2006"/>
    <cellStyle name="Normal 4 2 5 2" xfId="33050"/>
    <cellStyle name="Normal 4 2 6" xfId="33051"/>
    <cellStyle name="Normal 4 2 7" xfId="33052"/>
    <cellStyle name="Normal 4 2 8" xfId="33053"/>
    <cellStyle name="Normal 4 2 9" xfId="33054"/>
    <cellStyle name="Normal 4 20" xfId="33055"/>
    <cellStyle name="Normal 4 20 2" xfId="33056"/>
    <cellStyle name="Normal 4 21" xfId="33057"/>
    <cellStyle name="Normal 4 21 2" xfId="33058"/>
    <cellStyle name="Normal 4 22" xfId="33059"/>
    <cellStyle name="Normal 4 22 2" xfId="33060"/>
    <cellStyle name="Normal 4 23" xfId="33061"/>
    <cellStyle name="Normal 4 23 2" xfId="33062"/>
    <cellStyle name="Normal 4 24" xfId="33063"/>
    <cellStyle name="Normal 4 24 2" xfId="33064"/>
    <cellStyle name="Normal 4 25" xfId="33065"/>
    <cellStyle name="Normal 4 25 2" xfId="33066"/>
    <cellStyle name="Normal 4 26" xfId="33067"/>
    <cellStyle name="Normal 4 26 2" xfId="33068"/>
    <cellStyle name="Normal 4 27" xfId="33069"/>
    <cellStyle name="Normal 4 27 2" xfId="33070"/>
    <cellStyle name="Normal 4 28" xfId="33071"/>
    <cellStyle name="Normal 4 28 2" xfId="33072"/>
    <cellStyle name="Normal 4 29" xfId="33073"/>
    <cellStyle name="Normal 4 29 2" xfId="33074"/>
    <cellStyle name="Normal 4 3" xfId="590"/>
    <cellStyle name="Normal 4 3 10" xfId="33075"/>
    <cellStyle name="Normal 4 3 11" xfId="33076"/>
    <cellStyle name="Normal 4 3 2" xfId="1683"/>
    <cellStyle name="Normal 4 3 2 2" xfId="33077"/>
    <cellStyle name="Normal 4 3 2 2 2" xfId="33078"/>
    <cellStyle name="Normal 4 3 2 3" xfId="33079"/>
    <cellStyle name="Normal 4 3 2 4" xfId="33080"/>
    <cellStyle name="Normal 4 3 2 5" xfId="33081"/>
    <cellStyle name="Normal 4 3 2 6" xfId="33082"/>
    <cellStyle name="Normal 4 3 2 7" xfId="33083"/>
    <cellStyle name="Normal 4 3 2 8" xfId="33084"/>
    <cellStyle name="Normal 4 3 2 9" xfId="33085"/>
    <cellStyle name="Normal 4 3 3" xfId="1682"/>
    <cellStyle name="Normal 4 3 3 2" xfId="33086"/>
    <cellStyle name="Normal 4 3 3 3" xfId="33087"/>
    <cellStyle name="Normal 4 3 3 4" xfId="33088"/>
    <cellStyle name="Normal 4 3 3 5" xfId="33089"/>
    <cellStyle name="Normal 4 3 3 6" xfId="33090"/>
    <cellStyle name="Normal 4 3 3 7" xfId="33091"/>
    <cellStyle name="Normal 4 3 4" xfId="2076"/>
    <cellStyle name="Normal 4 3 4 2" xfId="33092"/>
    <cellStyle name="Normal 4 3 4 3" xfId="33093"/>
    <cellStyle name="Normal 4 3 5" xfId="33094"/>
    <cellStyle name="Normal 4 3 6" xfId="33095"/>
    <cellStyle name="Normal 4 3 7" xfId="33096"/>
    <cellStyle name="Normal 4 3 8" xfId="33097"/>
    <cellStyle name="Normal 4 3 9" xfId="33098"/>
    <cellStyle name="Normal 4 30" xfId="33099"/>
    <cellStyle name="Normal 4 30 2" xfId="33100"/>
    <cellStyle name="Normal 4 31" xfId="33101"/>
    <cellStyle name="Normal 4 31 2" xfId="33102"/>
    <cellStyle name="Normal 4 32" xfId="33103"/>
    <cellStyle name="Normal 4 32 2" xfId="33104"/>
    <cellStyle name="Normal 4 33" xfId="33105"/>
    <cellStyle name="Normal 4 33 2" xfId="33106"/>
    <cellStyle name="Normal 4 34" xfId="33107"/>
    <cellStyle name="Normal 4 34 2" xfId="33108"/>
    <cellStyle name="Normal 4 35" xfId="33109"/>
    <cellStyle name="Normal 4 35 2" xfId="33110"/>
    <cellStyle name="Normal 4 36" xfId="33111"/>
    <cellStyle name="Normal 4 36 2" xfId="33112"/>
    <cellStyle name="Normal 4 37" xfId="33113"/>
    <cellStyle name="Normal 4 37 2" xfId="33114"/>
    <cellStyle name="Normal 4 38" xfId="33115"/>
    <cellStyle name="Normal 4 38 2" xfId="33116"/>
    <cellStyle name="Normal 4 39" xfId="33117"/>
    <cellStyle name="Normal 4 39 2" xfId="33118"/>
    <cellStyle name="Normal 4 4" xfId="713"/>
    <cellStyle name="Normal 4 4 10" xfId="33119"/>
    <cellStyle name="Normal 4 4 11" xfId="33120"/>
    <cellStyle name="Normal 4 4 2" xfId="1684"/>
    <cellStyle name="Normal 4 4 2 2" xfId="33121"/>
    <cellStyle name="Normal 4 4 2 2 2" xfId="33122"/>
    <cellStyle name="Normal 4 4 2 3" xfId="33123"/>
    <cellStyle name="Normal 4 4 2 4" xfId="33124"/>
    <cellStyle name="Normal 4 4 2 5" xfId="33125"/>
    <cellStyle name="Normal 4 4 2 6" xfId="33126"/>
    <cellStyle name="Normal 4 4 2 7" xfId="33127"/>
    <cellStyle name="Normal 4 4 2 8" xfId="33128"/>
    <cellStyle name="Normal 4 4 3" xfId="33129"/>
    <cellStyle name="Normal 4 4 3 2" xfId="33130"/>
    <cellStyle name="Normal 4 4 3 3" xfId="33131"/>
    <cellStyle name="Normal 4 4 3 4" xfId="33132"/>
    <cellStyle name="Normal 4 4 3 5" xfId="33133"/>
    <cellStyle name="Normal 4 4 3 6" xfId="33134"/>
    <cellStyle name="Normal 4 4 4" xfId="33135"/>
    <cellStyle name="Normal 4 4 4 2" xfId="33136"/>
    <cellStyle name="Normal 4 4 5" xfId="33137"/>
    <cellStyle name="Normal 4 4 6" xfId="33138"/>
    <cellStyle name="Normal 4 4 7" xfId="33139"/>
    <cellStyle name="Normal 4 4 8" xfId="33140"/>
    <cellStyle name="Normal 4 4 9" xfId="33141"/>
    <cellStyle name="Normal 4 40" xfId="33142"/>
    <cellStyle name="Normal 4 40 2" xfId="33143"/>
    <cellStyle name="Normal 4 41" xfId="33144"/>
    <cellStyle name="Normal 4 41 2" xfId="33145"/>
    <cellStyle name="Normal 4 42" xfId="33146"/>
    <cellStyle name="Normal 4 42 2" xfId="33147"/>
    <cellStyle name="Normal 4 43" xfId="33148"/>
    <cellStyle name="Normal 4 43 2" xfId="33149"/>
    <cellStyle name="Normal 4 44" xfId="33150"/>
    <cellStyle name="Normal 4 44 2" xfId="33151"/>
    <cellStyle name="Normal 4 45" xfId="33152"/>
    <cellStyle name="Normal 4 45 2" xfId="33153"/>
    <cellStyle name="Normal 4 46" xfId="33154"/>
    <cellStyle name="Normal 4 47" xfId="33155"/>
    <cellStyle name="Normal 4 48" xfId="33156"/>
    <cellStyle name="Normal 4 49" xfId="33157"/>
    <cellStyle name="Normal 4 5" xfId="775"/>
    <cellStyle name="Normal 4 5 10" xfId="33158"/>
    <cellStyle name="Normal 4 5 11" xfId="33159"/>
    <cellStyle name="Normal 4 5 2" xfId="1685"/>
    <cellStyle name="Normal 4 5 2 2" xfId="33160"/>
    <cellStyle name="Normal 4 5 2 2 2" xfId="33161"/>
    <cellStyle name="Normal 4 5 2 3" xfId="33162"/>
    <cellStyle name="Normal 4 5 2 4" xfId="33163"/>
    <cellStyle name="Normal 4 5 2 5" xfId="33164"/>
    <cellStyle name="Normal 4 5 2 6" xfId="33165"/>
    <cellStyle name="Normal 4 5 2 7" xfId="33166"/>
    <cellStyle name="Normal 4 5 2 8" xfId="33167"/>
    <cellStyle name="Normal 4 5 3" xfId="33168"/>
    <cellStyle name="Normal 4 5 3 2" xfId="33169"/>
    <cellStyle name="Normal 4 5 3 3" xfId="33170"/>
    <cellStyle name="Normal 4 5 3 4" xfId="33171"/>
    <cellStyle name="Normal 4 5 3 5" xfId="33172"/>
    <cellStyle name="Normal 4 5 3 6" xfId="33173"/>
    <cellStyle name="Normal 4 5 4" xfId="33174"/>
    <cellStyle name="Normal 4 5 4 2" xfId="33175"/>
    <cellStyle name="Normal 4 5 5" xfId="33176"/>
    <cellStyle name="Normal 4 5 6" xfId="33177"/>
    <cellStyle name="Normal 4 5 7" xfId="33178"/>
    <cellStyle name="Normal 4 5 8" xfId="33179"/>
    <cellStyle name="Normal 4 5 9" xfId="33180"/>
    <cellStyle name="Normal 4 50" xfId="33181"/>
    <cellStyle name="Normal 4 51" xfId="33182"/>
    <cellStyle name="Normal 4 52" xfId="33183"/>
    <cellStyle name="Normal 4 53" xfId="33184"/>
    <cellStyle name="Normal 4 54" xfId="33185"/>
    <cellStyle name="Normal 4 55" xfId="33186"/>
    <cellStyle name="Normal 4 56" xfId="33187"/>
    <cellStyle name="Normal 4 57" xfId="33188"/>
    <cellStyle name="Normal 4 58" xfId="33189"/>
    <cellStyle name="Normal 4 59" xfId="33190"/>
    <cellStyle name="Normal 4 6" xfId="925"/>
    <cellStyle name="Normal 4 6 10" xfId="33191"/>
    <cellStyle name="Normal 4 6 11" xfId="33192"/>
    <cellStyle name="Normal 4 6 2" xfId="1686"/>
    <cellStyle name="Normal 4 6 2 2" xfId="33193"/>
    <cellStyle name="Normal 4 6 2 2 2" xfId="33194"/>
    <cellStyle name="Normal 4 6 2 3" xfId="33195"/>
    <cellStyle name="Normal 4 6 2 4" xfId="33196"/>
    <cellStyle name="Normal 4 6 2 5" xfId="33197"/>
    <cellStyle name="Normal 4 6 2 6" xfId="33198"/>
    <cellStyle name="Normal 4 6 2 7" xfId="33199"/>
    <cellStyle name="Normal 4 6 2 8" xfId="33200"/>
    <cellStyle name="Normal 4 6 3" xfId="33201"/>
    <cellStyle name="Normal 4 6 3 2" xfId="33202"/>
    <cellStyle name="Normal 4 6 3 3" xfId="33203"/>
    <cellStyle name="Normal 4 6 3 4" xfId="33204"/>
    <cellStyle name="Normal 4 6 3 5" xfId="33205"/>
    <cellStyle name="Normal 4 6 3 6" xfId="33206"/>
    <cellStyle name="Normal 4 6 4" xfId="33207"/>
    <cellStyle name="Normal 4 6 4 2" xfId="33208"/>
    <cellStyle name="Normal 4 6 5" xfId="33209"/>
    <cellStyle name="Normal 4 6 6" xfId="33210"/>
    <cellStyle name="Normal 4 6 7" xfId="33211"/>
    <cellStyle name="Normal 4 6 8" xfId="33212"/>
    <cellStyle name="Normal 4 6 9" xfId="33213"/>
    <cellStyle name="Normal 4 60" xfId="33214"/>
    <cellStyle name="Normal 4 61" xfId="33215"/>
    <cellStyle name="Normal 4 62" xfId="33216"/>
    <cellStyle name="Normal 4 63" xfId="33217"/>
    <cellStyle name="Normal 4 64" xfId="33218"/>
    <cellStyle name="Normal 4 65" xfId="33219"/>
    <cellStyle name="Normal 4 66" xfId="33220"/>
    <cellStyle name="Normal 4 67" xfId="33221"/>
    <cellStyle name="Normal 4 68" xfId="33222"/>
    <cellStyle name="Normal 4 69" xfId="33223"/>
    <cellStyle name="Normal 4 7" xfId="1362"/>
    <cellStyle name="Normal 4 7 10" xfId="33224"/>
    <cellStyle name="Normal 4 7 2" xfId="33225"/>
    <cellStyle name="Normal 4 7 2 2" xfId="33226"/>
    <cellStyle name="Normal 4 7 2 2 2" xfId="33227"/>
    <cellStyle name="Normal 4 7 2 3" xfId="33228"/>
    <cellStyle name="Normal 4 7 2 4" xfId="33229"/>
    <cellStyle name="Normal 4 7 2 5" xfId="33230"/>
    <cellStyle name="Normal 4 7 2 6" xfId="33231"/>
    <cellStyle name="Normal 4 7 2 7" xfId="33232"/>
    <cellStyle name="Normal 4 7 3" xfId="33233"/>
    <cellStyle name="Normal 4 7 3 2" xfId="33234"/>
    <cellStyle name="Normal 4 7 3 3" xfId="33235"/>
    <cellStyle name="Normal 4 7 3 4" xfId="33236"/>
    <cellStyle name="Normal 4 7 3 5" xfId="33237"/>
    <cellStyle name="Normal 4 7 3 6" xfId="33238"/>
    <cellStyle name="Normal 4 7 4" xfId="33239"/>
    <cellStyle name="Normal 4 7 4 2" xfId="33240"/>
    <cellStyle name="Normal 4 7 5" xfId="33241"/>
    <cellStyle name="Normal 4 7 6" xfId="33242"/>
    <cellStyle name="Normal 4 7 7" xfId="33243"/>
    <cellStyle name="Normal 4 7 8" xfId="33244"/>
    <cellStyle name="Normal 4 7 9" xfId="33245"/>
    <cellStyle name="Normal 4 70" xfId="33246"/>
    <cellStyle name="Normal 4 71" xfId="33247"/>
    <cellStyle name="Normal 4 72" xfId="33248"/>
    <cellStyle name="Normal 4 73" xfId="33249"/>
    <cellStyle name="Normal 4 74" xfId="33250"/>
    <cellStyle name="Normal 4 75" xfId="33251"/>
    <cellStyle name="Normal 4 76" xfId="33252"/>
    <cellStyle name="Normal 4 77" xfId="33253"/>
    <cellStyle name="Normal 4 78" xfId="33254"/>
    <cellStyle name="Normal 4 79" xfId="33255"/>
    <cellStyle name="Normal 4 8" xfId="1679"/>
    <cellStyle name="Normal 4 8 10" xfId="33256"/>
    <cellStyle name="Normal 4 8 2" xfId="33257"/>
    <cellStyle name="Normal 4 8 2 2" xfId="33258"/>
    <cellStyle name="Normal 4 8 2 2 2" xfId="33259"/>
    <cellStyle name="Normal 4 8 2 3" xfId="33260"/>
    <cellStyle name="Normal 4 8 2 4" xfId="33261"/>
    <cellStyle name="Normal 4 8 2 5" xfId="33262"/>
    <cellStyle name="Normal 4 8 2 6" xfId="33263"/>
    <cellStyle name="Normal 4 8 2 7" xfId="33264"/>
    <cellStyle name="Normal 4 8 3" xfId="33265"/>
    <cellStyle name="Normal 4 8 3 2" xfId="33266"/>
    <cellStyle name="Normal 4 8 3 3" xfId="33267"/>
    <cellStyle name="Normal 4 8 3 4" xfId="33268"/>
    <cellStyle name="Normal 4 8 3 5" xfId="33269"/>
    <cellStyle name="Normal 4 8 3 6" xfId="33270"/>
    <cellStyle name="Normal 4 8 4" xfId="33271"/>
    <cellStyle name="Normal 4 8 4 2" xfId="33272"/>
    <cellStyle name="Normal 4 8 5" xfId="33273"/>
    <cellStyle name="Normal 4 8 6" xfId="33274"/>
    <cellStyle name="Normal 4 8 7" xfId="33275"/>
    <cellStyle name="Normal 4 8 8" xfId="33276"/>
    <cellStyle name="Normal 4 8 9" xfId="33277"/>
    <cellStyle name="Normal 4 80" xfId="33278"/>
    <cellStyle name="Normal 4 81" xfId="33279"/>
    <cellStyle name="Normal 4 82" xfId="33280"/>
    <cellStyle name="Normal 4 83" xfId="33281"/>
    <cellStyle name="Normal 4 84" xfId="33282"/>
    <cellStyle name="Normal 4 85" xfId="33283"/>
    <cellStyle name="Normal 4 86" xfId="33284"/>
    <cellStyle name="Normal 4 87" xfId="33285"/>
    <cellStyle name="Normal 4 88" xfId="33286"/>
    <cellStyle name="Normal 4 89" xfId="33287"/>
    <cellStyle name="Normal 4 9" xfId="1774"/>
    <cellStyle name="Normal 4 9 2" xfId="33288"/>
    <cellStyle name="Normal 4 9 2 2" xfId="33289"/>
    <cellStyle name="Normal 4 9 2 2 2" xfId="33290"/>
    <cellStyle name="Normal 4 9 2 3" xfId="33291"/>
    <cellStyle name="Normal 4 9 2 4" xfId="33292"/>
    <cellStyle name="Normal 4 9 2 5" xfId="33293"/>
    <cellStyle name="Normal 4 9 2 6" xfId="33294"/>
    <cellStyle name="Normal 4 9 3" xfId="33295"/>
    <cellStyle name="Normal 4 9 3 2" xfId="33296"/>
    <cellStyle name="Normal 4 9 4" xfId="33297"/>
    <cellStyle name="Normal 4 9 5" xfId="33298"/>
    <cellStyle name="Normal 4 9 6" xfId="33299"/>
    <cellStyle name="Normal 4 9 7" xfId="33300"/>
    <cellStyle name="Normal 4 9 8" xfId="33301"/>
    <cellStyle name="Normal 4 9 9" xfId="33302"/>
    <cellStyle name="Normal 4 90" xfId="33303"/>
    <cellStyle name="Normal 4 91" xfId="33304"/>
    <cellStyle name="Normal 4 92" xfId="33305"/>
    <cellStyle name="Normal 4 93" xfId="33306"/>
    <cellStyle name="Normal 4 94" xfId="33307"/>
    <cellStyle name="Normal 4 95" xfId="33308"/>
    <cellStyle name="Normal 4 96" xfId="33309"/>
    <cellStyle name="Normal 4 97" xfId="33310"/>
    <cellStyle name="Normal 4 98" xfId="33311"/>
    <cellStyle name="Normal 4 99" xfId="33312"/>
    <cellStyle name="Normal 40" xfId="475"/>
    <cellStyle name="Normal 40 10" xfId="33313"/>
    <cellStyle name="Normal 40 100" xfId="33314"/>
    <cellStyle name="Normal 40 101" xfId="33315"/>
    <cellStyle name="Normal 40 102" xfId="33316"/>
    <cellStyle name="Normal 40 103" xfId="33317"/>
    <cellStyle name="Normal 40 104" xfId="33318"/>
    <cellStyle name="Normal 40 105" xfId="33319"/>
    <cellStyle name="Normal 40 106" xfId="33320"/>
    <cellStyle name="Normal 40 107" xfId="33321"/>
    <cellStyle name="Normal 40 108" xfId="33322"/>
    <cellStyle name="Normal 40 109" xfId="33323"/>
    <cellStyle name="Normal 40 11" xfId="33324"/>
    <cellStyle name="Normal 40 12" xfId="33325"/>
    <cellStyle name="Normal 40 13" xfId="33326"/>
    <cellStyle name="Normal 40 14" xfId="33327"/>
    <cellStyle name="Normal 40 15" xfId="33328"/>
    <cellStyle name="Normal 40 16" xfId="33329"/>
    <cellStyle name="Normal 40 17" xfId="33330"/>
    <cellStyle name="Normal 40 18" xfId="33331"/>
    <cellStyle name="Normal 40 19" xfId="33332"/>
    <cellStyle name="Normal 40 2" xfId="1280"/>
    <cellStyle name="Normal 40 2 2" xfId="33333"/>
    <cellStyle name="Normal 40 20" xfId="33334"/>
    <cellStyle name="Normal 40 21" xfId="33335"/>
    <cellStyle name="Normal 40 22" xfId="33336"/>
    <cellStyle name="Normal 40 23" xfId="33337"/>
    <cellStyle name="Normal 40 24" xfId="33338"/>
    <cellStyle name="Normal 40 25" xfId="33339"/>
    <cellStyle name="Normal 40 26" xfId="33340"/>
    <cellStyle name="Normal 40 27" xfId="33341"/>
    <cellStyle name="Normal 40 28" xfId="33342"/>
    <cellStyle name="Normal 40 29" xfId="33343"/>
    <cellStyle name="Normal 40 3" xfId="33344"/>
    <cellStyle name="Normal 40 30" xfId="33345"/>
    <cellStyle name="Normal 40 31" xfId="33346"/>
    <cellStyle name="Normal 40 32" xfId="33347"/>
    <cellStyle name="Normal 40 33" xfId="33348"/>
    <cellStyle name="Normal 40 34" xfId="33349"/>
    <cellStyle name="Normal 40 35" xfId="33350"/>
    <cellStyle name="Normal 40 36" xfId="33351"/>
    <cellStyle name="Normal 40 37" xfId="33352"/>
    <cellStyle name="Normal 40 38" xfId="33353"/>
    <cellStyle name="Normal 40 39" xfId="33354"/>
    <cellStyle name="Normal 40 4" xfId="33355"/>
    <cellStyle name="Normal 40 40" xfId="33356"/>
    <cellStyle name="Normal 40 41" xfId="33357"/>
    <cellStyle name="Normal 40 42" xfId="33358"/>
    <cellStyle name="Normal 40 43" xfId="33359"/>
    <cellStyle name="Normal 40 44" xfId="33360"/>
    <cellStyle name="Normal 40 45" xfId="33361"/>
    <cellStyle name="Normal 40 46" xfId="33362"/>
    <cellStyle name="Normal 40 47" xfId="33363"/>
    <cellStyle name="Normal 40 48" xfId="33364"/>
    <cellStyle name="Normal 40 49" xfId="33365"/>
    <cellStyle name="Normal 40 5" xfId="33366"/>
    <cellStyle name="Normal 40 50" xfId="33367"/>
    <cellStyle name="Normal 40 51" xfId="33368"/>
    <cellStyle name="Normal 40 52" xfId="33369"/>
    <cellStyle name="Normal 40 53" xfId="33370"/>
    <cellStyle name="Normal 40 54" xfId="33371"/>
    <cellStyle name="Normal 40 55" xfId="33372"/>
    <cellStyle name="Normal 40 56" xfId="33373"/>
    <cellStyle name="Normal 40 57" xfId="33374"/>
    <cellStyle name="Normal 40 58" xfId="33375"/>
    <cellStyle name="Normal 40 59" xfId="33376"/>
    <cellStyle name="Normal 40 6" xfId="33377"/>
    <cellStyle name="Normal 40 60" xfId="33378"/>
    <cellStyle name="Normal 40 61" xfId="33379"/>
    <cellStyle name="Normal 40 62" xfId="33380"/>
    <cellStyle name="Normal 40 63" xfId="33381"/>
    <cellStyle name="Normal 40 64" xfId="33382"/>
    <cellStyle name="Normal 40 65" xfId="33383"/>
    <cellStyle name="Normal 40 66" xfId="33384"/>
    <cellStyle name="Normal 40 67" xfId="33385"/>
    <cellStyle name="Normal 40 68" xfId="33386"/>
    <cellStyle name="Normal 40 69" xfId="33387"/>
    <cellStyle name="Normal 40 7" xfId="33388"/>
    <cellStyle name="Normal 40 70" xfId="33389"/>
    <cellStyle name="Normal 40 71" xfId="33390"/>
    <cellStyle name="Normal 40 72" xfId="33391"/>
    <cellStyle name="Normal 40 73" xfId="33392"/>
    <cellStyle name="Normal 40 74" xfId="33393"/>
    <cellStyle name="Normal 40 75" xfId="33394"/>
    <cellStyle name="Normal 40 76" xfId="33395"/>
    <cellStyle name="Normal 40 77" xfId="33396"/>
    <cellStyle name="Normal 40 78" xfId="33397"/>
    <cellStyle name="Normal 40 79" xfId="33398"/>
    <cellStyle name="Normal 40 8" xfId="33399"/>
    <cellStyle name="Normal 40 80" xfId="33400"/>
    <cellStyle name="Normal 40 81" xfId="33401"/>
    <cellStyle name="Normal 40 82" xfId="33402"/>
    <cellStyle name="Normal 40 83" xfId="33403"/>
    <cellStyle name="Normal 40 84" xfId="33404"/>
    <cellStyle name="Normal 40 85" xfId="33405"/>
    <cellStyle name="Normal 40 86" xfId="33406"/>
    <cellStyle name="Normal 40 87" xfId="33407"/>
    <cellStyle name="Normal 40 88" xfId="33408"/>
    <cellStyle name="Normal 40 89" xfId="33409"/>
    <cellStyle name="Normal 40 9" xfId="33410"/>
    <cellStyle name="Normal 40 90" xfId="33411"/>
    <cellStyle name="Normal 40 91" xfId="33412"/>
    <cellStyle name="Normal 40 92" xfId="33413"/>
    <cellStyle name="Normal 40 93" xfId="33414"/>
    <cellStyle name="Normal 40 94" xfId="33415"/>
    <cellStyle name="Normal 40 95" xfId="33416"/>
    <cellStyle name="Normal 40 96" xfId="33417"/>
    <cellStyle name="Normal 40 97" xfId="33418"/>
    <cellStyle name="Normal 40 98" xfId="33419"/>
    <cellStyle name="Normal 40 99" xfId="33420"/>
    <cellStyle name="Normal 41" xfId="428"/>
    <cellStyle name="Normal 41 10" xfId="33421"/>
    <cellStyle name="Normal 41 100" xfId="33422"/>
    <cellStyle name="Normal 41 101" xfId="33423"/>
    <cellStyle name="Normal 41 102" xfId="33424"/>
    <cellStyle name="Normal 41 103" xfId="33425"/>
    <cellStyle name="Normal 41 104" xfId="33426"/>
    <cellStyle name="Normal 41 105" xfId="33427"/>
    <cellStyle name="Normal 41 106" xfId="33428"/>
    <cellStyle name="Normal 41 107" xfId="33429"/>
    <cellStyle name="Normal 41 108" xfId="33430"/>
    <cellStyle name="Normal 41 109" xfId="33431"/>
    <cellStyle name="Normal 41 11" xfId="33432"/>
    <cellStyle name="Normal 41 12" xfId="33433"/>
    <cellStyle name="Normal 41 13" xfId="33434"/>
    <cellStyle name="Normal 41 14" xfId="33435"/>
    <cellStyle name="Normal 41 15" xfId="33436"/>
    <cellStyle name="Normal 41 16" xfId="33437"/>
    <cellStyle name="Normal 41 17" xfId="33438"/>
    <cellStyle name="Normal 41 18" xfId="33439"/>
    <cellStyle name="Normal 41 19" xfId="33440"/>
    <cellStyle name="Normal 41 2" xfId="1246"/>
    <cellStyle name="Normal 41 2 2" xfId="33441"/>
    <cellStyle name="Normal 41 20" xfId="33442"/>
    <cellStyle name="Normal 41 21" xfId="33443"/>
    <cellStyle name="Normal 41 22" xfId="33444"/>
    <cellStyle name="Normal 41 23" xfId="33445"/>
    <cellStyle name="Normal 41 24" xfId="33446"/>
    <cellStyle name="Normal 41 25" xfId="33447"/>
    <cellStyle name="Normal 41 26" xfId="33448"/>
    <cellStyle name="Normal 41 27" xfId="33449"/>
    <cellStyle name="Normal 41 28" xfId="33450"/>
    <cellStyle name="Normal 41 29" xfId="33451"/>
    <cellStyle name="Normal 41 3" xfId="33452"/>
    <cellStyle name="Normal 41 30" xfId="33453"/>
    <cellStyle name="Normal 41 31" xfId="33454"/>
    <cellStyle name="Normal 41 32" xfId="33455"/>
    <cellStyle name="Normal 41 33" xfId="33456"/>
    <cellStyle name="Normal 41 34" xfId="33457"/>
    <cellStyle name="Normal 41 35" xfId="33458"/>
    <cellStyle name="Normal 41 36" xfId="33459"/>
    <cellStyle name="Normal 41 37" xfId="33460"/>
    <cellStyle name="Normal 41 38" xfId="33461"/>
    <cellStyle name="Normal 41 39" xfId="33462"/>
    <cellStyle name="Normal 41 4" xfId="33463"/>
    <cellStyle name="Normal 41 40" xfId="33464"/>
    <cellStyle name="Normal 41 41" xfId="33465"/>
    <cellStyle name="Normal 41 42" xfId="33466"/>
    <cellStyle name="Normal 41 43" xfId="33467"/>
    <cellStyle name="Normal 41 44" xfId="33468"/>
    <cellStyle name="Normal 41 45" xfId="33469"/>
    <cellStyle name="Normal 41 46" xfId="33470"/>
    <cellStyle name="Normal 41 47" xfId="33471"/>
    <cellStyle name="Normal 41 48" xfId="33472"/>
    <cellStyle name="Normal 41 49" xfId="33473"/>
    <cellStyle name="Normal 41 5" xfId="33474"/>
    <cellStyle name="Normal 41 50" xfId="33475"/>
    <cellStyle name="Normal 41 51" xfId="33476"/>
    <cellStyle name="Normal 41 52" xfId="33477"/>
    <cellStyle name="Normal 41 53" xfId="33478"/>
    <cellStyle name="Normal 41 54" xfId="33479"/>
    <cellStyle name="Normal 41 55" xfId="33480"/>
    <cellStyle name="Normal 41 56" xfId="33481"/>
    <cellStyle name="Normal 41 57" xfId="33482"/>
    <cellStyle name="Normal 41 58" xfId="33483"/>
    <cellStyle name="Normal 41 59" xfId="33484"/>
    <cellStyle name="Normal 41 6" xfId="33485"/>
    <cellStyle name="Normal 41 60" xfId="33486"/>
    <cellStyle name="Normal 41 61" xfId="33487"/>
    <cellStyle name="Normal 41 62" xfId="33488"/>
    <cellStyle name="Normal 41 63" xfId="33489"/>
    <cellStyle name="Normal 41 64" xfId="33490"/>
    <cellStyle name="Normal 41 65" xfId="33491"/>
    <cellStyle name="Normal 41 66" xfId="33492"/>
    <cellStyle name="Normal 41 67" xfId="33493"/>
    <cellStyle name="Normal 41 68" xfId="33494"/>
    <cellStyle name="Normal 41 69" xfId="33495"/>
    <cellStyle name="Normal 41 7" xfId="33496"/>
    <cellStyle name="Normal 41 70" xfId="33497"/>
    <cellStyle name="Normal 41 71" xfId="33498"/>
    <cellStyle name="Normal 41 72" xfId="33499"/>
    <cellStyle name="Normal 41 73" xfId="33500"/>
    <cellStyle name="Normal 41 74" xfId="33501"/>
    <cellStyle name="Normal 41 75" xfId="33502"/>
    <cellStyle name="Normal 41 76" xfId="33503"/>
    <cellStyle name="Normal 41 77" xfId="33504"/>
    <cellStyle name="Normal 41 78" xfId="33505"/>
    <cellStyle name="Normal 41 79" xfId="33506"/>
    <cellStyle name="Normal 41 8" xfId="33507"/>
    <cellStyle name="Normal 41 80" xfId="33508"/>
    <cellStyle name="Normal 41 81" xfId="33509"/>
    <cellStyle name="Normal 41 82" xfId="33510"/>
    <cellStyle name="Normal 41 83" xfId="33511"/>
    <cellStyle name="Normal 41 84" xfId="33512"/>
    <cellStyle name="Normal 41 85" xfId="33513"/>
    <cellStyle name="Normal 41 86" xfId="33514"/>
    <cellStyle name="Normal 41 87" xfId="33515"/>
    <cellStyle name="Normal 41 88" xfId="33516"/>
    <cellStyle name="Normal 41 89" xfId="33517"/>
    <cellStyle name="Normal 41 9" xfId="33518"/>
    <cellStyle name="Normal 41 90" xfId="33519"/>
    <cellStyle name="Normal 41 91" xfId="33520"/>
    <cellStyle name="Normal 41 92" xfId="33521"/>
    <cellStyle name="Normal 41 93" xfId="33522"/>
    <cellStyle name="Normal 41 94" xfId="33523"/>
    <cellStyle name="Normal 41 95" xfId="33524"/>
    <cellStyle name="Normal 41 96" xfId="33525"/>
    <cellStyle name="Normal 41 97" xfId="33526"/>
    <cellStyle name="Normal 41 98" xfId="33527"/>
    <cellStyle name="Normal 41 99" xfId="33528"/>
    <cellStyle name="Normal 42" xfId="468"/>
    <cellStyle name="Normal 42 10" xfId="33529"/>
    <cellStyle name="Normal 42 11" xfId="33530"/>
    <cellStyle name="Normal 42 12" xfId="33531"/>
    <cellStyle name="Normal 42 13" xfId="33532"/>
    <cellStyle name="Normal 42 14" xfId="33533"/>
    <cellStyle name="Normal 42 15" xfId="33534"/>
    <cellStyle name="Normal 42 16" xfId="33535"/>
    <cellStyle name="Normal 42 17" xfId="33536"/>
    <cellStyle name="Normal 42 18" xfId="33537"/>
    <cellStyle name="Normal 42 19" xfId="33538"/>
    <cellStyle name="Normal 42 2" xfId="1273"/>
    <cellStyle name="Normal 42 2 2" xfId="33539"/>
    <cellStyle name="Normal 42 20" xfId="33540"/>
    <cellStyle name="Normal 42 21" xfId="33541"/>
    <cellStyle name="Normal 42 22" xfId="33542"/>
    <cellStyle name="Normal 42 23" xfId="33543"/>
    <cellStyle name="Normal 42 24" xfId="33544"/>
    <cellStyle name="Normal 42 25" xfId="33545"/>
    <cellStyle name="Normal 42 26" xfId="33546"/>
    <cellStyle name="Normal 42 27" xfId="33547"/>
    <cellStyle name="Normal 42 28" xfId="33548"/>
    <cellStyle name="Normal 42 29" xfId="33549"/>
    <cellStyle name="Normal 42 3" xfId="33550"/>
    <cellStyle name="Normal 42 30" xfId="33551"/>
    <cellStyle name="Normal 42 31" xfId="33552"/>
    <cellStyle name="Normal 42 32" xfId="33553"/>
    <cellStyle name="Normal 42 33" xfId="33554"/>
    <cellStyle name="Normal 42 34" xfId="33555"/>
    <cellStyle name="Normal 42 35" xfId="33556"/>
    <cellStyle name="Normal 42 36" xfId="33557"/>
    <cellStyle name="Normal 42 37" xfId="33558"/>
    <cellStyle name="Normal 42 38" xfId="33559"/>
    <cellStyle name="Normal 42 39" xfId="33560"/>
    <cellStyle name="Normal 42 4" xfId="33561"/>
    <cellStyle name="Normal 42 40" xfId="33562"/>
    <cellStyle name="Normal 42 41" xfId="33563"/>
    <cellStyle name="Normal 42 42" xfId="33564"/>
    <cellStyle name="Normal 42 43" xfId="33565"/>
    <cellStyle name="Normal 42 44" xfId="33566"/>
    <cellStyle name="Normal 42 45" xfId="33567"/>
    <cellStyle name="Normal 42 46" xfId="33568"/>
    <cellStyle name="Normal 42 47" xfId="33569"/>
    <cellStyle name="Normal 42 48" xfId="33570"/>
    <cellStyle name="Normal 42 49" xfId="33571"/>
    <cellStyle name="Normal 42 5" xfId="33572"/>
    <cellStyle name="Normal 42 50" xfId="33573"/>
    <cellStyle name="Normal 42 51" xfId="33574"/>
    <cellStyle name="Normal 42 52" xfId="33575"/>
    <cellStyle name="Normal 42 53" xfId="33576"/>
    <cellStyle name="Normal 42 54" xfId="33577"/>
    <cellStyle name="Normal 42 55" xfId="33578"/>
    <cellStyle name="Normal 42 56" xfId="33579"/>
    <cellStyle name="Normal 42 57" xfId="33580"/>
    <cellStyle name="Normal 42 58" xfId="33581"/>
    <cellStyle name="Normal 42 59" xfId="33582"/>
    <cellStyle name="Normal 42 6" xfId="33583"/>
    <cellStyle name="Normal 42 60" xfId="33584"/>
    <cellStyle name="Normal 42 61" xfId="33585"/>
    <cellStyle name="Normal 42 62" xfId="33586"/>
    <cellStyle name="Normal 42 63" xfId="33587"/>
    <cellStyle name="Normal 42 64" xfId="33588"/>
    <cellStyle name="Normal 42 65" xfId="33589"/>
    <cellStyle name="Normal 42 66" xfId="33590"/>
    <cellStyle name="Normal 42 67" xfId="33591"/>
    <cellStyle name="Normal 42 68" xfId="33592"/>
    <cellStyle name="Normal 42 69" xfId="33593"/>
    <cellStyle name="Normal 42 7" xfId="33594"/>
    <cellStyle name="Normal 42 70" xfId="33595"/>
    <cellStyle name="Normal 42 71" xfId="33596"/>
    <cellStyle name="Normal 42 72" xfId="33597"/>
    <cellStyle name="Normal 42 73" xfId="33598"/>
    <cellStyle name="Normal 42 74" xfId="33599"/>
    <cellStyle name="Normal 42 75" xfId="33600"/>
    <cellStyle name="Normal 42 76" xfId="33601"/>
    <cellStyle name="Normal 42 77" xfId="33602"/>
    <cellStyle name="Normal 42 78" xfId="33603"/>
    <cellStyle name="Normal 42 79" xfId="33604"/>
    <cellStyle name="Normal 42 8" xfId="33605"/>
    <cellStyle name="Normal 42 80" xfId="33606"/>
    <cellStyle name="Normal 42 81" xfId="33607"/>
    <cellStyle name="Normal 42 82" xfId="33608"/>
    <cellStyle name="Normal 42 83" xfId="33609"/>
    <cellStyle name="Normal 42 84" xfId="33610"/>
    <cellStyle name="Normal 42 85" xfId="33611"/>
    <cellStyle name="Normal 42 86" xfId="33612"/>
    <cellStyle name="Normal 42 87" xfId="33613"/>
    <cellStyle name="Normal 42 88" xfId="33614"/>
    <cellStyle name="Normal 42 89" xfId="33615"/>
    <cellStyle name="Normal 42 9" xfId="33616"/>
    <cellStyle name="Normal 42 90" xfId="33617"/>
    <cellStyle name="Normal 42 91" xfId="33618"/>
    <cellStyle name="Normal 42 92" xfId="33619"/>
    <cellStyle name="Normal 42 93" xfId="33620"/>
    <cellStyle name="Normal 42 94" xfId="33621"/>
    <cellStyle name="Normal 42 95" xfId="33622"/>
    <cellStyle name="Normal 42 96" xfId="33623"/>
    <cellStyle name="Normal 42 97" xfId="33624"/>
    <cellStyle name="Normal 42 98" xfId="33625"/>
    <cellStyle name="Normal 43" xfId="405"/>
    <cellStyle name="Normal 43 10" xfId="33626"/>
    <cellStyle name="Normal 43 11" xfId="33627"/>
    <cellStyle name="Normal 43 12" xfId="33628"/>
    <cellStyle name="Normal 43 13" xfId="33629"/>
    <cellStyle name="Normal 43 14" xfId="33630"/>
    <cellStyle name="Normal 43 15" xfId="33631"/>
    <cellStyle name="Normal 43 16" xfId="33632"/>
    <cellStyle name="Normal 43 17" xfId="33633"/>
    <cellStyle name="Normal 43 18" xfId="33634"/>
    <cellStyle name="Normal 43 19" xfId="33635"/>
    <cellStyle name="Normal 43 2" xfId="1229"/>
    <cellStyle name="Normal 43 2 2" xfId="33636"/>
    <cellStyle name="Normal 43 20" xfId="33637"/>
    <cellStyle name="Normal 43 21" xfId="33638"/>
    <cellStyle name="Normal 43 22" xfId="33639"/>
    <cellStyle name="Normal 43 23" xfId="33640"/>
    <cellStyle name="Normal 43 24" xfId="33641"/>
    <cellStyle name="Normal 43 25" xfId="33642"/>
    <cellStyle name="Normal 43 26" xfId="33643"/>
    <cellStyle name="Normal 43 27" xfId="33644"/>
    <cellStyle name="Normal 43 28" xfId="33645"/>
    <cellStyle name="Normal 43 29" xfId="33646"/>
    <cellStyle name="Normal 43 3" xfId="33647"/>
    <cellStyle name="Normal 43 30" xfId="33648"/>
    <cellStyle name="Normal 43 31" xfId="33649"/>
    <cellStyle name="Normal 43 32" xfId="33650"/>
    <cellStyle name="Normal 43 33" xfId="33651"/>
    <cellStyle name="Normal 43 34" xfId="33652"/>
    <cellStyle name="Normal 43 35" xfId="33653"/>
    <cellStyle name="Normal 43 36" xfId="33654"/>
    <cellStyle name="Normal 43 37" xfId="33655"/>
    <cellStyle name="Normal 43 38" xfId="33656"/>
    <cellStyle name="Normal 43 39" xfId="33657"/>
    <cellStyle name="Normal 43 4" xfId="33658"/>
    <cellStyle name="Normal 43 40" xfId="33659"/>
    <cellStyle name="Normal 43 41" xfId="33660"/>
    <cellStyle name="Normal 43 42" xfId="33661"/>
    <cellStyle name="Normal 43 43" xfId="33662"/>
    <cellStyle name="Normal 43 44" xfId="33663"/>
    <cellStyle name="Normal 43 45" xfId="33664"/>
    <cellStyle name="Normal 43 46" xfId="33665"/>
    <cellStyle name="Normal 43 47" xfId="33666"/>
    <cellStyle name="Normal 43 48" xfId="33667"/>
    <cellStyle name="Normal 43 49" xfId="33668"/>
    <cellStyle name="Normal 43 5" xfId="33669"/>
    <cellStyle name="Normal 43 50" xfId="33670"/>
    <cellStyle name="Normal 43 51" xfId="33671"/>
    <cellStyle name="Normal 43 52" xfId="33672"/>
    <cellStyle name="Normal 43 53" xfId="33673"/>
    <cellStyle name="Normal 43 54" xfId="33674"/>
    <cellStyle name="Normal 43 55" xfId="33675"/>
    <cellStyle name="Normal 43 56" xfId="33676"/>
    <cellStyle name="Normal 43 57" xfId="33677"/>
    <cellStyle name="Normal 43 58" xfId="33678"/>
    <cellStyle name="Normal 43 59" xfId="33679"/>
    <cellStyle name="Normal 43 6" xfId="33680"/>
    <cellStyle name="Normal 43 60" xfId="33681"/>
    <cellStyle name="Normal 43 61" xfId="33682"/>
    <cellStyle name="Normal 43 62" xfId="33683"/>
    <cellStyle name="Normal 43 63" xfId="33684"/>
    <cellStyle name="Normal 43 64" xfId="33685"/>
    <cellStyle name="Normal 43 65" xfId="33686"/>
    <cellStyle name="Normal 43 66" xfId="33687"/>
    <cellStyle name="Normal 43 67" xfId="33688"/>
    <cellStyle name="Normal 43 68" xfId="33689"/>
    <cellStyle name="Normal 43 69" xfId="33690"/>
    <cellStyle name="Normal 43 7" xfId="33691"/>
    <cellStyle name="Normal 43 70" xfId="33692"/>
    <cellStyle name="Normal 43 71" xfId="33693"/>
    <cellStyle name="Normal 43 72" xfId="33694"/>
    <cellStyle name="Normal 43 73" xfId="33695"/>
    <cellStyle name="Normal 43 74" xfId="33696"/>
    <cellStyle name="Normal 43 75" xfId="33697"/>
    <cellStyle name="Normal 43 76" xfId="33698"/>
    <cellStyle name="Normal 43 77" xfId="33699"/>
    <cellStyle name="Normal 43 78" xfId="33700"/>
    <cellStyle name="Normal 43 79" xfId="33701"/>
    <cellStyle name="Normal 43 8" xfId="33702"/>
    <cellStyle name="Normal 43 80" xfId="33703"/>
    <cellStyle name="Normal 43 81" xfId="33704"/>
    <cellStyle name="Normal 43 82" xfId="33705"/>
    <cellStyle name="Normal 43 83" xfId="33706"/>
    <cellStyle name="Normal 43 84" xfId="33707"/>
    <cellStyle name="Normal 43 9" xfId="33708"/>
    <cellStyle name="Normal 44" xfId="484"/>
    <cellStyle name="Normal 44 10" xfId="33709"/>
    <cellStyle name="Normal 44 11" xfId="33710"/>
    <cellStyle name="Normal 44 12" xfId="33711"/>
    <cellStyle name="Normal 44 13" xfId="33712"/>
    <cellStyle name="Normal 44 14" xfId="33713"/>
    <cellStyle name="Normal 44 15" xfId="33714"/>
    <cellStyle name="Normal 44 16" xfId="33715"/>
    <cellStyle name="Normal 44 17" xfId="33716"/>
    <cellStyle name="Normal 44 18" xfId="33717"/>
    <cellStyle name="Normal 44 19" xfId="33718"/>
    <cellStyle name="Normal 44 2" xfId="1289"/>
    <cellStyle name="Normal 44 2 2" xfId="33719"/>
    <cellStyle name="Normal 44 20" xfId="33720"/>
    <cellStyle name="Normal 44 21" xfId="33721"/>
    <cellStyle name="Normal 44 22" xfId="33722"/>
    <cellStyle name="Normal 44 23" xfId="33723"/>
    <cellStyle name="Normal 44 24" xfId="33724"/>
    <cellStyle name="Normal 44 25" xfId="33725"/>
    <cellStyle name="Normal 44 26" xfId="33726"/>
    <cellStyle name="Normal 44 27" xfId="33727"/>
    <cellStyle name="Normal 44 28" xfId="33728"/>
    <cellStyle name="Normal 44 29" xfId="33729"/>
    <cellStyle name="Normal 44 3" xfId="33730"/>
    <cellStyle name="Normal 44 30" xfId="33731"/>
    <cellStyle name="Normal 44 31" xfId="33732"/>
    <cellStyle name="Normal 44 32" xfId="33733"/>
    <cellStyle name="Normal 44 33" xfId="33734"/>
    <cellStyle name="Normal 44 34" xfId="33735"/>
    <cellStyle name="Normal 44 35" xfId="33736"/>
    <cellStyle name="Normal 44 36" xfId="33737"/>
    <cellStyle name="Normal 44 37" xfId="33738"/>
    <cellStyle name="Normal 44 38" xfId="33739"/>
    <cellStyle name="Normal 44 39" xfId="33740"/>
    <cellStyle name="Normal 44 4" xfId="33741"/>
    <cellStyle name="Normal 44 40" xfId="33742"/>
    <cellStyle name="Normal 44 41" xfId="33743"/>
    <cellStyle name="Normal 44 42" xfId="33744"/>
    <cellStyle name="Normal 44 43" xfId="33745"/>
    <cellStyle name="Normal 44 44" xfId="33746"/>
    <cellStyle name="Normal 44 45" xfId="33747"/>
    <cellStyle name="Normal 44 46" xfId="33748"/>
    <cellStyle name="Normal 44 47" xfId="33749"/>
    <cellStyle name="Normal 44 48" xfId="33750"/>
    <cellStyle name="Normal 44 49" xfId="33751"/>
    <cellStyle name="Normal 44 5" xfId="33752"/>
    <cellStyle name="Normal 44 50" xfId="33753"/>
    <cellStyle name="Normal 44 51" xfId="33754"/>
    <cellStyle name="Normal 44 52" xfId="33755"/>
    <cellStyle name="Normal 44 53" xfId="33756"/>
    <cellStyle name="Normal 44 54" xfId="33757"/>
    <cellStyle name="Normal 44 55" xfId="33758"/>
    <cellStyle name="Normal 44 56" xfId="33759"/>
    <cellStyle name="Normal 44 57" xfId="33760"/>
    <cellStyle name="Normal 44 58" xfId="33761"/>
    <cellStyle name="Normal 44 59" xfId="33762"/>
    <cellStyle name="Normal 44 6" xfId="33763"/>
    <cellStyle name="Normal 44 60" xfId="33764"/>
    <cellStyle name="Normal 44 61" xfId="33765"/>
    <cellStyle name="Normal 44 62" xfId="33766"/>
    <cellStyle name="Normal 44 63" xfId="33767"/>
    <cellStyle name="Normal 44 64" xfId="33768"/>
    <cellStyle name="Normal 44 65" xfId="33769"/>
    <cellStyle name="Normal 44 66" xfId="33770"/>
    <cellStyle name="Normal 44 67" xfId="33771"/>
    <cellStyle name="Normal 44 68" xfId="33772"/>
    <cellStyle name="Normal 44 69" xfId="33773"/>
    <cellStyle name="Normal 44 7" xfId="33774"/>
    <cellStyle name="Normal 44 70" xfId="33775"/>
    <cellStyle name="Normal 44 71" xfId="33776"/>
    <cellStyle name="Normal 44 72" xfId="33777"/>
    <cellStyle name="Normal 44 73" xfId="33778"/>
    <cellStyle name="Normal 44 74" xfId="33779"/>
    <cellStyle name="Normal 44 8" xfId="33780"/>
    <cellStyle name="Normal 44 9" xfId="33781"/>
    <cellStyle name="Normal 45" xfId="448"/>
    <cellStyle name="Normal 45 2" xfId="1258"/>
    <cellStyle name="Normal 46" xfId="477"/>
    <cellStyle name="Normal 46 2" xfId="1282"/>
    <cellStyle name="Normal 47" xfId="436"/>
    <cellStyle name="Normal 47 2" xfId="1251"/>
    <cellStyle name="Normal 48" xfId="470"/>
    <cellStyle name="Normal 48 2" xfId="1275"/>
    <cellStyle name="Normal 49" xfId="407"/>
    <cellStyle name="Normal 49 2" xfId="1231"/>
    <cellStyle name="Normal 5" xfId="341"/>
    <cellStyle name="Normal 5 10" xfId="1791"/>
    <cellStyle name="Normal 5 10 2" xfId="33782"/>
    <cellStyle name="Normal 5 10 2 2" xfId="33783"/>
    <cellStyle name="Normal 5 10 3" xfId="33784"/>
    <cellStyle name="Normal 5 10 3 2" xfId="33785"/>
    <cellStyle name="Normal 5 10 4" xfId="33786"/>
    <cellStyle name="Normal 5 10 5" xfId="33787"/>
    <cellStyle name="Normal 5 10 6" xfId="33788"/>
    <cellStyle name="Normal 5 10 7" xfId="33789"/>
    <cellStyle name="Normal 5 10 8" xfId="33790"/>
    <cellStyle name="Normal 5 100" xfId="33791"/>
    <cellStyle name="Normal 5 101" xfId="33792"/>
    <cellStyle name="Normal 5 102" xfId="33793"/>
    <cellStyle name="Normal 5 103" xfId="33794"/>
    <cellStyle name="Normal 5 104" xfId="33795"/>
    <cellStyle name="Normal 5 105" xfId="33796"/>
    <cellStyle name="Normal 5 106" xfId="33797"/>
    <cellStyle name="Normal 5 107" xfId="33798"/>
    <cellStyle name="Normal 5 108" xfId="33799"/>
    <cellStyle name="Normal 5 109" xfId="33800"/>
    <cellStyle name="Normal 5 11" xfId="1814"/>
    <cellStyle name="Normal 5 11 2" xfId="33801"/>
    <cellStyle name="Normal 5 11 2 2" xfId="33802"/>
    <cellStyle name="Normal 5 11 3" xfId="33803"/>
    <cellStyle name="Normal 5 11 3 2" xfId="33804"/>
    <cellStyle name="Normal 5 11 4" xfId="33805"/>
    <cellStyle name="Normal 5 11 5" xfId="33806"/>
    <cellStyle name="Normal 5 11 6" xfId="33807"/>
    <cellStyle name="Normal 5 11 7" xfId="33808"/>
    <cellStyle name="Normal 5 110" xfId="33809"/>
    <cellStyle name="Normal 5 111" xfId="33810"/>
    <cellStyle name="Normal 5 112" xfId="33811"/>
    <cellStyle name="Normal 5 113" xfId="33812"/>
    <cellStyle name="Normal 5 114" xfId="33813"/>
    <cellStyle name="Normal 5 115" xfId="33814"/>
    <cellStyle name="Normal 5 116" xfId="33815"/>
    <cellStyle name="Normal 5 117" xfId="33816"/>
    <cellStyle name="Normal 5 118" xfId="33817"/>
    <cellStyle name="Normal 5 119" xfId="33818"/>
    <cellStyle name="Normal 5 12" xfId="33819"/>
    <cellStyle name="Normal 5 12 2" xfId="33820"/>
    <cellStyle name="Normal 5 12 3" xfId="33821"/>
    <cellStyle name="Normal 5 13" xfId="33822"/>
    <cellStyle name="Normal 5 13 2" xfId="33823"/>
    <cellStyle name="Normal 5 13 3" xfId="33824"/>
    <cellStyle name="Normal 5 14" xfId="33825"/>
    <cellStyle name="Normal 5 14 2" xfId="33826"/>
    <cellStyle name="Normal 5 14 3" xfId="33827"/>
    <cellStyle name="Normal 5 15" xfId="33828"/>
    <cellStyle name="Normal 5 15 2" xfId="33829"/>
    <cellStyle name="Normal 5 15 3" xfId="33830"/>
    <cellStyle name="Normal 5 16" xfId="33831"/>
    <cellStyle name="Normal 5 16 2" xfId="33832"/>
    <cellStyle name="Normal 5 16 3" xfId="33833"/>
    <cellStyle name="Normal 5 17" xfId="33834"/>
    <cellStyle name="Normal 5 17 2" xfId="33835"/>
    <cellStyle name="Normal 5 18" xfId="33836"/>
    <cellStyle name="Normal 5 18 2" xfId="33837"/>
    <cellStyle name="Normal 5 19" xfId="33838"/>
    <cellStyle name="Normal 5 19 2" xfId="33839"/>
    <cellStyle name="Normal 5 2" xfId="458"/>
    <cellStyle name="Normal 5 2 10" xfId="33840"/>
    <cellStyle name="Normal 5 2 11" xfId="33841"/>
    <cellStyle name="Normal 5 2 2" xfId="1266"/>
    <cellStyle name="Normal 5 2 2 2" xfId="1689"/>
    <cellStyle name="Normal 5 2 2 2 2" xfId="33842"/>
    <cellStyle name="Normal 5 2 2 2 3" xfId="33843"/>
    <cellStyle name="Normal 5 2 2 3" xfId="33844"/>
    <cellStyle name="Normal 5 2 2 4" xfId="33845"/>
    <cellStyle name="Normal 5 2 2 5" xfId="33846"/>
    <cellStyle name="Normal 5 2 2 6" xfId="33847"/>
    <cellStyle name="Normal 5 2 2 7" xfId="33848"/>
    <cellStyle name="Normal 5 2 2 8" xfId="33849"/>
    <cellStyle name="Normal 5 2 2 9" xfId="33850"/>
    <cellStyle name="Normal 5 2 3" xfId="1382"/>
    <cellStyle name="Normal 5 2 3 2" xfId="33851"/>
    <cellStyle name="Normal 5 2 3 3" xfId="33852"/>
    <cellStyle name="Normal 5 2 3 4" xfId="33853"/>
    <cellStyle name="Normal 5 2 3 5" xfId="33854"/>
    <cellStyle name="Normal 5 2 3 6" xfId="33855"/>
    <cellStyle name="Normal 5 2 3 7" xfId="33856"/>
    <cellStyle name="Normal 5 2 4" xfId="1688"/>
    <cellStyle name="Normal 5 2 4 2" xfId="33857"/>
    <cellStyle name="Normal 5 2 4 3" xfId="33858"/>
    <cellStyle name="Normal 5 2 5" xfId="2007"/>
    <cellStyle name="Normal 5 2 5 2" xfId="33859"/>
    <cellStyle name="Normal 5 2 6" xfId="33860"/>
    <cellStyle name="Normal 5 2 7" xfId="33861"/>
    <cellStyle name="Normal 5 2 8" xfId="33862"/>
    <cellStyle name="Normal 5 2 9" xfId="33863"/>
    <cellStyle name="Normal 5 20" xfId="33864"/>
    <cellStyle name="Normal 5 20 2" xfId="33865"/>
    <cellStyle name="Normal 5 21" xfId="33866"/>
    <cellStyle name="Normal 5 21 2" xfId="33867"/>
    <cellStyle name="Normal 5 22" xfId="33868"/>
    <cellStyle name="Normal 5 22 2" xfId="33869"/>
    <cellStyle name="Normal 5 23" xfId="33870"/>
    <cellStyle name="Normal 5 23 2" xfId="33871"/>
    <cellStyle name="Normal 5 24" xfId="33872"/>
    <cellStyle name="Normal 5 24 2" xfId="33873"/>
    <cellStyle name="Normal 5 25" xfId="33874"/>
    <cellStyle name="Normal 5 25 2" xfId="33875"/>
    <cellStyle name="Normal 5 26" xfId="33876"/>
    <cellStyle name="Normal 5 26 2" xfId="33877"/>
    <cellStyle name="Normal 5 27" xfId="33878"/>
    <cellStyle name="Normal 5 27 2" xfId="33879"/>
    <cellStyle name="Normal 5 28" xfId="33880"/>
    <cellStyle name="Normal 5 28 2" xfId="33881"/>
    <cellStyle name="Normal 5 29" xfId="33882"/>
    <cellStyle name="Normal 5 29 2" xfId="33883"/>
    <cellStyle name="Normal 5 3" xfId="591"/>
    <cellStyle name="Normal 5 3 10" xfId="33884"/>
    <cellStyle name="Normal 5 3 11" xfId="33885"/>
    <cellStyle name="Normal 5 3 2" xfId="1691"/>
    <cellStyle name="Normal 5 3 2 2" xfId="33886"/>
    <cellStyle name="Normal 5 3 2 2 2" xfId="33887"/>
    <cellStyle name="Normal 5 3 2 3" xfId="33888"/>
    <cellStyle name="Normal 5 3 2 4" xfId="33889"/>
    <cellStyle name="Normal 5 3 2 5" xfId="33890"/>
    <cellStyle name="Normal 5 3 2 6" xfId="33891"/>
    <cellStyle name="Normal 5 3 2 7" xfId="33892"/>
    <cellStyle name="Normal 5 3 2 8" xfId="33893"/>
    <cellStyle name="Normal 5 3 2 9" xfId="33894"/>
    <cellStyle name="Normal 5 3 3" xfId="1690"/>
    <cellStyle name="Normal 5 3 3 2" xfId="33895"/>
    <cellStyle name="Normal 5 3 3 3" xfId="33896"/>
    <cellStyle name="Normal 5 3 3 4" xfId="33897"/>
    <cellStyle name="Normal 5 3 3 5" xfId="33898"/>
    <cellStyle name="Normal 5 3 3 6" xfId="33899"/>
    <cellStyle name="Normal 5 3 3 7" xfId="33900"/>
    <cellStyle name="Normal 5 3 4" xfId="1899"/>
    <cellStyle name="Normal 5 3 4 2" xfId="33901"/>
    <cellStyle name="Normal 5 3 4 3" xfId="33902"/>
    <cellStyle name="Normal 5 3 5" xfId="33903"/>
    <cellStyle name="Normal 5 3 6" xfId="33904"/>
    <cellStyle name="Normal 5 3 7" xfId="33905"/>
    <cellStyle name="Normal 5 3 8" xfId="33906"/>
    <cellStyle name="Normal 5 3 9" xfId="33907"/>
    <cellStyle name="Normal 5 30" xfId="33908"/>
    <cellStyle name="Normal 5 30 2" xfId="33909"/>
    <cellStyle name="Normal 5 31" xfId="33910"/>
    <cellStyle name="Normal 5 31 2" xfId="33911"/>
    <cellStyle name="Normal 5 32" xfId="33912"/>
    <cellStyle name="Normal 5 32 2" xfId="33913"/>
    <cellStyle name="Normal 5 33" xfId="33914"/>
    <cellStyle name="Normal 5 33 2" xfId="33915"/>
    <cellStyle name="Normal 5 34" xfId="33916"/>
    <cellStyle name="Normal 5 34 2" xfId="33917"/>
    <cellStyle name="Normal 5 35" xfId="33918"/>
    <cellStyle name="Normal 5 35 2" xfId="33919"/>
    <cellStyle name="Normal 5 36" xfId="33920"/>
    <cellStyle name="Normal 5 36 2" xfId="33921"/>
    <cellStyle name="Normal 5 37" xfId="33922"/>
    <cellStyle name="Normal 5 37 2" xfId="33923"/>
    <cellStyle name="Normal 5 38" xfId="33924"/>
    <cellStyle name="Normal 5 38 2" xfId="33925"/>
    <cellStyle name="Normal 5 39" xfId="33926"/>
    <cellStyle name="Normal 5 39 2" xfId="33927"/>
    <cellStyle name="Normal 5 4" xfId="714"/>
    <cellStyle name="Normal 5 4 10" xfId="33928"/>
    <cellStyle name="Normal 5 4 11" xfId="33929"/>
    <cellStyle name="Normal 5 4 2" xfId="1692"/>
    <cellStyle name="Normal 5 4 2 2" xfId="33930"/>
    <cellStyle name="Normal 5 4 2 2 2" xfId="33931"/>
    <cellStyle name="Normal 5 4 2 3" xfId="33932"/>
    <cellStyle name="Normal 5 4 2 4" xfId="33933"/>
    <cellStyle name="Normal 5 4 2 5" xfId="33934"/>
    <cellStyle name="Normal 5 4 2 6" xfId="33935"/>
    <cellStyle name="Normal 5 4 2 7" xfId="33936"/>
    <cellStyle name="Normal 5 4 2 8" xfId="33937"/>
    <cellStyle name="Normal 5 4 3" xfId="33938"/>
    <cellStyle name="Normal 5 4 3 2" xfId="33939"/>
    <cellStyle name="Normal 5 4 3 3" xfId="33940"/>
    <cellStyle name="Normal 5 4 3 4" xfId="33941"/>
    <cellStyle name="Normal 5 4 3 5" xfId="33942"/>
    <cellStyle name="Normal 5 4 3 6" xfId="33943"/>
    <cellStyle name="Normal 5 4 4" xfId="33944"/>
    <cellStyle name="Normal 5 4 4 2" xfId="33945"/>
    <cellStyle name="Normal 5 4 5" xfId="33946"/>
    <cellStyle name="Normal 5 4 6" xfId="33947"/>
    <cellStyle name="Normal 5 4 7" xfId="33948"/>
    <cellStyle name="Normal 5 4 8" xfId="33949"/>
    <cellStyle name="Normal 5 4 9" xfId="33950"/>
    <cellStyle name="Normal 5 40" xfId="33951"/>
    <cellStyle name="Normal 5 40 2" xfId="33952"/>
    <cellStyle name="Normal 5 41" xfId="33953"/>
    <cellStyle name="Normal 5 41 2" xfId="33954"/>
    <cellStyle name="Normal 5 42" xfId="33955"/>
    <cellStyle name="Normal 5 42 2" xfId="33956"/>
    <cellStyle name="Normal 5 43" xfId="33957"/>
    <cellStyle name="Normal 5 43 2" xfId="33958"/>
    <cellStyle name="Normal 5 44" xfId="33959"/>
    <cellStyle name="Normal 5 44 2" xfId="33960"/>
    <cellStyle name="Normal 5 45" xfId="33961"/>
    <cellStyle name="Normal 5 45 2" xfId="33962"/>
    <cellStyle name="Normal 5 46" xfId="33963"/>
    <cellStyle name="Normal 5 46 2" xfId="33964"/>
    <cellStyle name="Normal 5 47" xfId="33965"/>
    <cellStyle name="Normal 5 48" xfId="33966"/>
    <cellStyle name="Normal 5 49" xfId="33967"/>
    <cellStyle name="Normal 5 5" xfId="776"/>
    <cellStyle name="Normal 5 5 10" xfId="33968"/>
    <cellStyle name="Normal 5 5 11" xfId="33969"/>
    <cellStyle name="Normal 5 5 2" xfId="1693"/>
    <cellStyle name="Normal 5 5 2 2" xfId="33970"/>
    <cellStyle name="Normal 5 5 2 2 2" xfId="33971"/>
    <cellStyle name="Normal 5 5 2 3" xfId="33972"/>
    <cellStyle name="Normal 5 5 2 4" xfId="33973"/>
    <cellStyle name="Normal 5 5 2 5" xfId="33974"/>
    <cellStyle name="Normal 5 5 2 6" xfId="33975"/>
    <cellStyle name="Normal 5 5 2 7" xfId="33976"/>
    <cellStyle name="Normal 5 5 2 8" xfId="33977"/>
    <cellStyle name="Normal 5 5 3" xfId="33978"/>
    <cellStyle name="Normal 5 5 3 2" xfId="33979"/>
    <cellStyle name="Normal 5 5 3 3" xfId="33980"/>
    <cellStyle name="Normal 5 5 3 4" xfId="33981"/>
    <cellStyle name="Normal 5 5 3 5" xfId="33982"/>
    <cellStyle name="Normal 5 5 3 6" xfId="33983"/>
    <cellStyle name="Normal 5 5 4" xfId="33984"/>
    <cellStyle name="Normal 5 5 4 2" xfId="33985"/>
    <cellStyle name="Normal 5 5 5" xfId="33986"/>
    <cellStyle name="Normal 5 5 6" xfId="33987"/>
    <cellStyle name="Normal 5 5 7" xfId="33988"/>
    <cellStyle name="Normal 5 5 8" xfId="33989"/>
    <cellStyle name="Normal 5 5 9" xfId="33990"/>
    <cellStyle name="Normal 5 50" xfId="33991"/>
    <cellStyle name="Normal 5 51" xfId="33992"/>
    <cellStyle name="Normal 5 52" xfId="33993"/>
    <cellStyle name="Normal 5 53" xfId="33994"/>
    <cellStyle name="Normal 5 54" xfId="33995"/>
    <cellStyle name="Normal 5 55" xfId="33996"/>
    <cellStyle name="Normal 5 56" xfId="33997"/>
    <cellStyle name="Normal 5 57" xfId="33998"/>
    <cellStyle name="Normal 5 58" xfId="33999"/>
    <cellStyle name="Normal 5 59" xfId="34000"/>
    <cellStyle name="Normal 5 6" xfId="926"/>
    <cellStyle name="Normal 5 6 10" xfId="34001"/>
    <cellStyle name="Normal 5 6 11" xfId="34002"/>
    <cellStyle name="Normal 5 6 2" xfId="1694"/>
    <cellStyle name="Normal 5 6 2 2" xfId="34003"/>
    <cellStyle name="Normal 5 6 2 2 2" xfId="34004"/>
    <cellStyle name="Normal 5 6 2 3" xfId="34005"/>
    <cellStyle name="Normal 5 6 2 4" xfId="34006"/>
    <cellStyle name="Normal 5 6 2 5" xfId="34007"/>
    <cellStyle name="Normal 5 6 2 6" xfId="34008"/>
    <cellStyle name="Normal 5 6 2 7" xfId="34009"/>
    <cellStyle name="Normal 5 6 2 8" xfId="34010"/>
    <cellStyle name="Normal 5 6 3" xfId="34011"/>
    <cellStyle name="Normal 5 6 3 2" xfId="34012"/>
    <cellStyle name="Normal 5 6 3 3" xfId="34013"/>
    <cellStyle name="Normal 5 6 3 4" xfId="34014"/>
    <cellStyle name="Normal 5 6 3 5" xfId="34015"/>
    <cellStyle name="Normal 5 6 3 6" xfId="34016"/>
    <cellStyle name="Normal 5 6 4" xfId="34017"/>
    <cellStyle name="Normal 5 6 4 2" xfId="34018"/>
    <cellStyle name="Normal 5 6 5" xfId="34019"/>
    <cellStyle name="Normal 5 6 6" xfId="34020"/>
    <cellStyle name="Normal 5 6 7" xfId="34021"/>
    <cellStyle name="Normal 5 6 8" xfId="34022"/>
    <cellStyle name="Normal 5 6 9" xfId="34023"/>
    <cellStyle name="Normal 5 60" xfId="34024"/>
    <cellStyle name="Normal 5 61" xfId="34025"/>
    <cellStyle name="Normal 5 62" xfId="34026"/>
    <cellStyle name="Normal 5 63" xfId="34027"/>
    <cellStyle name="Normal 5 64" xfId="34028"/>
    <cellStyle name="Normal 5 65" xfId="34029"/>
    <cellStyle name="Normal 5 66" xfId="34030"/>
    <cellStyle name="Normal 5 67" xfId="34031"/>
    <cellStyle name="Normal 5 68" xfId="34032"/>
    <cellStyle name="Normal 5 69" xfId="34033"/>
    <cellStyle name="Normal 5 7" xfId="1363"/>
    <cellStyle name="Normal 5 7 10" xfId="34034"/>
    <cellStyle name="Normal 5 7 2" xfId="34035"/>
    <cellStyle name="Normal 5 7 2 2" xfId="34036"/>
    <cellStyle name="Normal 5 7 2 2 2" xfId="34037"/>
    <cellStyle name="Normal 5 7 2 3" xfId="34038"/>
    <cellStyle name="Normal 5 7 2 4" xfId="34039"/>
    <cellStyle name="Normal 5 7 2 5" xfId="34040"/>
    <cellStyle name="Normal 5 7 2 6" xfId="34041"/>
    <cellStyle name="Normal 5 7 2 7" xfId="34042"/>
    <cellStyle name="Normal 5 7 3" xfId="34043"/>
    <cellStyle name="Normal 5 7 3 2" xfId="34044"/>
    <cellStyle name="Normal 5 7 3 3" xfId="34045"/>
    <cellStyle name="Normal 5 7 3 4" xfId="34046"/>
    <cellStyle name="Normal 5 7 3 5" xfId="34047"/>
    <cellStyle name="Normal 5 7 3 6" xfId="34048"/>
    <cellStyle name="Normal 5 7 4" xfId="34049"/>
    <cellStyle name="Normal 5 7 4 2" xfId="34050"/>
    <cellStyle name="Normal 5 7 5" xfId="34051"/>
    <cellStyle name="Normal 5 7 6" xfId="34052"/>
    <cellStyle name="Normal 5 7 7" xfId="34053"/>
    <cellStyle name="Normal 5 7 8" xfId="34054"/>
    <cellStyle name="Normal 5 7 9" xfId="34055"/>
    <cellStyle name="Normal 5 70" xfId="34056"/>
    <cellStyle name="Normal 5 71" xfId="34057"/>
    <cellStyle name="Normal 5 72" xfId="34058"/>
    <cellStyle name="Normal 5 73" xfId="34059"/>
    <cellStyle name="Normal 5 74" xfId="34060"/>
    <cellStyle name="Normal 5 75" xfId="34061"/>
    <cellStyle name="Normal 5 76" xfId="34062"/>
    <cellStyle name="Normal 5 77" xfId="34063"/>
    <cellStyle name="Normal 5 78" xfId="34064"/>
    <cellStyle name="Normal 5 79" xfId="34065"/>
    <cellStyle name="Normal 5 8" xfId="1687"/>
    <cellStyle name="Normal 5 8 10" xfId="34066"/>
    <cellStyle name="Normal 5 8 2" xfId="34067"/>
    <cellStyle name="Normal 5 8 2 2" xfId="34068"/>
    <cellStyle name="Normal 5 8 2 2 2" xfId="34069"/>
    <cellStyle name="Normal 5 8 2 3" xfId="34070"/>
    <cellStyle name="Normal 5 8 2 4" xfId="34071"/>
    <cellStyle name="Normal 5 8 2 5" xfId="34072"/>
    <cellStyle name="Normal 5 8 2 6" xfId="34073"/>
    <cellStyle name="Normal 5 8 2 7" xfId="34074"/>
    <cellStyle name="Normal 5 8 3" xfId="34075"/>
    <cellStyle name="Normal 5 8 3 2" xfId="34076"/>
    <cellStyle name="Normal 5 8 3 3" xfId="34077"/>
    <cellStyle name="Normal 5 8 3 4" xfId="34078"/>
    <cellStyle name="Normal 5 8 3 5" xfId="34079"/>
    <cellStyle name="Normal 5 8 3 6" xfId="34080"/>
    <cellStyle name="Normal 5 8 4" xfId="34081"/>
    <cellStyle name="Normal 5 8 4 2" xfId="34082"/>
    <cellStyle name="Normal 5 8 5" xfId="34083"/>
    <cellStyle name="Normal 5 8 6" xfId="34084"/>
    <cellStyle name="Normal 5 8 7" xfId="34085"/>
    <cellStyle name="Normal 5 8 8" xfId="34086"/>
    <cellStyle name="Normal 5 8 9" xfId="34087"/>
    <cellStyle name="Normal 5 80" xfId="34088"/>
    <cellStyle name="Normal 5 81" xfId="34089"/>
    <cellStyle name="Normal 5 82" xfId="34090"/>
    <cellStyle name="Normal 5 83" xfId="34091"/>
    <cellStyle name="Normal 5 84" xfId="34092"/>
    <cellStyle name="Normal 5 85" xfId="34093"/>
    <cellStyle name="Normal 5 86" xfId="34094"/>
    <cellStyle name="Normal 5 87" xfId="34095"/>
    <cellStyle name="Normal 5 88" xfId="34096"/>
    <cellStyle name="Normal 5 89" xfId="34097"/>
    <cellStyle name="Normal 5 9" xfId="1775"/>
    <cellStyle name="Normal 5 9 2" xfId="34098"/>
    <cellStyle name="Normal 5 9 2 2" xfId="34099"/>
    <cellStyle name="Normal 5 9 2 2 2" xfId="34100"/>
    <cellStyle name="Normal 5 9 2 3" xfId="34101"/>
    <cellStyle name="Normal 5 9 2 4" xfId="34102"/>
    <cellStyle name="Normal 5 9 2 5" xfId="34103"/>
    <cellStyle name="Normal 5 9 2 6" xfId="34104"/>
    <cellStyle name="Normal 5 9 3" xfId="34105"/>
    <cellStyle name="Normal 5 9 3 2" xfId="34106"/>
    <cellStyle name="Normal 5 9 4" xfId="34107"/>
    <cellStyle name="Normal 5 9 5" xfId="34108"/>
    <cellStyle name="Normal 5 9 6" xfId="34109"/>
    <cellStyle name="Normal 5 9 7" xfId="34110"/>
    <cellStyle name="Normal 5 9 8" xfId="34111"/>
    <cellStyle name="Normal 5 9 9" xfId="34112"/>
    <cellStyle name="Normal 5 90" xfId="34113"/>
    <cellStyle name="Normal 5 91" xfId="34114"/>
    <cellStyle name="Normal 5 92" xfId="34115"/>
    <cellStyle name="Normal 5 93" xfId="34116"/>
    <cellStyle name="Normal 5 94" xfId="34117"/>
    <cellStyle name="Normal 5 95" xfId="34118"/>
    <cellStyle name="Normal 5 96" xfId="34119"/>
    <cellStyle name="Normal 5 97" xfId="34120"/>
    <cellStyle name="Normal 5 98" xfId="34121"/>
    <cellStyle name="Normal 5 99" xfId="34122"/>
    <cellStyle name="Normal 50" xfId="486"/>
    <cellStyle name="Normal 50 2" xfId="1291"/>
    <cellStyle name="Normal 51" xfId="450"/>
    <cellStyle name="Normal 51 2" xfId="1260"/>
    <cellStyle name="Normal 52" xfId="479"/>
    <cellStyle name="Normal 52 2" xfId="1284"/>
    <cellStyle name="Normal 53" xfId="439"/>
    <cellStyle name="Normal 53 2" xfId="1253"/>
    <cellStyle name="Normal 54" xfId="472"/>
    <cellStyle name="Normal 54 2" xfId="1277"/>
    <cellStyle name="Normal 55" xfId="421"/>
    <cellStyle name="Normal 55 2" xfId="1242"/>
    <cellStyle name="Normal 56" xfId="489"/>
    <cellStyle name="Normal 56 2" xfId="1293"/>
    <cellStyle name="Normal 57" xfId="491"/>
    <cellStyle name="Normal 57 2" xfId="1294"/>
    <cellStyle name="Normal 58" xfId="493"/>
    <cellStyle name="Normal 58 2" xfId="1295"/>
    <cellStyle name="Normal 59" xfId="495"/>
    <cellStyle name="Normal 59 2" xfId="1296"/>
    <cellStyle name="Normal 6" xfId="340"/>
    <cellStyle name="Normal 6 10" xfId="1815"/>
    <cellStyle name="Normal 6 10 2" xfId="34123"/>
    <cellStyle name="Normal 6 10 2 2" xfId="34124"/>
    <cellStyle name="Normal 6 10 3" xfId="34125"/>
    <cellStyle name="Normal 6 10 3 2" xfId="34126"/>
    <cellStyle name="Normal 6 10 4" xfId="34127"/>
    <cellStyle name="Normal 6 10 5" xfId="34128"/>
    <cellStyle name="Normal 6 10 6" xfId="34129"/>
    <cellStyle name="Normal 6 10 7" xfId="34130"/>
    <cellStyle name="Normal 6 10 8" xfId="34131"/>
    <cellStyle name="Normal 6 100" xfId="34132"/>
    <cellStyle name="Normal 6 101" xfId="34133"/>
    <cellStyle name="Normal 6 102" xfId="34134"/>
    <cellStyle name="Normal 6 103" xfId="34135"/>
    <cellStyle name="Normal 6 104" xfId="34136"/>
    <cellStyle name="Normal 6 105" xfId="34137"/>
    <cellStyle name="Normal 6 106" xfId="34138"/>
    <cellStyle name="Normal 6 107" xfId="34139"/>
    <cellStyle name="Normal 6 108" xfId="34140"/>
    <cellStyle name="Normal 6 109" xfId="34141"/>
    <cellStyle name="Normal 6 11" xfId="34142"/>
    <cellStyle name="Normal 6 11 2" xfId="34143"/>
    <cellStyle name="Normal 6 11 2 2" xfId="34144"/>
    <cellStyle name="Normal 6 11 3" xfId="34145"/>
    <cellStyle name="Normal 6 11 3 2" xfId="34146"/>
    <cellStyle name="Normal 6 11 4" xfId="34147"/>
    <cellStyle name="Normal 6 11 5" xfId="34148"/>
    <cellStyle name="Normal 6 11 6" xfId="34149"/>
    <cellStyle name="Normal 6 110" xfId="34150"/>
    <cellStyle name="Normal 6 111" xfId="34151"/>
    <cellStyle name="Normal 6 112" xfId="34152"/>
    <cellStyle name="Normal 6 12" xfId="34153"/>
    <cellStyle name="Normal 6 12 2" xfId="34154"/>
    <cellStyle name="Normal 6 12 3" xfId="34155"/>
    <cellStyle name="Normal 6 13" xfId="34156"/>
    <cellStyle name="Normal 6 13 2" xfId="34157"/>
    <cellStyle name="Normal 6 13 3" xfId="34158"/>
    <cellStyle name="Normal 6 14" xfId="34159"/>
    <cellStyle name="Normal 6 14 2" xfId="34160"/>
    <cellStyle name="Normal 6 14 3" xfId="34161"/>
    <cellStyle name="Normal 6 15" xfId="34162"/>
    <cellStyle name="Normal 6 15 2" xfId="34163"/>
    <cellStyle name="Normal 6 15 3" xfId="34164"/>
    <cellStyle name="Normal 6 16" xfId="34165"/>
    <cellStyle name="Normal 6 16 2" xfId="34166"/>
    <cellStyle name="Normal 6 16 3" xfId="34167"/>
    <cellStyle name="Normal 6 17" xfId="34168"/>
    <cellStyle name="Normal 6 17 2" xfId="34169"/>
    <cellStyle name="Normal 6 18" xfId="34170"/>
    <cellStyle name="Normal 6 18 2" xfId="34171"/>
    <cellStyle name="Normal 6 19" xfId="34172"/>
    <cellStyle name="Normal 6 19 2" xfId="34173"/>
    <cellStyle name="Normal 6 2" xfId="459"/>
    <cellStyle name="Normal 6 2 10" xfId="34174"/>
    <cellStyle name="Normal 6 2 11" xfId="34175"/>
    <cellStyle name="Normal 6 2 2" xfId="1267"/>
    <cellStyle name="Normal 6 2 2 2" xfId="1697"/>
    <cellStyle name="Normal 6 2 2 2 2" xfId="34176"/>
    <cellStyle name="Normal 6 2 2 2 3" xfId="34177"/>
    <cellStyle name="Normal 6 2 2 3" xfId="34178"/>
    <cellStyle name="Normal 6 2 2 4" xfId="34179"/>
    <cellStyle name="Normal 6 2 2 5" xfId="34180"/>
    <cellStyle name="Normal 6 2 2 6" xfId="34181"/>
    <cellStyle name="Normal 6 2 2 7" xfId="34182"/>
    <cellStyle name="Normal 6 2 2 8" xfId="34183"/>
    <cellStyle name="Normal 6 2 2 9" xfId="34184"/>
    <cellStyle name="Normal 6 2 3" xfId="1383"/>
    <cellStyle name="Normal 6 2 3 2" xfId="34185"/>
    <cellStyle name="Normal 6 2 3 3" xfId="34186"/>
    <cellStyle name="Normal 6 2 3 4" xfId="34187"/>
    <cellStyle name="Normal 6 2 3 5" xfId="34188"/>
    <cellStyle name="Normal 6 2 3 6" xfId="34189"/>
    <cellStyle name="Normal 6 2 3 7" xfId="34190"/>
    <cellStyle name="Normal 6 2 4" xfId="1696"/>
    <cellStyle name="Normal 6 2 4 2" xfId="34191"/>
    <cellStyle name="Normal 6 2 4 3" xfId="34192"/>
    <cellStyle name="Normal 6 2 5" xfId="2008"/>
    <cellStyle name="Normal 6 2 5 2" xfId="34193"/>
    <cellStyle name="Normal 6 2 6" xfId="34194"/>
    <cellStyle name="Normal 6 2 7" xfId="34195"/>
    <cellStyle name="Normal 6 2 8" xfId="34196"/>
    <cellStyle name="Normal 6 2 9" xfId="34197"/>
    <cellStyle name="Normal 6 20" xfId="34198"/>
    <cellStyle name="Normal 6 20 2" xfId="34199"/>
    <cellStyle name="Normal 6 21" xfId="34200"/>
    <cellStyle name="Normal 6 21 2" xfId="34201"/>
    <cellStyle name="Normal 6 22" xfId="34202"/>
    <cellStyle name="Normal 6 22 2" xfId="34203"/>
    <cellStyle name="Normal 6 23" xfId="34204"/>
    <cellStyle name="Normal 6 23 2" xfId="34205"/>
    <cellStyle name="Normal 6 24" xfId="34206"/>
    <cellStyle name="Normal 6 24 2" xfId="34207"/>
    <cellStyle name="Normal 6 25" xfId="34208"/>
    <cellStyle name="Normal 6 25 2" xfId="34209"/>
    <cellStyle name="Normal 6 26" xfId="34210"/>
    <cellStyle name="Normal 6 26 2" xfId="34211"/>
    <cellStyle name="Normal 6 27" xfId="34212"/>
    <cellStyle name="Normal 6 27 2" xfId="34213"/>
    <cellStyle name="Normal 6 28" xfId="34214"/>
    <cellStyle name="Normal 6 28 2" xfId="34215"/>
    <cellStyle name="Normal 6 29" xfId="34216"/>
    <cellStyle name="Normal 6 29 2" xfId="34217"/>
    <cellStyle name="Normal 6 3" xfId="592"/>
    <cellStyle name="Normal 6 3 10" xfId="34218"/>
    <cellStyle name="Normal 6 3 11" xfId="34219"/>
    <cellStyle name="Normal 6 3 2" xfId="1699"/>
    <cellStyle name="Normal 6 3 2 2" xfId="34220"/>
    <cellStyle name="Normal 6 3 2 2 2" xfId="34221"/>
    <cellStyle name="Normal 6 3 2 3" xfId="34222"/>
    <cellStyle name="Normal 6 3 2 4" xfId="34223"/>
    <cellStyle name="Normal 6 3 2 5" xfId="34224"/>
    <cellStyle name="Normal 6 3 2 6" xfId="34225"/>
    <cellStyle name="Normal 6 3 2 7" xfId="34226"/>
    <cellStyle name="Normal 6 3 2 8" xfId="34227"/>
    <cellStyle name="Normal 6 3 2 9" xfId="34228"/>
    <cellStyle name="Normal 6 3 3" xfId="1698"/>
    <cellStyle name="Normal 6 3 3 2" xfId="34229"/>
    <cellStyle name="Normal 6 3 3 3" xfId="34230"/>
    <cellStyle name="Normal 6 3 3 4" xfId="34231"/>
    <cellStyle name="Normal 6 3 3 5" xfId="34232"/>
    <cellStyle name="Normal 6 3 3 6" xfId="34233"/>
    <cellStyle name="Normal 6 3 3 7" xfId="34234"/>
    <cellStyle name="Normal 6 3 4" xfId="1904"/>
    <cellStyle name="Normal 6 3 4 2" xfId="34235"/>
    <cellStyle name="Normal 6 3 4 3" xfId="34236"/>
    <cellStyle name="Normal 6 3 5" xfId="34237"/>
    <cellStyle name="Normal 6 3 6" xfId="34238"/>
    <cellStyle name="Normal 6 3 7" xfId="34239"/>
    <cellStyle name="Normal 6 3 8" xfId="34240"/>
    <cellStyle name="Normal 6 3 9" xfId="34241"/>
    <cellStyle name="Normal 6 30" xfId="34242"/>
    <cellStyle name="Normal 6 30 2" xfId="34243"/>
    <cellStyle name="Normal 6 31" xfId="34244"/>
    <cellStyle name="Normal 6 31 2" xfId="34245"/>
    <cellStyle name="Normal 6 32" xfId="34246"/>
    <cellStyle name="Normal 6 32 2" xfId="34247"/>
    <cellStyle name="Normal 6 33" xfId="34248"/>
    <cellStyle name="Normal 6 33 2" xfId="34249"/>
    <cellStyle name="Normal 6 34" xfId="34250"/>
    <cellStyle name="Normal 6 34 2" xfId="34251"/>
    <cellStyle name="Normal 6 35" xfId="34252"/>
    <cellStyle name="Normal 6 35 2" xfId="34253"/>
    <cellStyle name="Normal 6 36" xfId="34254"/>
    <cellStyle name="Normal 6 36 2" xfId="34255"/>
    <cellStyle name="Normal 6 37" xfId="34256"/>
    <cellStyle name="Normal 6 37 2" xfId="34257"/>
    <cellStyle name="Normal 6 38" xfId="34258"/>
    <cellStyle name="Normal 6 38 2" xfId="34259"/>
    <cellStyle name="Normal 6 39" xfId="34260"/>
    <cellStyle name="Normal 6 39 2" xfId="34261"/>
    <cellStyle name="Normal 6 4" xfId="715"/>
    <cellStyle name="Normal 6 4 10" xfId="34262"/>
    <cellStyle name="Normal 6 4 11" xfId="34263"/>
    <cellStyle name="Normal 6 4 2" xfId="1700"/>
    <cellStyle name="Normal 6 4 2 2" xfId="34264"/>
    <cellStyle name="Normal 6 4 2 2 2" xfId="34265"/>
    <cellStyle name="Normal 6 4 2 3" xfId="34266"/>
    <cellStyle name="Normal 6 4 2 4" xfId="34267"/>
    <cellStyle name="Normal 6 4 2 5" xfId="34268"/>
    <cellStyle name="Normal 6 4 2 6" xfId="34269"/>
    <cellStyle name="Normal 6 4 2 7" xfId="34270"/>
    <cellStyle name="Normal 6 4 2 8" xfId="34271"/>
    <cellStyle name="Normal 6 4 3" xfId="34272"/>
    <cellStyle name="Normal 6 4 3 2" xfId="34273"/>
    <cellStyle name="Normal 6 4 3 3" xfId="34274"/>
    <cellStyle name="Normal 6 4 3 4" xfId="34275"/>
    <cellStyle name="Normal 6 4 3 5" xfId="34276"/>
    <cellStyle name="Normal 6 4 3 6" xfId="34277"/>
    <cellStyle name="Normal 6 4 4" xfId="34278"/>
    <cellStyle name="Normal 6 4 4 2" xfId="34279"/>
    <cellStyle name="Normal 6 4 5" xfId="34280"/>
    <cellStyle name="Normal 6 4 6" xfId="34281"/>
    <cellStyle name="Normal 6 4 7" xfId="34282"/>
    <cellStyle name="Normal 6 4 8" xfId="34283"/>
    <cellStyle name="Normal 6 4 9" xfId="34284"/>
    <cellStyle name="Normal 6 40" xfId="34285"/>
    <cellStyle name="Normal 6 40 2" xfId="34286"/>
    <cellStyle name="Normal 6 41" xfId="34287"/>
    <cellStyle name="Normal 6 41 2" xfId="34288"/>
    <cellStyle name="Normal 6 42" xfId="34289"/>
    <cellStyle name="Normal 6 42 2" xfId="34290"/>
    <cellStyle name="Normal 6 43" xfId="34291"/>
    <cellStyle name="Normal 6 43 2" xfId="34292"/>
    <cellStyle name="Normal 6 44" xfId="34293"/>
    <cellStyle name="Normal 6 44 2" xfId="34294"/>
    <cellStyle name="Normal 6 45" xfId="34295"/>
    <cellStyle name="Normal 6 46" xfId="34296"/>
    <cellStyle name="Normal 6 47" xfId="34297"/>
    <cellStyle name="Normal 6 48" xfId="34298"/>
    <cellStyle name="Normal 6 49" xfId="34299"/>
    <cellStyle name="Normal 6 5" xfId="777"/>
    <cellStyle name="Normal 6 5 10" xfId="34300"/>
    <cellStyle name="Normal 6 5 11" xfId="34301"/>
    <cellStyle name="Normal 6 5 2" xfId="1701"/>
    <cellStyle name="Normal 6 5 2 2" xfId="34302"/>
    <cellStyle name="Normal 6 5 2 2 2" xfId="34303"/>
    <cellStyle name="Normal 6 5 2 3" xfId="34304"/>
    <cellStyle name="Normal 6 5 2 4" xfId="34305"/>
    <cellStyle name="Normal 6 5 2 5" xfId="34306"/>
    <cellStyle name="Normal 6 5 2 6" xfId="34307"/>
    <cellStyle name="Normal 6 5 2 7" xfId="34308"/>
    <cellStyle name="Normal 6 5 2 8" xfId="34309"/>
    <cellStyle name="Normal 6 5 3" xfId="34310"/>
    <cellStyle name="Normal 6 5 3 2" xfId="34311"/>
    <cellStyle name="Normal 6 5 3 3" xfId="34312"/>
    <cellStyle name="Normal 6 5 3 4" xfId="34313"/>
    <cellStyle name="Normal 6 5 3 5" xfId="34314"/>
    <cellStyle name="Normal 6 5 3 6" xfId="34315"/>
    <cellStyle name="Normal 6 5 4" xfId="34316"/>
    <cellStyle name="Normal 6 5 4 2" xfId="34317"/>
    <cellStyle name="Normal 6 5 5" xfId="34318"/>
    <cellStyle name="Normal 6 5 6" xfId="34319"/>
    <cellStyle name="Normal 6 5 7" xfId="34320"/>
    <cellStyle name="Normal 6 5 8" xfId="34321"/>
    <cellStyle name="Normal 6 5 9" xfId="34322"/>
    <cellStyle name="Normal 6 50" xfId="34323"/>
    <cellStyle name="Normal 6 51" xfId="34324"/>
    <cellStyle name="Normal 6 52" xfId="34325"/>
    <cellStyle name="Normal 6 53" xfId="34326"/>
    <cellStyle name="Normal 6 54" xfId="34327"/>
    <cellStyle name="Normal 6 55" xfId="34328"/>
    <cellStyle name="Normal 6 56" xfId="34329"/>
    <cellStyle name="Normal 6 57" xfId="34330"/>
    <cellStyle name="Normal 6 58" xfId="34331"/>
    <cellStyle name="Normal 6 59" xfId="34332"/>
    <cellStyle name="Normal 6 6" xfId="927"/>
    <cellStyle name="Normal 6 6 10" xfId="34333"/>
    <cellStyle name="Normal 6 6 11" xfId="34334"/>
    <cellStyle name="Normal 6 6 2" xfId="1702"/>
    <cellStyle name="Normal 6 6 2 2" xfId="34335"/>
    <cellStyle name="Normal 6 6 2 2 2" xfId="34336"/>
    <cellStyle name="Normal 6 6 2 3" xfId="34337"/>
    <cellStyle name="Normal 6 6 2 4" xfId="34338"/>
    <cellStyle name="Normal 6 6 2 5" xfId="34339"/>
    <cellStyle name="Normal 6 6 2 6" xfId="34340"/>
    <cellStyle name="Normal 6 6 2 7" xfId="34341"/>
    <cellStyle name="Normal 6 6 2 8" xfId="34342"/>
    <cellStyle name="Normal 6 6 3" xfId="34343"/>
    <cellStyle name="Normal 6 6 3 2" xfId="34344"/>
    <cellStyle name="Normal 6 6 3 3" xfId="34345"/>
    <cellStyle name="Normal 6 6 3 4" xfId="34346"/>
    <cellStyle name="Normal 6 6 3 5" xfId="34347"/>
    <cellStyle name="Normal 6 6 3 6" xfId="34348"/>
    <cellStyle name="Normal 6 6 4" xfId="34349"/>
    <cellStyle name="Normal 6 6 4 2" xfId="34350"/>
    <cellStyle name="Normal 6 6 5" xfId="34351"/>
    <cellStyle name="Normal 6 6 6" xfId="34352"/>
    <cellStyle name="Normal 6 6 7" xfId="34353"/>
    <cellStyle name="Normal 6 6 8" xfId="34354"/>
    <cellStyle name="Normal 6 6 9" xfId="34355"/>
    <cellStyle name="Normal 6 60" xfId="34356"/>
    <cellStyle name="Normal 6 61" xfId="34357"/>
    <cellStyle name="Normal 6 62" xfId="34358"/>
    <cellStyle name="Normal 6 63" xfId="34359"/>
    <cellStyle name="Normal 6 64" xfId="34360"/>
    <cellStyle name="Normal 6 65" xfId="34361"/>
    <cellStyle name="Normal 6 66" xfId="34362"/>
    <cellStyle name="Normal 6 67" xfId="34363"/>
    <cellStyle name="Normal 6 68" xfId="34364"/>
    <cellStyle name="Normal 6 69" xfId="34365"/>
    <cellStyle name="Normal 6 7" xfId="1364"/>
    <cellStyle name="Normal 6 7 10" xfId="34366"/>
    <cellStyle name="Normal 6 7 2" xfId="34367"/>
    <cellStyle name="Normal 6 7 2 2" xfId="34368"/>
    <cellStyle name="Normal 6 7 2 2 2" xfId="34369"/>
    <cellStyle name="Normal 6 7 2 3" xfId="34370"/>
    <cellStyle name="Normal 6 7 2 4" xfId="34371"/>
    <cellStyle name="Normal 6 7 2 5" xfId="34372"/>
    <cellStyle name="Normal 6 7 2 6" xfId="34373"/>
    <cellStyle name="Normal 6 7 2 7" xfId="34374"/>
    <cellStyle name="Normal 6 7 3" xfId="34375"/>
    <cellStyle name="Normal 6 7 3 2" xfId="34376"/>
    <cellStyle name="Normal 6 7 3 3" xfId="34377"/>
    <cellStyle name="Normal 6 7 3 4" xfId="34378"/>
    <cellStyle name="Normal 6 7 3 5" xfId="34379"/>
    <cellStyle name="Normal 6 7 3 6" xfId="34380"/>
    <cellStyle name="Normal 6 7 4" xfId="34381"/>
    <cellStyle name="Normal 6 7 4 2" xfId="34382"/>
    <cellStyle name="Normal 6 7 5" xfId="34383"/>
    <cellStyle name="Normal 6 7 6" xfId="34384"/>
    <cellStyle name="Normal 6 7 7" xfId="34385"/>
    <cellStyle name="Normal 6 7 8" xfId="34386"/>
    <cellStyle name="Normal 6 7 9" xfId="34387"/>
    <cellStyle name="Normal 6 70" xfId="34388"/>
    <cellStyle name="Normal 6 71" xfId="34389"/>
    <cellStyle name="Normal 6 72" xfId="34390"/>
    <cellStyle name="Normal 6 73" xfId="34391"/>
    <cellStyle name="Normal 6 74" xfId="34392"/>
    <cellStyle name="Normal 6 75" xfId="34393"/>
    <cellStyle name="Normal 6 76" xfId="34394"/>
    <cellStyle name="Normal 6 77" xfId="34395"/>
    <cellStyle name="Normal 6 78" xfId="34396"/>
    <cellStyle name="Normal 6 79" xfId="34397"/>
    <cellStyle name="Normal 6 8" xfId="1695"/>
    <cellStyle name="Normal 6 8 10" xfId="34398"/>
    <cellStyle name="Normal 6 8 2" xfId="34399"/>
    <cellStyle name="Normal 6 8 2 2" xfId="34400"/>
    <cellStyle name="Normal 6 8 2 2 2" xfId="34401"/>
    <cellStyle name="Normal 6 8 2 3" xfId="34402"/>
    <cellStyle name="Normal 6 8 2 4" xfId="34403"/>
    <cellStyle name="Normal 6 8 2 5" xfId="34404"/>
    <cellStyle name="Normal 6 8 2 6" xfId="34405"/>
    <cellStyle name="Normal 6 8 2 7" xfId="34406"/>
    <cellStyle name="Normal 6 8 3" xfId="34407"/>
    <cellStyle name="Normal 6 8 3 2" xfId="34408"/>
    <cellStyle name="Normal 6 8 3 3" xfId="34409"/>
    <cellStyle name="Normal 6 8 3 4" xfId="34410"/>
    <cellStyle name="Normal 6 8 3 5" xfId="34411"/>
    <cellStyle name="Normal 6 8 3 6" xfId="34412"/>
    <cellStyle name="Normal 6 8 4" xfId="34413"/>
    <cellStyle name="Normal 6 8 4 2" xfId="34414"/>
    <cellStyle name="Normal 6 8 5" xfId="34415"/>
    <cellStyle name="Normal 6 8 6" xfId="34416"/>
    <cellStyle name="Normal 6 8 7" xfId="34417"/>
    <cellStyle name="Normal 6 8 8" xfId="34418"/>
    <cellStyle name="Normal 6 8 9" xfId="34419"/>
    <cellStyle name="Normal 6 80" xfId="34420"/>
    <cellStyle name="Normal 6 81" xfId="34421"/>
    <cellStyle name="Normal 6 82" xfId="34422"/>
    <cellStyle name="Normal 6 83" xfId="34423"/>
    <cellStyle name="Normal 6 84" xfId="34424"/>
    <cellStyle name="Normal 6 85" xfId="34425"/>
    <cellStyle name="Normal 6 86" xfId="34426"/>
    <cellStyle name="Normal 6 87" xfId="34427"/>
    <cellStyle name="Normal 6 88" xfId="34428"/>
    <cellStyle name="Normal 6 89" xfId="34429"/>
    <cellStyle name="Normal 6 9" xfId="1776"/>
    <cellStyle name="Normal 6 9 2" xfId="34430"/>
    <cellStyle name="Normal 6 9 2 2" xfId="34431"/>
    <cellStyle name="Normal 6 9 2 2 2" xfId="34432"/>
    <cellStyle name="Normal 6 9 2 3" xfId="34433"/>
    <cellStyle name="Normal 6 9 2 4" xfId="34434"/>
    <cellStyle name="Normal 6 9 2 5" xfId="34435"/>
    <cellStyle name="Normal 6 9 2 6" xfId="34436"/>
    <cellStyle name="Normal 6 9 3" xfId="34437"/>
    <cellStyle name="Normal 6 9 3 2" xfId="34438"/>
    <cellStyle name="Normal 6 9 4" xfId="34439"/>
    <cellStyle name="Normal 6 9 5" xfId="34440"/>
    <cellStyle name="Normal 6 9 6" xfId="34441"/>
    <cellStyle name="Normal 6 9 7" xfId="34442"/>
    <cellStyle name="Normal 6 9 8" xfId="34443"/>
    <cellStyle name="Normal 6 9 9" xfId="34444"/>
    <cellStyle name="Normal 6 90" xfId="34445"/>
    <cellStyle name="Normal 6 91" xfId="34446"/>
    <cellStyle name="Normal 6 92" xfId="34447"/>
    <cellStyle name="Normal 6 93" xfId="34448"/>
    <cellStyle name="Normal 6 94" xfId="34449"/>
    <cellStyle name="Normal 6 95" xfId="34450"/>
    <cellStyle name="Normal 6 96" xfId="34451"/>
    <cellStyle name="Normal 6 97" xfId="34452"/>
    <cellStyle name="Normal 6 98" xfId="34453"/>
    <cellStyle name="Normal 6 99" xfId="34454"/>
    <cellStyle name="Normal 60" xfId="497"/>
    <cellStyle name="Normal 60 2" xfId="1297"/>
    <cellStyle name="Normal 61" xfId="499"/>
    <cellStyle name="Normal 61 2" xfId="1298"/>
    <cellStyle name="Normal 62" xfId="501"/>
    <cellStyle name="Normal 62 2" xfId="1299"/>
    <cellStyle name="Normal 63" xfId="503"/>
    <cellStyle name="Normal 63 2" xfId="1300"/>
    <cellStyle name="Normal 64" xfId="505"/>
    <cellStyle name="Normal 64 2" xfId="1301"/>
    <cellStyle name="Normal 65" xfId="507"/>
    <cellStyle name="Normal 65 2" xfId="1302"/>
    <cellStyle name="Normal 66" xfId="509"/>
    <cellStyle name="Normal 66 2" xfId="1304"/>
    <cellStyle name="Normal 67" xfId="511"/>
    <cellStyle name="Normal 67 2" xfId="1305"/>
    <cellStyle name="Normal 68" xfId="513"/>
    <cellStyle name="Normal 68 2" xfId="1306"/>
    <cellStyle name="Normal 69" xfId="515"/>
    <cellStyle name="Normal 69 2" xfId="1307"/>
    <cellStyle name="Normal 7" xfId="342"/>
    <cellStyle name="Normal 7 10" xfId="1816"/>
    <cellStyle name="Normal 7 10 2" xfId="34455"/>
    <cellStyle name="Normal 7 10 2 2" xfId="34456"/>
    <cellStyle name="Normal 7 10 3" xfId="34457"/>
    <cellStyle name="Normal 7 10 3 2" xfId="34458"/>
    <cellStyle name="Normal 7 10 4" xfId="34459"/>
    <cellStyle name="Normal 7 10 5" xfId="34460"/>
    <cellStyle name="Normal 7 10 6" xfId="34461"/>
    <cellStyle name="Normal 7 10 7" xfId="34462"/>
    <cellStyle name="Normal 7 10 8" xfId="34463"/>
    <cellStyle name="Normal 7 100" xfId="34464"/>
    <cellStyle name="Normal 7 101" xfId="34465"/>
    <cellStyle name="Normal 7 102" xfId="34466"/>
    <cellStyle name="Normal 7 103" xfId="34467"/>
    <cellStyle name="Normal 7 104" xfId="34468"/>
    <cellStyle name="Normal 7 105" xfId="34469"/>
    <cellStyle name="Normal 7 106" xfId="34470"/>
    <cellStyle name="Normal 7 107" xfId="34471"/>
    <cellStyle name="Normal 7 108" xfId="34472"/>
    <cellStyle name="Normal 7 109" xfId="34473"/>
    <cellStyle name="Normal 7 11" xfId="34474"/>
    <cellStyle name="Normal 7 11 2" xfId="34475"/>
    <cellStyle name="Normal 7 11 2 2" xfId="34476"/>
    <cellStyle name="Normal 7 11 3" xfId="34477"/>
    <cellStyle name="Normal 7 11 3 2" xfId="34478"/>
    <cellStyle name="Normal 7 11 4" xfId="34479"/>
    <cellStyle name="Normal 7 11 5" xfId="34480"/>
    <cellStyle name="Normal 7 11 6" xfId="34481"/>
    <cellStyle name="Normal 7 110" xfId="34482"/>
    <cellStyle name="Normal 7 111" xfId="34483"/>
    <cellStyle name="Normal 7 112" xfId="34484"/>
    <cellStyle name="Normal 7 12" xfId="34485"/>
    <cellStyle name="Normal 7 12 2" xfId="34486"/>
    <cellStyle name="Normal 7 12 3" xfId="34487"/>
    <cellStyle name="Normal 7 13" xfId="34488"/>
    <cellStyle name="Normal 7 13 2" xfId="34489"/>
    <cellStyle name="Normal 7 13 3" xfId="34490"/>
    <cellStyle name="Normal 7 14" xfId="34491"/>
    <cellStyle name="Normal 7 14 2" xfId="34492"/>
    <cellStyle name="Normal 7 14 3" xfId="34493"/>
    <cellStyle name="Normal 7 15" xfId="34494"/>
    <cellStyle name="Normal 7 15 2" xfId="34495"/>
    <cellStyle name="Normal 7 15 3" xfId="34496"/>
    <cellStyle name="Normal 7 16" xfId="34497"/>
    <cellStyle name="Normal 7 16 2" xfId="34498"/>
    <cellStyle name="Normal 7 16 3" xfId="34499"/>
    <cellStyle name="Normal 7 17" xfId="34500"/>
    <cellStyle name="Normal 7 17 2" xfId="34501"/>
    <cellStyle name="Normal 7 18" xfId="34502"/>
    <cellStyle name="Normal 7 18 2" xfId="34503"/>
    <cellStyle name="Normal 7 19" xfId="34504"/>
    <cellStyle name="Normal 7 19 2" xfId="34505"/>
    <cellStyle name="Normal 7 2" xfId="460"/>
    <cellStyle name="Normal 7 2 10" xfId="34506"/>
    <cellStyle name="Normal 7 2 11" xfId="34507"/>
    <cellStyle name="Normal 7 2 2" xfId="1268"/>
    <cellStyle name="Normal 7 2 2 2" xfId="1705"/>
    <cellStyle name="Normal 7 2 2 2 2" xfId="34508"/>
    <cellStyle name="Normal 7 2 2 2 3" xfId="34509"/>
    <cellStyle name="Normal 7 2 2 3" xfId="34510"/>
    <cellStyle name="Normal 7 2 2 4" xfId="34511"/>
    <cellStyle name="Normal 7 2 2 5" xfId="34512"/>
    <cellStyle name="Normal 7 2 2 6" xfId="34513"/>
    <cellStyle name="Normal 7 2 2 7" xfId="34514"/>
    <cellStyle name="Normal 7 2 2 8" xfId="34515"/>
    <cellStyle name="Normal 7 2 2 9" xfId="34516"/>
    <cellStyle name="Normal 7 2 3" xfId="1384"/>
    <cellStyle name="Normal 7 2 3 2" xfId="34517"/>
    <cellStyle name="Normal 7 2 3 3" xfId="34518"/>
    <cellStyle name="Normal 7 2 3 4" xfId="34519"/>
    <cellStyle name="Normal 7 2 3 5" xfId="34520"/>
    <cellStyle name="Normal 7 2 3 6" xfId="34521"/>
    <cellStyle name="Normal 7 2 3 7" xfId="34522"/>
    <cellStyle name="Normal 7 2 4" xfId="1704"/>
    <cellStyle name="Normal 7 2 4 2" xfId="34523"/>
    <cellStyle name="Normal 7 2 4 3" xfId="34524"/>
    <cellStyle name="Normal 7 2 5" xfId="2009"/>
    <cellStyle name="Normal 7 2 5 2" xfId="34525"/>
    <cellStyle name="Normal 7 2 6" xfId="34526"/>
    <cellStyle name="Normal 7 2 7" xfId="34527"/>
    <cellStyle name="Normal 7 2 8" xfId="34528"/>
    <cellStyle name="Normal 7 2 9" xfId="34529"/>
    <cellStyle name="Normal 7 20" xfId="34530"/>
    <cellStyle name="Normal 7 20 2" xfId="34531"/>
    <cellStyle name="Normal 7 21" xfId="34532"/>
    <cellStyle name="Normal 7 21 2" xfId="34533"/>
    <cellStyle name="Normal 7 22" xfId="34534"/>
    <cellStyle name="Normal 7 22 2" xfId="34535"/>
    <cellStyle name="Normal 7 23" xfId="34536"/>
    <cellStyle name="Normal 7 23 2" xfId="34537"/>
    <cellStyle name="Normal 7 24" xfId="34538"/>
    <cellStyle name="Normal 7 24 2" xfId="34539"/>
    <cellStyle name="Normal 7 25" xfId="34540"/>
    <cellStyle name="Normal 7 25 2" xfId="34541"/>
    <cellStyle name="Normal 7 26" xfId="34542"/>
    <cellStyle name="Normal 7 26 2" xfId="34543"/>
    <cellStyle name="Normal 7 27" xfId="34544"/>
    <cellStyle name="Normal 7 27 2" xfId="34545"/>
    <cellStyle name="Normal 7 28" xfId="34546"/>
    <cellStyle name="Normal 7 28 2" xfId="34547"/>
    <cellStyle name="Normal 7 29" xfId="34548"/>
    <cellStyle name="Normal 7 29 2" xfId="34549"/>
    <cellStyle name="Normal 7 3" xfId="593"/>
    <cellStyle name="Normal 7 3 10" xfId="34550"/>
    <cellStyle name="Normal 7 3 11" xfId="34551"/>
    <cellStyle name="Normal 7 3 2" xfId="1707"/>
    <cellStyle name="Normal 7 3 2 2" xfId="34552"/>
    <cellStyle name="Normal 7 3 2 2 2" xfId="34553"/>
    <cellStyle name="Normal 7 3 2 3" xfId="34554"/>
    <cellStyle name="Normal 7 3 2 4" xfId="34555"/>
    <cellStyle name="Normal 7 3 2 5" xfId="34556"/>
    <cellStyle name="Normal 7 3 2 6" xfId="34557"/>
    <cellStyle name="Normal 7 3 2 7" xfId="34558"/>
    <cellStyle name="Normal 7 3 2 8" xfId="34559"/>
    <cellStyle name="Normal 7 3 2 9" xfId="34560"/>
    <cellStyle name="Normal 7 3 3" xfId="1706"/>
    <cellStyle name="Normal 7 3 3 2" xfId="34561"/>
    <cellStyle name="Normal 7 3 3 3" xfId="34562"/>
    <cellStyle name="Normal 7 3 3 4" xfId="34563"/>
    <cellStyle name="Normal 7 3 3 5" xfId="34564"/>
    <cellStyle name="Normal 7 3 3 6" xfId="34565"/>
    <cellStyle name="Normal 7 3 3 7" xfId="34566"/>
    <cellStyle name="Normal 7 3 4" xfId="2100"/>
    <cellStyle name="Normal 7 3 4 2" xfId="34567"/>
    <cellStyle name="Normal 7 3 4 3" xfId="34568"/>
    <cellStyle name="Normal 7 3 5" xfId="34569"/>
    <cellStyle name="Normal 7 3 6" xfId="34570"/>
    <cellStyle name="Normal 7 3 7" xfId="34571"/>
    <cellStyle name="Normal 7 3 8" xfId="34572"/>
    <cellStyle name="Normal 7 3 9" xfId="34573"/>
    <cellStyle name="Normal 7 30" xfId="34574"/>
    <cellStyle name="Normal 7 30 2" xfId="34575"/>
    <cellStyle name="Normal 7 31" xfId="34576"/>
    <cellStyle name="Normal 7 31 2" xfId="34577"/>
    <cellStyle name="Normal 7 32" xfId="34578"/>
    <cellStyle name="Normal 7 32 2" xfId="34579"/>
    <cellStyle name="Normal 7 33" xfId="34580"/>
    <cellStyle name="Normal 7 33 2" xfId="34581"/>
    <cellStyle name="Normal 7 34" xfId="34582"/>
    <cellStyle name="Normal 7 34 2" xfId="34583"/>
    <cellStyle name="Normal 7 35" xfId="34584"/>
    <cellStyle name="Normal 7 35 2" xfId="34585"/>
    <cellStyle name="Normal 7 36" xfId="34586"/>
    <cellStyle name="Normal 7 36 2" xfId="34587"/>
    <cellStyle name="Normal 7 37" xfId="34588"/>
    <cellStyle name="Normal 7 37 2" xfId="34589"/>
    <cellStyle name="Normal 7 38" xfId="34590"/>
    <cellStyle name="Normal 7 38 2" xfId="34591"/>
    <cellStyle name="Normal 7 39" xfId="34592"/>
    <cellStyle name="Normal 7 39 2" xfId="34593"/>
    <cellStyle name="Normal 7 4" xfId="716"/>
    <cellStyle name="Normal 7 4 10" xfId="34594"/>
    <cellStyle name="Normal 7 4 11" xfId="34595"/>
    <cellStyle name="Normal 7 4 2" xfId="1708"/>
    <cellStyle name="Normal 7 4 2 2" xfId="34596"/>
    <cellStyle name="Normal 7 4 2 2 2" xfId="34597"/>
    <cellStyle name="Normal 7 4 2 3" xfId="34598"/>
    <cellStyle name="Normal 7 4 2 4" xfId="34599"/>
    <cellStyle name="Normal 7 4 2 5" xfId="34600"/>
    <cellStyle name="Normal 7 4 2 6" xfId="34601"/>
    <cellStyle name="Normal 7 4 2 7" xfId="34602"/>
    <cellStyle name="Normal 7 4 2 8" xfId="34603"/>
    <cellStyle name="Normal 7 4 3" xfId="34604"/>
    <cellStyle name="Normal 7 4 3 2" xfId="34605"/>
    <cellStyle name="Normal 7 4 3 3" xfId="34606"/>
    <cellStyle name="Normal 7 4 3 4" xfId="34607"/>
    <cellStyle name="Normal 7 4 3 5" xfId="34608"/>
    <cellStyle name="Normal 7 4 3 6" xfId="34609"/>
    <cellStyle name="Normal 7 4 4" xfId="34610"/>
    <cellStyle name="Normal 7 4 4 2" xfId="34611"/>
    <cellStyle name="Normal 7 4 5" xfId="34612"/>
    <cellStyle name="Normal 7 4 6" xfId="34613"/>
    <cellStyle name="Normal 7 4 7" xfId="34614"/>
    <cellStyle name="Normal 7 4 8" xfId="34615"/>
    <cellStyle name="Normal 7 4 9" xfId="34616"/>
    <cellStyle name="Normal 7 40" xfId="34617"/>
    <cellStyle name="Normal 7 40 2" xfId="34618"/>
    <cellStyle name="Normal 7 41" xfId="34619"/>
    <cellStyle name="Normal 7 41 2" xfId="34620"/>
    <cellStyle name="Normal 7 42" xfId="34621"/>
    <cellStyle name="Normal 7 42 2" xfId="34622"/>
    <cellStyle name="Normal 7 43" xfId="34623"/>
    <cellStyle name="Normal 7 43 2" xfId="34624"/>
    <cellStyle name="Normal 7 44" xfId="34625"/>
    <cellStyle name="Normal 7 44 2" xfId="34626"/>
    <cellStyle name="Normal 7 45" xfId="34627"/>
    <cellStyle name="Normal 7 46" xfId="34628"/>
    <cellStyle name="Normal 7 47" xfId="34629"/>
    <cellStyle name="Normal 7 48" xfId="34630"/>
    <cellStyle name="Normal 7 49" xfId="34631"/>
    <cellStyle name="Normal 7 5" xfId="778"/>
    <cellStyle name="Normal 7 5 10" xfId="34632"/>
    <cellStyle name="Normal 7 5 11" xfId="34633"/>
    <cellStyle name="Normal 7 5 2" xfId="1709"/>
    <cellStyle name="Normal 7 5 2 2" xfId="34634"/>
    <cellStyle name="Normal 7 5 2 2 2" xfId="34635"/>
    <cellStyle name="Normal 7 5 2 3" xfId="34636"/>
    <cellStyle name="Normal 7 5 2 4" xfId="34637"/>
    <cellStyle name="Normal 7 5 2 5" xfId="34638"/>
    <cellStyle name="Normal 7 5 2 6" xfId="34639"/>
    <cellStyle name="Normal 7 5 2 7" xfId="34640"/>
    <cellStyle name="Normal 7 5 2 8" xfId="34641"/>
    <cellStyle name="Normal 7 5 3" xfId="34642"/>
    <cellStyle name="Normal 7 5 3 2" xfId="34643"/>
    <cellStyle name="Normal 7 5 3 3" xfId="34644"/>
    <cellStyle name="Normal 7 5 3 4" xfId="34645"/>
    <cellStyle name="Normal 7 5 3 5" xfId="34646"/>
    <cellStyle name="Normal 7 5 3 6" xfId="34647"/>
    <cellStyle name="Normal 7 5 4" xfId="34648"/>
    <cellStyle name="Normal 7 5 4 2" xfId="34649"/>
    <cellStyle name="Normal 7 5 5" xfId="34650"/>
    <cellStyle name="Normal 7 5 6" xfId="34651"/>
    <cellStyle name="Normal 7 5 7" xfId="34652"/>
    <cellStyle name="Normal 7 5 8" xfId="34653"/>
    <cellStyle name="Normal 7 5 9" xfId="34654"/>
    <cellStyle name="Normal 7 50" xfId="34655"/>
    <cellStyle name="Normal 7 51" xfId="34656"/>
    <cellStyle name="Normal 7 52" xfId="34657"/>
    <cellStyle name="Normal 7 53" xfId="34658"/>
    <cellStyle name="Normal 7 54" xfId="34659"/>
    <cellStyle name="Normal 7 55" xfId="34660"/>
    <cellStyle name="Normal 7 56" xfId="34661"/>
    <cellStyle name="Normal 7 57" xfId="34662"/>
    <cellStyle name="Normal 7 58" xfId="34663"/>
    <cellStyle name="Normal 7 59" xfId="34664"/>
    <cellStyle name="Normal 7 6" xfId="928"/>
    <cellStyle name="Normal 7 6 10" xfId="34665"/>
    <cellStyle name="Normal 7 6 11" xfId="34666"/>
    <cellStyle name="Normal 7 6 2" xfId="1710"/>
    <cellStyle name="Normal 7 6 2 2" xfId="34667"/>
    <cellStyle name="Normal 7 6 2 2 2" xfId="34668"/>
    <cellStyle name="Normal 7 6 2 3" xfId="34669"/>
    <cellStyle name="Normal 7 6 2 4" xfId="34670"/>
    <cellStyle name="Normal 7 6 2 5" xfId="34671"/>
    <cellStyle name="Normal 7 6 2 6" xfId="34672"/>
    <cellStyle name="Normal 7 6 2 7" xfId="34673"/>
    <cellStyle name="Normal 7 6 2 8" xfId="34674"/>
    <cellStyle name="Normal 7 6 3" xfId="34675"/>
    <cellStyle name="Normal 7 6 3 2" xfId="34676"/>
    <cellStyle name="Normal 7 6 3 3" xfId="34677"/>
    <cellStyle name="Normal 7 6 3 4" xfId="34678"/>
    <cellStyle name="Normal 7 6 3 5" xfId="34679"/>
    <cellStyle name="Normal 7 6 3 6" xfId="34680"/>
    <cellStyle name="Normal 7 6 4" xfId="34681"/>
    <cellStyle name="Normal 7 6 4 2" xfId="34682"/>
    <cellStyle name="Normal 7 6 5" xfId="34683"/>
    <cellStyle name="Normal 7 6 6" xfId="34684"/>
    <cellStyle name="Normal 7 6 7" xfId="34685"/>
    <cellStyle name="Normal 7 6 8" xfId="34686"/>
    <cellStyle name="Normal 7 6 9" xfId="34687"/>
    <cellStyle name="Normal 7 60" xfId="34688"/>
    <cellStyle name="Normal 7 61" xfId="34689"/>
    <cellStyle name="Normal 7 62" xfId="34690"/>
    <cellStyle name="Normal 7 63" xfId="34691"/>
    <cellStyle name="Normal 7 64" xfId="34692"/>
    <cellStyle name="Normal 7 65" xfId="34693"/>
    <cellStyle name="Normal 7 66" xfId="34694"/>
    <cellStyle name="Normal 7 67" xfId="34695"/>
    <cellStyle name="Normal 7 68" xfId="34696"/>
    <cellStyle name="Normal 7 69" xfId="34697"/>
    <cellStyle name="Normal 7 7" xfId="1365"/>
    <cellStyle name="Normal 7 7 10" xfId="34698"/>
    <cellStyle name="Normal 7 7 2" xfId="34699"/>
    <cellStyle name="Normal 7 7 2 2" xfId="34700"/>
    <cellStyle name="Normal 7 7 2 2 2" xfId="34701"/>
    <cellStyle name="Normal 7 7 2 3" xfId="34702"/>
    <cellStyle name="Normal 7 7 2 4" xfId="34703"/>
    <cellStyle name="Normal 7 7 2 5" xfId="34704"/>
    <cellStyle name="Normal 7 7 2 6" xfId="34705"/>
    <cellStyle name="Normal 7 7 2 7" xfId="34706"/>
    <cellStyle name="Normal 7 7 3" xfId="34707"/>
    <cellStyle name="Normal 7 7 3 2" xfId="34708"/>
    <cellStyle name="Normal 7 7 3 3" xfId="34709"/>
    <cellStyle name="Normal 7 7 3 4" xfId="34710"/>
    <cellStyle name="Normal 7 7 3 5" xfId="34711"/>
    <cellStyle name="Normal 7 7 3 6" xfId="34712"/>
    <cellStyle name="Normal 7 7 4" xfId="34713"/>
    <cellStyle name="Normal 7 7 4 2" xfId="34714"/>
    <cellStyle name="Normal 7 7 5" xfId="34715"/>
    <cellStyle name="Normal 7 7 6" xfId="34716"/>
    <cellStyle name="Normal 7 7 7" xfId="34717"/>
    <cellStyle name="Normal 7 7 8" xfId="34718"/>
    <cellStyle name="Normal 7 7 9" xfId="34719"/>
    <cellStyle name="Normal 7 70" xfId="34720"/>
    <cellStyle name="Normal 7 71" xfId="34721"/>
    <cellStyle name="Normal 7 72" xfId="34722"/>
    <cellStyle name="Normal 7 73" xfId="34723"/>
    <cellStyle name="Normal 7 74" xfId="34724"/>
    <cellStyle name="Normal 7 75" xfId="34725"/>
    <cellStyle name="Normal 7 76" xfId="34726"/>
    <cellStyle name="Normal 7 77" xfId="34727"/>
    <cellStyle name="Normal 7 78" xfId="34728"/>
    <cellStyle name="Normal 7 79" xfId="34729"/>
    <cellStyle name="Normal 7 8" xfId="1703"/>
    <cellStyle name="Normal 7 8 10" xfId="34730"/>
    <cellStyle name="Normal 7 8 2" xfId="34731"/>
    <cellStyle name="Normal 7 8 2 2" xfId="34732"/>
    <cellStyle name="Normal 7 8 2 2 2" xfId="34733"/>
    <cellStyle name="Normal 7 8 2 3" xfId="34734"/>
    <cellStyle name="Normal 7 8 2 4" xfId="34735"/>
    <cellStyle name="Normal 7 8 2 5" xfId="34736"/>
    <cellStyle name="Normal 7 8 2 6" xfId="34737"/>
    <cellStyle name="Normal 7 8 2 7" xfId="34738"/>
    <cellStyle name="Normal 7 8 3" xfId="34739"/>
    <cellStyle name="Normal 7 8 3 2" xfId="34740"/>
    <cellStyle name="Normal 7 8 3 3" xfId="34741"/>
    <cellStyle name="Normal 7 8 3 4" xfId="34742"/>
    <cellStyle name="Normal 7 8 3 5" xfId="34743"/>
    <cellStyle name="Normal 7 8 3 6" xfId="34744"/>
    <cellStyle name="Normal 7 8 4" xfId="34745"/>
    <cellStyle name="Normal 7 8 4 2" xfId="34746"/>
    <cellStyle name="Normal 7 8 5" xfId="34747"/>
    <cellStyle name="Normal 7 8 6" xfId="34748"/>
    <cellStyle name="Normal 7 8 7" xfId="34749"/>
    <cellStyle name="Normal 7 8 8" xfId="34750"/>
    <cellStyle name="Normal 7 8 9" xfId="34751"/>
    <cellStyle name="Normal 7 80" xfId="34752"/>
    <cellStyle name="Normal 7 81" xfId="34753"/>
    <cellStyle name="Normal 7 82" xfId="34754"/>
    <cellStyle name="Normal 7 83" xfId="34755"/>
    <cellStyle name="Normal 7 84" xfId="34756"/>
    <cellStyle name="Normal 7 85" xfId="34757"/>
    <cellStyle name="Normal 7 86" xfId="34758"/>
    <cellStyle name="Normal 7 87" xfId="34759"/>
    <cellStyle name="Normal 7 88" xfId="34760"/>
    <cellStyle name="Normal 7 89" xfId="34761"/>
    <cellStyle name="Normal 7 9" xfId="1777"/>
    <cellStyle name="Normal 7 9 2" xfId="34762"/>
    <cellStyle name="Normal 7 9 2 2" xfId="34763"/>
    <cellStyle name="Normal 7 9 2 2 2" xfId="34764"/>
    <cellStyle name="Normal 7 9 2 3" xfId="34765"/>
    <cellStyle name="Normal 7 9 2 4" xfId="34766"/>
    <cellStyle name="Normal 7 9 2 5" xfId="34767"/>
    <cellStyle name="Normal 7 9 2 6" xfId="34768"/>
    <cellStyle name="Normal 7 9 3" xfId="34769"/>
    <cellStyle name="Normal 7 9 3 2" xfId="34770"/>
    <cellStyle name="Normal 7 9 4" xfId="34771"/>
    <cellStyle name="Normal 7 9 5" xfId="34772"/>
    <cellStyle name="Normal 7 9 6" xfId="34773"/>
    <cellStyle name="Normal 7 9 7" xfId="34774"/>
    <cellStyle name="Normal 7 9 8" xfId="34775"/>
    <cellStyle name="Normal 7 9 9" xfId="34776"/>
    <cellStyle name="Normal 7 90" xfId="34777"/>
    <cellStyle name="Normal 7 91" xfId="34778"/>
    <cellStyle name="Normal 7 92" xfId="34779"/>
    <cellStyle name="Normal 7 93" xfId="34780"/>
    <cellStyle name="Normal 7 94" xfId="34781"/>
    <cellStyle name="Normal 7 95" xfId="34782"/>
    <cellStyle name="Normal 7 96" xfId="34783"/>
    <cellStyle name="Normal 7 97" xfId="34784"/>
    <cellStyle name="Normal 7 98" xfId="34785"/>
    <cellStyle name="Normal 7 99" xfId="34786"/>
    <cellStyle name="Normal 70" xfId="517"/>
    <cellStyle name="Normal 70 2" xfId="1308"/>
    <cellStyle name="Normal 71" xfId="519"/>
    <cellStyle name="Normal 71 2" xfId="1309"/>
    <cellStyle name="Normal 72" xfId="521"/>
    <cellStyle name="Normal 72 2" xfId="1310"/>
    <cellStyle name="Normal 73" xfId="523"/>
    <cellStyle name="Normal 73 2" xfId="1311"/>
    <cellStyle name="Normal 74" xfId="525"/>
    <cellStyle name="Normal 74 2" xfId="1312"/>
    <cellStyle name="Normal 75" xfId="527"/>
    <cellStyle name="Normal 75 2" xfId="1313"/>
    <cellStyle name="Normal 76" xfId="529"/>
    <cellStyle name="Normal 76 2" xfId="1314"/>
    <cellStyle name="Normal 77" xfId="531"/>
    <cellStyle name="Normal 77 2" xfId="1315"/>
    <cellStyle name="Normal 78" xfId="533"/>
    <cellStyle name="Normal 78 2" xfId="1316"/>
    <cellStyle name="Normal 79" xfId="555"/>
    <cellStyle name="Normal 79 2" xfId="1317"/>
    <cellStyle name="Normal 8" xfId="348"/>
    <cellStyle name="Normal 8 10" xfId="1817"/>
    <cellStyle name="Normal 8 10 2" xfId="34787"/>
    <cellStyle name="Normal 8 10 2 2" xfId="34788"/>
    <cellStyle name="Normal 8 10 3" xfId="34789"/>
    <cellStyle name="Normal 8 10 3 2" xfId="34790"/>
    <cellStyle name="Normal 8 10 4" xfId="34791"/>
    <cellStyle name="Normal 8 10 5" xfId="34792"/>
    <cellStyle name="Normal 8 10 6" xfId="34793"/>
    <cellStyle name="Normal 8 10 7" xfId="34794"/>
    <cellStyle name="Normal 8 10 8" xfId="34795"/>
    <cellStyle name="Normal 8 100" xfId="34796"/>
    <cellStyle name="Normal 8 101" xfId="34797"/>
    <cellStyle name="Normal 8 102" xfId="34798"/>
    <cellStyle name="Normal 8 103" xfId="34799"/>
    <cellStyle name="Normal 8 104" xfId="34800"/>
    <cellStyle name="Normal 8 105" xfId="34801"/>
    <cellStyle name="Normal 8 106" xfId="34802"/>
    <cellStyle name="Normal 8 107" xfId="34803"/>
    <cellStyle name="Normal 8 108" xfId="34804"/>
    <cellStyle name="Normal 8 109" xfId="34805"/>
    <cellStyle name="Normal 8 11" xfId="34806"/>
    <cellStyle name="Normal 8 11 2" xfId="34807"/>
    <cellStyle name="Normal 8 11 2 2" xfId="34808"/>
    <cellStyle name="Normal 8 11 3" xfId="34809"/>
    <cellStyle name="Normal 8 11 3 2" xfId="34810"/>
    <cellStyle name="Normal 8 11 4" xfId="34811"/>
    <cellStyle name="Normal 8 11 5" xfId="34812"/>
    <cellStyle name="Normal 8 11 6" xfId="34813"/>
    <cellStyle name="Normal 8 110" xfId="34814"/>
    <cellStyle name="Normal 8 111" xfId="34815"/>
    <cellStyle name="Normal 8 112" xfId="34816"/>
    <cellStyle name="Normal 8 12" xfId="34817"/>
    <cellStyle name="Normal 8 12 2" xfId="34818"/>
    <cellStyle name="Normal 8 12 3" xfId="34819"/>
    <cellStyle name="Normal 8 13" xfId="34820"/>
    <cellStyle name="Normal 8 13 2" xfId="34821"/>
    <cellStyle name="Normal 8 13 3" xfId="34822"/>
    <cellStyle name="Normal 8 14" xfId="34823"/>
    <cellStyle name="Normal 8 14 2" xfId="34824"/>
    <cellStyle name="Normal 8 14 3" xfId="34825"/>
    <cellStyle name="Normal 8 15" xfId="34826"/>
    <cellStyle name="Normal 8 15 2" xfId="34827"/>
    <cellStyle name="Normal 8 15 3" xfId="34828"/>
    <cellStyle name="Normal 8 16" xfId="34829"/>
    <cellStyle name="Normal 8 16 2" xfId="34830"/>
    <cellStyle name="Normal 8 16 3" xfId="34831"/>
    <cellStyle name="Normal 8 17" xfId="34832"/>
    <cellStyle name="Normal 8 17 2" xfId="34833"/>
    <cellStyle name="Normal 8 18" xfId="34834"/>
    <cellStyle name="Normal 8 18 2" xfId="34835"/>
    <cellStyle name="Normal 8 19" xfId="34836"/>
    <cellStyle name="Normal 8 19 2" xfId="34837"/>
    <cellStyle name="Normal 8 2" xfId="461"/>
    <cellStyle name="Normal 8 2 10" xfId="34838"/>
    <cellStyle name="Normal 8 2 11" xfId="34839"/>
    <cellStyle name="Normal 8 2 2" xfId="1269"/>
    <cellStyle name="Normal 8 2 2 2" xfId="1713"/>
    <cellStyle name="Normal 8 2 2 2 2" xfId="34840"/>
    <cellStyle name="Normal 8 2 2 2 3" xfId="34841"/>
    <cellStyle name="Normal 8 2 2 3" xfId="34842"/>
    <cellStyle name="Normal 8 2 2 4" xfId="34843"/>
    <cellStyle name="Normal 8 2 2 5" xfId="34844"/>
    <cellStyle name="Normal 8 2 2 6" xfId="34845"/>
    <cellStyle name="Normal 8 2 2 7" xfId="34846"/>
    <cellStyle name="Normal 8 2 2 8" xfId="34847"/>
    <cellStyle name="Normal 8 2 2 9" xfId="34848"/>
    <cellStyle name="Normal 8 2 3" xfId="1385"/>
    <cellStyle name="Normal 8 2 3 2" xfId="34849"/>
    <cellStyle name="Normal 8 2 3 3" xfId="34850"/>
    <cellStyle name="Normal 8 2 3 4" xfId="34851"/>
    <cellStyle name="Normal 8 2 3 5" xfId="34852"/>
    <cellStyle name="Normal 8 2 3 6" xfId="34853"/>
    <cellStyle name="Normal 8 2 3 7" xfId="34854"/>
    <cellStyle name="Normal 8 2 4" xfId="1712"/>
    <cellStyle name="Normal 8 2 4 2" xfId="34855"/>
    <cellStyle name="Normal 8 2 4 3" xfId="34856"/>
    <cellStyle name="Normal 8 2 5" xfId="2010"/>
    <cellStyle name="Normal 8 2 5 2" xfId="34857"/>
    <cellStyle name="Normal 8 2 6" xfId="34858"/>
    <cellStyle name="Normal 8 2 7" xfId="34859"/>
    <cellStyle name="Normal 8 2 8" xfId="34860"/>
    <cellStyle name="Normal 8 2 9" xfId="34861"/>
    <cellStyle name="Normal 8 20" xfId="34862"/>
    <cellStyle name="Normal 8 20 2" xfId="34863"/>
    <cellStyle name="Normal 8 21" xfId="34864"/>
    <cellStyle name="Normal 8 21 2" xfId="34865"/>
    <cellStyle name="Normal 8 22" xfId="34866"/>
    <cellStyle name="Normal 8 22 2" xfId="34867"/>
    <cellStyle name="Normal 8 23" xfId="34868"/>
    <cellStyle name="Normal 8 23 2" xfId="34869"/>
    <cellStyle name="Normal 8 24" xfId="34870"/>
    <cellStyle name="Normal 8 24 2" xfId="34871"/>
    <cellStyle name="Normal 8 25" xfId="34872"/>
    <cellStyle name="Normal 8 25 2" xfId="34873"/>
    <cellStyle name="Normal 8 26" xfId="34874"/>
    <cellStyle name="Normal 8 26 2" xfId="34875"/>
    <cellStyle name="Normal 8 27" xfId="34876"/>
    <cellStyle name="Normal 8 27 2" xfId="34877"/>
    <cellStyle name="Normal 8 28" xfId="34878"/>
    <cellStyle name="Normal 8 28 2" xfId="34879"/>
    <cellStyle name="Normal 8 29" xfId="34880"/>
    <cellStyle name="Normal 8 29 2" xfId="34881"/>
    <cellStyle name="Normal 8 3" xfId="594"/>
    <cellStyle name="Normal 8 3 10" xfId="34882"/>
    <cellStyle name="Normal 8 3 11" xfId="34883"/>
    <cellStyle name="Normal 8 3 2" xfId="1715"/>
    <cellStyle name="Normal 8 3 2 2" xfId="34884"/>
    <cellStyle name="Normal 8 3 2 2 2" xfId="34885"/>
    <cellStyle name="Normal 8 3 2 3" xfId="34886"/>
    <cellStyle name="Normal 8 3 2 4" xfId="34887"/>
    <cellStyle name="Normal 8 3 2 5" xfId="34888"/>
    <cellStyle name="Normal 8 3 2 6" xfId="34889"/>
    <cellStyle name="Normal 8 3 2 7" xfId="34890"/>
    <cellStyle name="Normal 8 3 2 8" xfId="34891"/>
    <cellStyle name="Normal 8 3 2 9" xfId="34892"/>
    <cellStyle name="Normal 8 3 3" xfId="1714"/>
    <cellStyle name="Normal 8 3 3 2" xfId="34893"/>
    <cellStyle name="Normal 8 3 3 3" xfId="34894"/>
    <cellStyle name="Normal 8 3 3 4" xfId="34895"/>
    <cellStyle name="Normal 8 3 3 5" xfId="34896"/>
    <cellStyle name="Normal 8 3 3 6" xfId="34897"/>
    <cellStyle name="Normal 8 3 3 7" xfId="34898"/>
    <cellStyle name="Normal 8 3 4" xfId="1911"/>
    <cellStyle name="Normal 8 3 4 2" xfId="34899"/>
    <cellStyle name="Normal 8 3 4 3" xfId="34900"/>
    <cellStyle name="Normal 8 3 5" xfId="34901"/>
    <cellStyle name="Normal 8 3 6" xfId="34902"/>
    <cellStyle name="Normal 8 3 7" xfId="34903"/>
    <cellStyle name="Normal 8 3 8" xfId="34904"/>
    <cellStyle name="Normal 8 3 9" xfId="34905"/>
    <cellStyle name="Normal 8 30" xfId="34906"/>
    <cellStyle name="Normal 8 30 2" xfId="34907"/>
    <cellStyle name="Normal 8 31" xfId="34908"/>
    <cellStyle name="Normal 8 31 2" xfId="34909"/>
    <cellStyle name="Normal 8 32" xfId="34910"/>
    <cellStyle name="Normal 8 32 2" xfId="34911"/>
    <cellStyle name="Normal 8 33" xfId="34912"/>
    <cellStyle name="Normal 8 33 2" xfId="34913"/>
    <cellStyle name="Normal 8 34" xfId="34914"/>
    <cellStyle name="Normal 8 34 2" xfId="34915"/>
    <cellStyle name="Normal 8 35" xfId="34916"/>
    <cellStyle name="Normal 8 35 2" xfId="34917"/>
    <cellStyle name="Normal 8 36" xfId="34918"/>
    <cellStyle name="Normal 8 36 2" xfId="34919"/>
    <cellStyle name="Normal 8 37" xfId="34920"/>
    <cellStyle name="Normal 8 37 2" xfId="34921"/>
    <cellStyle name="Normal 8 38" xfId="34922"/>
    <cellStyle name="Normal 8 38 2" xfId="34923"/>
    <cellStyle name="Normal 8 39" xfId="34924"/>
    <cellStyle name="Normal 8 39 2" xfId="34925"/>
    <cellStyle name="Normal 8 4" xfId="717"/>
    <cellStyle name="Normal 8 4 10" xfId="34926"/>
    <cellStyle name="Normal 8 4 11" xfId="34927"/>
    <cellStyle name="Normal 8 4 2" xfId="1716"/>
    <cellStyle name="Normal 8 4 2 2" xfId="34928"/>
    <cellStyle name="Normal 8 4 2 2 2" xfId="34929"/>
    <cellStyle name="Normal 8 4 2 3" xfId="34930"/>
    <cellStyle name="Normal 8 4 2 4" xfId="34931"/>
    <cellStyle name="Normal 8 4 2 5" xfId="34932"/>
    <cellStyle name="Normal 8 4 2 6" xfId="34933"/>
    <cellStyle name="Normal 8 4 2 7" xfId="34934"/>
    <cellStyle name="Normal 8 4 2 8" xfId="34935"/>
    <cellStyle name="Normal 8 4 3" xfId="34936"/>
    <cellStyle name="Normal 8 4 3 2" xfId="34937"/>
    <cellStyle name="Normal 8 4 3 3" xfId="34938"/>
    <cellStyle name="Normal 8 4 3 4" xfId="34939"/>
    <cellStyle name="Normal 8 4 3 5" xfId="34940"/>
    <cellStyle name="Normal 8 4 3 6" xfId="34941"/>
    <cellStyle name="Normal 8 4 4" xfId="34942"/>
    <cellStyle name="Normal 8 4 4 2" xfId="34943"/>
    <cellStyle name="Normal 8 4 5" xfId="34944"/>
    <cellStyle name="Normal 8 4 6" xfId="34945"/>
    <cellStyle name="Normal 8 4 7" xfId="34946"/>
    <cellStyle name="Normal 8 4 8" xfId="34947"/>
    <cellStyle name="Normal 8 4 9" xfId="34948"/>
    <cellStyle name="Normal 8 40" xfId="34949"/>
    <cellStyle name="Normal 8 40 2" xfId="34950"/>
    <cellStyle name="Normal 8 41" xfId="34951"/>
    <cellStyle name="Normal 8 41 2" xfId="34952"/>
    <cellStyle name="Normal 8 42" xfId="34953"/>
    <cellStyle name="Normal 8 42 2" xfId="34954"/>
    <cellStyle name="Normal 8 43" xfId="34955"/>
    <cellStyle name="Normal 8 43 2" xfId="34956"/>
    <cellStyle name="Normal 8 44" xfId="34957"/>
    <cellStyle name="Normal 8 44 2" xfId="34958"/>
    <cellStyle name="Normal 8 45" xfId="34959"/>
    <cellStyle name="Normal 8 46" xfId="34960"/>
    <cellStyle name="Normal 8 47" xfId="34961"/>
    <cellStyle name="Normal 8 48" xfId="34962"/>
    <cellStyle name="Normal 8 49" xfId="34963"/>
    <cellStyle name="Normal 8 5" xfId="779"/>
    <cellStyle name="Normal 8 5 10" xfId="34964"/>
    <cellStyle name="Normal 8 5 11" xfId="34965"/>
    <cellStyle name="Normal 8 5 2" xfId="1717"/>
    <cellStyle name="Normal 8 5 2 2" xfId="34966"/>
    <cellStyle name="Normal 8 5 2 2 2" xfId="34967"/>
    <cellStyle name="Normal 8 5 2 3" xfId="34968"/>
    <cellStyle name="Normal 8 5 2 4" xfId="34969"/>
    <cellStyle name="Normal 8 5 2 5" xfId="34970"/>
    <cellStyle name="Normal 8 5 2 6" xfId="34971"/>
    <cellStyle name="Normal 8 5 2 7" xfId="34972"/>
    <cellStyle name="Normal 8 5 2 8" xfId="34973"/>
    <cellStyle name="Normal 8 5 3" xfId="34974"/>
    <cellStyle name="Normal 8 5 3 2" xfId="34975"/>
    <cellStyle name="Normal 8 5 3 3" xfId="34976"/>
    <cellStyle name="Normal 8 5 3 4" xfId="34977"/>
    <cellStyle name="Normal 8 5 3 5" xfId="34978"/>
    <cellStyle name="Normal 8 5 3 6" xfId="34979"/>
    <cellStyle name="Normal 8 5 4" xfId="34980"/>
    <cellStyle name="Normal 8 5 4 2" xfId="34981"/>
    <cellStyle name="Normal 8 5 5" xfId="34982"/>
    <cellStyle name="Normal 8 5 6" xfId="34983"/>
    <cellStyle name="Normal 8 5 7" xfId="34984"/>
    <cellStyle name="Normal 8 5 8" xfId="34985"/>
    <cellStyle name="Normal 8 5 9" xfId="34986"/>
    <cellStyle name="Normal 8 50" xfId="34987"/>
    <cellStyle name="Normal 8 51" xfId="34988"/>
    <cellStyle name="Normal 8 52" xfId="34989"/>
    <cellStyle name="Normal 8 53" xfId="34990"/>
    <cellStyle name="Normal 8 54" xfId="34991"/>
    <cellStyle name="Normal 8 55" xfId="34992"/>
    <cellStyle name="Normal 8 56" xfId="34993"/>
    <cellStyle name="Normal 8 57" xfId="34994"/>
    <cellStyle name="Normal 8 58" xfId="34995"/>
    <cellStyle name="Normal 8 59" xfId="34996"/>
    <cellStyle name="Normal 8 6" xfId="929"/>
    <cellStyle name="Normal 8 6 10" xfId="34997"/>
    <cellStyle name="Normal 8 6 11" xfId="34998"/>
    <cellStyle name="Normal 8 6 2" xfId="1718"/>
    <cellStyle name="Normal 8 6 2 2" xfId="34999"/>
    <cellStyle name="Normal 8 6 2 2 2" xfId="35000"/>
    <cellStyle name="Normal 8 6 2 3" xfId="35001"/>
    <cellStyle name="Normal 8 6 2 4" xfId="35002"/>
    <cellStyle name="Normal 8 6 2 5" xfId="35003"/>
    <cellStyle name="Normal 8 6 2 6" xfId="35004"/>
    <cellStyle name="Normal 8 6 2 7" xfId="35005"/>
    <cellStyle name="Normal 8 6 2 8" xfId="35006"/>
    <cellStyle name="Normal 8 6 3" xfId="35007"/>
    <cellStyle name="Normal 8 6 3 2" xfId="35008"/>
    <cellStyle name="Normal 8 6 3 3" xfId="35009"/>
    <cellStyle name="Normal 8 6 3 4" xfId="35010"/>
    <cellStyle name="Normal 8 6 3 5" xfId="35011"/>
    <cellStyle name="Normal 8 6 3 6" xfId="35012"/>
    <cellStyle name="Normal 8 6 4" xfId="35013"/>
    <cellStyle name="Normal 8 6 4 2" xfId="35014"/>
    <cellStyle name="Normal 8 6 5" xfId="35015"/>
    <cellStyle name="Normal 8 6 6" xfId="35016"/>
    <cellStyle name="Normal 8 6 7" xfId="35017"/>
    <cellStyle name="Normal 8 6 8" xfId="35018"/>
    <cellStyle name="Normal 8 6 9" xfId="35019"/>
    <cellStyle name="Normal 8 60" xfId="35020"/>
    <cellStyle name="Normal 8 61" xfId="35021"/>
    <cellStyle name="Normal 8 62" xfId="35022"/>
    <cellStyle name="Normal 8 63" xfId="35023"/>
    <cellStyle name="Normal 8 64" xfId="35024"/>
    <cellStyle name="Normal 8 65" xfId="35025"/>
    <cellStyle name="Normal 8 66" xfId="35026"/>
    <cellStyle name="Normal 8 67" xfId="35027"/>
    <cellStyle name="Normal 8 68" xfId="35028"/>
    <cellStyle name="Normal 8 69" xfId="35029"/>
    <cellStyle name="Normal 8 7" xfId="1366"/>
    <cellStyle name="Normal 8 7 10" xfId="35030"/>
    <cellStyle name="Normal 8 7 2" xfId="35031"/>
    <cellStyle name="Normal 8 7 2 2" xfId="35032"/>
    <cellStyle name="Normal 8 7 2 2 2" xfId="35033"/>
    <cellStyle name="Normal 8 7 2 3" xfId="35034"/>
    <cellStyle name="Normal 8 7 2 4" xfId="35035"/>
    <cellStyle name="Normal 8 7 2 5" xfId="35036"/>
    <cellStyle name="Normal 8 7 2 6" xfId="35037"/>
    <cellStyle name="Normal 8 7 2 7" xfId="35038"/>
    <cellStyle name="Normal 8 7 3" xfId="35039"/>
    <cellStyle name="Normal 8 7 3 2" xfId="35040"/>
    <cellStyle name="Normal 8 7 3 3" xfId="35041"/>
    <cellStyle name="Normal 8 7 3 4" xfId="35042"/>
    <cellStyle name="Normal 8 7 3 5" xfId="35043"/>
    <cellStyle name="Normal 8 7 3 6" xfId="35044"/>
    <cellStyle name="Normal 8 7 4" xfId="35045"/>
    <cellStyle name="Normal 8 7 4 2" xfId="35046"/>
    <cellStyle name="Normal 8 7 5" xfId="35047"/>
    <cellStyle name="Normal 8 7 6" xfId="35048"/>
    <cellStyle name="Normal 8 7 7" xfId="35049"/>
    <cellStyle name="Normal 8 7 8" xfId="35050"/>
    <cellStyle name="Normal 8 7 9" xfId="35051"/>
    <cellStyle name="Normal 8 70" xfId="35052"/>
    <cellStyle name="Normal 8 71" xfId="35053"/>
    <cellStyle name="Normal 8 72" xfId="35054"/>
    <cellStyle name="Normal 8 73" xfId="35055"/>
    <cellStyle name="Normal 8 74" xfId="35056"/>
    <cellStyle name="Normal 8 75" xfId="35057"/>
    <cellStyle name="Normal 8 76" xfId="35058"/>
    <cellStyle name="Normal 8 77" xfId="35059"/>
    <cellStyle name="Normal 8 78" xfId="35060"/>
    <cellStyle name="Normal 8 79" xfId="35061"/>
    <cellStyle name="Normal 8 8" xfId="1711"/>
    <cellStyle name="Normal 8 8 10" xfId="35062"/>
    <cellStyle name="Normal 8 8 2" xfId="35063"/>
    <cellStyle name="Normal 8 8 2 2" xfId="35064"/>
    <cellStyle name="Normal 8 8 2 2 2" xfId="35065"/>
    <cellStyle name="Normal 8 8 2 3" xfId="35066"/>
    <cellStyle name="Normal 8 8 2 4" xfId="35067"/>
    <cellStyle name="Normal 8 8 2 5" xfId="35068"/>
    <cellStyle name="Normal 8 8 2 6" xfId="35069"/>
    <cellStyle name="Normal 8 8 2 7" xfId="35070"/>
    <cellStyle name="Normal 8 8 3" xfId="35071"/>
    <cellStyle name="Normal 8 8 3 2" xfId="35072"/>
    <cellStyle name="Normal 8 8 3 3" xfId="35073"/>
    <cellStyle name="Normal 8 8 3 4" xfId="35074"/>
    <cellStyle name="Normal 8 8 3 5" xfId="35075"/>
    <cellStyle name="Normal 8 8 3 6" xfId="35076"/>
    <cellStyle name="Normal 8 8 4" xfId="35077"/>
    <cellStyle name="Normal 8 8 4 2" xfId="35078"/>
    <cellStyle name="Normal 8 8 5" xfId="35079"/>
    <cellStyle name="Normal 8 8 6" xfId="35080"/>
    <cellStyle name="Normal 8 8 7" xfId="35081"/>
    <cellStyle name="Normal 8 8 8" xfId="35082"/>
    <cellStyle name="Normal 8 8 9" xfId="35083"/>
    <cellStyle name="Normal 8 80" xfId="35084"/>
    <cellStyle name="Normal 8 81" xfId="35085"/>
    <cellStyle name="Normal 8 82" xfId="35086"/>
    <cellStyle name="Normal 8 83" xfId="35087"/>
    <cellStyle name="Normal 8 84" xfId="35088"/>
    <cellStyle name="Normal 8 85" xfId="35089"/>
    <cellStyle name="Normal 8 86" xfId="35090"/>
    <cellStyle name="Normal 8 87" xfId="35091"/>
    <cellStyle name="Normal 8 88" xfId="35092"/>
    <cellStyle name="Normal 8 89" xfId="35093"/>
    <cellStyle name="Normal 8 9" xfId="1778"/>
    <cellStyle name="Normal 8 9 2" xfId="35094"/>
    <cellStyle name="Normal 8 9 2 2" xfId="35095"/>
    <cellStyle name="Normal 8 9 2 2 2" xfId="35096"/>
    <cellStyle name="Normal 8 9 2 3" xfId="35097"/>
    <cellStyle name="Normal 8 9 2 4" xfId="35098"/>
    <cellStyle name="Normal 8 9 2 5" xfId="35099"/>
    <cellStyle name="Normal 8 9 2 6" xfId="35100"/>
    <cellStyle name="Normal 8 9 3" xfId="35101"/>
    <cellStyle name="Normal 8 9 3 2" xfId="35102"/>
    <cellStyle name="Normal 8 9 4" xfId="35103"/>
    <cellStyle name="Normal 8 9 5" xfId="35104"/>
    <cellStyle name="Normal 8 9 6" xfId="35105"/>
    <cellStyle name="Normal 8 9 7" xfId="35106"/>
    <cellStyle name="Normal 8 9 8" xfId="35107"/>
    <cellStyle name="Normal 8 9 9" xfId="35108"/>
    <cellStyle name="Normal 8 90" xfId="35109"/>
    <cellStyle name="Normal 8 91" xfId="35110"/>
    <cellStyle name="Normal 8 92" xfId="35111"/>
    <cellStyle name="Normal 8 93" xfId="35112"/>
    <cellStyle name="Normal 8 94" xfId="35113"/>
    <cellStyle name="Normal 8 95" xfId="35114"/>
    <cellStyle name="Normal 8 96" xfId="35115"/>
    <cellStyle name="Normal 8 97" xfId="35116"/>
    <cellStyle name="Normal 8 98" xfId="35117"/>
    <cellStyle name="Normal 8 99" xfId="35118"/>
    <cellStyle name="Normal 80" xfId="565"/>
    <cellStyle name="Normal 80 2" xfId="1320"/>
    <cellStyle name="Normal 81" xfId="558"/>
    <cellStyle name="Normal 81 2" xfId="1318"/>
    <cellStyle name="Normal 82" xfId="568"/>
    <cellStyle name="Normal 82 2" xfId="1321"/>
    <cellStyle name="Normal 83" xfId="561"/>
    <cellStyle name="Normal 83 2" xfId="1319"/>
    <cellStyle name="Normal 83 3" xfId="1968"/>
    <cellStyle name="Normal 84" xfId="367"/>
    <cellStyle name="Normal 84 2" xfId="596"/>
    <cellStyle name="Normal 84 3" xfId="1719"/>
    <cellStyle name="Normal 84 4" xfId="35119"/>
    <cellStyle name="Normal 85" xfId="369"/>
    <cellStyle name="Normal 85 2" xfId="630"/>
    <cellStyle name="Normal 85 3" xfId="35120"/>
    <cellStyle name="Normal 86" xfId="585"/>
    <cellStyle name="Normal 86 2" xfId="599"/>
    <cellStyle name="Normal 86 3" xfId="35121"/>
    <cellStyle name="Normal 87" xfId="368"/>
    <cellStyle name="Normal 87 2" xfId="622"/>
    <cellStyle name="Normal 87 3" xfId="35122"/>
    <cellStyle name="Normal 88" xfId="606"/>
    <cellStyle name="Normal 89" xfId="633"/>
    <cellStyle name="Normal 9" xfId="343"/>
    <cellStyle name="Normal 9 10" xfId="1818"/>
    <cellStyle name="Normal 9 10 2" xfId="35123"/>
    <cellStyle name="Normal 9 10 2 2" xfId="35124"/>
    <cellStyle name="Normal 9 10 3" xfId="35125"/>
    <cellStyle name="Normal 9 10 3 2" xfId="35126"/>
    <cellStyle name="Normal 9 10 4" xfId="35127"/>
    <cellStyle name="Normal 9 10 5" xfId="35128"/>
    <cellStyle name="Normal 9 10 6" xfId="35129"/>
    <cellStyle name="Normal 9 10 7" xfId="35130"/>
    <cellStyle name="Normal 9 10 8" xfId="35131"/>
    <cellStyle name="Normal 9 100" xfId="35132"/>
    <cellStyle name="Normal 9 101" xfId="35133"/>
    <cellStyle name="Normal 9 102" xfId="35134"/>
    <cellStyle name="Normal 9 103" xfId="35135"/>
    <cellStyle name="Normal 9 104" xfId="35136"/>
    <cellStyle name="Normal 9 105" xfId="35137"/>
    <cellStyle name="Normal 9 106" xfId="35138"/>
    <cellStyle name="Normal 9 107" xfId="35139"/>
    <cellStyle name="Normal 9 108" xfId="35140"/>
    <cellStyle name="Normal 9 109" xfId="35141"/>
    <cellStyle name="Normal 9 11" xfId="35142"/>
    <cellStyle name="Normal 9 11 2" xfId="35143"/>
    <cellStyle name="Normal 9 11 2 2" xfId="35144"/>
    <cellStyle name="Normal 9 11 3" xfId="35145"/>
    <cellStyle name="Normal 9 11 3 2" xfId="35146"/>
    <cellStyle name="Normal 9 11 4" xfId="35147"/>
    <cellStyle name="Normal 9 11 5" xfId="35148"/>
    <cellStyle name="Normal 9 11 6" xfId="35149"/>
    <cellStyle name="Normal 9 110" xfId="35150"/>
    <cellStyle name="Normal 9 111" xfId="35151"/>
    <cellStyle name="Normal 9 112" xfId="35152"/>
    <cellStyle name="Normal 9 113" xfId="35153"/>
    <cellStyle name="Normal 9 114" xfId="35154"/>
    <cellStyle name="Normal 9 12" xfId="35155"/>
    <cellStyle name="Normal 9 12 2" xfId="35156"/>
    <cellStyle name="Normal 9 12 3" xfId="35157"/>
    <cellStyle name="Normal 9 13" xfId="35158"/>
    <cellStyle name="Normal 9 13 2" xfId="35159"/>
    <cellStyle name="Normal 9 13 3" xfId="35160"/>
    <cellStyle name="Normal 9 14" xfId="35161"/>
    <cellStyle name="Normal 9 14 2" xfId="35162"/>
    <cellStyle name="Normal 9 14 3" xfId="35163"/>
    <cellStyle name="Normal 9 15" xfId="35164"/>
    <cellStyle name="Normal 9 15 2" xfId="35165"/>
    <cellStyle name="Normal 9 15 3" xfId="35166"/>
    <cellStyle name="Normal 9 16" xfId="35167"/>
    <cellStyle name="Normal 9 16 2" xfId="35168"/>
    <cellStyle name="Normal 9 16 3" xfId="35169"/>
    <cellStyle name="Normal 9 17" xfId="35170"/>
    <cellStyle name="Normal 9 17 2" xfId="35171"/>
    <cellStyle name="Normal 9 18" xfId="35172"/>
    <cellStyle name="Normal 9 18 2" xfId="35173"/>
    <cellStyle name="Normal 9 19" xfId="35174"/>
    <cellStyle name="Normal 9 19 2" xfId="35175"/>
    <cellStyle name="Normal 9 2" xfId="463"/>
    <cellStyle name="Normal 9 2 10" xfId="35176"/>
    <cellStyle name="Normal 9 2 11" xfId="35177"/>
    <cellStyle name="Normal 9 2 12" xfId="35178"/>
    <cellStyle name="Normal 9 2 13" xfId="35179"/>
    <cellStyle name="Normal 9 2 14" xfId="35180"/>
    <cellStyle name="Normal 9 2 15" xfId="35181"/>
    <cellStyle name="Normal 9 2 16" xfId="35182"/>
    <cellStyle name="Normal 9 2 17" xfId="35183"/>
    <cellStyle name="Normal 9 2 18" xfId="35184"/>
    <cellStyle name="Normal 9 2 19" xfId="35185"/>
    <cellStyle name="Normal 9 2 2" xfId="1270"/>
    <cellStyle name="Normal 9 2 2 2" xfId="35186"/>
    <cellStyle name="Normal 9 2 2 2 2" xfId="35187"/>
    <cellStyle name="Normal 9 2 2 3" xfId="35188"/>
    <cellStyle name="Normal 9 2 2 4" xfId="35189"/>
    <cellStyle name="Normal 9 2 2 5" xfId="35190"/>
    <cellStyle name="Normal 9 2 2 6" xfId="35191"/>
    <cellStyle name="Normal 9 2 2 7" xfId="35192"/>
    <cellStyle name="Normal 9 2 2 8" xfId="35193"/>
    <cellStyle name="Normal 9 2 20" xfId="35194"/>
    <cellStyle name="Normal 9 2 21" xfId="35195"/>
    <cellStyle name="Normal 9 2 22" xfId="35196"/>
    <cellStyle name="Normal 9 2 23" xfId="35197"/>
    <cellStyle name="Normal 9 2 24" xfId="35198"/>
    <cellStyle name="Normal 9 2 25" xfId="35199"/>
    <cellStyle name="Normal 9 2 26" xfId="35200"/>
    <cellStyle name="Normal 9 2 27" xfId="35201"/>
    <cellStyle name="Normal 9 2 28" xfId="35202"/>
    <cellStyle name="Normal 9 2 29" xfId="35203"/>
    <cellStyle name="Normal 9 2 3" xfId="1386"/>
    <cellStyle name="Normal 9 2 3 2" xfId="35204"/>
    <cellStyle name="Normal 9 2 3 2 2" xfId="35205"/>
    <cellStyle name="Normal 9 2 3 3" xfId="35206"/>
    <cellStyle name="Normal 9 2 3 4" xfId="35207"/>
    <cellStyle name="Normal 9 2 3 5" xfId="35208"/>
    <cellStyle name="Normal 9 2 3 6" xfId="35209"/>
    <cellStyle name="Normal 9 2 3 7" xfId="35210"/>
    <cellStyle name="Normal 9 2 30" xfId="35211"/>
    <cellStyle name="Normal 9 2 31" xfId="35212"/>
    <cellStyle name="Normal 9 2 32" xfId="35213"/>
    <cellStyle name="Normal 9 2 33" xfId="35214"/>
    <cellStyle name="Normal 9 2 34" xfId="35215"/>
    <cellStyle name="Normal 9 2 35" xfId="35216"/>
    <cellStyle name="Normal 9 2 36" xfId="35217"/>
    <cellStyle name="Normal 9 2 37" xfId="35218"/>
    <cellStyle name="Normal 9 2 38" xfId="35219"/>
    <cellStyle name="Normal 9 2 39" xfId="35220"/>
    <cellStyle name="Normal 9 2 4" xfId="2011"/>
    <cellStyle name="Normal 9 2 4 2" xfId="35221"/>
    <cellStyle name="Normal 9 2 4 3" xfId="35222"/>
    <cellStyle name="Normal 9 2 40" xfId="35223"/>
    <cellStyle name="Normal 9 2 41" xfId="35224"/>
    <cellStyle name="Normal 9 2 42" xfId="35225"/>
    <cellStyle name="Normal 9 2 43" xfId="35226"/>
    <cellStyle name="Normal 9 2 44" xfId="35227"/>
    <cellStyle name="Normal 9 2 45" xfId="35228"/>
    <cellStyle name="Normal 9 2 46" xfId="35229"/>
    <cellStyle name="Normal 9 2 47" xfId="35230"/>
    <cellStyle name="Normal 9 2 48" xfId="35231"/>
    <cellStyle name="Normal 9 2 5" xfId="35232"/>
    <cellStyle name="Normal 9 2 5 2" xfId="35233"/>
    <cellStyle name="Normal 9 2 6" xfId="35234"/>
    <cellStyle name="Normal 9 2 6 2" xfId="35235"/>
    <cellStyle name="Normal 9 2 7" xfId="35236"/>
    <cellStyle name="Normal 9 2 7 2" xfId="35237"/>
    <cellStyle name="Normal 9 2 8" xfId="35238"/>
    <cellStyle name="Normal 9 2 8 2" xfId="35239"/>
    <cellStyle name="Normal 9 2 9" xfId="35240"/>
    <cellStyle name="Normal 9 20" xfId="35241"/>
    <cellStyle name="Normal 9 20 2" xfId="35242"/>
    <cellStyle name="Normal 9 21" xfId="35243"/>
    <cellStyle name="Normal 9 21 2" xfId="35244"/>
    <cellStyle name="Normal 9 22" xfId="35245"/>
    <cellStyle name="Normal 9 22 2" xfId="35246"/>
    <cellStyle name="Normal 9 23" xfId="35247"/>
    <cellStyle name="Normal 9 23 2" xfId="35248"/>
    <cellStyle name="Normal 9 24" xfId="35249"/>
    <cellStyle name="Normal 9 24 2" xfId="35250"/>
    <cellStyle name="Normal 9 25" xfId="35251"/>
    <cellStyle name="Normal 9 25 2" xfId="35252"/>
    <cellStyle name="Normal 9 26" xfId="35253"/>
    <cellStyle name="Normal 9 26 2" xfId="35254"/>
    <cellStyle name="Normal 9 27" xfId="35255"/>
    <cellStyle name="Normal 9 27 2" xfId="35256"/>
    <cellStyle name="Normal 9 28" xfId="35257"/>
    <cellStyle name="Normal 9 28 2" xfId="35258"/>
    <cellStyle name="Normal 9 29" xfId="35259"/>
    <cellStyle name="Normal 9 29 2" xfId="35260"/>
    <cellStyle name="Normal 9 3" xfId="595"/>
    <cellStyle name="Normal 9 3 10" xfId="35261"/>
    <cellStyle name="Normal 9 3 11" xfId="35262"/>
    <cellStyle name="Normal 9 3 12" xfId="35263"/>
    <cellStyle name="Normal 9 3 13" xfId="35264"/>
    <cellStyle name="Normal 9 3 14" xfId="35265"/>
    <cellStyle name="Normal 9 3 15" xfId="35266"/>
    <cellStyle name="Normal 9 3 16" xfId="35267"/>
    <cellStyle name="Normal 9 3 17" xfId="35268"/>
    <cellStyle name="Normal 9 3 18" xfId="35269"/>
    <cellStyle name="Normal 9 3 19" xfId="35270"/>
    <cellStyle name="Normal 9 3 2" xfId="2134"/>
    <cellStyle name="Normal 9 3 2 2" xfId="35271"/>
    <cellStyle name="Normal 9 3 2 2 2" xfId="35272"/>
    <cellStyle name="Normal 9 3 2 3" xfId="35273"/>
    <cellStyle name="Normal 9 3 2 4" xfId="35274"/>
    <cellStyle name="Normal 9 3 2 5" xfId="35275"/>
    <cellStyle name="Normal 9 3 2 6" xfId="35276"/>
    <cellStyle name="Normal 9 3 2 7" xfId="35277"/>
    <cellStyle name="Normal 9 3 2 8" xfId="35278"/>
    <cellStyle name="Normal 9 3 20" xfId="35279"/>
    <cellStyle name="Normal 9 3 21" xfId="35280"/>
    <cellStyle name="Normal 9 3 22" xfId="35281"/>
    <cellStyle name="Normal 9 3 23" xfId="35282"/>
    <cellStyle name="Normal 9 3 24" xfId="35283"/>
    <cellStyle name="Normal 9 3 25" xfId="35284"/>
    <cellStyle name="Normal 9 3 26" xfId="35285"/>
    <cellStyle name="Normal 9 3 27" xfId="35286"/>
    <cellStyle name="Normal 9 3 28" xfId="35287"/>
    <cellStyle name="Normal 9 3 29" xfId="35288"/>
    <cellStyle name="Normal 9 3 3" xfId="35289"/>
    <cellStyle name="Normal 9 3 3 2" xfId="35290"/>
    <cellStyle name="Normal 9 3 3 2 2" xfId="35291"/>
    <cellStyle name="Normal 9 3 3 3" xfId="35292"/>
    <cellStyle name="Normal 9 3 3 4" xfId="35293"/>
    <cellStyle name="Normal 9 3 3 5" xfId="35294"/>
    <cellStyle name="Normal 9 3 3 6" xfId="35295"/>
    <cellStyle name="Normal 9 3 30" xfId="35296"/>
    <cellStyle name="Normal 9 3 31" xfId="35297"/>
    <cellStyle name="Normal 9 3 32" xfId="35298"/>
    <cellStyle name="Normal 9 3 33" xfId="35299"/>
    <cellStyle name="Normal 9 3 34" xfId="35300"/>
    <cellStyle name="Normal 9 3 35" xfId="35301"/>
    <cellStyle name="Normal 9 3 36" xfId="35302"/>
    <cellStyle name="Normal 9 3 37" xfId="35303"/>
    <cellStyle name="Normal 9 3 38" xfId="35304"/>
    <cellStyle name="Normal 9 3 39" xfId="35305"/>
    <cellStyle name="Normal 9 3 4" xfId="35306"/>
    <cellStyle name="Normal 9 3 4 2" xfId="35307"/>
    <cellStyle name="Normal 9 3 40" xfId="35308"/>
    <cellStyle name="Normal 9 3 41" xfId="35309"/>
    <cellStyle name="Normal 9 3 42" xfId="35310"/>
    <cellStyle name="Normal 9 3 43" xfId="35311"/>
    <cellStyle name="Normal 9 3 44" xfId="35312"/>
    <cellStyle name="Normal 9 3 45" xfId="35313"/>
    <cellStyle name="Normal 9 3 46" xfId="35314"/>
    <cellStyle name="Normal 9 3 47" xfId="35315"/>
    <cellStyle name="Normal 9 3 48" xfId="35316"/>
    <cellStyle name="Normal 9 3 5" xfId="35317"/>
    <cellStyle name="Normal 9 3 5 2" xfId="35318"/>
    <cellStyle name="Normal 9 3 6" xfId="35319"/>
    <cellStyle name="Normal 9 3 6 2" xfId="35320"/>
    <cellStyle name="Normal 9 3 7" xfId="35321"/>
    <cellStyle name="Normal 9 3 7 2" xfId="35322"/>
    <cellStyle name="Normal 9 3 8" xfId="35323"/>
    <cellStyle name="Normal 9 3 8 2" xfId="35324"/>
    <cellStyle name="Normal 9 3 9" xfId="35325"/>
    <cellStyle name="Normal 9 30" xfId="35326"/>
    <cellStyle name="Normal 9 30 2" xfId="35327"/>
    <cellStyle name="Normal 9 31" xfId="35328"/>
    <cellStyle name="Normal 9 31 2" xfId="35329"/>
    <cellStyle name="Normal 9 32" xfId="35330"/>
    <cellStyle name="Normal 9 32 2" xfId="35331"/>
    <cellStyle name="Normal 9 33" xfId="35332"/>
    <cellStyle name="Normal 9 33 2" xfId="35333"/>
    <cellStyle name="Normal 9 34" xfId="35334"/>
    <cellStyle name="Normal 9 34 2" xfId="35335"/>
    <cellStyle name="Normal 9 35" xfId="35336"/>
    <cellStyle name="Normal 9 35 2" xfId="35337"/>
    <cellStyle name="Normal 9 36" xfId="35338"/>
    <cellStyle name="Normal 9 36 2" xfId="35339"/>
    <cellStyle name="Normal 9 37" xfId="35340"/>
    <cellStyle name="Normal 9 37 2" xfId="35341"/>
    <cellStyle name="Normal 9 38" xfId="35342"/>
    <cellStyle name="Normal 9 38 2" xfId="35343"/>
    <cellStyle name="Normal 9 39" xfId="35344"/>
    <cellStyle name="Normal 9 39 2" xfId="35345"/>
    <cellStyle name="Normal 9 4" xfId="718"/>
    <cellStyle name="Normal 9 4 10" xfId="35346"/>
    <cellStyle name="Normal 9 4 2" xfId="35347"/>
    <cellStyle name="Normal 9 4 2 2" xfId="35348"/>
    <cellStyle name="Normal 9 4 2 2 2" xfId="35349"/>
    <cellStyle name="Normal 9 4 2 3" xfId="35350"/>
    <cellStyle name="Normal 9 4 2 4" xfId="35351"/>
    <cellStyle name="Normal 9 4 2 5" xfId="35352"/>
    <cellStyle name="Normal 9 4 2 6" xfId="35353"/>
    <cellStyle name="Normal 9 4 2 7" xfId="35354"/>
    <cellStyle name="Normal 9 4 3" xfId="35355"/>
    <cellStyle name="Normal 9 4 3 2" xfId="35356"/>
    <cellStyle name="Normal 9 4 3 3" xfId="35357"/>
    <cellStyle name="Normal 9 4 3 4" xfId="35358"/>
    <cellStyle name="Normal 9 4 3 5" xfId="35359"/>
    <cellStyle name="Normal 9 4 3 6" xfId="35360"/>
    <cellStyle name="Normal 9 4 4" xfId="35361"/>
    <cellStyle name="Normal 9 4 4 2" xfId="35362"/>
    <cellStyle name="Normal 9 4 5" xfId="35363"/>
    <cellStyle name="Normal 9 4 6" xfId="35364"/>
    <cellStyle name="Normal 9 4 7" xfId="35365"/>
    <cellStyle name="Normal 9 4 8" xfId="35366"/>
    <cellStyle name="Normal 9 4 9" xfId="35367"/>
    <cellStyle name="Normal 9 40" xfId="35368"/>
    <cellStyle name="Normal 9 40 2" xfId="35369"/>
    <cellStyle name="Normal 9 41" xfId="35370"/>
    <cellStyle name="Normal 9 41 2" xfId="35371"/>
    <cellStyle name="Normal 9 42" xfId="35372"/>
    <cellStyle name="Normal 9 42 2" xfId="35373"/>
    <cellStyle name="Normal 9 43" xfId="35374"/>
    <cellStyle name="Normal 9 43 2" xfId="35375"/>
    <cellStyle name="Normal 9 44" xfId="35376"/>
    <cellStyle name="Normal 9 44 2" xfId="35377"/>
    <cellStyle name="Normal 9 45" xfId="35378"/>
    <cellStyle name="Normal 9 45 2" xfId="35379"/>
    <cellStyle name="Normal 9 46" xfId="35380"/>
    <cellStyle name="Normal 9 46 2" xfId="35381"/>
    <cellStyle name="Normal 9 47" xfId="35382"/>
    <cellStyle name="Normal 9 48" xfId="35383"/>
    <cellStyle name="Normal 9 49" xfId="35384"/>
    <cellStyle name="Normal 9 5" xfId="780"/>
    <cellStyle name="Normal 9 5 10" xfId="35385"/>
    <cellStyle name="Normal 9 5 2" xfId="35386"/>
    <cellStyle name="Normal 9 5 2 2" xfId="35387"/>
    <cellStyle name="Normal 9 5 2 2 2" xfId="35388"/>
    <cellStyle name="Normal 9 5 2 3" xfId="35389"/>
    <cellStyle name="Normal 9 5 2 4" xfId="35390"/>
    <cellStyle name="Normal 9 5 2 5" xfId="35391"/>
    <cellStyle name="Normal 9 5 2 6" xfId="35392"/>
    <cellStyle name="Normal 9 5 2 7" xfId="35393"/>
    <cellStyle name="Normal 9 5 3" xfId="35394"/>
    <cellStyle name="Normal 9 5 3 2" xfId="35395"/>
    <cellStyle name="Normal 9 5 3 3" xfId="35396"/>
    <cellStyle name="Normal 9 5 3 4" xfId="35397"/>
    <cellStyle name="Normal 9 5 3 5" xfId="35398"/>
    <cellStyle name="Normal 9 5 3 6" xfId="35399"/>
    <cellStyle name="Normal 9 5 4" xfId="35400"/>
    <cellStyle name="Normal 9 5 4 2" xfId="35401"/>
    <cellStyle name="Normal 9 5 5" xfId="35402"/>
    <cellStyle name="Normal 9 5 6" xfId="35403"/>
    <cellStyle name="Normal 9 5 7" xfId="35404"/>
    <cellStyle name="Normal 9 5 8" xfId="35405"/>
    <cellStyle name="Normal 9 5 9" xfId="35406"/>
    <cellStyle name="Normal 9 50" xfId="35407"/>
    <cellStyle name="Normal 9 51" xfId="35408"/>
    <cellStyle name="Normal 9 52" xfId="35409"/>
    <cellStyle name="Normal 9 53" xfId="35410"/>
    <cellStyle name="Normal 9 54" xfId="35411"/>
    <cellStyle name="Normal 9 55" xfId="35412"/>
    <cellStyle name="Normal 9 56" xfId="35413"/>
    <cellStyle name="Normal 9 57" xfId="35414"/>
    <cellStyle name="Normal 9 58" xfId="35415"/>
    <cellStyle name="Normal 9 59" xfId="35416"/>
    <cellStyle name="Normal 9 6" xfId="930"/>
    <cellStyle name="Normal 9 6 10" xfId="35417"/>
    <cellStyle name="Normal 9 6 2" xfId="35418"/>
    <cellStyle name="Normal 9 6 2 2" xfId="35419"/>
    <cellStyle name="Normal 9 6 2 2 2" xfId="35420"/>
    <cellStyle name="Normal 9 6 2 3" xfId="35421"/>
    <cellStyle name="Normal 9 6 2 4" xfId="35422"/>
    <cellStyle name="Normal 9 6 2 5" xfId="35423"/>
    <cellStyle name="Normal 9 6 2 6" xfId="35424"/>
    <cellStyle name="Normal 9 6 2 7" xfId="35425"/>
    <cellStyle name="Normal 9 6 3" xfId="35426"/>
    <cellStyle name="Normal 9 6 3 2" xfId="35427"/>
    <cellStyle name="Normal 9 6 3 3" xfId="35428"/>
    <cellStyle name="Normal 9 6 3 4" xfId="35429"/>
    <cellStyle name="Normal 9 6 3 5" xfId="35430"/>
    <cellStyle name="Normal 9 6 3 6" xfId="35431"/>
    <cellStyle name="Normal 9 6 4" xfId="35432"/>
    <cellStyle name="Normal 9 6 4 2" xfId="35433"/>
    <cellStyle name="Normal 9 6 5" xfId="35434"/>
    <cellStyle name="Normal 9 6 6" xfId="35435"/>
    <cellStyle name="Normal 9 6 7" xfId="35436"/>
    <cellStyle name="Normal 9 6 8" xfId="35437"/>
    <cellStyle name="Normal 9 6 9" xfId="35438"/>
    <cellStyle name="Normal 9 60" xfId="35439"/>
    <cellStyle name="Normal 9 61" xfId="35440"/>
    <cellStyle name="Normal 9 62" xfId="35441"/>
    <cellStyle name="Normal 9 63" xfId="35442"/>
    <cellStyle name="Normal 9 64" xfId="35443"/>
    <cellStyle name="Normal 9 65" xfId="35444"/>
    <cellStyle name="Normal 9 66" xfId="35445"/>
    <cellStyle name="Normal 9 67" xfId="35446"/>
    <cellStyle name="Normal 9 68" xfId="35447"/>
    <cellStyle name="Normal 9 69" xfId="35448"/>
    <cellStyle name="Normal 9 7" xfId="1367"/>
    <cellStyle name="Normal 9 7 10" xfId="35449"/>
    <cellStyle name="Normal 9 7 2" xfId="35450"/>
    <cellStyle name="Normal 9 7 2 2" xfId="35451"/>
    <cellStyle name="Normal 9 7 2 2 2" xfId="35452"/>
    <cellStyle name="Normal 9 7 2 3" xfId="35453"/>
    <cellStyle name="Normal 9 7 2 4" xfId="35454"/>
    <cellStyle name="Normal 9 7 2 5" xfId="35455"/>
    <cellStyle name="Normal 9 7 2 6" xfId="35456"/>
    <cellStyle name="Normal 9 7 2 7" xfId="35457"/>
    <cellStyle name="Normal 9 7 3" xfId="35458"/>
    <cellStyle name="Normal 9 7 3 2" xfId="35459"/>
    <cellStyle name="Normal 9 7 3 3" xfId="35460"/>
    <cellStyle name="Normal 9 7 3 4" xfId="35461"/>
    <cellStyle name="Normal 9 7 3 5" xfId="35462"/>
    <cellStyle name="Normal 9 7 3 6" xfId="35463"/>
    <cellStyle name="Normal 9 7 4" xfId="35464"/>
    <cellStyle name="Normal 9 7 4 2" xfId="35465"/>
    <cellStyle name="Normal 9 7 5" xfId="35466"/>
    <cellStyle name="Normal 9 7 6" xfId="35467"/>
    <cellStyle name="Normal 9 7 7" xfId="35468"/>
    <cellStyle name="Normal 9 7 8" xfId="35469"/>
    <cellStyle name="Normal 9 7 9" xfId="35470"/>
    <cellStyle name="Normal 9 70" xfId="35471"/>
    <cellStyle name="Normal 9 71" xfId="35472"/>
    <cellStyle name="Normal 9 72" xfId="35473"/>
    <cellStyle name="Normal 9 73" xfId="35474"/>
    <cellStyle name="Normal 9 74" xfId="35475"/>
    <cellStyle name="Normal 9 75" xfId="35476"/>
    <cellStyle name="Normal 9 76" xfId="35477"/>
    <cellStyle name="Normal 9 77" xfId="35478"/>
    <cellStyle name="Normal 9 78" xfId="35479"/>
    <cellStyle name="Normal 9 79" xfId="35480"/>
    <cellStyle name="Normal 9 8" xfId="1720"/>
    <cellStyle name="Normal 9 8 10" xfId="35481"/>
    <cellStyle name="Normal 9 8 2" xfId="35482"/>
    <cellStyle name="Normal 9 8 2 2" xfId="35483"/>
    <cellStyle name="Normal 9 8 2 2 2" xfId="35484"/>
    <cellStyle name="Normal 9 8 2 3" xfId="35485"/>
    <cellStyle name="Normal 9 8 2 4" xfId="35486"/>
    <cellStyle name="Normal 9 8 2 5" xfId="35487"/>
    <cellStyle name="Normal 9 8 2 6" xfId="35488"/>
    <cellStyle name="Normal 9 8 2 7" xfId="35489"/>
    <cellStyle name="Normal 9 8 3" xfId="35490"/>
    <cellStyle name="Normal 9 8 3 2" xfId="35491"/>
    <cellStyle name="Normal 9 8 3 3" xfId="35492"/>
    <cellStyle name="Normal 9 8 3 4" xfId="35493"/>
    <cellStyle name="Normal 9 8 3 5" xfId="35494"/>
    <cellStyle name="Normal 9 8 3 6" xfId="35495"/>
    <cellStyle name="Normal 9 8 4" xfId="35496"/>
    <cellStyle name="Normal 9 8 4 2" xfId="35497"/>
    <cellStyle name="Normal 9 8 5" xfId="35498"/>
    <cellStyle name="Normal 9 8 6" xfId="35499"/>
    <cellStyle name="Normal 9 8 7" xfId="35500"/>
    <cellStyle name="Normal 9 8 8" xfId="35501"/>
    <cellStyle name="Normal 9 8 9" xfId="35502"/>
    <cellStyle name="Normal 9 80" xfId="35503"/>
    <cellStyle name="Normal 9 81" xfId="35504"/>
    <cellStyle name="Normal 9 82" xfId="35505"/>
    <cellStyle name="Normal 9 83" xfId="35506"/>
    <cellStyle name="Normal 9 84" xfId="35507"/>
    <cellStyle name="Normal 9 85" xfId="35508"/>
    <cellStyle name="Normal 9 86" xfId="35509"/>
    <cellStyle name="Normal 9 87" xfId="35510"/>
    <cellStyle name="Normal 9 88" xfId="35511"/>
    <cellStyle name="Normal 9 89" xfId="35512"/>
    <cellStyle name="Normal 9 9" xfId="1779"/>
    <cellStyle name="Normal 9 9 2" xfId="35513"/>
    <cellStyle name="Normal 9 9 2 2" xfId="35514"/>
    <cellStyle name="Normal 9 9 2 2 2" xfId="35515"/>
    <cellStyle name="Normal 9 9 2 3" xfId="35516"/>
    <cellStyle name="Normal 9 9 2 4" xfId="35517"/>
    <cellStyle name="Normal 9 9 2 5" xfId="35518"/>
    <cellStyle name="Normal 9 9 2 6" xfId="35519"/>
    <cellStyle name="Normal 9 9 3" xfId="35520"/>
    <cellStyle name="Normal 9 9 3 2" xfId="35521"/>
    <cellStyle name="Normal 9 9 4" xfId="35522"/>
    <cellStyle name="Normal 9 9 5" xfId="35523"/>
    <cellStyle name="Normal 9 9 6" xfId="35524"/>
    <cellStyle name="Normal 9 9 7" xfId="35525"/>
    <cellStyle name="Normal 9 9 8" xfId="35526"/>
    <cellStyle name="Normal 9 9 9" xfId="35527"/>
    <cellStyle name="Normal 9 90" xfId="35528"/>
    <cellStyle name="Normal 9 91" xfId="35529"/>
    <cellStyle name="Normal 9 92" xfId="35530"/>
    <cellStyle name="Normal 9 93" xfId="35531"/>
    <cellStyle name="Normal 9 94" xfId="35532"/>
    <cellStyle name="Normal 9 95" xfId="35533"/>
    <cellStyle name="Normal 9 96" xfId="35534"/>
    <cellStyle name="Normal 9 97" xfId="35535"/>
    <cellStyle name="Normal 9 98" xfId="35536"/>
    <cellStyle name="Normal 9 99" xfId="35537"/>
    <cellStyle name="Normal 90" xfId="640"/>
    <cellStyle name="Normal 91" xfId="627"/>
    <cellStyle name="Normal 92" xfId="602"/>
    <cellStyle name="Normal 93" xfId="619"/>
    <cellStyle name="Normal 94" xfId="609"/>
    <cellStyle name="Normal 95" xfId="618"/>
    <cellStyle name="Normal 96" xfId="598"/>
    <cellStyle name="Normal 97" xfId="623"/>
    <cellStyle name="Normal 98" xfId="605"/>
    <cellStyle name="Normal 99" xfId="634"/>
    <cellStyle name="Normal_BROKER Label MX3" xfId="66"/>
    <cellStyle name="Normal_Eur STD.1" xfId="1793"/>
    <cellStyle name="Normal_Sheet1_1" xfId="922"/>
    <cellStyle name="Normale_BENCH2" xfId="86"/>
    <cellStyle name="Nota" xfId="67"/>
    <cellStyle name="Nota 2" xfId="89"/>
    <cellStyle name="Nota 2 2" xfId="1721"/>
    <cellStyle name="Nota 3" xfId="1722"/>
    <cellStyle name="Nota 3 2" xfId="1723"/>
    <cellStyle name="Nota 4" xfId="35538"/>
    <cellStyle name="Note" xfId="68" builtinId="10" customBuiltin="1"/>
    <cellStyle name="Note 10" xfId="35539"/>
    <cellStyle name="Note 10 2" xfId="35540"/>
    <cellStyle name="Note 10 3" xfId="35541"/>
    <cellStyle name="Note 10 4" xfId="35542"/>
    <cellStyle name="Note 11" xfId="35543"/>
    <cellStyle name="Note 11 2" xfId="35544"/>
    <cellStyle name="Note 11 3" xfId="35545"/>
    <cellStyle name="Note 12" xfId="35546"/>
    <cellStyle name="Note 12 2" xfId="35547"/>
    <cellStyle name="Note 12 3" xfId="35548"/>
    <cellStyle name="Note 13" xfId="35549"/>
    <cellStyle name="Note 13 2" xfId="35550"/>
    <cellStyle name="Note 13 3" xfId="35551"/>
    <cellStyle name="Note 14" xfId="35552"/>
    <cellStyle name="Note 14 2" xfId="35553"/>
    <cellStyle name="Note 14 3" xfId="35554"/>
    <cellStyle name="Note 15" xfId="35555"/>
    <cellStyle name="Note 15 2" xfId="35556"/>
    <cellStyle name="Note 15 3" xfId="35557"/>
    <cellStyle name="Note 16" xfId="35558"/>
    <cellStyle name="Note 16 2" xfId="35559"/>
    <cellStyle name="Note 16 3" xfId="35560"/>
    <cellStyle name="Note 17" xfId="35561"/>
    <cellStyle name="Note 17 2" xfId="35562"/>
    <cellStyle name="Note 17 3" xfId="35563"/>
    <cellStyle name="Note 18" xfId="35564"/>
    <cellStyle name="Note 18 2" xfId="35565"/>
    <cellStyle name="Note 18 3" xfId="35566"/>
    <cellStyle name="Note 19" xfId="35567"/>
    <cellStyle name="Note 19 2" xfId="35568"/>
    <cellStyle name="Note 19 3" xfId="35569"/>
    <cellStyle name="Note 2" xfId="90"/>
    <cellStyle name="Note 2 10" xfId="35570"/>
    <cellStyle name="Note 2 10 2" xfId="35571"/>
    <cellStyle name="Note 2 10 2 2" xfId="35572"/>
    <cellStyle name="Note 2 10 2 2 2" xfId="35573"/>
    <cellStyle name="Note 2 10 2 3" xfId="35574"/>
    <cellStyle name="Note 2 10 2 4" xfId="35575"/>
    <cellStyle name="Note 2 10 2 5" xfId="35576"/>
    <cellStyle name="Note 2 10 2 6" xfId="35577"/>
    <cellStyle name="Note 2 10 3" xfId="35578"/>
    <cellStyle name="Note 2 10 3 2" xfId="35579"/>
    <cellStyle name="Note 2 10 4" xfId="35580"/>
    <cellStyle name="Note 2 10 5" xfId="35581"/>
    <cellStyle name="Note 2 10 6" xfId="35582"/>
    <cellStyle name="Note 2 10 7" xfId="35583"/>
    <cellStyle name="Note 2 10 8" xfId="35584"/>
    <cellStyle name="Note 2 11" xfId="35585"/>
    <cellStyle name="Note 2 11 2" xfId="35586"/>
    <cellStyle name="Note 2 11 2 2" xfId="35587"/>
    <cellStyle name="Note 2 11 3" xfId="35588"/>
    <cellStyle name="Note 2 11 3 2" xfId="35589"/>
    <cellStyle name="Note 2 11 4" xfId="35590"/>
    <cellStyle name="Note 2 11 5" xfId="35591"/>
    <cellStyle name="Note 2 11 6" xfId="35592"/>
    <cellStyle name="Note 2 11 7" xfId="35593"/>
    <cellStyle name="Note 2 12" xfId="35594"/>
    <cellStyle name="Note 2 12 2" xfId="35595"/>
    <cellStyle name="Note 2 12 2 2" xfId="35596"/>
    <cellStyle name="Note 2 12 3" xfId="35597"/>
    <cellStyle name="Note 2 12 3 2" xfId="35598"/>
    <cellStyle name="Note 2 12 4" xfId="35599"/>
    <cellStyle name="Note 2 12 5" xfId="35600"/>
    <cellStyle name="Note 2 12 6" xfId="35601"/>
    <cellStyle name="Note 2 13" xfId="35602"/>
    <cellStyle name="Note 2 13 2" xfId="35603"/>
    <cellStyle name="Note 2 13 3" xfId="35604"/>
    <cellStyle name="Note 2 14" xfId="35605"/>
    <cellStyle name="Note 2 14 2" xfId="35606"/>
    <cellStyle name="Note 2 14 3" xfId="35607"/>
    <cellStyle name="Note 2 15" xfId="35608"/>
    <cellStyle name="Note 2 15 2" xfId="35609"/>
    <cellStyle name="Note 2 15 3" xfId="35610"/>
    <cellStyle name="Note 2 16" xfId="35611"/>
    <cellStyle name="Note 2 16 2" xfId="35612"/>
    <cellStyle name="Note 2 16 3" xfId="35613"/>
    <cellStyle name="Note 2 17" xfId="35614"/>
    <cellStyle name="Note 2 17 2" xfId="35615"/>
    <cellStyle name="Note 2 17 3" xfId="35616"/>
    <cellStyle name="Note 2 18" xfId="35617"/>
    <cellStyle name="Note 2 18 2" xfId="35618"/>
    <cellStyle name="Note 2 19" xfId="35619"/>
    <cellStyle name="Note 2 19 2" xfId="35620"/>
    <cellStyle name="Note 2 2" xfId="441"/>
    <cellStyle name="Note 2 2 2" xfId="1726"/>
    <cellStyle name="Note 2 2 2 2" xfId="35621"/>
    <cellStyle name="Note 2 2 2 3" xfId="35622"/>
    <cellStyle name="Note 2 2 3" xfId="1725"/>
    <cellStyle name="Note 2 2 3 2" xfId="35623"/>
    <cellStyle name="Note 2 2 4" xfId="35624"/>
    <cellStyle name="Note 2 2 5" xfId="35625"/>
    <cellStyle name="Note 2 20" xfId="35626"/>
    <cellStyle name="Note 2 20 2" xfId="35627"/>
    <cellStyle name="Note 2 21" xfId="35628"/>
    <cellStyle name="Note 2 21 2" xfId="35629"/>
    <cellStyle name="Note 2 22" xfId="35630"/>
    <cellStyle name="Note 2 22 2" xfId="35631"/>
    <cellStyle name="Note 2 23" xfId="35632"/>
    <cellStyle name="Note 2 23 2" xfId="35633"/>
    <cellStyle name="Note 2 24" xfId="35634"/>
    <cellStyle name="Note 2 24 2" xfId="35635"/>
    <cellStyle name="Note 2 25" xfId="35636"/>
    <cellStyle name="Note 2 25 2" xfId="35637"/>
    <cellStyle name="Note 2 26" xfId="35638"/>
    <cellStyle name="Note 2 26 2" xfId="35639"/>
    <cellStyle name="Note 2 27" xfId="35640"/>
    <cellStyle name="Note 2 27 2" xfId="35641"/>
    <cellStyle name="Note 2 28" xfId="35642"/>
    <cellStyle name="Note 2 28 2" xfId="35643"/>
    <cellStyle name="Note 2 29" xfId="35644"/>
    <cellStyle name="Note 2 3" xfId="1727"/>
    <cellStyle name="Note 2 3 10" xfId="35645"/>
    <cellStyle name="Note 2 3 11" xfId="35646"/>
    <cellStyle name="Note 2 3 2" xfId="1728"/>
    <cellStyle name="Note 2 3 2 2" xfId="35647"/>
    <cellStyle name="Note 2 3 2 2 2" xfId="35648"/>
    <cellStyle name="Note 2 3 2 3" xfId="35649"/>
    <cellStyle name="Note 2 3 2 4" xfId="35650"/>
    <cellStyle name="Note 2 3 2 5" xfId="35651"/>
    <cellStyle name="Note 2 3 2 6" xfId="35652"/>
    <cellStyle name="Note 2 3 2 7" xfId="35653"/>
    <cellStyle name="Note 2 3 2 8" xfId="35654"/>
    <cellStyle name="Note 2 3 2 9" xfId="35655"/>
    <cellStyle name="Note 2 3 3" xfId="35656"/>
    <cellStyle name="Note 2 3 3 2" xfId="35657"/>
    <cellStyle name="Note 2 3 3 3" xfId="35658"/>
    <cellStyle name="Note 2 3 3 4" xfId="35659"/>
    <cellStyle name="Note 2 3 3 5" xfId="35660"/>
    <cellStyle name="Note 2 3 3 6" xfId="35661"/>
    <cellStyle name="Note 2 3 4" xfId="35662"/>
    <cellStyle name="Note 2 3 4 2" xfId="35663"/>
    <cellStyle name="Note 2 3 5" xfId="35664"/>
    <cellStyle name="Note 2 3 6" xfId="35665"/>
    <cellStyle name="Note 2 3 7" xfId="35666"/>
    <cellStyle name="Note 2 3 8" xfId="35667"/>
    <cellStyle name="Note 2 3 9" xfId="35668"/>
    <cellStyle name="Note 2 30" xfId="35669"/>
    <cellStyle name="Note 2 31" xfId="35670"/>
    <cellStyle name="Note 2 32" xfId="35671"/>
    <cellStyle name="Note 2 33" xfId="35672"/>
    <cellStyle name="Note 2 34" xfId="35673"/>
    <cellStyle name="Note 2 35" xfId="35674"/>
    <cellStyle name="Note 2 4" xfId="1729"/>
    <cellStyle name="Note 2 4 10" xfId="35675"/>
    <cellStyle name="Note 2 4 11" xfId="35676"/>
    <cellStyle name="Note 2 4 2" xfId="35677"/>
    <cellStyle name="Note 2 4 2 2" xfId="35678"/>
    <cellStyle name="Note 2 4 2 2 2" xfId="35679"/>
    <cellStyle name="Note 2 4 2 3" xfId="35680"/>
    <cellStyle name="Note 2 4 2 4" xfId="35681"/>
    <cellStyle name="Note 2 4 2 5" xfId="35682"/>
    <cellStyle name="Note 2 4 2 6" xfId="35683"/>
    <cellStyle name="Note 2 4 2 7" xfId="35684"/>
    <cellStyle name="Note 2 4 3" xfId="35685"/>
    <cellStyle name="Note 2 4 3 2" xfId="35686"/>
    <cellStyle name="Note 2 4 3 3" xfId="35687"/>
    <cellStyle name="Note 2 4 3 4" xfId="35688"/>
    <cellStyle name="Note 2 4 3 5" xfId="35689"/>
    <cellStyle name="Note 2 4 3 6" xfId="35690"/>
    <cellStyle name="Note 2 4 4" xfId="35691"/>
    <cellStyle name="Note 2 4 4 2" xfId="35692"/>
    <cellStyle name="Note 2 4 5" xfId="35693"/>
    <cellStyle name="Note 2 4 6" xfId="35694"/>
    <cellStyle name="Note 2 4 7" xfId="35695"/>
    <cellStyle name="Note 2 4 8" xfId="35696"/>
    <cellStyle name="Note 2 4 9" xfId="35697"/>
    <cellStyle name="Note 2 5" xfId="1730"/>
    <cellStyle name="Note 2 5 10" xfId="35698"/>
    <cellStyle name="Note 2 5 11" xfId="35699"/>
    <cellStyle name="Note 2 5 2" xfId="35700"/>
    <cellStyle name="Note 2 5 2 2" xfId="35701"/>
    <cellStyle name="Note 2 5 2 2 2" xfId="35702"/>
    <cellStyle name="Note 2 5 2 3" xfId="35703"/>
    <cellStyle name="Note 2 5 2 4" xfId="35704"/>
    <cellStyle name="Note 2 5 2 5" xfId="35705"/>
    <cellStyle name="Note 2 5 2 6" xfId="35706"/>
    <cellStyle name="Note 2 5 2 7" xfId="35707"/>
    <cellStyle name="Note 2 5 3" xfId="35708"/>
    <cellStyle name="Note 2 5 3 2" xfId="35709"/>
    <cellStyle name="Note 2 5 3 3" xfId="35710"/>
    <cellStyle name="Note 2 5 3 4" xfId="35711"/>
    <cellStyle name="Note 2 5 3 5" xfId="35712"/>
    <cellStyle name="Note 2 5 3 6" xfId="35713"/>
    <cellStyle name="Note 2 5 4" xfId="35714"/>
    <cellStyle name="Note 2 5 4 2" xfId="35715"/>
    <cellStyle name="Note 2 5 5" xfId="35716"/>
    <cellStyle name="Note 2 5 6" xfId="35717"/>
    <cellStyle name="Note 2 5 7" xfId="35718"/>
    <cellStyle name="Note 2 5 8" xfId="35719"/>
    <cellStyle name="Note 2 5 9" xfId="35720"/>
    <cellStyle name="Note 2 6" xfId="1731"/>
    <cellStyle name="Note 2 6 10" xfId="35721"/>
    <cellStyle name="Note 2 6 11" xfId="35722"/>
    <cellStyle name="Note 2 6 2" xfId="35723"/>
    <cellStyle name="Note 2 6 2 2" xfId="35724"/>
    <cellStyle name="Note 2 6 2 2 2" xfId="35725"/>
    <cellStyle name="Note 2 6 2 3" xfId="35726"/>
    <cellStyle name="Note 2 6 2 4" xfId="35727"/>
    <cellStyle name="Note 2 6 2 5" xfId="35728"/>
    <cellStyle name="Note 2 6 2 6" xfId="35729"/>
    <cellStyle name="Note 2 6 2 7" xfId="35730"/>
    <cellStyle name="Note 2 6 3" xfId="35731"/>
    <cellStyle name="Note 2 6 3 2" xfId="35732"/>
    <cellStyle name="Note 2 6 3 3" xfId="35733"/>
    <cellStyle name="Note 2 6 3 4" xfId="35734"/>
    <cellStyle name="Note 2 6 3 5" xfId="35735"/>
    <cellStyle name="Note 2 6 3 6" xfId="35736"/>
    <cellStyle name="Note 2 6 4" xfId="35737"/>
    <cellStyle name="Note 2 6 4 2" xfId="35738"/>
    <cellStyle name="Note 2 6 5" xfId="35739"/>
    <cellStyle name="Note 2 6 6" xfId="35740"/>
    <cellStyle name="Note 2 6 7" xfId="35741"/>
    <cellStyle name="Note 2 6 8" xfId="35742"/>
    <cellStyle name="Note 2 6 9" xfId="35743"/>
    <cellStyle name="Note 2 7" xfId="1724"/>
    <cellStyle name="Note 2 7 10" xfId="35744"/>
    <cellStyle name="Note 2 7 2" xfId="35745"/>
    <cellStyle name="Note 2 7 2 2" xfId="35746"/>
    <cellStyle name="Note 2 7 2 2 2" xfId="35747"/>
    <cellStyle name="Note 2 7 2 3" xfId="35748"/>
    <cellStyle name="Note 2 7 2 4" xfId="35749"/>
    <cellStyle name="Note 2 7 2 5" xfId="35750"/>
    <cellStyle name="Note 2 7 2 6" xfId="35751"/>
    <cellStyle name="Note 2 7 2 7" xfId="35752"/>
    <cellStyle name="Note 2 7 3" xfId="35753"/>
    <cellStyle name="Note 2 7 3 2" xfId="35754"/>
    <cellStyle name="Note 2 7 3 3" xfId="35755"/>
    <cellStyle name="Note 2 7 3 4" xfId="35756"/>
    <cellStyle name="Note 2 7 3 5" xfId="35757"/>
    <cellStyle name="Note 2 7 3 6" xfId="35758"/>
    <cellStyle name="Note 2 7 4" xfId="35759"/>
    <cellStyle name="Note 2 7 4 2" xfId="35760"/>
    <cellStyle name="Note 2 7 5" xfId="35761"/>
    <cellStyle name="Note 2 7 6" xfId="35762"/>
    <cellStyle name="Note 2 7 7" xfId="35763"/>
    <cellStyle name="Note 2 7 8" xfId="35764"/>
    <cellStyle name="Note 2 7 9" xfId="35765"/>
    <cellStyle name="Note 2 8" xfId="1808"/>
    <cellStyle name="Note 2 8 10" xfId="35766"/>
    <cellStyle name="Note 2 8 2" xfId="35767"/>
    <cellStyle name="Note 2 8 2 2" xfId="35768"/>
    <cellStyle name="Note 2 8 2 2 2" xfId="35769"/>
    <cellStyle name="Note 2 8 2 3" xfId="35770"/>
    <cellStyle name="Note 2 8 2 4" xfId="35771"/>
    <cellStyle name="Note 2 8 2 5" xfId="35772"/>
    <cellStyle name="Note 2 8 2 6" xfId="35773"/>
    <cellStyle name="Note 2 8 2 7" xfId="35774"/>
    <cellStyle name="Note 2 8 3" xfId="35775"/>
    <cellStyle name="Note 2 8 3 2" xfId="35776"/>
    <cellStyle name="Note 2 8 3 3" xfId="35777"/>
    <cellStyle name="Note 2 8 3 4" xfId="35778"/>
    <cellStyle name="Note 2 8 3 5" xfId="35779"/>
    <cellStyle name="Note 2 8 3 6" xfId="35780"/>
    <cellStyle name="Note 2 8 4" xfId="35781"/>
    <cellStyle name="Note 2 8 4 2" xfId="35782"/>
    <cellStyle name="Note 2 8 5" xfId="35783"/>
    <cellStyle name="Note 2 8 6" xfId="35784"/>
    <cellStyle name="Note 2 8 7" xfId="35785"/>
    <cellStyle name="Note 2 8 8" xfId="35786"/>
    <cellStyle name="Note 2 8 9" xfId="35787"/>
    <cellStyle name="Note 2 9" xfId="35788"/>
    <cellStyle name="Note 2 9 2" xfId="35789"/>
    <cellStyle name="Note 2 9 2 2" xfId="35790"/>
    <cellStyle name="Note 2 9 2 2 2" xfId="35791"/>
    <cellStyle name="Note 2 9 2 3" xfId="35792"/>
    <cellStyle name="Note 2 9 2 4" xfId="35793"/>
    <cellStyle name="Note 2 9 2 5" xfId="35794"/>
    <cellStyle name="Note 2 9 2 6" xfId="35795"/>
    <cellStyle name="Note 2 9 2 7" xfId="35796"/>
    <cellStyle name="Note 2 9 3" xfId="35797"/>
    <cellStyle name="Note 2 9 3 2" xfId="35798"/>
    <cellStyle name="Note 2 9 3 3" xfId="35799"/>
    <cellStyle name="Note 2 9 3 4" xfId="35800"/>
    <cellStyle name="Note 2 9 3 5" xfId="35801"/>
    <cellStyle name="Note 2 9 3 6" xfId="35802"/>
    <cellStyle name="Note 2 9 4" xfId="35803"/>
    <cellStyle name="Note 2 9 4 2" xfId="35804"/>
    <cellStyle name="Note 2 9 5" xfId="35805"/>
    <cellStyle name="Note 2 9 6" xfId="35806"/>
    <cellStyle name="Note 2 9 7" xfId="35807"/>
    <cellStyle name="Note 2 9 8" xfId="35808"/>
    <cellStyle name="Note 2 9 9" xfId="35809"/>
    <cellStyle name="Note 20" xfId="35810"/>
    <cellStyle name="Note 20 2" xfId="35811"/>
    <cellStyle name="Note 20 3" xfId="35812"/>
    <cellStyle name="Note 21" xfId="35813"/>
    <cellStyle name="Note 21 2" xfId="35814"/>
    <cellStyle name="Note 21 3" xfId="35815"/>
    <cellStyle name="Note 22" xfId="35816"/>
    <cellStyle name="Note 22 2" xfId="35817"/>
    <cellStyle name="Note 22 3" xfId="35818"/>
    <cellStyle name="Note 23" xfId="35819"/>
    <cellStyle name="Note 23 2" xfId="35820"/>
    <cellStyle name="Note 23 3" xfId="35821"/>
    <cellStyle name="Note 24" xfId="35822"/>
    <cellStyle name="Note 24 2" xfId="35823"/>
    <cellStyle name="Note 24 3" xfId="35824"/>
    <cellStyle name="Note 25" xfId="35825"/>
    <cellStyle name="Note 25 2" xfId="35826"/>
    <cellStyle name="Note 25 3" xfId="35827"/>
    <cellStyle name="Note 26" xfId="35828"/>
    <cellStyle name="Note 26 2" xfId="35829"/>
    <cellStyle name="Note 26 3" xfId="35830"/>
    <cellStyle name="Note 27" xfId="35831"/>
    <cellStyle name="Note 27 2" xfId="35832"/>
    <cellStyle name="Note 27 3" xfId="35833"/>
    <cellStyle name="Note 28" xfId="35834"/>
    <cellStyle name="Note 28 2" xfId="35835"/>
    <cellStyle name="Note 28 3" xfId="35836"/>
    <cellStyle name="Note 29" xfId="35837"/>
    <cellStyle name="Note 29 2" xfId="35838"/>
    <cellStyle name="Note 29 3" xfId="35839"/>
    <cellStyle name="Note 3" xfId="1732"/>
    <cellStyle name="Note 3 10" xfId="35840"/>
    <cellStyle name="Note 3 10 2" xfId="35841"/>
    <cellStyle name="Note 3 10 3" xfId="35842"/>
    <cellStyle name="Note 3 10 4" xfId="35843"/>
    <cellStyle name="Note 3 10 5" xfId="35844"/>
    <cellStyle name="Note 3 10 6" xfId="35845"/>
    <cellStyle name="Note 3 10 7" xfId="35846"/>
    <cellStyle name="Note 3 11" xfId="35847"/>
    <cellStyle name="Note 3 11 2" xfId="35848"/>
    <cellStyle name="Note 3 11 3" xfId="35849"/>
    <cellStyle name="Note 3 11 4" xfId="35850"/>
    <cellStyle name="Note 3 11 5" xfId="35851"/>
    <cellStyle name="Note 3 11 6" xfId="35852"/>
    <cellStyle name="Note 3 12" xfId="35853"/>
    <cellStyle name="Note 3 12 2" xfId="35854"/>
    <cellStyle name="Note 3 13" xfId="35855"/>
    <cellStyle name="Note 3 14" xfId="35856"/>
    <cellStyle name="Note 3 15" xfId="35857"/>
    <cellStyle name="Note 3 16" xfId="35858"/>
    <cellStyle name="Note 3 17" xfId="35859"/>
    <cellStyle name="Note 3 18" xfId="35860"/>
    <cellStyle name="Note 3 2" xfId="35861"/>
    <cellStyle name="Note 3 2 2" xfId="35862"/>
    <cellStyle name="Note 3 2 2 2" xfId="35863"/>
    <cellStyle name="Note 3 2 2 3" xfId="35864"/>
    <cellStyle name="Note 3 2 2 4" xfId="35865"/>
    <cellStyle name="Note 3 2 2 5" xfId="35866"/>
    <cellStyle name="Note 3 2 2 6" xfId="35867"/>
    <cellStyle name="Note 3 2 2 7" xfId="35868"/>
    <cellStyle name="Note 3 2 3" xfId="35869"/>
    <cellStyle name="Note 3 2 3 2" xfId="35870"/>
    <cellStyle name="Note 3 2 3 3" xfId="35871"/>
    <cellStyle name="Note 3 2 3 4" xfId="35872"/>
    <cellStyle name="Note 3 2 3 5" xfId="35873"/>
    <cellStyle name="Note 3 2 3 6" xfId="35874"/>
    <cellStyle name="Note 3 2 4" xfId="35875"/>
    <cellStyle name="Note 3 2 4 2" xfId="35876"/>
    <cellStyle name="Note 3 2 5" xfId="35877"/>
    <cellStyle name="Note 3 2 6" xfId="35878"/>
    <cellStyle name="Note 3 2 7" xfId="35879"/>
    <cellStyle name="Note 3 2 8" xfId="35880"/>
    <cellStyle name="Note 3 2 9" xfId="35881"/>
    <cellStyle name="Note 3 3" xfId="35882"/>
    <cellStyle name="Note 3 3 2" xfId="35883"/>
    <cellStyle name="Note 3 3 2 2" xfId="35884"/>
    <cellStyle name="Note 3 3 2 3" xfId="35885"/>
    <cellStyle name="Note 3 3 2 4" xfId="35886"/>
    <cellStyle name="Note 3 3 2 5" xfId="35887"/>
    <cellStyle name="Note 3 3 2 6" xfId="35888"/>
    <cellStyle name="Note 3 3 2 7" xfId="35889"/>
    <cellStyle name="Note 3 3 3" xfId="35890"/>
    <cellStyle name="Note 3 3 3 2" xfId="35891"/>
    <cellStyle name="Note 3 3 3 3" xfId="35892"/>
    <cellStyle name="Note 3 3 3 4" xfId="35893"/>
    <cellStyle name="Note 3 3 3 5" xfId="35894"/>
    <cellStyle name="Note 3 3 3 6" xfId="35895"/>
    <cellStyle name="Note 3 3 4" xfId="35896"/>
    <cellStyle name="Note 3 3 5" xfId="35897"/>
    <cellStyle name="Note 3 3 6" xfId="35898"/>
    <cellStyle name="Note 3 3 7" xfId="35899"/>
    <cellStyle name="Note 3 3 8" xfId="35900"/>
    <cellStyle name="Note 3 3 9" xfId="35901"/>
    <cellStyle name="Note 3 4" xfId="35902"/>
    <cellStyle name="Note 3 4 2" xfId="35903"/>
    <cellStyle name="Note 3 4 2 2" xfId="35904"/>
    <cellStyle name="Note 3 4 2 3" xfId="35905"/>
    <cellStyle name="Note 3 4 2 4" xfId="35906"/>
    <cellStyle name="Note 3 4 2 5" xfId="35907"/>
    <cellStyle name="Note 3 4 2 6" xfId="35908"/>
    <cellStyle name="Note 3 4 2 7" xfId="35909"/>
    <cellStyle name="Note 3 4 3" xfId="35910"/>
    <cellStyle name="Note 3 4 3 2" xfId="35911"/>
    <cellStyle name="Note 3 4 3 3" xfId="35912"/>
    <cellStyle name="Note 3 4 3 4" xfId="35913"/>
    <cellStyle name="Note 3 4 3 5" xfId="35914"/>
    <cellStyle name="Note 3 4 3 6" xfId="35915"/>
    <cellStyle name="Note 3 4 4" xfId="35916"/>
    <cellStyle name="Note 3 4 5" xfId="35917"/>
    <cellStyle name="Note 3 4 6" xfId="35918"/>
    <cellStyle name="Note 3 4 7" xfId="35919"/>
    <cellStyle name="Note 3 4 8" xfId="35920"/>
    <cellStyle name="Note 3 4 9" xfId="35921"/>
    <cellStyle name="Note 3 5" xfId="35922"/>
    <cellStyle name="Note 3 5 2" xfId="35923"/>
    <cellStyle name="Note 3 5 2 2" xfId="35924"/>
    <cellStyle name="Note 3 5 2 3" xfId="35925"/>
    <cellStyle name="Note 3 5 2 4" xfId="35926"/>
    <cellStyle name="Note 3 5 2 5" xfId="35927"/>
    <cellStyle name="Note 3 5 2 6" xfId="35928"/>
    <cellStyle name="Note 3 5 2 7" xfId="35929"/>
    <cellStyle name="Note 3 5 3" xfId="35930"/>
    <cellStyle name="Note 3 5 3 2" xfId="35931"/>
    <cellStyle name="Note 3 5 3 3" xfId="35932"/>
    <cellStyle name="Note 3 5 3 4" xfId="35933"/>
    <cellStyle name="Note 3 5 3 5" xfId="35934"/>
    <cellStyle name="Note 3 5 3 6" xfId="35935"/>
    <cellStyle name="Note 3 5 4" xfId="35936"/>
    <cellStyle name="Note 3 5 5" xfId="35937"/>
    <cellStyle name="Note 3 5 6" xfId="35938"/>
    <cellStyle name="Note 3 5 7" xfId="35939"/>
    <cellStyle name="Note 3 5 8" xfId="35940"/>
    <cellStyle name="Note 3 5 9" xfId="35941"/>
    <cellStyle name="Note 3 6" xfId="35942"/>
    <cellStyle name="Note 3 6 2" xfId="35943"/>
    <cellStyle name="Note 3 6 2 2" xfId="35944"/>
    <cellStyle name="Note 3 6 2 3" xfId="35945"/>
    <cellStyle name="Note 3 6 2 4" xfId="35946"/>
    <cellStyle name="Note 3 6 2 5" xfId="35947"/>
    <cellStyle name="Note 3 6 2 6" xfId="35948"/>
    <cellStyle name="Note 3 6 2 7" xfId="35949"/>
    <cellStyle name="Note 3 6 3" xfId="35950"/>
    <cellStyle name="Note 3 6 3 2" xfId="35951"/>
    <cellStyle name="Note 3 6 3 3" xfId="35952"/>
    <cellStyle name="Note 3 6 3 4" xfId="35953"/>
    <cellStyle name="Note 3 6 3 5" xfId="35954"/>
    <cellStyle name="Note 3 6 3 6" xfId="35955"/>
    <cellStyle name="Note 3 6 4" xfId="35956"/>
    <cellStyle name="Note 3 6 5" xfId="35957"/>
    <cellStyle name="Note 3 6 6" xfId="35958"/>
    <cellStyle name="Note 3 6 7" xfId="35959"/>
    <cellStyle name="Note 3 6 8" xfId="35960"/>
    <cellStyle name="Note 3 6 9" xfId="35961"/>
    <cellStyle name="Note 3 7" xfId="35962"/>
    <cellStyle name="Note 3 7 2" xfId="35963"/>
    <cellStyle name="Note 3 7 2 2" xfId="35964"/>
    <cellStyle name="Note 3 7 2 3" xfId="35965"/>
    <cellStyle name="Note 3 7 2 4" xfId="35966"/>
    <cellStyle name="Note 3 7 2 5" xfId="35967"/>
    <cellStyle name="Note 3 7 2 6" xfId="35968"/>
    <cellStyle name="Note 3 7 2 7" xfId="35969"/>
    <cellStyle name="Note 3 7 3" xfId="35970"/>
    <cellStyle name="Note 3 7 3 2" xfId="35971"/>
    <cellStyle name="Note 3 7 3 3" xfId="35972"/>
    <cellStyle name="Note 3 7 3 4" xfId="35973"/>
    <cellStyle name="Note 3 7 3 5" xfId="35974"/>
    <cellStyle name="Note 3 7 3 6" xfId="35975"/>
    <cellStyle name="Note 3 7 4" xfId="35976"/>
    <cellStyle name="Note 3 7 5" xfId="35977"/>
    <cellStyle name="Note 3 7 6" xfId="35978"/>
    <cellStyle name="Note 3 7 7" xfId="35979"/>
    <cellStyle name="Note 3 7 8" xfId="35980"/>
    <cellStyle name="Note 3 7 9" xfId="35981"/>
    <cellStyle name="Note 3 8" xfId="35982"/>
    <cellStyle name="Note 3 8 2" xfId="35983"/>
    <cellStyle name="Note 3 8 2 2" xfId="35984"/>
    <cellStyle name="Note 3 8 2 3" xfId="35985"/>
    <cellStyle name="Note 3 8 2 4" xfId="35986"/>
    <cellStyle name="Note 3 8 2 5" xfId="35987"/>
    <cellStyle name="Note 3 8 2 6" xfId="35988"/>
    <cellStyle name="Note 3 8 2 7" xfId="35989"/>
    <cellStyle name="Note 3 8 3" xfId="35990"/>
    <cellStyle name="Note 3 8 3 2" xfId="35991"/>
    <cellStyle name="Note 3 8 3 3" xfId="35992"/>
    <cellStyle name="Note 3 8 3 4" xfId="35993"/>
    <cellStyle name="Note 3 8 3 5" xfId="35994"/>
    <cellStyle name="Note 3 8 3 6" xfId="35995"/>
    <cellStyle name="Note 3 8 4" xfId="35996"/>
    <cellStyle name="Note 3 8 5" xfId="35997"/>
    <cellStyle name="Note 3 8 6" xfId="35998"/>
    <cellStyle name="Note 3 8 7" xfId="35999"/>
    <cellStyle name="Note 3 8 8" xfId="36000"/>
    <cellStyle name="Note 3 8 9" xfId="36001"/>
    <cellStyle name="Note 3 9" xfId="36002"/>
    <cellStyle name="Note 3 9 2" xfId="36003"/>
    <cellStyle name="Note 3 9 2 2" xfId="36004"/>
    <cellStyle name="Note 3 9 2 3" xfId="36005"/>
    <cellStyle name="Note 3 9 2 4" xfId="36006"/>
    <cellStyle name="Note 3 9 2 5" xfId="36007"/>
    <cellStyle name="Note 3 9 2 6" xfId="36008"/>
    <cellStyle name="Note 3 9 3" xfId="36009"/>
    <cellStyle name="Note 3 9 4" xfId="36010"/>
    <cellStyle name="Note 3 9 5" xfId="36011"/>
    <cellStyle name="Note 3 9 6" xfId="36012"/>
    <cellStyle name="Note 3 9 7" xfId="36013"/>
    <cellStyle name="Note 3 9 8" xfId="36014"/>
    <cellStyle name="Note 30" xfId="36015"/>
    <cellStyle name="Note 30 2" xfId="36016"/>
    <cellStyle name="Note 31" xfId="36017"/>
    <cellStyle name="Note 32" xfId="36018"/>
    <cellStyle name="Note 33" xfId="36019"/>
    <cellStyle name="Note 4" xfId="36020"/>
    <cellStyle name="Note 4 10" xfId="36021"/>
    <cellStyle name="Note 4 10 2" xfId="36022"/>
    <cellStyle name="Note 4 10 3" xfId="36023"/>
    <cellStyle name="Note 4 10 4" xfId="36024"/>
    <cellStyle name="Note 4 10 5" xfId="36025"/>
    <cellStyle name="Note 4 10 6" xfId="36026"/>
    <cellStyle name="Note 4 10 7" xfId="36027"/>
    <cellStyle name="Note 4 11" xfId="36028"/>
    <cellStyle name="Note 4 11 2" xfId="36029"/>
    <cellStyle name="Note 4 11 3" xfId="36030"/>
    <cellStyle name="Note 4 11 4" xfId="36031"/>
    <cellStyle name="Note 4 11 5" xfId="36032"/>
    <cellStyle name="Note 4 11 6" xfId="36033"/>
    <cellStyle name="Note 4 12" xfId="36034"/>
    <cellStyle name="Note 4 12 2" xfId="36035"/>
    <cellStyle name="Note 4 13" xfId="36036"/>
    <cellStyle name="Note 4 14" xfId="36037"/>
    <cellStyle name="Note 4 15" xfId="36038"/>
    <cellStyle name="Note 4 16" xfId="36039"/>
    <cellStyle name="Note 4 17" xfId="36040"/>
    <cellStyle name="Note 4 18" xfId="36041"/>
    <cellStyle name="Note 4 2" xfId="36042"/>
    <cellStyle name="Note 4 2 2" xfId="36043"/>
    <cellStyle name="Note 4 2 2 2" xfId="36044"/>
    <cellStyle name="Note 4 2 2 3" xfId="36045"/>
    <cellStyle name="Note 4 2 2 4" xfId="36046"/>
    <cellStyle name="Note 4 2 2 5" xfId="36047"/>
    <cellStyle name="Note 4 2 2 6" xfId="36048"/>
    <cellStyle name="Note 4 2 2 7" xfId="36049"/>
    <cellStyle name="Note 4 2 3" xfId="36050"/>
    <cellStyle name="Note 4 2 3 2" xfId="36051"/>
    <cellStyle name="Note 4 2 3 3" xfId="36052"/>
    <cellStyle name="Note 4 2 3 4" xfId="36053"/>
    <cellStyle name="Note 4 2 3 5" xfId="36054"/>
    <cellStyle name="Note 4 2 3 6" xfId="36055"/>
    <cellStyle name="Note 4 2 4" xfId="36056"/>
    <cellStyle name="Note 4 2 4 2" xfId="36057"/>
    <cellStyle name="Note 4 2 5" xfId="36058"/>
    <cellStyle name="Note 4 2 6" xfId="36059"/>
    <cellStyle name="Note 4 2 7" xfId="36060"/>
    <cellStyle name="Note 4 2 8" xfId="36061"/>
    <cellStyle name="Note 4 2 9" xfId="36062"/>
    <cellStyle name="Note 4 3" xfId="36063"/>
    <cellStyle name="Note 4 3 2" xfId="36064"/>
    <cellStyle name="Note 4 3 2 2" xfId="36065"/>
    <cellStyle name="Note 4 3 2 3" xfId="36066"/>
    <cellStyle name="Note 4 3 2 4" xfId="36067"/>
    <cellStyle name="Note 4 3 2 5" xfId="36068"/>
    <cellStyle name="Note 4 3 2 6" xfId="36069"/>
    <cellStyle name="Note 4 3 2 7" xfId="36070"/>
    <cellStyle name="Note 4 3 3" xfId="36071"/>
    <cellStyle name="Note 4 3 3 2" xfId="36072"/>
    <cellStyle name="Note 4 3 3 3" xfId="36073"/>
    <cellStyle name="Note 4 3 3 4" xfId="36074"/>
    <cellStyle name="Note 4 3 3 5" xfId="36075"/>
    <cellStyle name="Note 4 3 3 6" xfId="36076"/>
    <cellStyle name="Note 4 3 4" xfId="36077"/>
    <cellStyle name="Note 4 3 4 2" xfId="36078"/>
    <cellStyle name="Note 4 3 5" xfId="36079"/>
    <cellStyle name="Note 4 3 6" xfId="36080"/>
    <cellStyle name="Note 4 3 7" xfId="36081"/>
    <cellStyle name="Note 4 3 8" xfId="36082"/>
    <cellStyle name="Note 4 3 9" xfId="36083"/>
    <cellStyle name="Note 4 4" xfId="36084"/>
    <cellStyle name="Note 4 4 2" xfId="36085"/>
    <cellStyle name="Note 4 4 2 2" xfId="36086"/>
    <cellStyle name="Note 4 4 2 3" xfId="36087"/>
    <cellStyle name="Note 4 4 2 4" xfId="36088"/>
    <cellStyle name="Note 4 4 2 5" xfId="36089"/>
    <cellStyle name="Note 4 4 2 6" xfId="36090"/>
    <cellStyle name="Note 4 4 2 7" xfId="36091"/>
    <cellStyle name="Note 4 4 3" xfId="36092"/>
    <cellStyle name="Note 4 4 3 2" xfId="36093"/>
    <cellStyle name="Note 4 4 3 3" xfId="36094"/>
    <cellStyle name="Note 4 4 3 4" xfId="36095"/>
    <cellStyle name="Note 4 4 3 5" xfId="36096"/>
    <cellStyle name="Note 4 4 3 6" xfId="36097"/>
    <cellStyle name="Note 4 4 4" xfId="36098"/>
    <cellStyle name="Note 4 4 5" xfId="36099"/>
    <cellStyle name="Note 4 4 6" xfId="36100"/>
    <cellStyle name="Note 4 4 7" xfId="36101"/>
    <cellStyle name="Note 4 4 8" xfId="36102"/>
    <cellStyle name="Note 4 4 9" xfId="36103"/>
    <cellStyle name="Note 4 5" xfId="36104"/>
    <cellStyle name="Note 4 5 2" xfId="36105"/>
    <cellStyle name="Note 4 5 2 2" xfId="36106"/>
    <cellStyle name="Note 4 5 2 3" xfId="36107"/>
    <cellStyle name="Note 4 5 2 4" xfId="36108"/>
    <cellStyle name="Note 4 5 2 5" xfId="36109"/>
    <cellStyle name="Note 4 5 2 6" xfId="36110"/>
    <cellStyle name="Note 4 5 2 7" xfId="36111"/>
    <cellStyle name="Note 4 5 3" xfId="36112"/>
    <cellStyle name="Note 4 5 3 2" xfId="36113"/>
    <cellStyle name="Note 4 5 3 3" xfId="36114"/>
    <cellStyle name="Note 4 5 3 4" xfId="36115"/>
    <cellStyle name="Note 4 5 3 5" xfId="36116"/>
    <cellStyle name="Note 4 5 3 6" xfId="36117"/>
    <cellStyle name="Note 4 5 4" xfId="36118"/>
    <cellStyle name="Note 4 5 5" xfId="36119"/>
    <cellStyle name="Note 4 5 6" xfId="36120"/>
    <cellStyle name="Note 4 5 7" xfId="36121"/>
    <cellStyle name="Note 4 5 8" xfId="36122"/>
    <cellStyle name="Note 4 5 9" xfId="36123"/>
    <cellStyle name="Note 4 6" xfId="36124"/>
    <cellStyle name="Note 4 6 2" xfId="36125"/>
    <cellStyle name="Note 4 6 2 2" xfId="36126"/>
    <cellStyle name="Note 4 6 2 3" xfId="36127"/>
    <cellStyle name="Note 4 6 2 4" xfId="36128"/>
    <cellStyle name="Note 4 6 2 5" xfId="36129"/>
    <cellStyle name="Note 4 6 2 6" xfId="36130"/>
    <cellStyle name="Note 4 6 2 7" xfId="36131"/>
    <cellStyle name="Note 4 6 3" xfId="36132"/>
    <cellStyle name="Note 4 6 3 2" xfId="36133"/>
    <cellStyle name="Note 4 6 3 3" xfId="36134"/>
    <cellStyle name="Note 4 6 3 4" xfId="36135"/>
    <cellStyle name="Note 4 6 3 5" xfId="36136"/>
    <cellStyle name="Note 4 6 3 6" xfId="36137"/>
    <cellStyle name="Note 4 6 4" xfId="36138"/>
    <cellStyle name="Note 4 6 5" xfId="36139"/>
    <cellStyle name="Note 4 6 6" xfId="36140"/>
    <cellStyle name="Note 4 6 7" xfId="36141"/>
    <cellStyle name="Note 4 6 8" xfId="36142"/>
    <cellStyle name="Note 4 6 9" xfId="36143"/>
    <cellStyle name="Note 4 7" xfId="36144"/>
    <cellStyle name="Note 4 7 2" xfId="36145"/>
    <cellStyle name="Note 4 7 2 2" xfId="36146"/>
    <cellStyle name="Note 4 7 2 3" xfId="36147"/>
    <cellStyle name="Note 4 7 2 4" xfId="36148"/>
    <cellStyle name="Note 4 7 2 5" xfId="36149"/>
    <cellStyle name="Note 4 7 2 6" xfId="36150"/>
    <cellStyle name="Note 4 7 2 7" xfId="36151"/>
    <cellStyle name="Note 4 7 3" xfId="36152"/>
    <cellStyle name="Note 4 7 3 2" xfId="36153"/>
    <cellStyle name="Note 4 7 3 3" xfId="36154"/>
    <cellStyle name="Note 4 7 3 4" xfId="36155"/>
    <cellStyle name="Note 4 7 3 5" xfId="36156"/>
    <cellStyle name="Note 4 7 3 6" xfId="36157"/>
    <cellStyle name="Note 4 7 4" xfId="36158"/>
    <cellStyle name="Note 4 7 5" xfId="36159"/>
    <cellStyle name="Note 4 7 6" xfId="36160"/>
    <cellStyle name="Note 4 7 7" xfId="36161"/>
    <cellStyle name="Note 4 7 8" xfId="36162"/>
    <cellStyle name="Note 4 7 9" xfId="36163"/>
    <cellStyle name="Note 4 8" xfId="36164"/>
    <cellStyle name="Note 4 8 2" xfId="36165"/>
    <cellStyle name="Note 4 8 2 2" xfId="36166"/>
    <cellStyle name="Note 4 8 2 3" xfId="36167"/>
    <cellStyle name="Note 4 8 2 4" xfId="36168"/>
    <cellStyle name="Note 4 8 2 5" xfId="36169"/>
    <cellStyle name="Note 4 8 2 6" xfId="36170"/>
    <cellStyle name="Note 4 8 2 7" xfId="36171"/>
    <cellStyle name="Note 4 8 3" xfId="36172"/>
    <cellStyle name="Note 4 8 3 2" xfId="36173"/>
    <cellStyle name="Note 4 8 3 3" xfId="36174"/>
    <cellStyle name="Note 4 8 3 4" xfId="36175"/>
    <cellStyle name="Note 4 8 3 5" xfId="36176"/>
    <cellStyle name="Note 4 8 3 6" xfId="36177"/>
    <cellStyle name="Note 4 8 4" xfId="36178"/>
    <cellStyle name="Note 4 8 5" xfId="36179"/>
    <cellStyle name="Note 4 8 6" xfId="36180"/>
    <cellStyle name="Note 4 8 7" xfId="36181"/>
    <cellStyle name="Note 4 8 8" xfId="36182"/>
    <cellStyle name="Note 4 8 9" xfId="36183"/>
    <cellStyle name="Note 4 9" xfId="36184"/>
    <cellStyle name="Note 4 9 2" xfId="36185"/>
    <cellStyle name="Note 4 9 2 2" xfId="36186"/>
    <cellStyle name="Note 4 9 2 3" xfId="36187"/>
    <cellStyle name="Note 4 9 2 4" xfId="36188"/>
    <cellStyle name="Note 4 9 2 5" xfId="36189"/>
    <cellStyle name="Note 4 9 2 6" xfId="36190"/>
    <cellStyle name="Note 4 9 3" xfId="36191"/>
    <cellStyle name="Note 4 9 4" xfId="36192"/>
    <cellStyle name="Note 4 9 5" xfId="36193"/>
    <cellStyle name="Note 4 9 6" xfId="36194"/>
    <cellStyle name="Note 4 9 7" xfId="36195"/>
    <cellStyle name="Note 4 9 8" xfId="36196"/>
    <cellStyle name="Note 5" xfId="36197"/>
    <cellStyle name="Note 5 10" xfId="36198"/>
    <cellStyle name="Note 5 10 2" xfId="36199"/>
    <cellStyle name="Note 5 10 3" xfId="36200"/>
    <cellStyle name="Note 5 10 4" xfId="36201"/>
    <cellStyle name="Note 5 10 5" xfId="36202"/>
    <cellStyle name="Note 5 10 6" xfId="36203"/>
    <cellStyle name="Note 5 10 7" xfId="36204"/>
    <cellStyle name="Note 5 11" xfId="36205"/>
    <cellStyle name="Note 5 11 2" xfId="36206"/>
    <cellStyle name="Note 5 11 3" xfId="36207"/>
    <cellStyle name="Note 5 11 4" xfId="36208"/>
    <cellStyle name="Note 5 11 5" xfId="36209"/>
    <cellStyle name="Note 5 11 6" xfId="36210"/>
    <cellStyle name="Note 5 12" xfId="36211"/>
    <cellStyle name="Note 5 12 2" xfId="36212"/>
    <cellStyle name="Note 5 13" xfId="36213"/>
    <cellStyle name="Note 5 14" xfId="36214"/>
    <cellStyle name="Note 5 15" xfId="36215"/>
    <cellStyle name="Note 5 16" xfId="36216"/>
    <cellStyle name="Note 5 17" xfId="36217"/>
    <cellStyle name="Note 5 2" xfId="36218"/>
    <cellStyle name="Note 5 2 2" xfId="36219"/>
    <cellStyle name="Note 5 2 2 2" xfId="36220"/>
    <cellStyle name="Note 5 2 2 3" xfId="36221"/>
    <cellStyle name="Note 5 2 2 4" xfId="36222"/>
    <cellStyle name="Note 5 2 2 5" xfId="36223"/>
    <cellStyle name="Note 5 2 2 6" xfId="36224"/>
    <cellStyle name="Note 5 2 2 7" xfId="36225"/>
    <cellStyle name="Note 5 2 3" xfId="36226"/>
    <cellStyle name="Note 5 2 3 2" xfId="36227"/>
    <cellStyle name="Note 5 2 3 3" xfId="36228"/>
    <cellStyle name="Note 5 2 3 4" xfId="36229"/>
    <cellStyle name="Note 5 2 3 5" xfId="36230"/>
    <cellStyle name="Note 5 2 3 6" xfId="36231"/>
    <cellStyle name="Note 5 2 4" xfId="36232"/>
    <cellStyle name="Note 5 2 4 2" xfId="36233"/>
    <cellStyle name="Note 5 2 5" xfId="36234"/>
    <cellStyle name="Note 5 2 6" xfId="36235"/>
    <cellStyle name="Note 5 2 7" xfId="36236"/>
    <cellStyle name="Note 5 2 8" xfId="36237"/>
    <cellStyle name="Note 5 2 9" xfId="36238"/>
    <cellStyle name="Note 5 3" xfId="36239"/>
    <cellStyle name="Note 5 3 2" xfId="36240"/>
    <cellStyle name="Note 5 3 2 2" xfId="36241"/>
    <cellStyle name="Note 5 3 2 3" xfId="36242"/>
    <cellStyle name="Note 5 3 2 4" xfId="36243"/>
    <cellStyle name="Note 5 3 2 5" xfId="36244"/>
    <cellStyle name="Note 5 3 2 6" xfId="36245"/>
    <cellStyle name="Note 5 3 2 7" xfId="36246"/>
    <cellStyle name="Note 5 3 3" xfId="36247"/>
    <cellStyle name="Note 5 3 3 2" xfId="36248"/>
    <cellStyle name="Note 5 3 3 3" xfId="36249"/>
    <cellStyle name="Note 5 3 3 4" xfId="36250"/>
    <cellStyle name="Note 5 3 3 5" xfId="36251"/>
    <cellStyle name="Note 5 3 3 6" xfId="36252"/>
    <cellStyle name="Note 5 3 4" xfId="36253"/>
    <cellStyle name="Note 5 3 4 2" xfId="36254"/>
    <cellStyle name="Note 5 3 5" xfId="36255"/>
    <cellStyle name="Note 5 3 6" xfId="36256"/>
    <cellStyle name="Note 5 3 7" xfId="36257"/>
    <cellStyle name="Note 5 3 8" xfId="36258"/>
    <cellStyle name="Note 5 3 9" xfId="36259"/>
    <cellStyle name="Note 5 4" xfId="36260"/>
    <cellStyle name="Note 5 4 2" xfId="36261"/>
    <cellStyle name="Note 5 4 2 2" xfId="36262"/>
    <cellStyle name="Note 5 4 2 3" xfId="36263"/>
    <cellStyle name="Note 5 4 2 4" xfId="36264"/>
    <cellStyle name="Note 5 4 2 5" xfId="36265"/>
    <cellStyle name="Note 5 4 2 6" xfId="36266"/>
    <cellStyle name="Note 5 4 2 7" xfId="36267"/>
    <cellStyle name="Note 5 4 3" xfId="36268"/>
    <cellStyle name="Note 5 4 3 2" xfId="36269"/>
    <cellStyle name="Note 5 4 3 3" xfId="36270"/>
    <cellStyle name="Note 5 4 3 4" xfId="36271"/>
    <cellStyle name="Note 5 4 3 5" xfId="36272"/>
    <cellStyle name="Note 5 4 3 6" xfId="36273"/>
    <cellStyle name="Note 5 4 4" xfId="36274"/>
    <cellStyle name="Note 5 4 5" xfId="36275"/>
    <cellStyle name="Note 5 4 6" xfId="36276"/>
    <cellStyle name="Note 5 4 7" xfId="36277"/>
    <cellStyle name="Note 5 4 8" xfId="36278"/>
    <cellStyle name="Note 5 4 9" xfId="36279"/>
    <cellStyle name="Note 5 5" xfId="36280"/>
    <cellStyle name="Note 5 5 2" xfId="36281"/>
    <cellStyle name="Note 5 5 2 2" xfId="36282"/>
    <cellStyle name="Note 5 5 2 3" xfId="36283"/>
    <cellStyle name="Note 5 5 2 4" xfId="36284"/>
    <cellStyle name="Note 5 5 2 5" xfId="36285"/>
    <cellStyle name="Note 5 5 2 6" xfId="36286"/>
    <cellStyle name="Note 5 5 2 7" xfId="36287"/>
    <cellStyle name="Note 5 5 3" xfId="36288"/>
    <cellStyle name="Note 5 5 3 2" xfId="36289"/>
    <cellStyle name="Note 5 5 3 3" xfId="36290"/>
    <cellStyle name="Note 5 5 3 4" xfId="36291"/>
    <cellStyle name="Note 5 5 3 5" xfId="36292"/>
    <cellStyle name="Note 5 5 3 6" xfId="36293"/>
    <cellStyle name="Note 5 5 4" xfId="36294"/>
    <cellStyle name="Note 5 5 5" xfId="36295"/>
    <cellStyle name="Note 5 5 6" xfId="36296"/>
    <cellStyle name="Note 5 5 7" xfId="36297"/>
    <cellStyle name="Note 5 5 8" xfId="36298"/>
    <cellStyle name="Note 5 5 9" xfId="36299"/>
    <cellStyle name="Note 5 6" xfId="36300"/>
    <cellStyle name="Note 5 6 2" xfId="36301"/>
    <cellStyle name="Note 5 6 2 2" xfId="36302"/>
    <cellStyle name="Note 5 6 2 3" xfId="36303"/>
    <cellStyle name="Note 5 6 2 4" xfId="36304"/>
    <cellStyle name="Note 5 6 2 5" xfId="36305"/>
    <cellStyle name="Note 5 6 2 6" xfId="36306"/>
    <cellStyle name="Note 5 6 2 7" xfId="36307"/>
    <cellStyle name="Note 5 6 3" xfId="36308"/>
    <cellStyle name="Note 5 6 3 2" xfId="36309"/>
    <cellStyle name="Note 5 6 3 3" xfId="36310"/>
    <cellStyle name="Note 5 6 3 4" xfId="36311"/>
    <cellStyle name="Note 5 6 3 5" xfId="36312"/>
    <cellStyle name="Note 5 6 3 6" xfId="36313"/>
    <cellStyle name="Note 5 6 4" xfId="36314"/>
    <cellStyle name="Note 5 6 5" xfId="36315"/>
    <cellStyle name="Note 5 6 6" xfId="36316"/>
    <cellStyle name="Note 5 6 7" xfId="36317"/>
    <cellStyle name="Note 5 6 8" xfId="36318"/>
    <cellStyle name="Note 5 6 9" xfId="36319"/>
    <cellStyle name="Note 5 7" xfId="36320"/>
    <cellStyle name="Note 5 7 2" xfId="36321"/>
    <cellStyle name="Note 5 7 2 2" xfId="36322"/>
    <cellStyle name="Note 5 7 2 3" xfId="36323"/>
    <cellStyle name="Note 5 7 2 4" xfId="36324"/>
    <cellStyle name="Note 5 7 2 5" xfId="36325"/>
    <cellStyle name="Note 5 7 2 6" xfId="36326"/>
    <cellStyle name="Note 5 7 2 7" xfId="36327"/>
    <cellStyle name="Note 5 7 3" xfId="36328"/>
    <cellStyle name="Note 5 7 3 2" xfId="36329"/>
    <cellStyle name="Note 5 7 3 3" xfId="36330"/>
    <cellStyle name="Note 5 7 3 4" xfId="36331"/>
    <cellStyle name="Note 5 7 3 5" xfId="36332"/>
    <cellStyle name="Note 5 7 3 6" xfId="36333"/>
    <cellStyle name="Note 5 7 4" xfId="36334"/>
    <cellStyle name="Note 5 7 5" xfId="36335"/>
    <cellStyle name="Note 5 7 6" xfId="36336"/>
    <cellStyle name="Note 5 7 7" xfId="36337"/>
    <cellStyle name="Note 5 7 8" xfId="36338"/>
    <cellStyle name="Note 5 7 9" xfId="36339"/>
    <cellStyle name="Note 5 8" xfId="36340"/>
    <cellStyle name="Note 5 8 2" xfId="36341"/>
    <cellStyle name="Note 5 8 2 2" xfId="36342"/>
    <cellStyle name="Note 5 8 2 3" xfId="36343"/>
    <cellStyle name="Note 5 8 2 4" xfId="36344"/>
    <cellStyle name="Note 5 8 2 5" xfId="36345"/>
    <cellStyle name="Note 5 8 2 6" xfId="36346"/>
    <cellStyle name="Note 5 8 2 7" xfId="36347"/>
    <cellStyle name="Note 5 8 3" xfId="36348"/>
    <cellStyle name="Note 5 8 3 2" xfId="36349"/>
    <cellStyle name="Note 5 8 3 3" xfId="36350"/>
    <cellStyle name="Note 5 8 3 4" xfId="36351"/>
    <cellStyle name="Note 5 8 3 5" xfId="36352"/>
    <cellStyle name="Note 5 8 3 6" xfId="36353"/>
    <cellStyle name="Note 5 8 4" xfId="36354"/>
    <cellStyle name="Note 5 8 5" xfId="36355"/>
    <cellStyle name="Note 5 8 6" xfId="36356"/>
    <cellStyle name="Note 5 8 7" xfId="36357"/>
    <cellStyle name="Note 5 8 8" xfId="36358"/>
    <cellStyle name="Note 5 8 9" xfId="36359"/>
    <cellStyle name="Note 5 9" xfId="36360"/>
    <cellStyle name="Note 5 9 2" xfId="36361"/>
    <cellStyle name="Note 5 9 2 2" xfId="36362"/>
    <cellStyle name="Note 5 9 2 3" xfId="36363"/>
    <cellStyle name="Note 5 9 2 4" xfId="36364"/>
    <cellStyle name="Note 5 9 2 5" xfId="36365"/>
    <cellStyle name="Note 5 9 2 6" xfId="36366"/>
    <cellStyle name="Note 5 9 3" xfId="36367"/>
    <cellStyle name="Note 5 9 4" xfId="36368"/>
    <cellStyle name="Note 5 9 5" xfId="36369"/>
    <cellStyle name="Note 5 9 6" xfId="36370"/>
    <cellStyle name="Note 5 9 7" xfId="36371"/>
    <cellStyle name="Note 5 9 8" xfId="36372"/>
    <cellStyle name="Note 6" xfId="36373"/>
    <cellStyle name="Note 6 10" xfId="36374"/>
    <cellStyle name="Note 6 10 2" xfId="36375"/>
    <cellStyle name="Note 6 10 3" xfId="36376"/>
    <cellStyle name="Note 6 10 4" xfId="36377"/>
    <cellStyle name="Note 6 10 5" xfId="36378"/>
    <cellStyle name="Note 6 10 6" xfId="36379"/>
    <cellStyle name="Note 6 10 7" xfId="36380"/>
    <cellStyle name="Note 6 11" xfId="36381"/>
    <cellStyle name="Note 6 11 2" xfId="36382"/>
    <cellStyle name="Note 6 11 3" xfId="36383"/>
    <cellStyle name="Note 6 11 4" xfId="36384"/>
    <cellStyle name="Note 6 11 5" xfId="36385"/>
    <cellStyle name="Note 6 11 6" xfId="36386"/>
    <cellStyle name="Note 6 12" xfId="36387"/>
    <cellStyle name="Note 6 12 2" xfId="36388"/>
    <cellStyle name="Note 6 13" xfId="36389"/>
    <cellStyle name="Note 6 14" xfId="36390"/>
    <cellStyle name="Note 6 15" xfId="36391"/>
    <cellStyle name="Note 6 16" xfId="36392"/>
    <cellStyle name="Note 6 17" xfId="36393"/>
    <cellStyle name="Note 6 2" xfId="36394"/>
    <cellStyle name="Note 6 2 2" xfId="36395"/>
    <cellStyle name="Note 6 2 2 2" xfId="36396"/>
    <cellStyle name="Note 6 2 2 3" xfId="36397"/>
    <cellStyle name="Note 6 2 2 4" xfId="36398"/>
    <cellStyle name="Note 6 2 2 5" xfId="36399"/>
    <cellStyle name="Note 6 2 2 6" xfId="36400"/>
    <cellStyle name="Note 6 2 2 7" xfId="36401"/>
    <cellStyle name="Note 6 2 3" xfId="36402"/>
    <cellStyle name="Note 6 2 3 2" xfId="36403"/>
    <cellStyle name="Note 6 2 3 3" xfId="36404"/>
    <cellStyle name="Note 6 2 3 4" xfId="36405"/>
    <cellStyle name="Note 6 2 3 5" xfId="36406"/>
    <cellStyle name="Note 6 2 3 6" xfId="36407"/>
    <cellStyle name="Note 6 2 4" xfId="36408"/>
    <cellStyle name="Note 6 2 4 2" xfId="36409"/>
    <cellStyle name="Note 6 2 5" xfId="36410"/>
    <cellStyle name="Note 6 2 6" xfId="36411"/>
    <cellStyle name="Note 6 2 7" xfId="36412"/>
    <cellStyle name="Note 6 2 8" xfId="36413"/>
    <cellStyle name="Note 6 2 9" xfId="36414"/>
    <cellStyle name="Note 6 3" xfId="36415"/>
    <cellStyle name="Note 6 3 2" xfId="36416"/>
    <cellStyle name="Note 6 3 2 2" xfId="36417"/>
    <cellStyle name="Note 6 3 2 3" xfId="36418"/>
    <cellStyle name="Note 6 3 2 4" xfId="36419"/>
    <cellStyle name="Note 6 3 2 5" xfId="36420"/>
    <cellStyle name="Note 6 3 2 6" xfId="36421"/>
    <cellStyle name="Note 6 3 2 7" xfId="36422"/>
    <cellStyle name="Note 6 3 3" xfId="36423"/>
    <cellStyle name="Note 6 3 3 2" xfId="36424"/>
    <cellStyle name="Note 6 3 3 3" xfId="36425"/>
    <cellStyle name="Note 6 3 3 4" xfId="36426"/>
    <cellStyle name="Note 6 3 3 5" xfId="36427"/>
    <cellStyle name="Note 6 3 3 6" xfId="36428"/>
    <cellStyle name="Note 6 3 4" xfId="36429"/>
    <cellStyle name="Note 6 3 4 2" xfId="36430"/>
    <cellStyle name="Note 6 3 5" xfId="36431"/>
    <cellStyle name="Note 6 3 6" xfId="36432"/>
    <cellStyle name="Note 6 3 7" xfId="36433"/>
    <cellStyle name="Note 6 3 8" xfId="36434"/>
    <cellStyle name="Note 6 3 9" xfId="36435"/>
    <cellStyle name="Note 6 4" xfId="36436"/>
    <cellStyle name="Note 6 4 2" xfId="36437"/>
    <cellStyle name="Note 6 4 2 2" xfId="36438"/>
    <cellStyle name="Note 6 4 2 3" xfId="36439"/>
    <cellStyle name="Note 6 4 2 4" xfId="36440"/>
    <cellStyle name="Note 6 4 2 5" xfId="36441"/>
    <cellStyle name="Note 6 4 2 6" xfId="36442"/>
    <cellStyle name="Note 6 4 2 7" xfId="36443"/>
    <cellStyle name="Note 6 4 3" xfId="36444"/>
    <cellStyle name="Note 6 4 3 2" xfId="36445"/>
    <cellStyle name="Note 6 4 3 3" xfId="36446"/>
    <cellStyle name="Note 6 4 3 4" xfId="36447"/>
    <cellStyle name="Note 6 4 3 5" xfId="36448"/>
    <cellStyle name="Note 6 4 3 6" xfId="36449"/>
    <cellStyle name="Note 6 4 4" xfId="36450"/>
    <cellStyle name="Note 6 4 5" xfId="36451"/>
    <cellStyle name="Note 6 4 6" xfId="36452"/>
    <cellStyle name="Note 6 4 7" xfId="36453"/>
    <cellStyle name="Note 6 4 8" xfId="36454"/>
    <cellStyle name="Note 6 4 9" xfId="36455"/>
    <cellStyle name="Note 6 5" xfId="36456"/>
    <cellStyle name="Note 6 5 2" xfId="36457"/>
    <cellStyle name="Note 6 5 2 2" xfId="36458"/>
    <cellStyle name="Note 6 5 2 3" xfId="36459"/>
    <cellStyle name="Note 6 5 2 4" xfId="36460"/>
    <cellStyle name="Note 6 5 2 5" xfId="36461"/>
    <cellStyle name="Note 6 5 2 6" xfId="36462"/>
    <cellStyle name="Note 6 5 2 7" xfId="36463"/>
    <cellStyle name="Note 6 5 3" xfId="36464"/>
    <cellStyle name="Note 6 5 3 2" xfId="36465"/>
    <cellStyle name="Note 6 5 3 3" xfId="36466"/>
    <cellStyle name="Note 6 5 3 4" xfId="36467"/>
    <cellStyle name="Note 6 5 3 5" xfId="36468"/>
    <cellStyle name="Note 6 5 3 6" xfId="36469"/>
    <cellStyle name="Note 6 5 4" xfId="36470"/>
    <cellStyle name="Note 6 5 5" xfId="36471"/>
    <cellStyle name="Note 6 5 6" xfId="36472"/>
    <cellStyle name="Note 6 5 7" xfId="36473"/>
    <cellStyle name="Note 6 5 8" xfId="36474"/>
    <cellStyle name="Note 6 5 9" xfId="36475"/>
    <cellStyle name="Note 6 6" xfId="36476"/>
    <cellStyle name="Note 6 6 2" xfId="36477"/>
    <cellStyle name="Note 6 6 2 2" xfId="36478"/>
    <cellStyle name="Note 6 6 2 3" xfId="36479"/>
    <cellStyle name="Note 6 6 2 4" xfId="36480"/>
    <cellStyle name="Note 6 6 2 5" xfId="36481"/>
    <cellStyle name="Note 6 6 2 6" xfId="36482"/>
    <cellStyle name="Note 6 6 2 7" xfId="36483"/>
    <cellStyle name="Note 6 6 3" xfId="36484"/>
    <cellStyle name="Note 6 6 3 2" xfId="36485"/>
    <cellStyle name="Note 6 6 3 3" xfId="36486"/>
    <cellStyle name="Note 6 6 3 4" xfId="36487"/>
    <cellStyle name="Note 6 6 3 5" xfId="36488"/>
    <cellStyle name="Note 6 6 3 6" xfId="36489"/>
    <cellStyle name="Note 6 6 4" xfId="36490"/>
    <cellStyle name="Note 6 6 5" xfId="36491"/>
    <cellStyle name="Note 6 6 6" xfId="36492"/>
    <cellStyle name="Note 6 6 7" xfId="36493"/>
    <cellStyle name="Note 6 6 8" xfId="36494"/>
    <cellStyle name="Note 6 6 9" xfId="36495"/>
    <cellStyle name="Note 6 7" xfId="36496"/>
    <cellStyle name="Note 6 7 2" xfId="36497"/>
    <cellStyle name="Note 6 7 2 2" xfId="36498"/>
    <cellStyle name="Note 6 7 2 3" xfId="36499"/>
    <cellStyle name="Note 6 7 2 4" xfId="36500"/>
    <cellStyle name="Note 6 7 2 5" xfId="36501"/>
    <cellStyle name="Note 6 7 2 6" xfId="36502"/>
    <cellStyle name="Note 6 7 2 7" xfId="36503"/>
    <cellStyle name="Note 6 7 3" xfId="36504"/>
    <cellStyle name="Note 6 7 3 2" xfId="36505"/>
    <cellStyle name="Note 6 7 3 3" xfId="36506"/>
    <cellStyle name="Note 6 7 3 4" xfId="36507"/>
    <cellStyle name="Note 6 7 3 5" xfId="36508"/>
    <cellStyle name="Note 6 7 3 6" xfId="36509"/>
    <cellStyle name="Note 6 7 4" xfId="36510"/>
    <cellStyle name="Note 6 7 5" xfId="36511"/>
    <cellStyle name="Note 6 7 6" xfId="36512"/>
    <cellStyle name="Note 6 7 7" xfId="36513"/>
    <cellStyle name="Note 6 7 8" xfId="36514"/>
    <cellStyle name="Note 6 7 9" xfId="36515"/>
    <cellStyle name="Note 6 8" xfId="36516"/>
    <cellStyle name="Note 6 8 2" xfId="36517"/>
    <cellStyle name="Note 6 8 2 2" xfId="36518"/>
    <cellStyle name="Note 6 8 2 3" xfId="36519"/>
    <cellStyle name="Note 6 8 2 4" xfId="36520"/>
    <cellStyle name="Note 6 8 2 5" xfId="36521"/>
    <cellStyle name="Note 6 8 2 6" xfId="36522"/>
    <cellStyle name="Note 6 8 2 7" xfId="36523"/>
    <cellStyle name="Note 6 8 3" xfId="36524"/>
    <cellStyle name="Note 6 8 3 2" xfId="36525"/>
    <cellStyle name="Note 6 8 3 3" xfId="36526"/>
    <cellStyle name="Note 6 8 3 4" xfId="36527"/>
    <cellStyle name="Note 6 8 3 5" xfId="36528"/>
    <cellStyle name="Note 6 8 3 6" xfId="36529"/>
    <cellStyle name="Note 6 8 4" xfId="36530"/>
    <cellStyle name="Note 6 8 5" xfId="36531"/>
    <cellStyle name="Note 6 8 6" xfId="36532"/>
    <cellStyle name="Note 6 8 7" xfId="36533"/>
    <cellStyle name="Note 6 8 8" xfId="36534"/>
    <cellStyle name="Note 6 8 9" xfId="36535"/>
    <cellStyle name="Note 6 9" xfId="36536"/>
    <cellStyle name="Note 6 9 2" xfId="36537"/>
    <cellStyle name="Note 6 9 2 2" xfId="36538"/>
    <cellStyle name="Note 6 9 2 3" xfId="36539"/>
    <cellStyle name="Note 6 9 2 4" xfId="36540"/>
    <cellStyle name="Note 6 9 2 5" xfId="36541"/>
    <cellStyle name="Note 6 9 2 6" xfId="36542"/>
    <cellStyle name="Note 6 9 3" xfId="36543"/>
    <cellStyle name="Note 6 9 4" xfId="36544"/>
    <cellStyle name="Note 6 9 5" xfId="36545"/>
    <cellStyle name="Note 6 9 6" xfId="36546"/>
    <cellStyle name="Note 6 9 7" xfId="36547"/>
    <cellStyle name="Note 6 9 8" xfId="36548"/>
    <cellStyle name="Note 7" xfId="36549"/>
    <cellStyle name="Note 7 10" xfId="36550"/>
    <cellStyle name="Note 7 10 2" xfId="36551"/>
    <cellStyle name="Note 7 10 3" xfId="36552"/>
    <cellStyle name="Note 7 10 4" xfId="36553"/>
    <cellStyle name="Note 7 10 5" xfId="36554"/>
    <cellStyle name="Note 7 10 6" xfId="36555"/>
    <cellStyle name="Note 7 10 7" xfId="36556"/>
    <cellStyle name="Note 7 11" xfId="36557"/>
    <cellStyle name="Note 7 11 2" xfId="36558"/>
    <cellStyle name="Note 7 11 3" xfId="36559"/>
    <cellStyle name="Note 7 11 4" xfId="36560"/>
    <cellStyle name="Note 7 11 5" xfId="36561"/>
    <cellStyle name="Note 7 11 6" xfId="36562"/>
    <cellStyle name="Note 7 12" xfId="36563"/>
    <cellStyle name="Note 7 12 2" xfId="36564"/>
    <cellStyle name="Note 7 13" xfId="36565"/>
    <cellStyle name="Note 7 14" xfId="36566"/>
    <cellStyle name="Note 7 15" xfId="36567"/>
    <cellStyle name="Note 7 16" xfId="36568"/>
    <cellStyle name="Note 7 17" xfId="36569"/>
    <cellStyle name="Note 7 2" xfId="36570"/>
    <cellStyle name="Note 7 2 2" xfId="36571"/>
    <cellStyle name="Note 7 2 2 2" xfId="36572"/>
    <cellStyle name="Note 7 2 2 3" xfId="36573"/>
    <cellStyle name="Note 7 2 2 4" xfId="36574"/>
    <cellStyle name="Note 7 2 2 5" xfId="36575"/>
    <cellStyle name="Note 7 2 2 6" xfId="36576"/>
    <cellStyle name="Note 7 2 2 7" xfId="36577"/>
    <cellStyle name="Note 7 2 3" xfId="36578"/>
    <cellStyle name="Note 7 2 3 2" xfId="36579"/>
    <cellStyle name="Note 7 2 3 3" xfId="36580"/>
    <cellStyle name="Note 7 2 3 4" xfId="36581"/>
    <cellStyle name="Note 7 2 3 5" xfId="36582"/>
    <cellStyle name="Note 7 2 3 6" xfId="36583"/>
    <cellStyle name="Note 7 2 4" xfId="36584"/>
    <cellStyle name="Note 7 2 4 2" xfId="36585"/>
    <cellStyle name="Note 7 2 5" xfId="36586"/>
    <cellStyle name="Note 7 2 6" xfId="36587"/>
    <cellStyle name="Note 7 2 7" xfId="36588"/>
    <cellStyle name="Note 7 2 8" xfId="36589"/>
    <cellStyle name="Note 7 2 9" xfId="36590"/>
    <cellStyle name="Note 7 3" xfId="36591"/>
    <cellStyle name="Note 7 3 2" xfId="36592"/>
    <cellStyle name="Note 7 3 2 2" xfId="36593"/>
    <cellStyle name="Note 7 3 2 3" xfId="36594"/>
    <cellStyle name="Note 7 3 2 4" xfId="36595"/>
    <cellStyle name="Note 7 3 2 5" xfId="36596"/>
    <cellStyle name="Note 7 3 2 6" xfId="36597"/>
    <cellStyle name="Note 7 3 2 7" xfId="36598"/>
    <cellStyle name="Note 7 3 3" xfId="36599"/>
    <cellStyle name="Note 7 3 3 2" xfId="36600"/>
    <cellStyle name="Note 7 3 3 3" xfId="36601"/>
    <cellStyle name="Note 7 3 3 4" xfId="36602"/>
    <cellStyle name="Note 7 3 3 5" xfId="36603"/>
    <cellStyle name="Note 7 3 3 6" xfId="36604"/>
    <cellStyle name="Note 7 3 4" xfId="36605"/>
    <cellStyle name="Note 7 3 4 2" xfId="36606"/>
    <cellStyle name="Note 7 3 5" xfId="36607"/>
    <cellStyle name="Note 7 3 6" xfId="36608"/>
    <cellStyle name="Note 7 3 7" xfId="36609"/>
    <cellStyle name="Note 7 3 8" xfId="36610"/>
    <cellStyle name="Note 7 3 9" xfId="36611"/>
    <cellStyle name="Note 7 4" xfId="36612"/>
    <cellStyle name="Note 7 4 2" xfId="36613"/>
    <cellStyle name="Note 7 4 2 2" xfId="36614"/>
    <cellStyle name="Note 7 4 2 3" xfId="36615"/>
    <cellStyle name="Note 7 4 2 4" xfId="36616"/>
    <cellStyle name="Note 7 4 2 5" xfId="36617"/>
    <cellStyle name="Note 7 4 2 6" xfId="36618"/>
    <cellStyle name="Note 7 4 2 7" xfId="36619"/>
    <cellStyle name="Note 7 4 3" xfId="36620"/>
    <cellStyle name="Note 7 4 3 2" xfId="36621"/>
    <cellStyle name="Note 7 4 3 3" xfId="36622"/>
    <cellStyle name="Note 7 4 3 4" xfId="36623"/>
    <cellStyle name="Note 7 4 3 5" xfId="36624"/>
    <cellStyle name="Note 7 4 3 6" xfId="36625"/>
    <cellStyle name="Note 7 4 4" xfId="36626"/>
    <cellStyle name="Note 7 4 5" xfId="36627"/>
    <cellStyle name="Note 7 4 6" xfId="36628"/>
    <cellStyle name="Note 7 4 7" xfId="36629"/>
    <cellStyle name="Note 7 4 8" xfId="36630"/>
    <cellStyle name="Note 7 4 9" xfId="36631"/>
    <cellStyle name="Note 7 5" xfId="36632"/>
    <cellStyle name="Note 7 5 2" xfId="36633"/>
    <cellStyle name="Note 7 5 2 2" xfId="36634"/>
    <cellStyle name="Note 7 5 2 3" xfId="36635"/>
    <cellStyle name="Note 7 5 2 4" xfId="36636"/>
    <cellStyle name="Note 7 5 2 5" xfId="36637"/>
    <cellStyle name="Note 7 5 2 6" xfId="36638"/>
    <cellStyle name="Note 7 5 2 7" xfId="36639"/>
    <cellStyle name="Note 7 5 3" xfId="36640"/>
    <cellStyle name="Note 7 5 3 2" xfId="36641"/>
    <cellStyle name="Note 7 5 3 3" xfId="36642"/>
    <cellStyle name="Note 7 5 3 4" xfId="36643"/>
    <cellStyle name="Note 7 5 3 5" xfId="36644"/>
    <cellStyle name="Note 7 5 3 6" xfId="36645"/>
    <cellStyle name="Note 7 5 4" xfId="36646"/>
    <cellStyle name="Note 7 5 5" xfId="36647"/>
    <cellStyle name="Note 7 5 6" xfId="36648"/>
    <cellStyle name="Note 7 5 7" xfId="36649"/>
    <cellStyle name="Note 7 5 8" xfId="36650"/>
    <cellStyle name="Note 7 5 9" xfId="36651"/>
    <cellStyle name="Note 7 6" xfId="36652"/>
    <cellStyle name="Note 7 6 2" xfId="36653"/>
    <cellStyle name="Note 7 6 2 2" xfId="36654"/>
    <cellStyle name="Note 7 6 2 3" xfId="36655"/>
    <cellStyle name="Note 7 6 2 4" xfId="36656"/>
    <cellStyle name="Note 7 6 2 5" xfId="36657"/>
    <cellStyle name="Note 7 6 2 6" xfId="36658"/>
    <cellStyle name="Note 7 6 2 7" xfId="36659"/>
    <cellStyle name="Note 7 6 3" xfId="36660"/>
    <cellStyle name="Note 7 6 3 2" xfId="36661"/>
    <cellStyle name="Note 7 6 3 3" xfId="36662"/>
    <cellStyle name="Note 7 6 3 4" xfId="36663"/>
    <cellStyle name="Note 7 6 3 5" xfId="36664"/>
    <cellStyle name="Note 7 6 3 6" xfId="36665"/>
    <cellStyle name="Note 7 6 4" xfId="36666"/>
    <cellStyle name="Note 7 6 5" xfId="36667"/>
    <cellStyle name="Note 7 6 6" xfId="36668"/>
    <cellStyle name="Note 7 6 7" xfId="36669"/>
    <cellStyle name="Note 7 6 8" xfId="36670"/>
    <cellStyle name="Note 7 6 9" xfId="36671"/>
    <cellStyle name="Note 7 7" xfId="36672"/>
    <cellStyle name="Note 7 7 2" xfId="36673"/>
    <cellStyle name="Note 7 7 2 2" xfId="36674"/>
    <cellStyle name="Note 7 7 2 3" xfId="36675"/>
    <cellStyle name="Note 7 7 2 4" xfId="36676"/>
    <cellStyle name="Note 7 7 2 5" xfId="36677"/>
    <cellStyle name="Note 7 7 2 6" xfId="36678"/>
    <cellStyle name="Note 7 7 2 7" xfId="36679"/>
    <cellStyle name="Note 7 7 3" xfId="36680"/>
    <cellStyle name="Note 7 7 3 2" xfId="36681"/>
    <cellStyle name="Note 7 7 3 3" xfId="36682"/>
    <cellStyle name="Note 7 7 3 4" xfId="36683"/>
    <cellStyle name="Note 7 7 3 5" xfId="36684"/>
    <cellStyle name="Note 7 7 3 6" xfId="36685"/>
    <cellStyle name="Note 7 7 4" xfId="36686"/>
    <cellStyle name="Note 7 7 5" xfId="36687"/>
    <cellStyle name="Note 7 7 6" xfId="36688"/>
    <cellStyle name="Note 7 7 7" xfId="36689"/>
    <cellStyle name="Note 7 7 8" xfId="36690"/>
    <cellStyle name="Note 7 7 9" xfId="36691"/>
    <cellStyle name="Note 7 8" xfId="36692"/>
    <cellStyle name="Note 7 8 2" xfId="36693"/>
    <cellStyle name="Note 7 8 2 2" xfId="36694"/>
    <cellStyle name="Note 7 8 2 3" xfId="36695"/>
    <cellStyle name="Note 7 8 2 4" xfId="36696"/>
    <cellStyle name="Note 7 8 2 5" xfId="36697"/>
    <cellStyle name="Note 7 8 2 6" xfId="36698"/>
    <cellStyle name="Note 7 8 2 7" xfId="36699"/>
    <cellStyle name="Note 7 8 3" xfId="36700"/>
    <cellStyle name="Note 7 8 3 2" xfId="36701"/>
    <cellStyle name="Note 7 8 3 3" xfId="36702"/>
    <cellStyle name="Note 7 8 3 4" xfId="36703"/>
    <cellStyle name="Note 7 8 3 5" xfId="36704"/>
    <cellStyle name="Note 7 8 3 6" xfId="36705"/>
    <cellStyle name="Note 7 8 4" xfId="36706"/>
    <cellStyle name="Note 7 8 5" xfId="36707"/>
    <cellStyle name="Note 7 8 6" xfId="36708"/>
    <cellStyle name="Note 7 8 7" xfId="36709"/>
    <cellStyle name="Note 7 8 8" xfId="36710"/>
    <cellStyle name="Note 7 8 9" xfId="36711"/>
    <cellStyle name="Note 7 9" xfId="36712"/>
    <cellStyle name="Note 7 9 2" xfId="36713"/>
    <cellStyle name="Note 7 9 2 2" xfId="36714"/>
    <cellStyle name="Note 7 9 2 3" xfId="36715"/>
    <cellStyle name="Note 7 9 2 4" xfId="36716"/>
    <cellStyle name="Note 7 9 2 5" xfId="36717"/>
    <cellStyle name="Note 7 9 2 6" xfId="36718"/>
    <cellStyle name="Note 7 9 3" xfId="36719"/>
    <cellStyle name="Note 7 9 4" xfId="36720"/>
    <cellStyle name="Note 7 9 5" xfId="36721"/>
    <cellStyle name="Note 7 9 6" xfId="36722"/>
    <cellStyle name="Note 7 9 7" xfId="36723"/>
    <cellStyle name="Note 7 9 8" xfId="36724"/>
    <cellStyle name="Note 8" xfId="36725"/>
    <cellStyle name="Note 8 10" xfId="36726"/>
    <cellStyle name="Note 8 10 2" xfId="36727"/>
    <cellStyle name="Note 8 10 3" xfId="36728"/>
    <cellStyle name="Note 8 10 4" xfId="36729"/>
    <cellStyle name="Note 8 10 5" xfId="36730"/>
    <cellStyle name="Note 8 10 6" xfId="36731"/>
    <cellStyle name="Note 8 10 7" xfId="36732"/>
    <cellStyle name="Note 8 11" xfId="36733"/>
    <cellStyle name="Note 8 11 2" xfId="36734"/>
    <cellStyle name="Note 8 11 3" xfId="36735"/>
    <cellStyle name="Note 8 11 4" xfId="36736"/>
    <cellStyle name="Note 8 11 5" xfId="36737"/>
    <cellStyle name="Note 8 11 6" xfId="36738"/>
    <cellStyle name="Note 8 12" xfId="36739"/>
    <cellStyle name="Note 8 12 2" xfId="36740"/>
    <cellStyle name="Note 8 13" xfId="36741"/>
    <cellStyle name="Note 8 14" xfId="36742"/>
    <cellStyle name="Note 8 15" xfId="36743"/>
    <cellStyle name="Note 8 16" xfId="36744"/>
    <cellStyle name="Note 8 17" xfId="36745"/>
    <cellStyle name="Note 8 2" xfId="36746"/>
    <cellStyle name="Note 8 2 2" xfId="36747"/>
    <cellStyle name="Note 8 2 2 2" xfId="36748"/>
    <cellStyle name="Note 8 2 2 3" xfId="36749"/>
    <cellStyle name="Note 8 2 2 4" xfId="36750"/>
    <cellStyle name="Note 8 2 2 5" xfId="36751"/>
    <cellStyle name="Note 8 2 2 6" xfId="36752"/>
    <cellStyle name="Note 8 2 2 7" xfId="36753"/>
    <cellStyle name="Note 8 2 3" xfId="36754"/>
    <cellStyle name="Note 8 2 3 2" xfId="36755"/>
    <cellStyle name="Note 8 2 3 3" xfId="36756"/>
    <cellStyle name="Note 8 2 3 4" xfId="36757"/>
    <cellStyle name="Note 8 2 3 5" xfId="36758"/>
    <cellStyle name="Note 8 2 3 6" xfId="36759"/>
    <cellStyle name="Note 8 2 4" xfId="36760"/>
    <cellStyle name="Note 8 2 4 2" xfId="36761"/>
    <cellStyle name="Note 8 2 5" xfId="36762"/>
    <cellStyle name="Note 8 2 6" xfId="36763"/>
    <cellStyle name="Note 8 2 7" xfId="36764"/>
    <cellStyle name="Note 8 2 8" xfId="36765"/>
    <cellStyle name="Note 8 2 9" xfId="36766"/>
    <cellStyle name="Note 8 3" xfId="36767"/>
    <cellStyle name="Note 8 3 2" xfId="36768"/>
    <cellStyle name="Note 8 3 2 2" xfId="36769"/>
    <cellStyle name="Note 8 3 2 3" xfId="36770"/>
    <cellStyle name="Note 8 3 2 4" xfId="36771"/>
    <cellStyle name="Note 8 3 2 5" xfId="36772"/>
    <cellStyle name="Note 8 3 2 6" xfId="36773"/>
    <cellStyle name="Note 8 3 2 7" xfId="36774"/>
    <cellStyle name="Note 8 3 3" xfId="36775"/>
    <cellStyle name="Note 8 3 3 2" xfId="36776"/>
    <cellStyle name="Note 8 3 3 3" xfId="36777"/>
    <cellStyle name="Note 8 3 3 4" xfId="36778"/>
    <cellStyle name="Note 8 3 3 5" xfId="36779"/>
    <cellStyle name="Note 8 3 3 6" xfId="36780"/>
    <cellStyle name="Note 8 3 4" xfId="36781"/>
    <cellStyle name="Note 8 3 4 2" xfId="36782"/>
    <cellStyle name="Note 8 3 5" xfId="36783"/>
    <cellStyle name="Note 8 3 6" xfId="36784"/>
    <cellStyle name="Note 8 3 7" xfId="36785"/>
    <cellStyle name="Note 8 3 8" xfId="36786"/>
    <cellStyle name="Note 8 3 9" xfId="36787"/>
    <cellStyle name="Note 8 4" xfId="36788"/>
    <cellStyle name="Note 8 4 2" xfId="36789"/>
    <cellStyle name="Note 8 4 2 2" xfId="36790"/>
    <cellStyle name="Note 8 4 2 3" xfId="36791"/>
    <cellStyle name="Note 8 4 2 4" xfId="36792"/>
    <cellStyle name="Note 8 4 2 5" xfId="36793"/>
    <cellStyle name="Note 8 4 2 6" xfId="36794"/>
    <cellStyle name="Note 8 4 2 7" xfId="36795"/>
    <cellStyle name="Note 8 4 3" xfId="36796"/>
    <cellStyle name="Note 8 4 3 2" xfId="36797"/>
    <cellStyle name="Note 8 4 3 3" xfId="36798"/>
    <cellStyle name="Note 8 4 3 4" xfId="36799"/>
    <cellStyle name="Note 8 4 3 5" xfId="36800"/>
    <cellStyle name="Note 8 4 3 6" xfId="36801"/>
    <cellStyle name="Note 8 4 4" xfId="36802"/>
    <cellStyle name="Note 8 4 5" xfId="36803"/>
    <cellStyle name="Note 8 4 6" xfId="36804"/>
    <cellStyle name="Note 8 4 7" xfId="36805"/>
    <cellStyle name="Note 8 4 8" xfId="36806"/>
    <cellStyle name="Note 8 4 9" xfId="36807"/>
    <cellStyle name="Note 8 5" xfId="36808"/>
    <cellStyle name="Note 8 5 2" xfId="36809"/>
    <cellStyle name="Note 8 5 2 2" xfId="36810"/>
    <cellStyle name="Note 8 5 2 3" xfId="36811"/>
    <cellStyle name="Note 8 5 2 4" xfId="36812"/>
    <cellStyle name="Note 8 5 2 5" xfId="36813"/>
    <cellStyle name="Note 8 5 2 6" xfId="36814"/>
    <cellStyle name="Note 8 5 2 7" xfId="36815"/>
    <cellStyle name="Note 8 5 3" xfId="36816"/>
    <cellStyle name="Note 8 5 3 2" xfId="36817"/>
    <cellStyle name="Note 8 5 3 3" xfId="36818"/>
    <cellStyle name="Note 8 5 3 4" xfId="36819"/>
    <cellStyle name="Note 8 5 3 5" xfId="36820"/>
    <cellStyle name="Note 8 5 3 6" xfId="36821"/>
    <cellStyle name="Note 8 5 4" xfId="36822"/>
    <cellStyle name="Note 8 5 5" xfId="36823"/>
    <cellStyle name="Note 8 5 6" xfId="36824"/>
    <cellStyle name="Note 8 5 7" xfId="36825"/>
    <cellStyle name="Note 8 5 8" xfId="36826"/>
    <cellStyle name="Note 8 5 9" xfId="36827"/>
    <cellStyle name="Note 8 6" xfId="36828"/>
    <cellStyle name="Note 8 6 2" xfId="36829"/>
    <cellStyle name="Note 8 6 2 2" xfId="36830"/>
    <cellStyle name="Note 8 6 2 3" xfId="36831"/>
    <cellStyle name="Note 8 6 2 4" xfId="36832"/>
    <cellStyle name="Note 8 6 2 5" xfId="36833"/>
    <cellStyle name="Note 8 6 2 6" xfId="36834"/>
    <cellStyle name="Note 8 6 2 7" xfId="36835"/>
    <cellStyle name="Note 8 6 3" xfId="36836"/>
    <cellStyle name="Note 8 6 3 2" xfId="36837"/>
    <cellStyle name="Note 8 6 3 3" xfId="36838"/>
    <cellStyle name="Note 8 6 3 4" xfId="36839"/>
    <cellStyle name="Note 8 6 3 5" xfId="36840"/>
    <cellStyle name="Note 8 6 3 6" xfId="36841"/>
    <cellStyle name="Note 8 6 4" xfId="36842"/>
    <cellStyle name="Note 8 6 5" xfId="36843"/>
    <cellStyle name="Note 8 6 6" xfId="36844"/>
    <cellStyle name="Note 8 6 7" xfId="36845"/>
    <cellStyle name="Note 8 6 8" xfId="36846"/>
    <cellStyle name="Note 8 6 9" xfId="36847"/>
    <cellStyle name="Note 8 7" xfId="36848"/>
    <cellStyle name="Note 8 7 2" xfId="36849"/>
    <cellStyle name="Note 8 7 2 2" xfId="36850"/>
    <cellStyle name="Note 8 7 2 3" xfId="36851"/>
    <cellStyle name="Note 8 7 2 4" xfId="36852"/>
    <cellStyle name="Note 8 7 2 5" xfId="36853"/>
    <cellStyle name="Note 8 7 2 6" xfId="36854"/>
    <cellStyle name="Note 8 7 2 7" xfId="36855"/>
    <cellStyle name="Note 8 7 3" xfId="36856"/>
    <cellStyle name="Note 8 7 3 2" xfId="36857"/>
    <cellStyle name="Note 8 7 3 3" xfId="36858"/>
    <cellStyle name="Note 8 7 3 4" xfId="36859"/>
    <cellStyle name="Note 8 7 3 5" xfId="36860"/>
    <cellStyle name="Note 8 7 3 6" xfId="36861"/>
    <cellStyle name="Note 8 7 4" xfId="36862"/>
    <cellStyle name="Note 8 7 5" xfId="36863"/>
    <cellStyle name="Note 8 7 6" xfId="36864"/>
    <cellStyle name="Note 8 7 7" xfId="36865"/>
    <cellStyle name="Note 8 7 8" xfId="36866"/>
    <cellStyle name="Note 8 7 9" xfId="36867"/>
    <cellStyle name="Note 8 8" xfId="36868"/>
    <cellStyle name="Note 8 8 2" xfId="36869"/>
    <cellStyle name="Note 8 8 2 2" xfId="36870"/>
    <cellStyle name="Note 8 8 2 3" xfId="36871"/>
    <cellStyle name="Note 8 8 2 4" xfId="36872"/>
    <cellStyle name="Note 8 8 2 5" xfId="36873"/>
    <cellStyle name="Note 8 8 2 6" xfId="36874"/>
    <cellStyle name="Note 8 8 2 7" xfId="36875"/>
    <cellStyle name="Note 8 8 3" xfId="36876"/>
    <cellStyle name="Note 8 8 3 2" xfId="36877"/>
    <cellStyle name="Note 8 8 3 3" xfId="36878"/>
    <cellStyle name="Note 8 8 3 4" xfId="36879"/>
    <cellStyle name="Note 8 8 3 5" xfId="36880"/>
    <cellStyle name="Note 8 8 3 6" xfId="36881"/>
    <cellStyle name="Note 8 8 4" xfId="36882"/>
    <cellStyle name="Note 8 8 5" xfId="36883"/>
    <cellStyle name="Note 8 8 6" xfId="36884"/>
    <cellStyle name="Note 8 8 7" xfId="36885"/>
    <cellStyle name="Note 8 8 8" xfId="36886"/>
    <cellStyle name="Note 8 8 9" xfId="36887"/>
    <cellStyle name="Note 8 9" xfId="36888"/>
    <cellStyle name="Note 8 9 2" xfId="36889"/>
    <cellStyle name="Note 8 9 2 2" xfId="36890"/>
    <cellStyle name="Note 8 9 2 3" xfId="36891"/>
    <cellStyle name="Note 8 9 2 4" xfId="36892"/>
    <cellStyle name="Note 8 9 2 5" xfId="36893"/>
    <cellStyle name="Note 8 9 2 6" xfId="36894"/>
    <cellStyle name="Note 8 9 3" xfId="36895"/>
    <cellStyle name="Note 8 9 4" xfId="36896"/>
    <cellStyle name="Note 8 9 5" xfId="36897"/>
    <cellStyle name="Note 8 9 6" xfId="36898"/>
    <cellStyle name="Note 8 9 7" xfId="36899"/>
    <cellStyle name="Note 8 9 8" xfId="36900"/>
    <cellStyle name="Note 9" xfId="36901"/>
    <cellStyle name="Note 9 10" xfId="36902"/>
    <cellStyle name="Note 9 10 2" xfId="36903"/>
    <cellStyle name="Note 9 10 3" xfId="36904"/>
    <cellStyle name="Note 9 10 4" xfId="36905"/>
    <cellStyle name="Note 9 10 5" xfId="36906"/>
    <cellStyle name="Note 9 10 6" xfId="36907"/>
    <cellStyle name="Note 9 10 7" xfId="36908"/>
    <cellStyle name="Note 9 11" xfId="36909"/>
    <cellStyle name="Note 9 11 2" xfId="36910"/>
    <cellStyle name="Note 9 11 3" xfId="36911"/>
    <cellStyle name="Note 9 11 4" xfId="36912"/>
    <cellStyle name="Note 9 11 5" xfId="36913"/>
    <cellStyle name="Note 9 11 6" xfId="36914"/>
    <cellStyle name="Note 9 12" xfId="36915"/>
    <cellStyle name="Note 9 12 2" xfId="36916"/>
    <cellStyle name="Note 9 13" xfId="36917"/>
    <cellStyle name="Note 9 14" xfId="36918"/>
    <cellStyle name="Note 9 15" xfId="36919"/>
    <cellStyle name="Note 9 16" xfId="36920"/>
    <cellStyle name="Note 9 17" xfId="36921"/>
    <cellStyle name="Note 9 2" xfId="36922"/>
    <cellStyle name="Note 9 2 2" xfId="36923"/>
    <cellStyle name="Note 9 2 2 2" xfId="36924"/>
    <cellStyle name="Note 9 2 2 3" xfId="36925"/>
    <cellStyle name="Note 9 2 2 4" xfId="36926"/>
    <cellStyle name="Note 9 2 2 5" xfId="36927"/>
    <cellStyle name="Note 9 2 2 6" xfId="36928"/>
    <cellStyle name="Note 9 2 2 7" xfId="36929"/>
    <cellStyle name="Note 9 2 3" xfId="36930"/>
    <cellStyle name="Note 9 2 3 2" xfId="36931"/>
    <cellStyle name="Note 9 2 3 3" xfId="36932"/>
    <cellStyle name="Note 9 2 3 4" xfId="36933"/>
    <cellStyle name="Note 9 2 3 5" xfId="36934"/>
    <cellStyle name="Note 9 2 3 6" xfId="36935"/>
    <cellStyle name="Note 9 2 4" xfId="36936"/>
    <cellStyle name="Note 9 2 4 2" xfId="36937"/>
    <cellStyle name="Note 9 2 5" xfId="36938"/>
    <cellStyle name="Note 9 2 6" xfId="36939"/>
    <cellStyle name="Note 9 2 7" xfId="36940"/>
    <cellStyle name="Note 9 2 8" xfId="36941"/>
    <cellStyle name="Note 9 2 9" xfId="36942"/>
    <cellStyle name="Note 9 3" xfId="36943"/>
    <cellStyle name="Note 9 3 2" xfId="36944"/>
    <cellStyle name="Note 9 3 2 2" xfId="36945"/>
    <cellStyle name="Note 9 3 2 3" xfId="36946"/>
    <cellStyle name="Note 9 3 2 4" xfId="36947"/>
    <cellStyle name="Note 9 3 2 5" xfId="36948"/>
    <cellStyle name="Note 9 3 2 6" xfId="36949"/>
    <cellStyle name="Note 9 3 2 7" xfId="36950"/>
    <cellStyle name="Note 9 3 3" xfId="36951"/>
    <cellStyle name="Note 9 3 3 2" xfId="36952"/>
    <cellStyle name="Note 9 3 3 3" xfId="36953"/>
    <cellStyle name="Note 9 3 3 4" xfId="36954"/>
    <cellStyle name="Note 9 3 3 5" xfId="36955"/>
    <cellStyle name="Note 9 3 3 6" xfId="36956"/>
    <cellStyle name="Note 9 3 4" xfId="36957"/>
    <cellStyle name="Note 9 3 4 2" xfId="36958"/>
    <cellStyle name="Note 9 3 5" xfId="36959"/>
    <cellStyle name="Note 9 3 6" xfId="36960"/>
    <cellStyle name="Note 9 3 7" xfId="36961"/>
    <cellStyle name="Note 9 3 8" xfId="36962"/>
    <cellStyle name="Note 9 3 9" xfId="36963"/>
    <cellStyle name="Note 9 4" xfId="36964"/>
    <cellStyle name="Note 9 4 2" xfId="36965"/>
    <cellStyle name="Note 9 4 2 2" xfId="36966"/>
    <cellStyle name="Note 9 4 2 3" xfId="36967"/>
    <cellStyle name="Note 9 4 2 4" xfId="36968"/>
    <cellStyle name="Note 9 4 2 5" xfId="36969"/>
    <cellStyle name="Note 9 4 2 6" xfId="36970"/>
    <cellStyle name="Note 9 4 2 7" xfId="36971"/>
    <cellStyle name="Note 9 4 3" xfId="36972"/>
    <cellStyle name="Note 9 4 3 2" xfId="36973"/>
    <cellStyle name="Note 9 4 3 3" xfId="36974"/>
    <cellStyle name="Note 9 4 3 4" xfId="36975"/>
    <cellStyle name="Note 9 4 3 5" xfId="36976"/>
    <cellStyle name="Note 9 4 3 6" xfId="36977"/>
    <cellStyle name="Note 9 4 4" xfId="36978"/>
    <cellStyle name="Note 9 4 5" xfId="36979"/>
    <cellStyle name="Note 9 4 6" xfId="36980"/>
    <cellStyle name="Note 9 4 7" xfId="36981"/>
    <cellStyle name="Note 9 4 8" xfId="36982"/>
    <cellStyle name="Note 9 4 9" xfId="36983"/>
    <cellStyle name="Note 9 5" xfId="36984"/>
    <cellStyle name="Note 9 5 2" xfId="36985"/>
    <cellStyle name="Note 9 5 2 2" xfId="36986"/>
    <cellStyle name="Note 9 5 2 3" xfId="36987"/>
    <cellStyle name="Note 9 5 2 4" xfId="36988"/>
    <cellStyle name="Note 9 5 2 5" xfId="36989"/>
    <cellStyle name="Note 9 5 2 6" xfId="36990"/>
    <cellStyle name="Note 9 5 2 7" xfId="36991"/>
    <cellStyle name="Note 9 5 3" xfId="36992"/>
    <cellStyle name="Note 9 5 3 2" xfId="36993"/>
    <cellStyle name="Note 9 5 3 3" xfId="36994"/>
    <cellStyle name="Note 9 5 3 4" xfId="36995"/>
    <cellStyle name="Note 9 5 3 5" xfId="36996"/>
    <cellStyle name="Note 9 5 3 6" xfId="36997"/>
    <cellStyle name="Note 9 5 4" xfId="36998"/>
    <cellStyle name="Note 9 5 5" xfId="36999"/>
    <cellStyle name="Note 9 5 6" xfId="37000"/>
    <cellStyle name="Note 9 5 7" xfId="37001"/>
    <cellStyle name="Note 9 5 8" xfId="37002"/>
    <cellStyle name="Note 9 5 9" xfId="37003"/>
    <cellStyle name="Note 9 6" xfId="37004"/>
    <cellStyle name="Note 9 6 2" xfId="37005"/>
    <cellStyle name="Note 9 6 2 2" xfId="37006"/>
    <cellStyle name="Note 9 6 2 3" xfId="37007"/>
    <cellStyle name="Note 9 6 2 4" xfId="37008"/>
    <cellStyle name="Note 9 6 2 5" xfId="37009"/>
    <cellStyle name="Note 9 6 2 6" xfId="37010"/>
    <cellStyle name="Note 9 6 2 7" xfId="37011"/>
    <cellStyle name="Note 9 6 3" xfId="37012"/>
    <cellStyle name="Note 9 6 3 2" xfId="37013"/>
    <cellStyle name="Note 9 6 3 3" xfId="37014"/>
    <cellStyle name="Note 9 6 3 4" xfId="37015"/>
    <cellStyle name="Note 9 6 3 5" xfId="37016"/>
    <cellStyle name="Note 9 6 3 6" xfId="37017"/>
    <cellStyle name="Note 9 6 4" xfId="37018"/>
    <cellStyle name="Note 9 6 5" xfId="37019"/>
    <cellStyle name="Note 9 6 6" xfId="37020"/>
    <cellStyle name="Note 9 6 7" xfId="37021"/>
    <cellStyle name="Note 9 6 8" xfId="37022"/>
    <cellStyle name="Note 9 6 9" xfId="37023"/>
    <cellStyle name="Note 9 7" xfId="37024"/>
    <cellStyle name="Note 9 7 2" xfId="37025"/>
    <cellStyle name="Note 9 7 2 2" xfId="37026"/>
    <cellStyle name="Note 9 7 2 3" xfId="37027"/>
    <cellStyle name="Note 9 7 2 4" xfId="37028"/>
    <cellStyle name="Note 9 7 2 5" xfId="37029"/>
    <cellStyle name="Note 9 7 2 6" xfId="37030"/>
    <cellStyle name="Note 9 7 2 7" xfId="37031"/>
    <cellStyle name="Note 9 7 3" xfId="37032"/>
    <cellStyle name="Note 9 7 3 2" xfId="37033"/>
    <cellStyle name="Note 9 7 3 3" xfId="37034"/>
    <cellStyle name="Note 9 7 3 4" xfId="37035"/>
    <cellStyle name="Note 9 7 3 5" xfId="37036"/>
    <cellStyle name="Note 9 7 3 6" xfId="37037"/>
    <cellStyle name="Note 9 7 4" xfId="37038"/>
    <cellStyle name="Note 9 7 5" xfId="37039"/>
    <cellStyle name="Note 9 7 6" xfId="37040"/>
    <cellStyle name="Note 9 7 7" xfId="37041"/>
    <cellStyle name="Note 9 7 8" xfId="37042"/>
    <cellStyle name="Note 9 7 9" xfId="37043"/>
    <cellStyle name="Note 9 8" xfId="37044"/>
    <cellStyle name="Note 9 8 2" xfId="37045"/>
    <cellStyle name="Note 9 8 2 2" xfId="37046"/>
    <cellStyle name="Note 9 8 2 3" xfId="37047"/>
    <cellStyle name="Note 9 8 2 4" xfId="37048"/>
    <cellStyle name="Note 9 8 2 5" xfId="37049"/>
    <cellStyle name="Note 9 8 2 6" xfId="37050"/>
    <cellStyle name="Note 9 8 2 7" xfId="37051"/>
    <cellStyle name="Note 9 8 3" xfId="37052"/>
    <cellStyle name="Note 9 8 3 2" xfId="37053"/>
    <cellStyle name="Note 9 8 3 3" xfId="37054"/>
    <cellStyle name="Note 9 8 3 4" xfId="37055"/>
    <cellStyle name="Note 9 8 3 5" xfId="37056"/>
    <cellStyle name="Note 9 8 3 6" xfId="37057"/>
    <cellStyle name="Note 9 8 4" xfId="37058"/>
    <cellStyle name="Note 9 8 5" xfId="37059"/>
    <cellStyle name="Note 9 8 6" xfId="37060"/>
    <cellStyle name="Note 9 8 7" xfId="37061"/>
    <cellStyle name="Note 9 8 8" xfId="37062"/>
    <cellStyle name="Note 9 8 9" xfId="37063"/>
    <cellStyle name="Note 9 9" xfId="37064"/>
    <cellStyle name="Note 9 9 2" xfId="37065"/>
    <cellStyle name="Note 9 9 2 2" xfId="37066"/>
    <cellStyle name="Note 9 9 2 3" xfId="37067"/>
    <cellStyle name="Note 9 9 2 4" xfId="37068"/>
    <cellStyle name="Note 9 9 2 5" xfId="37069"/>
    <cellStyle name="Note 9 9 2 6" xfId="37070"/>
    <cellStyle name="Note 9 9 3" xfId="37071"/>
    <cellStyle name="Note 9 9 4" xfId="37072"/>
    <cellStyle name="Note 9 9 5" xfId="37073"/>
    <cellStyle name="Note 9 9 6" xfId="37074"/>
    <cellStyle name="Note 9 9 7" xfId="37075"/>
    <cellStyle name="Note 9 9 8" xfId="37076"/>
    <cellStyle name="Output" xfId="69" builtinId="21" customBuiltin="1"/>
    <cellStyle name="Output 10" xfId="37077"/>
    <cellStyle name="Output 10 2" xfId="37078"/>
    <cellStyle name="Output 10 3" xfId="37079"/>
    <cellStyle name="Output 11" xfId="37080"/>
    <cellStyle name="Output 11 2" xfId="37081"/>
    <cellStyle name="Output 11 3" xfId="37082"/>
    <cellStyle name="Output 12" xfId="37083"/>
    <cellStyle name="Output 12 2" xfId="37084"/>
    <cellStyle name="Output 12 3" xfId="37085"/>
    <cellStyle name="Output 13" xfId="37086"/>
    <cellStyle name="Output 13 2" xfId="37087"/>
    <cellStyle name="Output 13 3" xfId="37088"/>
    <cellStyle name="Output 14" xfId="37089"/>
    <cellStyle name="Output 14 2" xfId="37090"/>
    <cellStyle name="Output 14 3" xfId="37091"/>
    <cellStyle name="Output 15" xfId="37092"/>
    <cellStyle name="Output 15 2" xfId="37093"/>
    <cellStyle name="Output 15 3" xfId="37094"/>
    <cellStyle name="Output 16" xfId="37095"/>
    <cellStyle name="Output 16 2" xfId="37096"/>
    <cellStyle name="Output 16 3" xfId="37097"/>
    <cellStyle name="Output 17" xfId="37098"/>
    <cellStyle name="Output 17 2" xfId="37099"/>
    <cellStyle name="Output 17 3" xfId="37100"/>
    <cellStyle name="Output 18" xfId="37101"/>
    <cellStyle name="Output 18 2" xfId="37102"/>
    <cellStyle name="Output 18 3" xfId="37103"/>
    <cellStyle name="Output 19" xfId="37104"/>
    <cellStyle name="Output 19 2" xfId="37105"/>
    <cellStyle name="Output 19 3" xfId="37106"/>
    <cellStyle name="Output 2" xfId="442"/>
    <cellStyle name="Output 2 10" xfId="37107"/>
    <cellStyle name="Output 2 10 2" xfId="37108"/>
    <cellStyle name="Output 2 11" xfId="37109"/>
    <cellStyle name="Output 2 11 2" xfId="37110"/>
    <cellStyle name="Output 2 12" xfId="37111"/>
    <cellStyle name="Output 2 12 2" xfId="37112"/>
    <cellStyle name="Output 2 13" xfId="37113"/>
    <cellStyle name="Output 2 13 2" xfId="37114"/>
    <cellStyle name="Output 2 14" xfId="37115"/>
    <cellStyle name="Output 2 14 2" xfId="37116"/>
    <cellStyle name="Output 2 15" xfId="37117"/>
    <cellStyle name="Output 2 15 2" xfId="37118"/>
    <cellStyle name="Output 2 16" xfId="37119"/>
    <cellStyle name="Output 2 16 2" xfId="37120"/>
    <cellStyle name="Output 2 17" xfId="37121"/>
    <cellStyle name="Output 2 17 2" xfId="37122"/>
    <cellStyle name="Output 2 18" xfId="37123"/>
    <cellStyle name="Output 2 18 2" xfId="37124"/>
    <cellStyle name="Output 2 19" xfId="37125"/>
    <cellStyle name="Output 2 19 2" xfId="37126"/>
    <cellStyle name="Output 2 2" xfId="1733"/>
    <cellStyle name="Output 2 2 2" xfId="37127"/>
    <cellStyle name="Output 2 2 3" xfId="37128"/>
    <cellStyle name="Output 2 20" xfId="37129"/>
    <cellStyle name="Output 2 20 2" xfId="37130"/>
    <cellStyle name="Output 2 21" xfId="37131"/>
    <cellStyle name="Output 2 21 2" xfId="37132"/>
    <cellStyle name="Output 2 22" xfId="37133"/>
    <cellStyle name="Output 2 22 2" xfId="37134"/>
    <cellStyle name="Output 2 23" xfId="37135"/>
    <cellStyle name="Output 2 23 2" xfId="37136"/>
    <cellStyle name="Output 2 24" xfId="37137"/>
    <cellStyle name="Output 2 24 2" xfId="37138"/>
    <cellStyle name="Output 2 25" xfId="37139"/>
    <cellStyle name="Output 2 25 2" xfId="37140"/>
    <cellStyle name="Output 2 26" xfId="37141"/>
    <cellStyle name="Output 2 26 2" xfId="37142"/>
    <cellStyle name="Output 2 27" xfId="37143"/>
    <cellStyle name="Output 2 27 2" xfId="37144"/>
    <cellStyle name="Output 2 28" xfId="37145"/>
    <cellStyle name="Output 2 28 2" xfId="37146"/>
    <cellStyle name="Output 2 29" xfId="37147"/>
    <cellStyle name="Output 2 3" xfId="1809"/>
    <cellStyle name="Output 2 3 2" xfId="37148"/>
    <cellStyle name="Output 2 3 3" xfId="37149"/>
    <cellStyle name="Output 2 30" xfId="37150"/>
    <cellStyle name="Output 2 31" xfId="37151"/>
    <cellStyle name="Output 2 32" xfId="37152"/>
    <cellStyle name="Output 2 33" xfId="37153"/>
    <cellStyle name="Output 2 4" xfId="37154"/>
    <cellStyle name="Output 2 4 2" xfId="37155"/>
    <cellStyle name="Output 2 5" xfId="37156"/>
    <cellStyle name="Output 2 5 2" xfId="37157"/>
    <cellStyle name="Output 2 6" xfId="37158"/>
    <cellStyle name="Output 2 6 2" xfId="37159"/>
    <cellStyle name="Output 2 7" xfId="37160"/>
    <cellStyle name="Output 2 7 2" xfId="37161"/>
    <cellStyle name="Output 2 8" xfId="37162"/>
    <cellStyle name="Output 2 8 2" xfId="37163"/>
    <cellStyle name="Output 2 9" xfId="37164"/>
    <cellStyle name="Output 2 9 2" xfId="37165"/>
    <cellStyle name="Output 20" xfId="37166"/>
    <cellStyle name="Output 20 2" xfId="37167"/>
    <cellStyle name="Output 20 3" xfId="37168"/>
    <cellStyle name="Output 21" xfId="37169"/>
    <cellStyle name="Output 21 2" xfId="37170"/>
    <cellStyle name="Output 21 3" xfId="37171"/>
    <cellStyle name="Output 22" xfId="37172"/>
    <cellStyle name="Output 22 2" xfId="37173"/>
    <cellStyle name="Output 22 3" xfId="37174"/>
    <cellStyle name="Output 23" xfId="37175"/>
    <cellStyle name="Output 23 2" xfId="37176"/>
    <cellStyle name="Output 23 3" xfId="37177"/>
    <cellStyle name="Output 24" xfId="37178"/>
    <cellStyle name="Output 24 2" xfId="37179"/>
    <cellStyle name="Output 24 3" xfId="37180"/>
    <cellStyle name="Output 25" xfId="37181"/>
    <cellStyle name="Output 25 2" xfId="37182"/>
    <cellStyle name="Output 25 3" xfId="37183"/>
    <cellStyle name="Output 26" xfId="37184"/>
    <cellStyle name="Output 26 2" xfId="37185"/>
    <cellStyle name="Output 26 3" xfId="37186"/>
    <cellStyle name="Output 27" xfId="37187"/>
    <cellStyle name="Output 27 2" xfId="37188"/>
    <cellStyle name="Output 27 3" xfId="37189"/>
    <cellStyle name="Output 28" xfId="37190"/>
    <cellStyle name="Output 28 2" xfId="37191"/>
    <cellStyle name="Output 28 3" xfId="37192"/>
    <cellStyle name="Output 29" xfId="37193"/>
    <cellStyle name="Output 29 2" xfId="37194"/>
    <cellStyle name="Output 29 3" xfId="37195"/>
    <cellStyle name="Output 3" xfId="1734"/>
    <cellStyle name="Output 3 2" xfId="37196"/>
    <cellStyle name="Output 3 3" xfId="37197"/>
    <cellStyle name="Output 30" xfId="37198"/>
    <cellStyle name="Output 30 2" xfId="37199"/>
    <cellStyle name="Output 31" xfId="37200"/>
    <cellStyle name="Output 32" xfId="37201"/>
    <cellStyle name="Output 33" xfId="37202"/>
    <cellStyle name="Output 4" xfId="37203"/>
    <cellStyle name="Output 4 2" xfId="37204"/>
    <cellStyle name="Output 4 3" xfId="37205"/>
    <cellStyle name="Output 5" xfId="37206"/>
    <cellStyle name="Output 5 2" xfId="37207"/>
    <cellStyle name="Output 5 3" xfId="37208"/>
    <cellStyle name="Output 6" xfId="37209"/>
    <cellStyle name="Output 6 2" xfId="37210"/>
    <cellStyle name="Output 6 3" xfId="37211"/>
    <cellStyle name="Output 7" xfId="37212"/>
    <cellStyle name="Output 7 2" xfId="37213"/>
    <cellStyle name="Output 7 3" xfId="37214"/>
    <cellStyle name="Output 8" xfId="37215"/>
    <cellStyle name="Output 8 2" xfId="37216"/>
    <cellStyle name="Output 8 3" xfId="37217"/>
    <cellStyle name="Output 9" xfId="37218"/>
    <cellStyle name="Output 9 2" xfId="37219"/>
    <cellStyle name="Output 9 3" xfId="37220"/>
    <cellStyle name="PB Table Heading" xfId="37221"/>
    <cellStyle name="PB Table Highlight1" xfId="37222"/>
    <cellStyle name="PB Table Highlight2" xfId="37223"/>
    <cellStyle name="PB Table Highlight3" xfId="37224"/>
    <cellStyle name="PB Table Standard Row" xfId="37225"/>
    <cellStyle name="PB Table Subtotal Row" xfId="37226"/>
    <cellStyle name="PB Table Total Row" xfId="37227"/>
    <cellStyle name="Percent" xfId="70" builtinId="5"/>
    <cellStyle name="Percent [0%]" xfId="328"/>
    <cellStyle name="Percent [0.00%]" xfId="329"/>
    <cellStyle name="Percent 10" xfId="37228"/>
    <cellStyle name="Percent 11" xfId="37229"/>
    <cellStyle name="Percent 12" xfId="37230"/>
    <cellStyle name="Percent 13" xfId="37231"/>
    <cellStyle name="Percent 14" xfId="37232"/>
    <cellStyle name="Percent 15" xfId="37233"/>
    <cellStyle name="Percent 16" xfId="37234"/>
    <cellStyle name="Percent 17" xfId="37235"/>
    <cellStyle name="Percent 18" xfId="37236"/>
    <cellStyle name="Percent 2" xfId="1735"/>
    <cellStyle name="Percent 2 2" xfId="1736"/>
    <cellStyle name="Percent 3" xfId="1737"/>
    <cellStyle name="Percent 3 2" xfId="1738"/>
    <cellStyle name="Percent 4" xfId="1739"/>
    <cellStyle name="Percent 5" xfId="1740"/>
    <cellStyle name="Percent 6" xfId="1741"/>
    <cellStyle name="Percent 7" xfId="37237"/>
    <cellStyle name="Percent 8" xfId="37238"/>
    <cellStyle name="Percent 9" xfId="37239"/>
    <cellStyle name="Personal" xfId="37240"/>
    <cellStyle name="Personal 2" xfId="37241"/>
    <cellStyle name="result" xfId="1742"/>
    <cellStyle name="result 2" xfId="37242"/>
    <cellStyle name="results" xfId="37243"/>
    <cellStyle name="rt" xfId="330"/>
    <cellStyle name="Scratchpad" xfId="331"/>
    <cellStyle name="Scratchpad 2" xfId="332"/>
    <cellStyle name="Scratchpad 3" xfId="446"/>
    <cellStyle name="Scratchpad 3 2" xfId="1257"/>
    <cellStyle name="Scratchpad 4" xfId="816"/>
    <cellStyle name="Scratchpad 4 2" xfId="1340"/>
    <cellStyle name="Scratchpad_France" xfId="360"/>
    <cellStyle name="Standard_Eur1" xfId="71"/>
    <cellStyle name="StandingData" xfId="37244"/>
    <cellStyle name="StandingData 2" xfId="37245"/>
    <cellStyle name="static" xfId="334"/>
    <cellStyle name="Style 1" xfId="335"/>
    <cellStyle name="Style 1 2" xfId="1221"/>
    <cellStyle name="Style 1 2 2" xfId="1745"/>
    <cellStyle name="Style 1 2 3" xfId="1744"/>
    <cellStyle name="Style 1 2 4" xfId="37246"/>
    <cellStyle name="Style 1 3" xfId="1746"/>
    <cellStyle name="Style 1 4" xfId="1747"/>
    <cellStyle name="Style 1 5" xfId="1743"/>
    <cellStyle name="Subtitle" xfId="37247"/>
    <cellStyle name="Subtitle 10" xfId="37248"/>
    <cellStyle name="Subtitle 10 10" xfId="37249"/>
    <cellStyle name="Subtitle 10 10 2" xfId="37250"/>
    <cellStyle name="Subtitle 10 100" xfId="37251"/>
    <cellStyle name="Subtitle 10 101" xfId="37252"/>
    <cellStyle name="Subtitle 10 102" xfId="37253"/>
    <cellStyle name="Subtitle 10 103" xfId="37254"/>
    <cellStyle name="Subtitle 10 104" xfId="37255"/>
    <cellStyle name="Subtitle 10 105" xfId="37256"/>
    <cellStyle name="Subtitle 10 106" xfId="37257"/>
    <cellStyle name="Subtitle 10 107" xfId="37258"/>
    <cellStyle name="Subtitle 10 108" xfId="37259"/>
    <cellStyle name="Subtitle 10 109" xfId="37260"/>
    <cellStyle name="Subtitle 10 11" xfId="37261"/>
    <cellStyle name="Subtitle 10 11 2" xfId="37262"/>
    <cellStyle name="Subtitle 10 110" xfId="37263"/>
    <cellStyle name="Subtitle 10 111" xfId="37264"/>
    <cellStyle name="Subtitle 10 112" xfId="37265"/>
    <cellStyle name="Subtitle 10 113" xfId="37266"/>
    <cellStyle name="Subtitle 10 114" xfId="37267"/>
    <cellStyle name="Subtitle 10 115" xfId="37268"/>
    <cellStyle name="Subtitle 10 116" xfId="37269"/>
    <cellStyle name="Subtitle 10 12" xfId="37270"/>
    <cellStyle name="Subtitle 10 12 2" xfId="37271"/>
    <cellStyle name="Subtitle 10 13" xfId="37272"/>
    <cellStyle name="Subtitle 10 13 2" xfId="37273"/>
    <cellStyle name="Subtitle 10 14" xfId="37274"/>
    <cellStyle name="Subtitle 10 14 2" xfId="37275"/>
    <cellStyle name="Subtitle 10 15" xfId="37276"/>
    <cellStyle name="Subtitle 10 15 2" xfId="37277"/>
    <cellStyle name="Subtitle 10 16" xfId="37278"/>
    <cellStyle name="Subtitle 10 16 2" xfId="37279"/>
    <cellStyle name="Subtitle 10 17" xfId="37280"/>
    <cellStyle name="Subtitle 10 17 2" xfId="37281"/>
    <cellStyle name="Subtitle 10 18" xfId="37282"/>
    <cellStyle name="Subtitle 10 18 2" xfId="37283"/>
    <cellStyle name="Subtitle 10 19" xfId="37284"/>
    <cellStyle name="Subtitle 10 19 2" xfId="37285"/>
    <cellStyle name="Subtitle 10 2" xfId="37286"/>
    <cellStyle name="Subtitle 10 2 2" xfId="37287"/>
    <cellStyle name="Subtitle 10 20" xfId="37288"/>
    <cellStyle name="Subtitle 10 20 2" xfId="37289"/>
    <cellStyle name="Subtitle 10 21" xfId="37290"/>
    <cellStyle name="Subtitle 10 21 2" xfId="37291"/>
    <cellStyle name="Subtitle 10 22" xfId="37292"/>
    <cellStyle name="Subtitle 10 22 2" xfId="37293"/>
    <cellStyle name="Subtitle 10 23" xfId="37294"/>
    <cellStyle name="Subtitle 10 23 2" xfId="37295"/>
    <cellStyle name="Subtitle 10 24" xfId="37296"/>
    <cellStyle name="Subtitle 10 24 2" xfId="37297"/>
    <cellStyle name="Subtitle 10 25" xfId="37298"/>
    <cellStyle name="Subtitle 10 25 2" xfId="37299"/>
    <cellStyle name="Subtitle 10 26" xfId="37300"/>
    <cellStyle name="Subtitle 10 26 2" xfId="37301"/>
    <cellStyle name="Subtitle 10 27" xfId="37302"/>
    <cellStyle name="Subtitle 10 27 2" xfId="37303"/>
    <cellStyle name="Subtitle 10 28" xfId="37304"/>
    <cellStyle name="Subtitle 10 28 2" xfId="37305"/>
    <cellStyle name="Subtitle 10 29" xfId="37306"/>
    <cellStyle name="Subtitle 10 29 2" xfId="37307"/>
    <cellStyle name="Subtitle 10 3" xfId="37308"/>
    <cellStyle name="Subtitle 10 3 2" xfId="37309"/>
    <cellStyle name="Subtitle 10 30" xfId="37310"/>
    <cellStyle name="Subtitle 10 30 2" xfId="37311"/>
    <cellStyle name="Subtitle 10 31" xfId="37312"/>
    <cellStyle name="Subtitle 10 31 2" xfId="37313"/>
    <cellStyle name="Subtitle 10 32" xfId="37314"/>
    <cellStyle name="Subtitle 10 32 2" xfId="37315"/>
    <cellStyle name="Subtitle 10 33" xfId="37316"/>
    <cellStyle name="Subtitle 10 33 2" xfId="37317"/>
    <cellStyle name="Subtitle 10 34" xfId="37318"/>
    <cellStyle name="Subtitle 10 34 2" xfId="37319"/>
    <cellStyle name="Subtitle 10 35" xfId="37320"/>
    <cellStyle name="Subtitle 10 35 2" xfId="37321"/>
    <cellStyle name="Subtitle 10 36" xfId="37322"/>
    <cellStyle name="Subtitle 10 36 2" xfId="37323"/>
    <cellStyle name="Subtitle 10 37" xfId="37324"/>
    <cellStyle name="Subtitle 10 37 2" xfId="37325"/>
    <cellStyle name="Subtitle 10 38" xfId="37326"/>
    <cellStyle name="Subtitle 10 38 2" xfId="37327"/>
    <cellStyle name="Subtitle 10 39" xfId="37328"/>
    <cellStyle name="Subtitle 10 39 2" xfId="37329"/>
    <cellStyle name="Subtitle 10 4" xfId="37330"/>
    <cellStyle name="Subtitle 10 4 2" xfId="37331"/>
    <cellStyle name="Subtitle 10 40" xfId="37332"/>
    <cellStyle name="Subtitle 10 40 2" xfId="37333"/>
    <cellStyle name="Subtitle 10 41" xfId="37334"/>
    <cellStyle name="Subtitle 10 41 2" xfId="37335"/>
    <cellStyle name="Subtitle 10 42" xfId="37336"/>
    <cellStyle name="Subtitle 10 42 2" xfId="37337"/>
    <cellStyle name="Subtitle 10 43" xfId="37338"/>
    <cellStyle name="Subtitle 10 43 2" xfId="37339"/>
    <cellStyle name="Subtitle 10 44" xfId="37340"/>
    <cellStyle name="Subtitle 10 44 2" xfId="37341"/>
    <cellStyle name="Subtitle 10 45" xfId="37342"/>
    <cellStyle name="Subtitle 10 45 2" xfId="37343"/>
    <cellStyle name="Subtitle 10 46" xfId="37344"/>
    <cellStyle name="Subtitle 10 46 2" xfId="37345"/>
    <cellStyle name="Subtitle 10 47" xfId="37346"/>
    <cellStyle name="Subtitle 10 47 2" xfId="37347"/>
    <cellStyle name="Subtitle 10 48" xfId="37348"/>
    <cellStyle name="Subtitle 10 48 2" xfId="37349"/>
    <cellStyle name="Subtitle 10 49" xfId="37350"/>
    <cellStyle name="Subtitle 10 49 2" xfId="37351"/>
    <cellStyle name="Subtitle 10 5" xfId="37352"/>
    <cellStyle name="Subtitle 10 5 2" xfId="37353"/>
    <cellStyle name="Subtitle 10 50" xfId="37354"/>
    <cellStyle name="Subtitle 10 50 2" xfId="37355"/>
    <cellStyle name="Subtitle 10 51" xfId="37356"/>
    <cellStyle name="Subtitle 10 51 2" xfId="37357"/>
    <cellStyle name="Subtitle 10 52" xfId="37358"/>
    <cellStyle name="Subtitle 10 53" xfId="37359"/>
    <cellStyle name="Subtitle 10 54" xfId="37360"/>
    <cellStyle name="Subtitle 10 55" xfId="37361"/>
    <cellStyle name="Subtitle 10 56" xfId="37362"/>
    <cellStyle name="Subtitle 10 57" xfId="37363"/>
    <cellStyle name="Subtitle 10 58" xfId="37364"/>
    <cellStyle name="Subtitle 10 59" xfId="37365"/>
    <cellStyle name="Subtitle 10 6" xfId="37366"/>
    <cellStyle name="Subtitle 10 6 2" xfId="37367"/>
    <cellStyle name="Subtitle 10 60" xfId="37368"/>
    <cellStyle name="Subtitle 10 61" xfId="37369"/>
    <cellStyle name="Subtitle 10 62" xfId="37370"/>
    <cellStyle name="Subtitle 10 63" xfId="37371"/>
    <cellStyle name="Subtitle 10 64" xfId="37372"/>
    <cellStyle name="Subtitle 10 65" xfId="37373"/>
    <cellStyle name="Subtitle 10 66" xfId="37374"/>
    <cellStyle name="Subtitle 10 67" xfId="37375"/>
    <cellStyle name="Subtitle 10 68" xfId="37376"/>
    <cellStyle name="Subtitle 10 69" xfId="37377"/>
    <cellStyle name="Subtitle 10 7" xfId="37378"/>
    <cellStyle name="Subtitle 10 7 2" xfId="37379"/>
    <cellStyle name="Subtitle 10 70" xfId="37380"/>
    <cellStyle name="Subtitle 10 71" xfId="37381"/>
    <cellStyle name="Subtitle 10 72" xfId="37382"/>
    <cellStyle name="Subtitle 10 73" xfId="37383"/>
    <cellStyle name="Subtitle 10 74" xfId="37384"/>
    <cellStyle name="Subtitle 10 75" xfId="37385"/>
    <cellStyle name="Subtitle 10 76" xfId="37386"/>
    <cellStyle name="Subtitle 10 77" xfId="37387"/>
    <cellStyle name="Subtitle 10 78" xfId="37388"/>
    <cellStyle name="Subtitle 10 79" xfId="37389"/>
    <cellStyle name="Subtitle 10 8" xfId="37390"/>
    <cellStyle name="Subtitle 10 8 2" xfId="37391"/>
    <cellStyle name="Subtitle 10 80" xfId="37392"/>
    <cellStyle name="Subtitle 10 81" xfId="37393"/>
    <cellStyle name="Subtitle 10 82" xfId="37394"/>
    <cellStyle name="Subtitle 10 83" xfId="37395"/>
    <cellStyle name="Subtitle 10 84" xfId="37396"/>
    <cellStyle name="Subtitle 10 85" xfId="37397"/>
    <cellStyle name="Subtitle 10 86" xfId="37398"/>
    <cellStyle name="Subtitle 10 87" xfId="37399"/>
    <cellStyle name="Subtitle 10 88" xfId="37400"/>
    <cellStyle name="Subtitle 10 89" xfId="37401"/>
    <cellStyle name="Subtitle 10 9" xfId="37402"/>
    <cellStyle name="Subtitle 10 9 2" xfId="37403"/>
    <cellStyle name="Subtitle 10 90" xfId="37404"/>
    <cellStyle name="Subtitle 10 91" xfId="37405"/>
    <cellStyle name="Subtitle 10 92" xfId="37406"/>
    <cellStyle name="Subtitle 10 93" xfId="37407"/>
    <cellStyle name="Subtitle 10 94" xfId="37408"/>
    <cellStyle name="Subtitle 10 95" xfId="37409"/>
    <cellStyle name="Subtitle 10 96" xfId="37410"/>
    <cellStyle name="Subtitle 10 97" xfId="37411"/>
    <cellStyle name="Subtitle 10 98" xfId="37412"/>
    <cellStyle name="Subtitle 10 99" xfId="37413"/>
    <cellStyle name="Subtitle 10_NYMEX FUTURES" xfId="37414"/>
    <cellStyle name="Subtitle 11" xfId="37415"/>
    <cellStyle name="Subtitle 11 10" xfId="37416"/>
    <cellStyle name="Subtitle 11 10 2" xfId="37417"/>
    <cellStyle name="Subtitle 11 100" xfId="37418"/>
    <cellStyle name="Subtitle 11 101" xfId="37419"/>
    <cellStyle name="Subtitle 11 102" xfId="37420"/>
    <cellStyle name="Subtitle 11 103" xfId="37421"/>
    <cellStyle name="Subtitle 11 104" xfId="37422"/>
    <cellStyle name="Subtitle 11 105" xfId="37423"/>
    <cellStyle name="Subtitle 11 106" xfId="37424"/>
    <cellStyle name="Subtitle 11 107" xfId="37425"/>
    <cellStyle name="Subtitle 11 108" xfId="37426"/>
    <cellStyle name="Subtitle 11 109" xfId="37427"/>
    <cellStyle name="Subtitle 11 11" xfId="37428"/>
    <cellStyle name="Subtitle 11 11 2" xfId="37429"/>
    <cellStyle name="Subtitle 11 110" xfId="37430"/>
    <cellStyle name="Subtitle 11 111" xfId="37431"/>
    <cellStyle name="Subtitle 11 112" xfId="37432"/>
    <cellStyle name="Subtitle 11 113" xfId="37433"/>
    <cellStyle name="Subtitle 11 114" xfId="37434"/>
    <cellStyle name="Subtitle 11 115" xfId="37435"/>
    <cellStyle name="Subtitle 11 116" xfId="37436"/>
    <cellStyle name="Subtitle 11 12" xfId="37437"/>
    <cellStyle name="Subtitle 11 12 2" xfId="37438"/>
    <cellStyle name="Subtitle 11 13" xfId="37439"/>
    <cellStyle name="Subtitle 11 13 2" xfId="37440"/>
    <cellStyle name="Subtitle 11 14" xfId="37441"/>
    <cellStyle name="Subtitle 11 14 2" xfId="37442"/>
    <cellStyle name="Subtitle 11 15" xfId="37443"/>
    <cellStyle name="Subtitle 11 15 2" xfId="37444"/>
    <cellStyle name="Subtitle 11 16" xfId="37445"/>
    <cellStyle name="Subtitle 11 16 2" xfId="37446"/>
    <cellStyle name="Subtitle 11 17" xfId="37447"/>
    <cellStyle name="Subtitle 11 17 2" xfId="37448"/>
    <cellStyle name="Subtitle 11 18" xfId="37449"/>
    <cellStyle name="Subtitle 11 18 2" xfId="37450"/>
    <cellStyle name="Subtitle 11 19" xfId="37451"/>
    <cellStyle name="Subtitle 11 19 2" xfId="37452"/>
    <cellStyle name="Subtitle 11 2" xfId="37453"/>
    <cellStyle name="Subtitle 11 2 2" xfId="37454"/>
    <cellStyle name="Subtitle 11 20" xfId="37455"/>
    <cellStyle name="Subtitle 11 20 2" xfId="37456"/>
    <cellStyle name="Subtitle 11 21" xfId="37457"/>
    <cellStyle name="Subtitle 11 21 2" xfId="37458"/>
    <cellStyle name="Subtitle 11 22" xfId="37459"/>
    <cellStyle name="Subtitle 11 22 2" xfId="37460"/>
    <cellStyle name="Subtitle 11 23" xfId="37461"/>
    <cellStyle name="Subtitle 11 23 2" xfId="37462"/>
    <cellStyle name="Subtitle 11 24" xfId="37463"/>
    <cellStyle name="Subtitle 11 24 2" xfId="37464"/>
    <cellStyle name="Subtitle 11 25" xfId="37465"/>
    <cellStyle name="Subtitle 11 25 2" xfId="37466"/>
    <cellStyle name="Subtitle 11 26" xfId="37467"/>
    <cellStyle name="Subtitle 11 26 2" xfId="37468"/>
    <cellStyle name="Subtitle 11 27" xfId="37469"/>
    <cellStyle name="Subtitle 11 27 2" xfId="37470"/>
    <cellStyle name="Subtitle 11 28" xfId="37471"/>
    <cellStyle name="Subtitle 11 28 2" xfId="37472"/>
    <cellStyle name="Subtitle 11 29" xfId="37473"/>
    <cellStyle name="Subtitle 11 29 2" xfId="37474"/>
    <cellStyle name="Subtitle 11 3" xfId="37475"/>
    <cellStyle name="Subtitle 11 3 2" xfId="37476"/>
    <cellStyle name="Subtitle 11 30" xfId="37477"/>
    <cellStyle name="Subtitle 11 30 2" xfId="37478"/>
    <cellStyle name="Subtitle 11 31" xfId="37479"/>
    <cellStyle name="Subtitle 11 31 2" xfId="37480"/>
    <cellStyle name="Subtitle 11 32" xfId="37481"/>
    <cellStyle name="Subtitle 11 32 2" xfId="37482"/>
    <cellStyle name="Subtitle 11 33" xfId="37483"/>
    <cellStyle name="Subtitle 11 33 2" xfId="37484"/>
    <cellStyle name="Subtitle 11 34" xfId="37485"/>
    <cellStyle name="Subtitle 11 34 2" xfId="37486"/>
    <cellStyle name="Subtitle 11 35" xfId="37487"/>
    <cellStyle name="Subtitle 11 35 2" xfId="37488"/>
    <cellStyle name="Subtitle 11 36" xfId="37489"/>
    <cellStyle name="Subtitle 11 36 2" xfId="37490"/>
    <cellStyle name="Subtitle 11 37" xfId="37491"/>
    <cellStyle name="Subtitle 11 37 2" xfId="37492"/>
    <cellStyle name="Subtitle 11 38" xfId="37493"/>
    <cellStyle name="Subtitle 11 38 2" xfId="37494"/>
    <cellStyle name="Subtitle 11 39" xfId="37495"/>
    <cellStyle name="Subtitle 11 39 2" xfId="37496"/>
    <cellStyle name="Subtitle 11 4" xfId="37497"/>
    <cellStyle name="Subtitle 11 4 2" xfId="37498"/>
    <cellStyle name="Subtitle 11 40" xfId="37499"/>
    <cellStyle name="Subtitle 11 40 2" xfId="37500"/>
    <cellStyle name="Subtitle 11 41" xfId="37501"/>
    <cellStyle name="Subtitle 11 41 2" xfId="37502"/>
    <cellStyle name="Subtitle 11 42" xfId="37503"/>
    <cellStyle name="Subtitle 11 42 2" xfId="37504"/>
    <cellStyle name="Subtitle 11 43" xfId="37505"/>
    <cellStyle name="Subtitle 11 43 2" xfId="37506"/>
    <cellStyle name="Subtitle 11 44" xfId="37507"/>
    <cellStyle name="Subtitle 11 44 2" xfId="37508"/>
    <cellStyle name="Subtitle 11 45" xfId="37509"/>
    <cellStyle name="Subtitle 11 45 2" xfId="37510"/>
    <cellStyle name="Subtitle 11 46" xfId="37511"/>
    <cellStyle name="Subtitle 11 46 2" xfId="37512"/>
    <cellStyle name="Subtitle 11 47" xfId="37513"/>
    <cellStyle name="Subtitle 11 47 2" xfId="37514"/>
    <cellStyle name="Subtitle 11 48" xfId="37515"/>
    <cellStyle name="Subtitle 11 48 2" xfId="37516"/>
    <cellStyle name="Subtitle 11 49" xfId="37517"/>
    <cellStyle name="Subtitle 11 49 2" xfId="37518"/>
    <cellStyle name="Subtitle 11 5" xfId="37519"/>
    <cellStyle name="Subtitle 11 5 2" xfId="37520"/>
    <cellStyle name="Subtitle 11 50" xfId="37521"/>
    <cellStyle name="Subtitle 11 50 2" xfId="37522"/>
    <cellStyle name="Subtitle 11 51" xfId="37523"/>
    <cellStyle name="Subtitle 11 51 2" xfId="37524"/>
    <cellStyle name="Subtitle 11 52" xfId="37525"/>
    <cellStyle name="Subtitle 11 53" xfId="37526"/>
    <cellStyle name="Subtitle 11 54" xfId="37527"/>
    <cellStyle name="Subtitle 11 55" xfId="37528"/>
    <cellStyle name="Subtitle 11 56" xfId="37529"/>
    <cellStyle name="Subtitle 11 57" xfId="37530"/>
    <cellStyle name="Subtitle 11 58" xfId="37531"/>
    <cellStyle name="Subtitle 11 59" xfId="37532"/>
    <cellStyle name="Subtitle 11 6" xfId="37533"/>
    <cellStyle name="Subtitle 11 6 2" xfId="37534"/>
    <cellStyle name="Subtitle 11 60" xfId="37535"/>
    <cellStyle name="Subtitle 11 61" xfId="37536"/>
    <cellStyle name="Subtitle 11 62" xfId="37537"/>
    <cellStyle name="Subtitle 11 63" xfId="37538"/>
    <cellStyle name="Subtitle 11 64" xfId="37539"/>
    <cellStyle name="Subtitle 11 65" xfId="37540"/>
    <cellStyle name="Subtitle 11 66" xfId="37541"/>
    <cellStyle name="Subtitle 11 67" xfId="37542"/>
    <cellStyle name="Subtitle 11 68" xfId="37543"/>
    <cellStyle name="Subtitle 11 69" xfId="37544"/>
    <cellStyle name="Subtitle 11 7" xfId="37545"/>
    <cellStyle name="Subtitle 11 7 2" xfId="37546"/>
    <cellStyle name="Subtitle 11 70" xfId="37547"/>
    <cellStyle name="Subtitle 11 71" xfId="37548"/>
    <cellStyle name="Subtitle 11 72" xfId="37549"/>
    <cellStyle name="Subtitle 11 73" xfId="37550"/>
    <cellStyle name="Subtitle 11 74" xfId="37551"/>
    <cellStyle name="Subtitle 11 75" xfId="37552"/>
    <cellStyle name="Subtitle 11 76" xfId="37553"/>
    <cellStyle name="Subtitle 11 77" xfId="37554"/>
    <cellStyle name="Subtitle 11 78" xfId="37555"/>
    <cellStyle name="Subtitle 11 79" xfId="37556"/>
    <cellStyle name="Subtitle 11 8" xfId="37557"/>
    <cellStyle name="Subtitle 11 8 2" xfId="37558"/>
    <cellStyle name="Subtitle 11 80" xfId="37559"/>
    <cellStyle name="Subtitle 11 81" xfId="37560"/>
    <cellStyle name="Subtitle 11 82" xfId="37561"/>
    <cellStyle name="Subtitle 11 83" xfId="37562"/>
    <cellStyle name="Subtitle 11 84" xfId="37563"/>
    <cellStyle name="Subtitle 11 85" xfId="37564"/>
    <cellStyle name="Subtitle 11 86" xfId="37565"/>
    <cellStyle name="Subtitle 11 87" xfId="37566"/>
    <cellStyle name="Subtitle 11 88" xfId="37567"/>
    <cellStyle name="Subtitle 11 89" xfId="37568"/>
    <cellStyle name="Subtitle 11 9" xfId="37569"/>
    <cellStyle name="Subtitle 11 9 2" xfId="37570"/>
    <cellStyle name="Subtitle 11 90" xfId="37571"/>
    <cellStyle name="Subtitle 11 91" xfId="37572"/>
    <cellStyle name="Subtitle 11 92" xfId="37573"/>
    <cellStyle name="Subtitle 11 93" xfId="37574"/>
    <cellStyle name="Subtitle 11 94" xfId="37575"/>
    <cellStyle name="Subtitle 11 95" xfId="37576"/>
    <cellStyle name="Subtitle 11 96" xfId="37577"/>
    <cellStyle name="Subtitle 11 97" xfId="37578"/>
    <cellStyle name="Subtitle 11 98" xfId="37579"/>
    <cellStyle name="Subtitle 11 99" xfId="37580"/>
    <cellStyle name="Subtitle 11_NYMEX FUTURES" xfId="37581"/>
    <cellStyle name="Subtitle 12" xfId="37582"/>
    <cellStyle name="Subtitle 12 10" xfId="37583"/>
    <cellStyle name="Subtitle 12 10 2" xfId="37584"/>
    <cellStyle name="Subtitle 12 100" xfId="37585"/>
    <cellStyle name="Subtitle 12 101" xfId="37586"/>
    <cellStyle name="Subtitle 12 102" xfId="37587"/>
    <cellStyle name="Subtitle 12 103" xfId="37588"/>
    <cellStyle name="Subtitle 12 104" xfId="37589"/>
    <cellStyle name="Subtitle 12 105" xfId="37590"/>
    <cellStyle name="Subtitle 12 106" xfId="37591"/>
    <cellStyle name="Subtitle 12 107" xfId="37592"/>
    <cellStyle name="Subtitle 12 108" xfId="37593"/>
    <cellStyle name="Subtitle 12 109" xfId="37594"/>
    <cellStyle name="Subtitle 12 11" xfId="37595"/>
    <cellStyle name="Subtitle 12 11 2" xfId="37596"/>
    <cellStyle name="Subtitle 12 110" xfId="37597"/>
    <cellStyle name="Subtitle 12 111" xfId="37598"/>
    <cellStyle name="Subtitle 12 112" xfId="37599"/>
    <cellStyle name="Subtitle 12 113" xfId="37600"/>
    <cellStyle name="Subtitle 12 114" xfId="37601"/>
    <cellStyle name="Subtitle 12 115" xfId="37602"/>
    <cellStyle name="Subtitle 12 116" xfId="37603"/>
    <cellStyle name="Subtitle 12 12" xfId="37604"/>
    <cellStyle name="Subtitle 12 12 2" xfId="37605"/>
    <cellStyle name="Subtitle 12 13" xfId="37606"/>
    <cellStyle name="Subtitle 12 13 2" xfId="37607"/>
    <cellStyle name="Subtitle 12 14" xfId="37608"/>
    <cellStyle name="Subtitle 12 14 2" xfId="37609"/>
    <cellStyle name="Subtitle 12 15" xfId="37610"/>
    <cellStyle name="Subtitle 12 15 2" xfId="37611"/>
    <cellStyle name="Subtitle 12 16" xfId="37612"/>
    <cellStyle name="Subtitle 12 16 2" xfId="37613"/>
    <cellStyle name="Subtitle 12 17" xfId="37614"/>
    <cellStyle name="Subtitle 12 17 2" xfId="37615"/>
    <cellStyle name="Subtitle 12 18" xfId="37616"/>
    <cellStyle name="Subtitle 12 18 2" xfId="37617"/>
    <cellStyle name="Subtitle 12 19" xfId="37618"/>
    <cellStyle name="Subtitle 12 19 2" xfId="37619"/>
    <cellStyle name="Subtitle 12 2" xfId="37620"/>
    <cellStyle name="Subtitle 12 2 2" xfId="37621"/>
    <cellStyle name="Subtitle 12 20" xfId="37622"/>
    <cellStyle name="Subtitle 12 20 2" xfId="37623"/>
    <cellStyle name="Subtitle 12 21" xfId="37624"/>
    <cellStyle name="Subtitle 12 21 2" xfId="37625"/>
    <cellStyle name="Subtitle 12 22" xfId="37626"/>
    <cellStyle name="Subtitle 12 22 2" xfId="37627"/>
    <cellStyle name="Subtitle 12 23" xfId="37628"/>
    <cellStyle name="Subtitle 12 23 2" xfId="37629"/>
    <cellStyle name="Subtitle 12 24" xfId="37630"/>
    <cellStyle name="Subtitle 12 24 2" xfId="37631"/>
    <cellStyle name="Subtitle 12 25" xfId="37632"/>
    <cellStyle name="Subtitle 12 25 2" xfId="37633"/>
    <cellStyle name="Subtitle 12 26" xfId="37634"/>
    <cellStyle name="Subtitle 12 26 2" xfId="37635"/>
    <cellStyle name="Subtitle 12 27" xfId="37636"/>
    <cellStyle name="Subtitle 12 27 2" xfId="37637"/>
    <cellStyle name="Subtitle 12 28" xfId="37638"/>
    <cellStyle name="Subtitle 12 28 2" xfId="37639"/>
    <cellStyle name="Subtitle 12 29" xfId="37640"/>
    <cellStyle name="Subtitle 12 29 2" xfId="37641"/>
    <cellStyle name="Subtitle 12 3" xfId="37642"/>
    <cellStyle name="Subtitle 12 3 2" xfId="37643"/>
    <cellStyle name="Subtitle 12 30" xfId="37644"/>
    <cellStyle name="Subtitle 12 30 2" xfId="37645"/>
    <cellStyle name="Subtitle 12 31" xfId="37646"/>
    <cellStyle name="Subtitle 12 31 2" xfId="37647"/>
    <cellStyle name="Subtitle 12 32" xfId="37648"/>
    <cellStyle name="Subtitle 12 32 2" xfId="37649"/>
    <cellStyle name="Subtitle 12 33" xfId="37650"/>
    <cellStyle name="Subtitle 12 33 2" xfId="37651"/>
    <cellStyle name="Subtitle 12 34" xfId="37652"/>
    <cellStyle name="Subtitle 12 34 2" xfId="37653"/>
    <cellStyle name="Subtitle 12 35" xfId="37654"/>
    <cellStyle name="Subtitle 12 35 2" xfId="37655"/>
    <cellStyle name="Subtitle 12 36" xfId="37656"/>
    <cellStyle name="Subtitle 12 36 2" xfId="37657"/>
    <cellStyle name="Subtitle 12 37" xfId="37658"/>
    <cellStyle name="Subtitle 12 37 2" xfId="37659"/>
    <cellStyle name="Subtitle 12 38" xfId="37660"/>
    <cellStyle name="Subtitle 12 38 2" xfId="37661"/>
    <cellStyle name="Subtitle 12 39" xfId="37662"/>
    <cellStyle name="Subtitle 12 39 2" xfId="37663"/>
    <cellStyle name="Subtitle 12 4" xfId="37664"/>
    <cellStyle name="Subtitle 12 4 2" xfId="37665"/>
    <cellStyle name="Subtitle 12 40" xfId="37666"/>
    <cellStyle name="Subtitle 12 40 2" xfId="37667"/>
    <cellStyle name="Subtitle 12 41" xfId="37668"/>
    <cellStyle name="Subtitle 12 41 2" xfId="37669"/>
    <cellStyle name="Subtitle 12 42" xfId="37670"/>
    <cellStyle name="Subtitle 12 42 2" xfId="37671"/>
    <cellStyle name="Subtitle 12 43" xfId="37672"/>
    <cellStyle name="Subtitle 12 43 2" xfId="37673"/>
    <cellStyle name="Subtitle 12 44" xfId="37674"/>
    <cellStyle name="Subtitle 12 44 2" xfId="37675"/>
    <cellStyle name="Subtitle 12 45" xfId="37676"/>
    <cellStyle name="Subtitle 12 45 2" xfId="37677"/>
    <cellStyle name="Subtitle 12 46" xfId="37678"/>
    <cellStyle name="Subtitle 12 46 2" xfId="37679"/>
    <cellStyle name="Subtitle 12 47" xfId="37680"/>
    <cellStyle name="Subtitle 12 47 2" xfId="37681"/>
    <cellStyle name="Subtitle 12 48" xfId="37682"/>
    <cellStyle name="Subtitle 12 48 2" xfId="37683"/>
    <cellStyle name="Subtitle 12 49" xfId="37684"/>
    <cellStyle name="Subtitle 12 49 2" xfId="37685"/>
    <cellStyle name="Subtitle 12 5" xfId="37686"/>
    <cellStyle name="Subtitle 12 5 2" xfId="37687"/>
    <cellStyle name="Subtitle 12 50" xfId="37688"/>
    <cellStyle name="Subtitle 12 50 2" xfId="37689"/>
    <cellStyle name="Subtitle 12 51" xfId="37690"/>
    <cellStyle name="Subtitle 12 51 2" xfId="37691"/>
    <cellStyle name="Subtitle 12 52" xfId="37692"/>
    <cellStyle name="Subtitle 12 53" xfId="37693"/>
    <cellStyle name="Subtitle 12 54" xfId="37694"/>
    <cellStyle name="Subtitle 12 55" xfId="37695"/>
    <cellStyle name="Subtitle 12 56" xfId="37696"/>
    <cellStyle name="Subtitle 12 57" xfId="37697"/>
    <cellStyle name="Subtitle 12 58" xfId="37698"/>
    <cellStyle name="Subtitle 12 59" xfId="37699"/>
    <cellStyle name="Subtitle 12 6" xfId="37700"/>
    <cellStyle name="Subtitle 12 6 2" xfId="37701"/>
    <cellStyle name="Subtitle 12 60" xfId="37702"/>
    <cellStyle name="Subtitle 12 61" xfId="37703"/>
    <cellStyle name="Subtitle 12 62" xfId="37704"/>
    <cellStyle name="Subtitle 12 63" xfId="37705"/>
    <cellStyle name="Subtitle 12 64" xfId="37706"/>
    <cellStyle name="Subtitle 12 65" xfId="37707"/>
    <cellStyle name="Subtitle 12 66" xfId="37708"/>
    <cellStyle name="Subtitle 12 67" xfId="37709"/>
    <cellStyle name="Subtitle 12 68" xfId="37710"/>
    <cellStyle name="Subtitle 12 69" xfId="37711"/>
    <cellStyle name="Subtitle 12 7" xfId="37712"/>
    <cellStyle name="Subtitle 12 7 2" xfId="37713"/>
    <cellStyle name="Subtitle 12 70" xfId="37714"/>
    <cellStyle name="Subtitle 12 71" xfId="37715"/>
    <cellStyle name="Subtitle 12 72" xfId="37716"/>
    <cellStyle name="Subtitle 12 73" xfId="37717"/>
    <cellStyle name="Subtitle 12 74" xfId="37718"/>
    <cellStyle name="Subtitle 12 75" xfId="37719"/>
    <cellStyle name="Subtitle 12 76" xfId="37720"/>
    <cellStyle name="Subtitle 12 77" xfId="37721"/>
    <cellStyle name="Subtitle 12 78" xfId="37722"/>
    <cellStyle name="Subtitle 12 79" xfId="37723"/>
    <cellStyle name="Subtitle 12 8" xfId="37724"/>
    <cellStyle name="Subtitle 12 8 2" xfId="37725"/>
    <cellStyle name="Subtitle 12 80" xfId="37726"/>
    <cellStyle name="Subtitle 12 81" xfId="37727"/>
    <cellStyle name="Subtitle 12 82" xfId="37728"/>
    <cellStyle name="Subtitle 12 83" xfId="37729"/>
    <cellStyle name="Subtitle 12 84" xfId="37730"/>
    <cellStyle name="Subtitle 12 85" xfId="37731"/>
    <cellStyle name="Subtitle 12 86" xfId="37732"/>
    <cellStyle name="Subtitle 12 87" xfId="37733"/>
    <cellStyle name="Subtitle 12 88" xfId="37734"/>
    <cellStyle name="Subtitle 12 89" xfId="37735"/>
    <cellStyle name="Subtitle 12 9" xfId="37736"/>
    <cellStyle name="Subtitle 12 9 2" xfId="37737"/>
    <cellStyle name="Subtitle 12 90" xfId="37738"/>
    <cellStyle name="Subtitle 12 91" xfId="37739"/>
    <cellStyle name="Subtitle 12 92" xfId="37740"/>
    <cellStyle name="Subtitle 12 93" xfId="37741"/>
    <cellStyle name="Subtitle 12 94" xfId="37742"/>
    <cellStyle name="Subtitle 12 95" xfId="37743"/>
    <cellStyle name="Subtitle 12 96" xfId="37744"/>
    <cellStyle name="Subtitle 12 97" xfId="37745"/>
    <cellStyle name="Subtitle 12 98" xfId="37746"/>
    <cellStyle name="Subtitle 12 99" xfId="37747"/>
    <cellStyle name="Subtitle 12_NYMEX FUTURES" xfId="37748"/>
    <cellStyle name="Subtitle 13" xfId="37749"/>
    <cellStyle name="Subtitle 13 10" xfId="37750"/>
    <cellStyle name="Subtitle 13 10 2" xfId="37751"/>
    <cellStyle name="Subtitle 13 100" xfId="37752"/>
    <cellStyle name="Subtitle 13 101" xfId="37753"/>
    <cellStyle name="Subtitle 13 102" xfId="37754"/>
    <cellStyle name="Subtitle 13 103" xfId="37755"/>
    <cellStyle name="Subtitle 13 104" xfId="37756"/>
    <cellStyle name="Subtitle 13 105" xfId="37757"/>
    <cellStyle name="Subtitle 13 106" xfId="37758"/>
    <cellStyle name="Subtitle 13 107" xfId="37759"/>
    <cellStyle name="Subtitle 13 108" xfId="37760"/>
    <cellStyle name="Subtitle 13 109" xfId="37761"/>
    <cellStyle name="Subtitle 13 11" xfId="37762"/>
    <cellStyle name="Subtitle 13 11 2" xfId="37763"/>
    <cellStyle name="Subtitle 13 110" xfId="37764"/>
    <cellStyle name="Subtitle 13 111" xfId="37765"/>
    <cellStyle name="Subtitle 13 112" xfId="37766"/>
    <cellStyle name="Subtitle 13 113" xfId="37767"/>
    <cellStyle name="Subtitle 13 114" xfId="37768"/>
    <cellStyle name="Subtitle 13 115" xfId="37769"/>
    <cellStyle name="Subtitle 13 116" xfId="37770"/>
    <cellStyle name="Subtitle 13 12" xfId="37771"/>
    <cellStyle name="Subtitle 13 12 2" xfId="37772"/>
    <cellStyle name="Subtitle 13 13" xfId="37773"/>
    <cellStyle name="Subtitle 13 13 2" xfId="37774"/>
    <cellStyle name="Subtitle 13 14" xfId="37775"/>
    <cellStyle name="Subtitle 13 14 2" xfId="37776"/>
    <cellStyle name="Subtitle 13 15" xfId="37777"/>
    <cellStyle name="Subtitle 13 15 2" xfId="37778"/>
    <cellStyle name="Subtitle 13 16" xfId="37779"/>
    <cellStyle name="Subtitle 13 16 2" xfId="37780"/>
    <cellStyle name="Subtitle 13 17" xfId="37781"/>
    <cellStyle name="Subtitle 13 17 2" xfId="37782"/>
    <cellStyle name="Subtitle 13 18" xfId="37783"/>
    <cellStyle name="Subtitle 13 18 2" xfId="37784"/>
    <cellStyle name="Subtitle 13 19" xfId="37785"/>
    <cellStyle name="Subtitle 13 19 2" xfId="37786"/>
    <cellStyle name="Subtitle 13 2" xfId="37787"/>
    <cellStyle name="Subtitle 13 2 2" xfId="37788"/>
    <cellStyle name="Subtitle 13 20" xfId="37789"/>
    <cellStyle name="Subtitle 13 20 2" xfId="37790"/>
    <cellStyle name="Subtitle 13 21" xfId="37791"/>
    <cellStyle name="Subtitle 13 21 2" xfId="37792"/>
    <cellStyle name="Subtitle 13 22" xfId="37793"/>
    <cellStyle name="Subtitle 13 22 2" xfId="37794"/>
    <cellStyle name="Subtitle 13 23" xfId="37795"/>
    <cellStyle name="Subtitle 13 23 2" xfId="37796"/>
    <cellStyle name="Subtitle 13 24" xfId="37797"/>
    <cellStyle name="Subtitle 13 24 2" xfId="37798"/>
    <cellStyle name="Subtitle 13 25" xfId="37799"/>
    <cellStyle name="Subtitle 13 25 2" xfId="37800"/>
    <cellStyle name="Subtitle 13 26" xfId="37801"/>
    <cellStyle name="Subtitle 13 26 2" xfId="37802"/>
    <cellStyle name="Subtitle 13 27" xfId="37803"/>
    <cellStyle name="Subtitle 13 27 2" xfId="37804"/>
    <cellStyle name="Subtitle 13 28" xfId="37805"/>
    <cellStyle name="Subtitle 13 28 2" xfId="37806"/>
    <cellStyle name="Subtitle 13 29" xfId="37807"/>
    <cellStyle name="Subtitle 13 29 2" xfId="37808"/>
    <cellStyle name="Subtitle 13 3" xfId="37809"/>
    <cellStyle name="Subtitle 13 3 2" xfId="37810"/>
    <cellStyle name="Subtitle 13 30" xfId="37811"/>
    <cellStyle name="Subtitle 13 30 2" xfId="37812"/>
    <cellStyle name="Subtitle 13 31" xfId="37813"/>
    <cellStyle name="Subtitle 13 31 2" xfId="37814"/>
    <cellStyle name="Subtitle 13 32" xfId="37815"/>
    <cellStyle name="Subtitle 13 32 2" xfId="37816"/>
    <cellStyle name="Subtitle 13 33" xfId="37817"/>
    <cellStyle name="Subtitle 13 33 2" xfId="37818"/>
    <cellStyle name="Subtitle 13 34" xfId="37819"/>
    <cellStyle name="Subtitle 13 34 2" xfId="37820"/>
    <cellStyle name="Subtitle 13 35" xfId="37821"/>
    <cellStyle name="Subtitle 13 35 2" xfId="37822"/>
    <cellStyle name="Subtitle 13 36" xfId="37823"/>
    <cellStyle name="Subtitle 13 36 2" xfId="37824"/>
    <cellStyle name="Subtitle 13 37" xfId="37825"/>
    <cellStyle name="Subtitle 13 37 2" xfId="37826"/>
    <cellStyle name="Subtitle 13 38" xfId="37827"/>
    <cellStyle name="Subtitle 13 38 2" xfId="37828"/>
    <cellStyle name="Subtitle 13 39" xfId="37829"/>
    <cellStyle name="Subtitle 13 39 2" xfId="37830"/>
    <cellStyle name="Subtitle 13 4" xfId="37831"/>
    <cellStyle name="Subtitle 13 4 2" xfId="37832"/>
    <cellStyle name="Subtitle 13 40" xfId="37833"/>
    <cellStyle name="Subtitle 13 40 2" xfId="37834"/>
    <cellStyle name="Subtitle 13 41" xfId="37835"/>
    <cellStyle name="Subtitle 13 41 2" xfId="37836"/>
    <cellStyle name="Subtitle 13 42" xfId="37837"/>
    <cellStyle name="Subtitle 13 42 2" xfId="37838"/>
    <cellStyle name="Subtitle 13 43" xfId="37839"/>
    <cellStyle name="Subtitle 13 43 2" xfId="37840"/>
    <cellStyle name="Subtitle 13 44" xfId="37841"/>
    <cellStyle name="Subtitle 13 44 2" xfId="37842"/>
    <cellStyle name="Subtitle 13 45" xfId="37843"/>
    <cellStyle name="Subtitle 13 45 2" xfId="37844"/>
    <cellStyle name="Subtitle 13 46" xfId="37845"/>
    <cellStyle name="Subtitle 13 46 2" xfId="37846"/>
    <cellStyle name="Subtitle 13 47" xfId="37847"/>
    <cellStyle name="Subtitle 13 47 2" xfId="37848"/>
    <cellStyle name="Subtitle 13 48" xfId="37849"/>
    <cellStyle name="Subtitle 13 48 2" xfId="37850"/>
    <cellStyle name="Subtitle 13 49" xfId="37851"/>
    <cellStyle name="Subtitle 13 49 2" xfId="37852"/>
    <cellStyle name="Subtitle 13 5" xfId="37853"/>
    <cellStyle name="Subtitle 13 5 2" xfId="37854"/>
    <cellStyle name="Subtitle 13 50" xfId="37855"/>
    <cellStyle name="Subtitle 13 50 2" xfId="37856"/>
    <cellStyle name="Subtitle 13 51" xfId="37857"/>
    <cellStyle name="Subtitle 13 51 2" xfId="37858"/>
    <cellStyle name="Subtitle 13 52" xfId="37859"/>
    <cellStyle name="Subtitle 13 53" xfId="37860"/>
    <cellStyle name="Subtitle 13 54" xfId="37861"/>
    <cellStyle name="Subtitle 13 55" xfId="37862"/>
    <cellStyle name="Subtitle 13 56" xfId="37863"/>
    <cellStyle name="Subtitle 13 57" xfId="37864"/>
    <cellStyle name="Subtitle 13 58" xfId="37865"/>
    <cellStyle name="Subtitle 13 59" xfId="37866"/>
    <cellStyle name="Subtitle 13 6" xfId="37867"/>
    <cellStyle name="Subtitle 13 6 2" xfId="37868"/>
    <cellStyle name="Subtitle 13 60" xfId="37869"/>
    <cellStyle name="Subtitle 13 61" xfId="37870"/>
    <cellStyle name="Subtitle 13 62" xfId="37871"/>
    <cellStyle name="Subtitle 13 63" xfId="37872"/>
    <cellStyle name="Subtitle 13 64" xfId="37873"/>
    <cellStyle name="Subtitle 13 65" xfId="37874"/>
    <cellStyle name="Subtitle 13 66" xfId="37875"/>
    <cellStyle name="Subtitle 13 67" xfId="37876"/>
    <cellStyle name="Subtitle 13 68" xfId="37877"/>
    <cellStyle name="Subtitle 13 69" xfId="37878"/>
    <cellStyle name="Subtitle 13 7" xfId="37879"/>
    <cellStyle name="Subtitle 13 7 2" xfId="37880"/>
    <cellStyle name="Subtitle 13 70" xfId="37881"/>
    <cellStyle name="Subtitle 13 71" xfId="37882"/>
    <cellStyle name="Subtitle 13 72" xfId="37883"/>
    <cellStyle name="Subtitle 13 73" xfId="37884"/>
    <cellStyle name="Subtitle 13 74" xfId="37885"/>
    <cellStyle name="Subtitle 13 75" xfId="37886"/>
    <cellStyle name="Subtitle 13 76" xfId="37887"/>
    <cellStyle name="Subtitle 13 77" xfId="37888"/>
    <cellStyle name="Subtitle 13 78" xfId="37889"/>
    <cellStyle name="Subtitle 13 79" xfId="37890"/>
    <cellStyle name="Subtitle 13 8" xfId="37891"/>
    <cellStyle name="Subtitle 13 8 2" xfId="37892"/>
    <cellStyle name="Subtitle 13 80" xfId="37893"/>
    <cellStyle name="Subtitle 13 81" xfId="37894"/>
    <cellStyle name="Subtitle 13 82" xfId="37895"/>
    <cellStyle name="Subtitle 13 83" xfId="37896"/>
    <cellStyle name="Subtitle 13 84" xfId="37897"/>
    <cellStyle name="Subtitle 13 85" xfId="37898"/>
    <cellStyle name="Subtitle 13 86" xfId="37899"/>
    <cellStyle name="Subtitle 13 87" xfId="37900"/>
    <cellStyle name="Subtitle 13 88" xfId="37901"/>
    <cellStyle name="Subtitle 13 89" xfId="37902"/>
    <cellStyle name="Subtitle 13 9" xfId="37903"/>
    <cellStyle name="Subtitle 13 9 2" xfId="37904"/>
    <cellStyle name="Subtitle 13 90" xfId="37905"/>
    <cellStyle name="Subtitle 13 91" xfId="37906"/>
    <cellStyle name="Subtitle 13 92" xfId="37907"/>
    <cellStyle name="Subtitle 13 93" xfId="37908"/>
    <cellStyle name="Subtitle 13 94" xfId="37909"/>
    <cellStyle name="Subtitle 13 95" xfId="37910"/>
    <cellStyle name="Subtitle 13 96" xfId="37911"/>
    <cellStyle name="Subtitle 13 97" xfId="37912"/>
    <cellStyle name="Subtitle 13 98" xfId="37913"/>
    <cellStyle name="Subtitle 13 99" xfId="37914"/>
    <cellStyle name="Subtitle 13_NYMEX FUTURES" xfId="37915"/>
    <cellStyle name="Subtitle 14" xfId="37916"/>
    <cellStyle name="Subtitle 14 10" xfId="37917"/>
    <cellStyle name="Subtitle 14 10 2" xfId="37918"/>
    <cellStyle name="Subtitle 14 100" xfId="37919"/>
    <cellStyle name="Subtitle 14 101" xfId="37920"/>
    <cellStyle name="Subtitle 14 102" xfId="37921"/>
    <cellStyle name="Subtitle 14 103" xfId="37922"/>
    <cellStyle name="Subtitle 14 104" xfId="37923"/>
    <cellStyle name="Subtitle 14 105" xfId="37924"/>
    <cellStyle name="Subtitle 14 106" xfId="37925"/>
    <cellStyle name="Subtitle 14 107" xfId="37926"/>
    <cellStyle name="Subtitle 14 108" xfId="37927"/>
    <cellStyle name="Subtitle 14 109" xfId="37928"/>
    <cellStyle name="Subtitle 14 11" xfId="37929"/>
    <cellStyle name="Subtitle 14 11 2" xfId="37930"/>
    <cellStyle name="Subtitle 14 110" xfId="37931"/>
    <cellStyle name="Subtitle 14 111" xfId="37932"/>
    <cellStyle name="Subtitle 14 112" xfId="37933"/>
    <cellStyle name="Subtitle 14 113" xfId="37934"/>
    <cellStyle name="Subtitle 14 114" xfId="37935"/>
    <cellStyle name="Subtitle 14 115" xfId="37936"/>
    <cellStyle name="Subtitle 14 116" xfId="37937"/>
    <cellStyle name="Subtitle 14 12" xfId="37938"/>
    <cellStyle name="Subtitle 14 12 2" xfId="37939"/>
    <cellStyle name="Subtitle 14 13" xfId="37940"/>
    <cellStyle name="Subtitle 14 13 2" xfId="37941"/>
    <cellStyle name="Subtitle 14 14" xfId="37942"/>
    <cellStyle name="Subtitle 14 14 2" xfId="37943"/>
    <cellStyle name="Subtitle 14 15" xfId="37944"/>
    <cellStyle name="Subtitle 14 15 2" xfId="37945"/>
    <cellStyle name="Subtitle 14 16" xfId="37946"/>
    <cellStyle name="Subtitle 14 16 2" xfId="37947"/>
    <cellStyle name="Subtitle 14 17" xfId="37948"/>
    <cellStyle name="Subtitle 14 17 2" xfId="37949"/>
    <cellStyle name="Subtitle 14 18" xfId="37950"/>
    <cellStyle name="Subtitle 14 18 2" xfId="37951"/>
    <cellStyle name="Subtitle 14 19" xfId="37952"/>
    <cellStyle name="Subtitle 14 19 2" xfId="37953"/>
    <cellStyle name="Subtitle 14 2" xfId="37954"/>
    <cellStyle name="Subtitle 14 2 2" xfId="37955"/>
    <cellStyle name="Subtitle 14 20" xfId="37956"/>
    <cellStyle name="Subtitle 14 20 2" xfId="37957"/>
    <cellStyle name="Subtitle 14 21" xfId="37958"/>
    <cellStyle name="Subtitle 14 21 2" xfId="37959"/>
    <cellStyle name="Subtitle 14 22" xfId="37960"/>
    <cellStyle name="Subtitle 14 22 2" xfId="37961"/>
    <cellStyle name="Subtitle 14 23" xfId="37962"/>
    <cellStyle name="Subtitle 14 23 2" xfId="37963"/>
    <cellStyle name="Subtitle 14 24" xfId="37964"/>
    <cellStyle name="Subtitle 14 24 2" xfId="37965"/>
    <cellStyle name="Subtitle 14 25" xfId="37966"/>
    <cellStyle name="Subtitle 14 25 2" xfId="37967"/>
    <cellStyle name="Subtitle 14 26" xfId="37968"/>
    <cellStyle name="Subtitle 14 26 2" xfId="37969"/>
    <cellStyle name="Subtitle 14 27" xfId="37970"/>
    <cellStyle name="Subtitle 14 27 2" xfId="37971"/>
    <cellStyle name="Subtitle 14 28" xfId="37972"/>
    <cellStyle name="Subtitle 14 28 2" xfId="37973"/>
    <cellStyle name="Subtitle 14 29" xfId="37974"/>
    <cellStyle name="Subtitle 14 29 2" xfId="37975"/>
    <cellStyle name="Subtitle 14 3" xfId="37976"/>
    <cellStyle name="Subtitle 14 3 2" xfId="37977"/>
    <cellStyle name="Subtitle 14 30" xfId="37978"/>
    <cellStyle name="Subtitle 14 30 2" xfId="37979"/>
    <cellStyle name="Subtitle 14 31" xfId="37980"/>
    <cellStyle name="Subtitle 14 31 2" xfId="37981"/>
    <cellStyle name="Subtitle 14 32" xfId="37982"/>
    <cellStyle name="Subtitle 14 32 2" xfId="37983"/>
    <cellStyle name="Subtitle 14 33" xfId="37984"/>
    <cellStyle name="Subtitle 14 33 2" xfId="37985"/>
    <cellStyle name="Subtitle 14 34" xfId="37986"/>
    <cellStyle name="Subtitle 14 34 2" xfId="37987"/>
    <cellStyle name="Subtitle 14 35" xfId="37988"/>
    <cellStyle name="Subtitle 14 35 2" xfId="37989"/>
    <cellStyle name="Subtitle 14 36" xfId="37990"/>
    <cellStyle name="Subtitle 14 36 2" xfId="37991"/>
    <cellStyle name="Subtitle 14 37" xfId="37992"/>
    <cellStyle name="Subtitle 14 37 2" xfId="37993"/>
    <cellStyle name="Subtitle 14 38" xfId="37994"/>
    <cellStyle name="Subtitle 14 38 2" xfId="37995"/>
    <cellStyle name="Subtitle 14 39" xfId="37996"/>
    <cellStyle name="Subtitle 14 39 2" xfId="37997"/>
    <cellStyle name="Subtitle 14 4" xfId="37998"/>
    <cellStyle name="Subtitle 14 4 2" xfId="37999"/>
    <cellStyle name="Subtitle 14 40" xfId="38000"/>
    <cellStyle name="Subtitle 14 40 2" xfId="38001"/>
    <cellStyle name="Subtitle 14 41" xfId="38002"/>
    <cellStyle name="Subtitle 14 41 2" xfId="38003"/>
    <cellStyle name="Subtitle 14 42" xfId="38004"/>
    <cellStyle name="Subtitle 14 42 2" xfId="38005"/>
    <cellStyle name="Subtitle 14 43" xfId="38006"/>
    <cellStyle name="Subtitle 14 43 2" xfId="38007"/>
    <cellStyle name="Subtitle 14 44" xfId="38008"/>
    <cellStyle name="Subtitle 14 44 2" xfId="38009"/>
    <cellStyle name="Subtitle 14 45" xfId="38010"/>
    <cellStyle name="Subtitle 14 45 2" xfId="38011"/>
    <cellStyle name="Subtitle 14 46" xfId="38012"/>
    <cellStyle name="Subtitle 14 46 2" xfId="38013"/>
    <cellStyle name="Subtitle 14 47" xfId="38014"/>
    <cellStyle name="Subtitle 14 47 2" xfId="38015"/>
    <cellStyle name="Subtitle 14 48" xfId="38016"/>
    <cellStyle name="Subtitle 14 48 2" xfId="38017"/>
    <cellStyle name="Subtitle 14 49" xfId="38018"/>
    <cellStyle name="Subtitle 14 49 2" xfId="38019"/>
    <cellStyle name="Subtitle 14 5" xfId="38020"/>
    <cellStyle name="Subtitle 14 5 2" xfId="38021"/>
    <cellStyle name="Subtitle 14 50" xfId="38022"/>
    <cellStyle name="Subtitle 14 50 2" xfId="38023"/>
    <cellStyle name="Subtitle 14 51" xfId="38024"/>
    <cellStyle name="Subtitle 14 51 2" xfId="38025"/>
    <cellStyle name="Subtitle 14 52" xfId="38026"/>
    <cellStyle name="Subtitle 14 53" xfId="38027"/>
    <cellStyle name="Subtitle 14 54" xfId="38028"/>
    <cellStyle name="Subtitle 14 55" xfId="38029"/>
    <cellStyle name="Subtitle 14 56" xfId="38030"/>
    <cellStyle name="Subtitle 14 57" xfId="38031"/>
    <cellStyle name="Subtitle 14 58" xfId="38032"/>
    <cellStyle name="Subtitle 14 59" xfId="38033"/>
    <cellStyle name="Subtitle 14 6" xfId="38034"/>
    <cellStyle name="Subtitle 14 6 2" xfId="38035"/>
    <cellStyle name="Subtitle 14 60" xfId="38036"/>
    <cellStyle name="Subtitle 14 61" xfId="38037"/>
    <cellStyle name="Subtitle 14 62" xfId="38038"/>
    <cellStyle name="Subtitle 14 63" xfId="38039"/>
    <cellStyle name="Subtitle 14 64" xfId="38040"/>
    <cellStyle name="Subtitle 14 65" xfId="38041"/>
    <cellStyle name="Subtitle 14 66" xfId="38042"/>
    <cellStyle name="Subtitle 14 67" xfId="38043"/>
    <cellStyle name="Subtitle 14 68" xfId="38044"/>
    <cellStyle name="Subtitle 14 69" xfId="38045"/>
    <cellStyle name="Subtitle 14 7" xfId="38046"/>
    <cellStyle name="Subtitle 14 7 2" xfId="38047"/>
    <cellStyle name="Subtitle 14 70" xfId="38048"/>
    <cellStyle name="Subtitle 14 71" xfId="38049"/>
    <cellStyle name="Subtitle 14 72" xfId="38050"/>
    <cellStyle name="Subtitle 14 73" xfId="38051"/>
    <cellStyle name="Subtitle 14 74" xfId="38052"/>
    <cellStyle name="Subtitle 14 75" xfId="38053"/>
    <cellStyle name="Subtitle 14 76" xfId="38054"/>
    <cellStyle name="Subtitle 14 77" xfId="38055"/>
    <cellStyle name="Subtitle 14 78" xfId="38056"/>
    <cellStyle name="Subtitle 14 79" xfId="38057"/>
    <cellStyle name="Subtitle 14 8" xfId="38058"/>
    <cellStyle name="Subtitle 14 8 2" xfId="38059"/>
    <cellStyle name="Subtitle 14 80" xfId="38060"/>
    <cellStyle name="Subtitle 14 81" xfId="38061"/>
    <cellStyle name="Subtitle 14 82" xfId="38062"/>
    <cellStyle name="Subtitle 14 83" xfId="38063"/>
    <cellStyle name="Subtitle 14 84" xfId="38064"/>
    <cellStyle name="Subtitle 14 85" xfId="38065"/>
    <cellStyle name="Subtitle 14 86" xfId="38066"/>
    <cellStyle name="Subtitle 14 87" xfId="38067"/>
    <cellStyle name="Subtitle 14 88" xfId="38068"/>
    <cellStyle name="Subtitle 14 89" xfId="38069"/>
    <cellStyle name="Subtitle 14 9" xfId="38070"/>
    <cellStyle name="Subtitle 14 9 2" xfId="38071"/>
    <cellStyle name="Subtitle 14 90" xfId="38072"/>
    <cellStyle name="Subtitle 14 91" xfId="38073"/>
    <cellStyle name="Subtitle 14 92" xfId="38074"/>
    <cellStyle name="Subtitle 14 93" xfId="38075"/>
    <cellStyle name="Subtitle 14 94" xfId="38076"/>
    <cellStyle name="Subtitle 14 95" xfId="38077"/>
    <cellStyle name="Subtitle 14 96" xfId="38078"/>
    <cellStyle name="Subtitle 14 97" xfId="38079"/>
    <cellStyle name="Subtitle 14 98" xfId="38080"/>
    <cellStyle name="Subtitle 14 99" xfId="38081"/>
    <cellStyle name="Subtitle 14_NYMEX FUTURES" xfId="38082"/>
    <cellStyle name="Subtitle 15" xfId="38083"/>
    <cellStyle name="Subtitle 16" xfId="38084"/>
    <cellStyle name="Subtitle 17" xfId="38085"/>
    <cellStyle name="Subtitle 18" xfId="38086"/>
    <cellStyle name="Subtitle 2" xfId="38087"/>
    <cellStyle name="Subtitle 2 10" xfId="38088"/>
    <cellStyle name="Subtitle 2 10 2" xfId="38089"/>
    <cellStyle name="Subtitle 2 100" xfId="38090"/>
    <cellStyle name="Subtitle 2 101" xfId="38091"/>
    <cellStyle name="Subtitle 2 102" xfId="38092"/>
    <cellStyle name="Subtitle 2 103" xfId="38093"/>
    <cellStyle name="Subtitle 2 104" xfId="38094"/>
    <cellStyle name="Subtitle 2 105" xfId="38095"/>
    <cellStyle name="Subtitle 2 106" xfId="38096"/>
    <cellStyle name="Subtitle 2 107" xfId="38097"/>
    <cellStyle name="Subtitle 2 108" xfId="38098"/>
    <cellStyle name="Subtitle 2 109" xfId="38099"/>
    <cellStyle name="Subtitle 2 11" xfId="38100"/>
    <cellStyle name="Subtitle 2 11 2" xfId="38101"/>
    <cellStyle name="Subtitle 2 110" xfId="38102"/>
    <cellStyle name="Subtitle 2 111" xfId="38103"/>
    <cellStyle name="Subtitle 2 112" xfId="38104"/>
    <cellStyle name="Subtitle 2 113" xfId="38105"/>
    <cellStyle name="Subtitle 2 114" xfId="38106"/>
    <cellStyle name="Subtitle 2 115" xfId="38107"/>
    <cellStyle name="Subtitle 2 116" xfId="38108"/>
    <cellStyle name="Subtitle 2 12" xfId="38109"/>
    <cellStyle name="Subtitle 2 12 2" xfId="38110"/>
    <cellStyle name="Subtitle 2 13" xfId="38111"/>
    <cellStyle name="Subtitle 2 13 2" xfId="38112"/>
    <cellStyle name="Subtitle 2 14" xfId="38113"/>
    <cellStyle name="Subtitle 2 14 2" xfId="38114"/>
    <cellStyle name="Subtitle 2 15" xfId="38115"/>
    <cellStyle name="Subtitle 2 15 2" xfId="38116"/>
    <cellStyle name="Subtitle 2 16" xfId="38117"/>
    <cellStyle name="Subtitle 2 16 2" xfId="38118"/>
    <cellStyle name="Subtitle 2 17" xfId="38119"/>
    <cellStyle name="Subtitle 2 17 2" xfId="38120"/>
    <cellStyle name="Subtitle 2 18" xfId="38121"/>
    <cellStyle name="Subtitle 2 18 2" xfId="38122"/>
    <cellStyle name="Subtitle 2 19" xfId="38123"/>
    <cellStyle name="Subtitle 2 19 2" xfId="38124"/>
    <cellStyle name="Subtitle 2 2" xfId="38125"/>
    <cellStyle name="Subtitle 2 2 2" xfId="38126"/>
    <cellStyle name="Subtitle 2 20" xfId="38127"/>
    <cellStyle name="Subtitle 2 20 2" xfId="38128"/>
    <cellStyle name="Subtitle 2 21" xfId="38129"/>
    <cellStyle name="Subtitle 2 21 2" xfId="38130"/>
    <cellStyle name="Subtitle 2 22" xfId="38131"/>
    <cellStyle name="Subtitle 2 22 2" xfId="38132"/>
    <cellStyle name="Subtitle 2 23" xfId="38133"/>
    <cellStyle name="Subtitle 2 23 2" xfId="38134"/>
    <cellStyle name="Subtitle 2 24" xfId="38135"/>
    <cellStyle name="Subtitle 2 24 2" xfId="38136"/>
    <cellStyle name="Subtitle 2 25" xfId="38137"/>
    <cellStyle name="Subtitle 2 25 2" xfId="38138"/>
    <cellStyle name="Subtitle 2 26" xfId="38139"/>
    <cellStyle name="Subtitle 2 26 2" xfId="38140"/>
    <cellStyle name="Subtitle 2 27" xfId="38141"/>
    <cellStyle name="Subtitle 2 27 2" xfId="38142"/>
    <cellStyle name="Subtitle 2 28" xfId="38143"/>
    <cellStyle name="Subtitle 2 28 2" xfId="38144"/>
    <cellStyle name="Subtitle 2 29" xfId="38145"/>
    <cellStyle name="Subtitle 2 29 2" xfId="38146"/>
    <cellStyle name="Subtitle 2 3" xfId="38147"/>
    <cellStyle name="Subtitle 2 3 2" xfId="38148"/>
    <cellStyle name="Subtitle 2 30" xfId="38149"/>
    <cellStyle name="Subtitle 2 30 2" xfId="38150"/>
    <cellStyle name="Subtitle 2 31" xfId="38151"/>
    <cellStyle name="Subtitle 2 31 2" xfId="38152"/>
    <cellStyle name="Subtitle 2 32" xfId="38153"/>
    <cellStyle name="Subtitle 2 32 2" xfId="38154"/>
    <cellStyle name="Subtitle 2 33" xfId="38155"/>
    <cellStyle name="Subtitle 2 33 2" xfId="38156"/>
    <cellStyle name="Subtitle 2 34" xfId="38157"/>
    <cellStyle name="Subtitle 2 34 2" xfId="38158"/>
    <cellStyle name="Subtitle 2 35" xfId="38159"/>
    <cellStyle name="Subtitle 2 35 2" xfId="38160"/>
    <cellStyle name="Subtitle 2 36" xfId="38161"/>
    <cellStyle name="Subtitle 2 36 2" xfId="38162"/>
    <cellStyle name="Subtitle 2 37" xfId="38163"/>
    <cellStyle name="Subtitle 2 37 2" xfId="38164"/>
    <cellStyle name="Subtitle 2 38" xfId="38165"/>
    <cellStyle name="Subtitle 2 38 2" xfId="38166"/>
    <cellStyle name="Subtitle 2 39" xfId="38167"/>
    <cellStyle name="Subtitle 2 39 2" xfId="38168"/>
    <cellStyle name="Subtitle 2 4" xfId="38169"/>
    <cellStyle name="Subtitle 2 4 2" xfId="38170"/>
    <cellStyle name="Subtitle 2 40" xfId="38171"/>
    <cellStyle name="Subtitle 2 40 2" xfId="38172"/>
    <cellStyle name="Subtitle 2 41" xfId="38173"/>
    <cellStyle name="Subtitle 2 41 2" xfId="38174"/>
    <cellStyle name="Subtitle 2 42" xfId="38175"/>
    <cellStyle name="Subtitle 2 42 2" xfId="38176"/>
    <cellStyle name="Subtitle 2 43" xfId="38177"/>
    <cellStyle name="Subtitle 2 43 2" xfId="38178"/>
    <cellStyle name="Subtitle 2 44" xfId="38179"/>
    <cellStyle name="Subtitle 2 44 2" xfId="38180"/>
    <cellStyle name="Subtitle 2 45" xfId="38181"/>
    <cellStyle name="Subtitle 2 45 2" xfId="38182"/>
    <cellStyle name="Subtitle 2 46" xfId="38183"/>
    <cellStyle name="Subtitle 2 46 2" xfId="38184"/>
    <cellStyle name="Subtitle 2 47" xfId="38185"/>
    <cellStyle name="Subtitle 2 47 2" xfId="38186"/>
    <cellStyle name="Subtitle 2 48" xfId="38187"/>
    <cellStyle name="Subtitle 2 48 2" xfId="38188"/>
    <cellStyle name="Subtitle 2 49" xfId="38189"/>
    <cellStyle name="Subtitle 2 49 2" xfId="38190"/>
    <cellStyle name="Subtitle 2 5" xfId="38191"/>
    <cellStyle name="Subtitle 2 5 2" xfId="38192"/>
    <cellStyle name="Subtitle 2 50" xfId="38193"/>
    <cellStyle name="Subtitle 2 50 2" xfId="38194"/>
    <cellStyle name="Subtitle 2 51" xfId="38195"/>
    <cellStyle name="Subtitle 2 51 2" xfId="38196"/>
    <cellStyle name="Subtitle 2 52" xfId="38197"/>
    <cellStyle name="Subtitle 2 53" xfId="38198"/>
    <cellStyle name="Subtitle 2 54" xfId="38199"/>
    <cellStyle name="Subtitle 2 55" xfId="38200"/>
    <cellStyle name="Subtitle 2 56" xfId="38201"/>
    <cellStyle name="Subtitle 2 57" xfId="38202"/>
    <cellStyle name="Subtitle 2 58" xfId="38203"/>
    <cellStyle name="Subtitle 2 59" xfId="38204"/>
    <cellStyle name="Subtitle 2 6" xfId="38205"/>
    <cellStyle name="Subtitle 2 6 2" xfId="38206"/>
    <cellStyle name="Subtitle 2 60" xfId="38207"/>
    <cellStyle name="Subtitle 2 61" xfId="38208"/>
    <cellStyle name="Subtitle 2 62" xfId="38209"/>
    <cellStyle name="Subtitle 2 63" xfId="38210"/>
    <cellStyle name="Subtitle 2 64" xfId="38211"/>
    <cellStyle name="Subtitle 2 65" xfId="38212"/>
    <cellStyle name="Subtitle 2 66" xfId="38213"/>
    <cellStyle name="Subtitle 2 67" xfId="38214"/>
    <cellStyle name="Subtitle 2 68" xfId="38215"/>
    <cellStyle name="Subtitle 2 69" xfId="38216"/>
    <cellStyle name="Subtitle 2 7" xfId="38217"/>
    <cellStyle name="Subtitle 2 7 2" xfId="38218"/>
    <cellStyle name="Subtitle 2 70" xfId="38219"/>
    <cellStyle name="Subtitle 2 71" xfId="38220"/>
    <cellStyle name="Subtitle 2 72" xfId="38221"/>
    <cellStyle name="Subtitle 2 73" xfId="38222"/>
    <cellStyle name="Subtitle 2 74" xfId="38223"/>
    <cellStyle name="Subtitle 2 75" xfId="38224"/>
    <cellStyle name="Subtitle 2 76" xfId="38225"/>
    <cellStyle name="Subtitle 2 77" xfId="38226"/>
    <cellStyle name="Subtitle 2 78" xfId="38227"/>
    <cellStyle name="Subtitle 2 79" xfId="38228"/>
    <cellStyle name="Subtitle 2 8" xfId="38229"/>
    <cellStyle name="Subtitle 2 8 2" xfId="38230"/>
    <cellStyle name="Subtitle 2 80" xfId="38231"/>
    <cellStyle name="Subtitle 2 81" xfId="38232"/>
    <cellStyle name="Subtitle 2 82" xfId="38233"/>
    <cellStyle name="Subtitle 2 83" xfId="38234"/>
    <cellStyle name="Subtitle 2 84" xfId="38235"/>
    <cellStyle name="Subtitle 2 85" xfId="38236"/>
    <cellStyle name="Subtitle 2 86" xfId="38237"/>
    <cellStyle name="Subtitle 2 87" xfId="38238"/>
    <cellStyle name="Subtitle 2 88" xfId="38239"/>
    <cellStyle name="Subtitle 2 89" xfId="38240"/>
    <cellStyle name="Subtitle 2 9" xfId="38241"/>
    <cellStyle name="Subtitle 2 9 2" xfId="38242"/>
    <cellStyle name="Subtitle 2 90" xfId="38243"/>
    <cellStyle name="Subtitle 2 91" xfId="38244"/>
    <cellStyle name="Subtitle 2 92" xfId="38245"/>
    <cellStyle name="Subtitle 2 93" xfId="38246"/>
    <cellStyle name="Subtitle 2 94" xfId="38247"/>
    <cellStyle name="Subtitle 2 95" xfId="38248"/>
    <cellStyle name="Subtitle 2 96" xfId="38249"/>
    <cellStyle name="Subtitle 2 97" xfId="38250"/>
    <cellStyle name="Subtitle 2 98" xfId="38251"/>
    <cellStyle name="Subtitle 2 99" xfId="38252"/>
    <cellStyle name="Subtitle 2_NYMEX FUTURES" xfId="38253"/>
    <cellStyle name="Subtitle 3" xfId="38254"/>
    <cellStyle name="Subtitle 3 10" xfId="38255"/>
    <cellStyle name="Subtitle 3 10 2" xfId="38256"/>
    <cellStyle name="Subtitle 3 100" xfId="38257"/>
    <cellStyle name="Subtitle 3 101" xfId="38258"/>
    <cellStyle name="Subtitle 3 102" xfId="38259"/>
    <cellStyle name="Subtitle 3 103" xfId="38260"/>
    <cellStyle name="Subtitle 3 104" xfId="38261"/>
    <cellStyle name="Subtitle 3 105" xfId="38262"/>
    <cellStyle name="Subtitle 3 106" xfId="38263"/>
    <cellStyle name="Subtitle 3 107" xfId="38264"/>
    <cellStyle name="Subtitle 3 108" xfId="38265"/>
    <cellStyle name="Subtitle 3 109" xfId="38266"/>
    <cellStyle name="Subtitle 3 11" xfId="38267"/>
    <cellStyle name="Subtitle 3 11 2" xfId="38268"/>
    <cellStyle name="Subtitle 3 110" xfId="38269"/>
    <cellStyle name="Subtitle 3 111" xfId="38270"/>
    <cellStyle name="Subtitle 3 112" xfId="38271"/>
    <cellStyle name="Subtitle 3 113" xfId="38272"/>
    <cellStyle name="Subtitle 3 114" xfId="38273"/>
    <cellStyle name="Subtitle 3 115" xfId="38274"/>
    <cellStyle name="Subtitle 3 116" xfId="38275"/>
    <cellStyle name="Subtitle 3 12" xfId="38276"/>
    <cellStyle name="Subtitle 3 12 2" xfId="38277"/>
    <cellStyle name="Subtitle 3 13" xfId="38278"/>
    <cellStyle name="Subtitle 3 13 2" xfId="38279"/>
    <cellStyle name="Subtitle 3 14" xfId="38280"/>
    <cellStyle name="Subtitle 3 14 2" xfId="38281"/>
    <cellStyle name="Subtitle 3 15" xfId="38282"/>
    <cellStyle name="Subtitle 3 15 2" xfId="38283"/>
    <cellStyle name="Subtitle 3 16" xfId="38284"/>
    <cellStyle name="Subtitle 3 16 2" xfId="38285"/>
    <cellStyle name="Subtitle 3 17" xfId="38286"/>
    <cellStyle name="Subtitle 3 17 2" xfId="38287"/>
    <cellStyle name="Subtitle 3 18" xfId="38288"/>
    <cellStyle name="Subtitle 3 18 2" xfId="38289"/>
    <cellStyle name="Subtitle 3 19" xfId="38290"/>
    <cellStyle name="Subtitle 3 19 2" xfId="38291"/>
    <cellStyle name="Subtitle 3 2" xfId="38292"/>
    <cellStyle name="Subtitle 3 2 2" xfId="38293"/>
    <cellStyle name="Subtitle 3 20" xfId="38294"/>
    <cellStyle name="Subtitle 3 20 2" xfId="38295"/>
    <cellStyle name="Subtitle 3 21" xfId="38296"/>
    <cellStyle name="Subtitle 3 21 2" xfId="38297"/>
    <cellStyle name="Subtitle 3 22" xfId="38298"/>
    <cellStyle name="Subtitle 3 22 2" xfId="38299"/>
    <cellStyle name="Subtitle 3 23" xfId="38300"/>
    <cellStyle name="Subtitle 3 23 2" xfId="38301"/>
    <cellStyle name="Subtitle 3 24" xfId="38302"/>
    <cellStyle name="Subtitle 3 24 2" xfId="38303"/>
    <cellStyle name="Subtitle 3 25" xfId="38304"/>
    <cellStyle name="Subtitle 3 25 2" xfId="38305"/>
    <cellStyle name="Subtitle 3 26" xfId="38306"/>
    <cellStyle name="Subtitle 3 26 2" xfId="38307"/>
    <cellStyle name="Subtitle 3 27" xfId="38308"/>
    <cellStyle name="Subtitle 3 27 2" xfId="38309"/>
    <cellStyle name="Subtitle 3 28" xfId="38310"/>
    <cellStyle name="Subtitle 3 28 2" xfId="38311"/>
    <cellStyle name="Subtitle 3 29" xfId="38312"/>
    <cellStyle name="Subtitle 3 29 2" xfId="38313"/>
    <cellStyle name="Subtitle 3 3" xfId="38314"/>
    <cellStyle name="Subtitle 3 3 2" xfId="38315"/>
    <cellStyle name="Subtitle 3 30" xfId="38316"/>
    <cellStyle name="Subtitle 3 30 2" xfId="38317"/>
    <cellStyle name="Subtitle 3 31" xfId="38318"/>
    <cellStyle name="Subtitle 3 31 2" xfId="38319"/>
    <cellStyle name="Subtitle 3 32" xfId="38320"/>
    <cellStyle name="Subtitle 3 32 2" xfId="38321"/>
    <cellStyle name="Subtitle 3 33" xfId="38322"/>
    <cellStyle name="Subtitle 3 33 2" xfId="38323"/>
    <cellStyle name="Subtitle 3 34" xfId="38324"/>
    <cellStyle name="Subtitle 3 34 2" xfId="38325"/>
    <cellStyle name="Subtitle 3 35" xfId="38326"/>
    <cellStyle name="Subtitle 3 35 2" xfId="38327"/>
    <cellStyle name="Subtitle 3 36" xfId="38328"/>
    <cellStyle name="Subtitle 3 36 2" xfId="38329"/>
    <cellStyle name="Subtitle 3 37" xfId="38330"/>
    <cellStyle name="Subtitle 3 37 2" xfId="38331"/>
    <cellStyle name="Subtitle 3 38" xfId="38332"/>
    <cellStyle name="Subtitle 3 38 2" xfId="38333"/>
    <cellStyle name="Subtitle 3 39" xfId="38334"/>
    <cellStyle name="Subtitle 3 39 2" xfId="38335"/>
    <cellStyle name="Subtitle 3 4" xfId="38336"/>
    <cellStyle name="Subtitle 3 4 2" xfId="38337"/>
    <cellStyle name="Subtitle 3 40" xfId="38338"/>
    <cellStyle name="Subtitle 3 40 2" xfId="38339"/>
    <cellStyle name="Subtitle 3 41" xfId="38340"/>
    <cellStyle name="Subtitle 3 41 2" xfId="38341"/>
    <cellStyle name="Subtitle 3 42" xfId="38342"/>
    <cellStyle name="Subtitle 3 42 2" xfId="38343"/>
    <cellStyle name="Subtitle 3 43" xfId="38344"/>
    <cellStyle name="Subtitle 3 43 2" xfId="38345"/>
    <cellStyle name="Subtitle 3 44" xfId="38346"/>
    <cellStyle name="Subtitle 3 44 2" xfId="38347"/>
    <cellStyle name="Subtitle 3 45" xfId="38348"/>
    <cellStyle name="Subtitle 3 45 2" xfId="38349"/>
    <cellStyle name="Subtitle 3 46" xfId="38350"/>
    <cellStyle name="Subtitle 3 46 2" xfId="38351"/>
    <cellStyle name="Subtitle 3 47" xfId="38352"/>
    <cellStyle name="Subtitle 3 47 2" xfId="38353"/>
    <cellStyle name="Subtitle 3 48" xfId="38354"/>
    <cellStyle name="Subtitle 3 48 2" xfId="38355"/>
    <cellStyle name="Subtitle 3 49" xfId="38356"/>
    <cellStyle name="Subtitle 3 49 2" xfId="38357"/>
    <cellStyle name="Subtitle 3 5" xfId="38358"/>
    <cellStyle name="Subtitle 3 5 2" xfId="38359"/>
    <cellStyle name="Subtitle 3 50" xfId="38360"/>
    <cellStyle name="Subtitle 3 50 2" xfId="38361"/>
    <cellStyle name="Subtitle 3 51" xfId="38362"/>
    <cellStyle name="Subtitle 3 51 2" xfId="38363"/>
    <cellStyle name="Subtitle 3 52" xfId="38364"/>
    <cellStyle name="Subtitle 3 53" xfId="38365"/>
    <cellStyle name="Subtitle 3 54" xfId="38366"/>
    <cellStyle name="Subtitle 3 55" xfId="38367"/>
    <cellStyle name="Subtitle 3 56" xfId="38368"/>
    <cellStyle name="Subtitle 3 57" xfId="38369"/>
    <cellStyle name="Subtitle 3 58" xfId="38370"/>
    <cellStyle name="Subtitle 3 59" xfId="38371"/>
    <cellStyle name="Subtitle 3 6" xfId="38372"/>
    <cellStyle name="Subtitle 3 6 2" xfId="38373"/>
    <cellStyle name="Subtitle 3 60" xfId="38374"/>
    <cellStyle name="Subtitle 3 61" xfId="38375"/>
    <cellStyle name="Subtitle 3 62" xfId="38376"/>
    <cellStyle name="Subtitle 3 63" xfId="38377"/>
    <cellStyle name="Subtitle 3 64" xfId="38378"/>
    <cellStyle name="Subtitle 3 65" xfId="38379"/>
    <cellStyle name="Subtitle 3 66" xfId="38380"/>
    <cellStyle name="Subtitle 3 67" xfId="38381"/>
    <cellStyle name="Subtitle 3 68" xfId="38382"/>
    <cellStyle name="Subtitle 3 69" xfId="38383"/>
    <cellStyle name="Subtitle 3 7" xfId="38384"/>
    <cellStyle name="Subtitle 3 7 2" xfId="38385"/>
    <cellStyle name="Subtitle 3 70" xfId="38386"/>
    <cellStyle name="Subtitle 3 71" xfId="38387"/>
    <cellStyle name="Subtitle 3 72" xfId="38388"/>
    <cellStyle name="Subtitle 3 73" xfId="38389"/>
    <cellStyle name="Subtitle 3 74" xfId="38390"/>
    <cellStyle name="Subtitle 3 75" xfId="38391"/>
    <cellStyle name="Subtitle 3 76" xfId="38392"/>
    <cellStyle name="Subtitle 3 77" xfId="38393"/>
    <cellStyle name="Subtitle 3 78" xfId="38394"/>
    <cellStyle name="Subtitle 3 79" xfId="38395"/>
    <cellStyle name="Subtitle 3 8" xfId="38396"/>
    <cellStyle name="Subtitle 3 8 2" xfId="38397"/>
    <cellStyle name="Subtitle 3 80" xfId="38398"/>
    <cellStyle name="Subtitle 3 81" xfId="38399"/>
    <cellStyle name="Subtitle 3 82" xfId="38400"/>
    <cellStyle name="Subtitle 3 83" xfId="38401"/>
    <cellStyle name="Subtitle 3 84" xfId="38402"/>
    <cellStyle name="Subtitle 3 85" xfId="38403"/>
    <cellStyle name="Subtitle 3 86" xfId="38404"/>
    <cellStyle name="Subtitle 3 87" xfId="38405"/>
    <cellStyle name="Subtitle 3 88" xfId="38406"/>
    <cellStyle name="Subtitle 3 89" xfId="38407"/>
    <cellStyle name="Subtitle 3 9" xfId="38408"/>
    <cellStyle name="Subtitle 3 9 2" xfId="38409"/>
    <cellStyle name="Subtitle 3 90" xfId="38410"/>
    <cellStyle name="Subtitle 3 91" xfId="38411"/>
    <cellStyle name="Subtitle 3 92" xfId="38412"/>
    <cellStyle name="Subtitle 3 93" xfId="38413"/>
    <cellStyle name="Subtitle 3 94" xfId="38414"/>
    <cellStyle name="Subtitle 3 95" xfId="38415"/>
    <cellStyle name="Subtitle 3 96" xfId="38416"/>
    <cellStyle name="Subtitle 3 97" xfId="38417"/>
    <cellStyle name="Subtitle 3 98" xfId="38418"/>
    <cellStyle name="Subtitle 3 99" xfId="38419"/>
    <cellStyle name="Subtitle 3_NYMEX FUTURES" xfId="38420"/>
    <cellStyle name="Subtitle 4" xfId="38421"/>
    <cellStyle name="Subtitle 4 10" xfId="38422"/>
    <cellStyle name="Subtitle 4 10 2" xfId="38423"/>
    <cellStyle name="Subtitle 4 100" xfId="38424"/>
    <cellStyle name="Subtitle 4 101" xfId="38425"/>
    <cellStyle name="Subtitle 4 102" xfId="38426"/>
    <cellStyle name="Subtitle 4 103" xfId="38427"/>
    <cellStyle name="Subtitle 4 104" xfId="38428"/>
    <cellStyle name="Subtitle 4 105" xfId="38429"/>
    <cellStyle name="Subtitle 4 106" xfId="38430"/>
    <cellStyle name="Subtitle 4 107" xfId="38431"/>
    <cellStyle name="Subtitle 4 108" xfId="38432"/>
    <cellStyle name="Subtitle 4 109" xfId="38433"/>
    <cellStyle name="Subtitle 4 11" xfId="38434"/>
    <cellStyle name="Subtitle 4 11 2" xfId="38435"/>
    <cellStyle name="Subtitle 4 110" xfId="38436"/>
    <cellStyle name="Subtitle 4 111" xfId="38437"/>
    <cellStyle name="Subtitle 4 112" xfId="38438"/>
    <cellStyle name="Subtitle 4 113" xfId="38439"/>
    <cellStyle name="Subtitle 4 114" xfId="38440"/>
    <cellStyle name="Subtitle 4 115" xfId="38441"/>
    <cellStyle name="Subtitle 4 116" xfId="38442"/>
    <cellStyle name="Subtitle 4 12" xfId="38443"/>
    <cellStyle name="Subtitle 4 12 2" xfId="38444"/>
    <cellStyle name="Subtitle 4 13" xfId="38445"/>
    <cellStyle name="Subtitle 4 13 2" xfId="38446"/>
    <cellStyle name="Subtitle 4 14" xfId="38447"/>
    <cellStyle name="Subtitle 4 14 2" xfId="38448"/>
    <cellStyle name="Subtitle 4 15" xfId="38449"/>
    <cellStyle name="Subtitle 4 15 2" xfId="38450"/>
    <cellStyle name="Subtitle 4 16" xfId="38451"/>
    <cellStyle name="Subtitle 4 16 2" xfId="38452"/>
    <cellStyle name="Subtitle 4 17" xfId="38453"/>
    <cellStyle name="Subtitle 4 17 2" xfId="38454"/>
    <cellStyle name="Subtitle 4 18" xfId="38455"/>
    <cellStyle name="Subtitle 4 18 2" xfId="38456"/>
    <cellStyle name="Subtitle 4 19" xfId="38457"/>
    <cellStyle name="Subtitle 4 19 2" xfId="38458"/>
    <cellStyle name="Subtitle 4 2" xfId="38459"/>
    <cellStyle name="Subtitle 4 2 2" xfId="38460"/>
    <cellStyle name="Subtitle 4 20" xfId="38461"/>
    <cellStyle name="Subtitle 4 20 2" xfId="38462"/>
    <cellStyle name="Subtitle 4 21" xfId="38463"/>
    <cellStyle name="Subtitle 4 21 2" xfId="38464"/>
    <cellStyle name="Subtitle 4 22" xfId="38465"/>
    <cellStyle name="Subtitle 4 22 2" xfId="38466"/>
    <cellStyle name="Subtitle 4 23" xfId="38467"/>
    <cellStyle name="Subtitle 4 23 2" xfId="38468"/>
    <cellStyle name="Subtitle 4 24" xfId="38469"/>
    <cellStyle name="Subtitle 4 24 2" xfId="38470"/>
    <cellStyle name="Subtitle 4 25" xfId="38471"/>
    <cellStyle name="Subtitle 4 25 2" xfId="38472"/>
    <cellStyle name="Subtitle 4 26" xfId="38473"/>
    <cellStyle name="Subtitle 4 26 2" xfId="38474"/>
    <cellStyle name="Subtitle 4 27" xfId="38475"/>
    <cellStyle name="Subtitle 4 27 2" xfId="38476"/>
    <cellStyle name="Subtitle 4 28" xfId="38477"/>
    <cellStyle name="Subtitle 4 28 2" xfId="38478"/>
    <cellStyle name="Subtitle 4 29" xfId="38479"/>
    <cellStyle name="Subtitle 4 29 2" xfId="38480"/>
    <cellStyle name="Subtitle 4 3" xfId="38481"/>
    <cellStyle name="Subtitle 4 3 2" xfId="38482"/>
    <cellStyle name="Subtitle 4 30" xfId="38483"/>
    <cellStyle name="Subtitle 4 30 2" xfId="38484"/>
    <cellStyle name="Subtitle 4 31" xfId="38485"/>
    <cellStyle name="Subtitle 4 31 2" xfId="38486"/>
    <cellStyle name="Subtitle 4 32" xfId="38487"/>
    <cellStyle name="Subtitle 4 32 2" xfId="38488"/>
    <cellStyle name="Subtitle 4 33" xfId="38489"/>
    <cellStyle name="Subtitle 4 33 2" xfId="38490"/>
    <cellStyle name="Subtitle 4 34" xfId="38491"/>
    <cellStyle name="Subtitle 4 34 2" xfId="38492"/>
    <cellStyle name="Subtitle 4 35" xfId="38493"/>
    <cellStyle name="Subtitle 4 35 2" xfId="38494"/>
    <cellStyle name="Subtitle 4 36" xfId="38495"/>
    <cellStyle name="Subtitle 4 36 2" xfId="38496"/>
    <cellStyle name="Subtitle 4 37" xfId="38497"/>
    <cellStyle name="Subtitle 4 37 2" xfId="38498"/>
    <cellStyle name="Subtitle 4 38" xfId="38499"/>
    <cellStyle name="Subtitle 4 38 2" xfId="38500"/>
    <cellStyle name="Subtitle 4 39" xfId="38501"/>
    <cellStyle name="Subtitle 4 39 2" xfId="38502"/>
    <cellStyle name="Subtitle 4 4" xfId="38503"/>
    <cellStyle name="Subtitle 4 4 2" xfId="38504"/>
    <cellStyle name="Subtitle 4 40" xfId="38505"/>
    <cellStyle name="Subtitle 4 40 2" xfId="38506"/>
    <cellStyle name="Subtitle 4 41" xfId="38507"/>
    <cellStyle name="Subtitle 4 41 2" xfId="38508"/>
    <cellStyle name="Subtitle 4 42" xfId="38509"/>
    <cellStyle name="Subtitle 4 42 2" xfId="38510"/>
    <cellStyle name="Subtitle 4 43" xfId="38511"/>
    <cellStyle name="Subtitle 4 43 2" xfId="38512"/>
    <cellStyle name="Subtitle 4 44" xfId="38513"/>
    <cellStyle name="Subtitle 4 44 2" xfId="38514"/>
    <cellStyle name="Subtitle 4 45" xfId="38515"/>
    <cellStyle name="Subtitle 4 45 2" xfId="38516"/>
    <cellStyle name="Subtitle 4 46" xfId="38517"/>
    <cellStyle name="Subtitle 4 46 2" xfId="38518"/>
    <cellStyle name="Subtitle 4 47" xfId="38519"/>
    <cellStyle name="Subtitle 4 47 2" xfId="38520"/>
    <cellStyle name="Subtitle 4 48" xfId="38521"/>
    <cellStyle name="Subtitle 4 48 2" xfId="38522"/>
    <cellStyle name="Subtitle 4 49" xfId="38523"/>
    <cellStyle name="Subtitle 4 49 2" xfId="38524"/>
    <cellStyle name="Subtitle 4 5" xfId="38525"/>
    <cellStyle name="Subtitle 4 5 2" xfId="38526"/>
    <cellStyle name="Subtitle 4 50" xfId="38527"/>
    <cellStyle name="Subtitle 4 50 2" xfId="38528"/>
    <cellStyle name="Subtitle 4 51" xfId="38529"/>
    <cellStyle name="Subtitle 4 51 2" xfId="38530"/>
    <cellStyle name="Subtitle 4 52" xfId="38531"/>
    <cellStyle name="Subtitle 4 53" xfId="38532"/>
    <cellStyle name="Subtitle 4 54" xfId="38533"/>
    <cellStyle name="Subtitle 4 55" xfId="38534"/>
    <cellStyle name="Subtitle 4 56" xfId="38535"/>
    <cellStyle name="Subtitle 4 57" xfId="38536"/>
    <cellStyle name="Subtitle 4 58" xfId="38537"/>
    <cellStyle name="Subtitle 4 59" xfId="38538"/>
    <cellStyle name="Subtitle 4 6" xfId="38539"/>
    <cellStyle name="Subtitle 4 6 2" xfId="38540"/>
    <cellStyle name="Subtitle 4 60" xfId="38541"/>
    <cellStyle name="Subtitle 4 61" xfId="38542"/>
    <cellStyle name="Subtitle 4 62" xfId="38543"/>
    <cellStyle name="Subtitle 4 63" xfId="38544"/>
    <cellStyle name="Subtitle 4 64" xfId="38545"/>
    <cellStyle name="Subtitle 4 65" xfId="38546"/>
    <cellStyle name="Subtitle 4 66" xfId="38547"/>
    <cellStyle name="Subtitle 4 67" xfId="38548"/>
    <cellStyle name="Subtitle 4 68" xfId="38549"/>
    <cellStyle name="Subtitle 4 69" xfId="38550"/>
    <cellStyle name="Subtitle 4 7" xfId="38551"/>
    <cellStyle name="Subtitle 4 7 2" xfId="38552"/>
    <cellStyle name="Subtitle 4 70" xfId="38553"/>
    <cellStyle name="Subtitle 4 71" xfId="38554"/>
    <cellStyle name="Subtitle 4 72" xfId="38555"/>
    <cellStyle name="Subtitle 4 73" xfId="38556"/>
    <cellStyle name="Subtitle 4 74" xfId="38557"/>
    <cellStyle name="Subtitle 4 75" xfId="38558"/>
    <cellStyle name="Subtitle 4 76" xfId="38559"/>
    <cellStyle name="Subtitle 4 77" xfId="38560"/>
    <cellStyle name="Subtitle 4 78" xfId="38561"/>
    <cellStyle name="Subtitle 4 79" xfId="38562"/>
    <cellStyle name="Subtitle 4 8" xfId="38563"/>
    <cellStyle name="Subtitle 4 8 2" xfId="38564"/>
    <cellStyle name="Subtitle 4 80" xfId="38565"/>
    <cellStyle name="Subtitle 4 81" xfId="38566"/>
    <cellStyle name="Subtitle 4 82" xfId="38567"/>
    <cellStyle name="Subtitle 4 83" xfId="38568"/>
    <cellStyle name="Subtitle 4 84" xfId="38569"/>
    <cellStyle name="Subtitle 4 85" xfId="38570"/>
    <cellStyle name="Subtitle 4 86" xfId="38571"/>
    <cellStyle name="Subtitle 4 87" xfId="38572"/>
    <cellStyle name="Subtitle 4 88" xfId="38573"/>
    <cellStyle name="Subtitle 4 89" xfId="38574"/>
    <cellStyle name="Subtitle 4 9" xfId="38575"/>
    <cellStyle name="Subtitle 4 9 2" xfId="38576"/>
    <cellStyle name="Subtitle 4 90" xfId="38577"/>
    <cellStyle name="Subtitle 4 91" xfId="38578"/>
    <cellStyle name="Subtitle 4 92" xfId="38579"/>
    <cellStyle name="Subtitle 4 93" xfId="38580"/>
    <cellStyle name="Subtitle 4 94" xfId="38581"/>
    <cellStyle name="Subtitle 4 95" xfId="38582"/>
    <cellStyle name="Subtitle 4 96" xfId="38583"/>
    <cellStyle name="Subtitle 4 97" xfId="38584"/>
    <cellStyle name="Subtitle 4 98" xfId="38585"/>
    <cellStyle name="Subtitle 4 99" xfId="38586"/>
    <cellStyle name="Subtitle 4_NYMEX FUTURES" xfId="38587"/>
    <cellStyle name="Subtitle 5" xfId="38588"/>
    <cellStyle name="Subtitle 5 10" xfId="38589"/>
    <cellStyle name="Subtitle 5 10 2" xfId="38590"/>
    <cellStyle name="Subtitle 5 100" xfId="38591"/>
    <cellStyle name="Subtitle 5 101" xfId="38592"/>
    <cellStyle name="Subtitle 5 102" xfId="38593"/>
    <cellStyle name="Subtitle 5 103" xfId="38594"/>
    <cellStyle name="Subtitle 5 104" xfId="38595"/>
    <cellStyle name="Subtitle 5 105" xfId="38596"/>
    <cellStyle name="Subtitle 5 106" xfId="38597"/>
    <cellStyle name="Subtitle 5 107" xfId="38598"/>
    <cellStyle name="Subtitle 5 108" xfId="38599"/>
    <cellStyle name="Subtitle 5 109" xfId="38600"/>
    <cellStyle name="Subtitle 5 11" xfId="38601"/>
    <cellStyle name="Subtitle 5 11 2" xfId="38602"/>
    <cellStyle name="Subtitle 5 110" xfId="38603"/>
    <cellStyle name="Subtitle 5 111" xfId="38604"/>
    <cellStyle name="Subtitle 5 112" xfId="38605"/>
    <cellStyle name="Subtitle 5 113" xfId="38606"/>
    <cellStyle name="Subtitle 5 114" xfId="38607"/>
    <cellStyle name="Subtitle 5 115" xfId="38608"/>
    <cellStyle name="Subtitle 5 116" xfId="38609"/>
    <cellStyle name="Subtitle 5 12" xfId="38610"/>
    <cellStyle name="Subtitle 5 12 2" xfId="38611"/>
    <cellStyle name="Subtitle 5 13" xfId="38612"/>
    <cellStyle name="Subtitle 5 13 2" xfId="38613"/>
    <cellStyle name="Subtitle 5 14" xfId="38614"/>
    <cellStyle name="Subtitle 5 14 2" xfId="38615"/>
    <cellStyle name="Subtitle 5 15" xfId="38616"/>
    <cellStyle name="Subtitle 5 15 2" xfId="38617"/>
    <cellStyle name="Subtitle 5 16" xfId="38618"/>
    <cellStyle name="Subtitle 5 16 2" xfId="38619"/>
    <cellStyle name="Subtitle 5 17" xfId="38620"/>
    <cellStyle name="Subtitle 5 17 2" xfId="38621"/>
    <cellStyle name="Subtitle 5 18" xfId="38622"/>
    <cellStyle name="Subtitle 5 18 2" xfId="38623"/>
    <cellStyle name="Subtitle 5 19" xfId="38624"/>
    <cellStyle name="Subtitle 5 19 2" xfId="38625"/>
    <cellStyle name="Subtitle 5 2" xfId="38626"/>
    <cellStyle name="Subtitle 5 2 2" xfId="38627"/>
    <cellStyle name="Subtitle 5 20" xfId="38628"/>
    <cellStyle name="Subtitle 5 20 2" xfId="38629"/>
    <cellStyle name="Subtitle 5 21" xfId="38630"/>
    <cellStyle name="Subtitle 5 21 2" xfId="38631"/>
    <cellStyle name="Subtitle 5 22" xfId="38632"/>
    <cellStyle name="Subtitle 5 22 2" xfId="38633"/>
    <cellStyle name="Subtitle 5 23" xfId="38634"/>
    <cellStyle name="Subtitle 5 23 2" xfId="38635"/>
    <cellStyle name="Subtitle 5 24" xfId="38636"/>
    <cellStyle name="Subtitle 5 24 2" xfId="38637"/>
    <cellStyle name="Subtitle 5 25" xfId="38638"/>
    <cellStyle name="Subtitle 5 25 2" xfId="38639"/>
    <cellStyle name="Subtitle 5 26" xfId="38640"/>
    <cellStyle name="Subtitle 5 26 2" xfId="38641"/>
    <cellStyle name="Subtitle 5 27" xfId="38642"/>
    <cellStyle name="Subtitle 5 27 2" xfId="38643"/>
    <cellStyle name="Subtitle 5 28" xfId="38644"/>
    <cellStyle name="Subtitle 5 28 2" xfId="38645"/>
    <cellStyle name="Subtitle 5 29" xfId="38646"/>
    <cellStyle name="Subtitle 5 29 2" xfId="38647"/>
    <cellStyle name="Subtitle 5 3" xfId="38648"/>
    <cellStyle name="Subtitle 5 3 2" xfId="38649"/>
    <cellStyle name="Subtitle 5 30" xfId="38650"/>
    <cellStyle name="Subtitle 5 30 2" xfId="38651"/>
    <cellStyle name="Subtitle 5 31" xfId="38652"/>
    <cellStyle name="Subtitle 5 31 2" xfId="38653"/>
    <cellStyle name="Subtitle 5 32" xfId="38654"/>
    <cellStyle name="Subtitle 5 32 2" xfId="38655"/>
    <cellStyle name="Subtitle 5 33" xfId="38656"/>
    <cellStyle name="Subtitle 5 33 2" xfId="38657"/>
    <cellStyle name="Subtitle 5 34" xfId="38658"/>
    <cellStyle name="Subtitle 5 34 2" xfId="38659"/>
    <cellStyle name="Subtitle 5 35" xfId="38660"/>
    <cellStyle name="Subtitle 5 35 2" xfId="38661"/>
    <cellStyle name="Subtitle 5 36" xfId="38662"/>
    <cellStyle name="Subtitle 5 36 2" xfId="38663"/>
    <cellStyle name="Subtitle 5 37" xfId="38664"/>
    <cellStyle name="Subtitle 5 37 2" xfId="38665"/>
    <cellStyle name="Subtitle 5 38" xfId="38666"/>
    <cellStyle name="Subtitle 5 38 2" xfId="38667"/>
    <cellStyle name="Subtitle 5 39" xfId="38668"/>
    <cellStyle name="Subtitle 5 39 2" xfId="38669"/>
    <cellStyle name="Subtitle 5 4" xfId="38670"/>
    <cellStyle name="Subtitle 5 4 2" xfId="38671"/>
    <cellStyle name="Subtitle 5 40" xfId="38672"/>
    <cellStyle name="Subtitle 5 40 2" xfId="38673"/>
    <cellStyle name="Subtitle 5 41" xfId="38674"/>
    <cellStyle name="Subtitle 5 41 2" xfId="38675"/>
    <cellStyle name="Subtitle 5 42" xfId="38676"/>
    <cellStyle name="Subtitle 5 42 2" xfId="38677"/>
    <cellStyle name="Subtitle 5 43" xfId="38678"/>
    <cellStyle name="Subtitle 5 43 2" xfId="38679"/>
    <cellStyle name="Subtitle 5 44" xfId="38680"/>
    <cellStyle name="Subtitle 5 44 2" xfId="38681"/>
    <cellStyle name="Subtitle 5 45" xfId="38682"/>
    <cellStyle name="Subtitle 5 45 2" xfId="38683"/>
    <cellStyle name="Subtitle 5 46" xfId="38684"/>
    <cellStyle name="Subtitle 5 46 2" xfId="38685"/>
    <cellStyle name="Subtitle 5 47" xfId="38686"/>
    <cellStyle name="Subtitle 5 47 2" xfId="38687"/>
    <cellStyle name="Subtitle 5 48" xfId="38688"/>
    <cellStyle name="Subtitle 5 48 2" xfId="38689"/>
    <cellStyle name="Subtitle 5 49" xfId="38690"/>
    <cellStyle name="Subtitle 5 49 2" xfId="38691"/>
    <cellStyle name="Subtitle 5 5" xfId="38692"/>
    <cellStyle name="Subtitle 5 5 2" xfId="38693"/>
    <cellStyle name="Subtitle 5 50" xfId="38694"/>
    <cellStyle name="Subtitle 5 50 2" xfId="38695"/>
    <cellStyle name="Subtitle 5 51" xfId="38696"/>
    <cellStyle name="Subtitle 5 51 2" xfId="38697"/>
    <cellStyle name="Subtitle 5 52" xfId="38698"/>
    <cellStyle name="Subtitle 5 53" xfId="38699"/>
    <cellStyle name="Subtitle 5 54" xfId="38700"/>
    <cellStyle name="Subtitle 5 55" xfId="38701"/>
    <cellStyle name="Subtitle 5 56" xfId="38702"/>
    <cellStyle name="Subtitle 5 57" xfId="38703"/>
    <cellStyle name="Subtitle 5 58" xfId="38704"/>
    <cellStyle name="Subtitle 5 59" xfId="38705"/>
    <cellStyle name="Subtitle 5 6" xfId="38706"/>
    <cellStyle name="Subtitle 5 6 2" xfId="38707"/>
    <cellStyle name="Subtitle 5 60" xfId="38708"/>
    <cellStyle name="Subtitle 5 61" xfId="38709"/>
    <cellStyle name="Subtitle 5 62" xfId="38710"/>
    <cellStyle name="Subtitle 5 63" xfId="38711"/>
    <cellStyle name="Subtitle 5 64" xfId="38712"/>
    <cellStyle name="Subtitle 5 65" xfId="38713"/>
    <cellStyle name="Subtitle 5 66" xfId="38714"/>
    <cellStyle name="Subtitle 5 67" xfId="38715"/>
    <cellStyle name="Subtitle 5 68" xfId="38716"/>
    <cellStyle name="Subtitle 5 69" xfId="38717"/>
    <cellStyle name="Subtitle 5 7" xfId="38718"/>
    <cellStyle name="Subtitle 5 7 2" xfId="38719"/>
    <cellStyle name="Subtitle 5 70" xfId="38720"/>
    <cellStyle name="Subtitle 5 71" xfId="38721"/>
    <cellStyle name="Subtitle 5 72" xfId="38722"/>
    <cellStyle name="Subtitle 5 73" xfId="38723"/>
    <cellStyle name="Subtitle 5 74" xfId="38724"/>
    <cellStyle name="Subtitle 5 75" xfId="38725"/>
    <cellStyle name="Subtitle 5 76" xfId="38726"/>
    <cellStyle name="Subtitle 5 77" xfId="38727"/>
    <cellStyle name="Subtitle 5 78" xfId="38728"/>
    <cellStyle name="Subtitle 5 79" xfId="38729"/>
    <cellStyle name="Subtitle 5 8" xfId="38730"/>
    <cellStyle name="Subtitle 5 8 2" xfId="38731"/>
    <cellStyle name="Subtitle 5 80" xfId="38732"/>
    <cellStyle name="Subtitle 5 81" xfId="38733"/>
    <cellStyle name="Subtitle 5 82" xfId="38734"/>
    <cellStyle name="Subtitle 5 83" xfId="38735"/>
    <cellStyle name="Subtitle 5 84" xfId="38736"/>
    <cellStyle name="Subtitle 5 85" xfId="38737"/>
    <cellStyle name="Subtitle 5 86" xfId="38738"/>
    <cellStyle name="Subtitle 5 87" xfId="38739"/>
    <cellStyle name="Subtitle 5 88" xfId="38740"/>
    <cellStyle name="Subtitle 5 89" xfId="38741"/>
    <cellStyle name="Subtitle 5 9" xfId="38742"/>
    <cellStyle name="Subtitle 5 9 2" xfId="38743"/>
    <cellStyle name="Subtitle 5 90" xfId="38744"/>
    <cellStyle name="Subtitle 5 91" xfId="38745"/>
    <cellStyle name="Subtitle 5 92" xfId="38746"/>
    <cellStyle name="Subtitle 5 93" xfId="38747"/>
    <cellStyle name="Subtitle 5 94" xfId="38748"/>
    <cellStyle name="Subtitle 5 95" xfId="38749"/>
    <cellStyle name="Subtitle 5 96" xfId="38750"/>
    <cellStyle name="Subtitle 5 97" xfId="38751"/>
    <cellStyle name="Subtitle 5 98" xfId="38752"/>
    <cellStyle name="Subtitle 5 99" xfId="38753"/>
    <cellStyle name="Subtitle 5_NYMEX FUTURES" xfId="38754"/>
    <cellStyle name="Subtitle 6" xfId="38755"/>
    <cellStyle name="Subtitle 6 10" xfId="38756"/>
    <cellStyle name="Subtitle 6 10 2" xfId="38757"/>
    <cellStyle name="Subtitle 6 100" xfId="38758"/>
    <cellStyle name="Subtitle 6 101" xfId="38759"/>
    <cellStyle name="Subtitle 6 102" xfId="38760"/>
    <cellStyle name="Subtitle 6 103" xfId="38761"/>
    <cellStyle name="Subtitle 6 104" xfId="38762"/>
    <cellStyle name="Subtitle 6 105" xfId="38763"/>
    <cellStyle name="Subtitle 6 106" xfId="38764"/>
    <cellStyle name="Subtitle 6 107" xfId="38765"/>
    <cellStyle name="Subtitle 6 108" xfId="38766"/>
    <cellStyle name="Subtitle 6 109" xfId="38767"/>
    <cellStyle name="Subtitle 6 11" xfId="38768"/>
    <cellStyle name="Subtitle 6 11 2" xfId="38769"/>
    <cellStyle name="Subtitle 6 110" xfId="38770"/>
    <cellStyle name="Subtitle 6 111" xfId="38771"/>
    <cellStyle name="Subtitle 6 112" xfId="38772"/>
    <cellStyle name="Subtitle 6 113" xfId="38773"/>
    <cellStyle name="Subtitle 6 114" xfId="38774"/>
    <cellStyle name="Subtitle 6 115" xfId="38775"/>
    <cellStyle name="Subtitle 6 116" xfId="38776"/>
    <cellStyle name="Subtitle 6 12" xfId="38777"/>
    <cellStyle name="Subtitle 6 12 2" xfId="38778"/>
    <cellStyle name="Subtitle 6 13" xfId="38779"/>
    <cellStyle name="Subtitle 6 13 2" xfId="38780"/>
    <cellStyle name="Subtitle 6 14" xfId="38781"/>
    <cellStyle name="Subtitle 6 14 2" xfId="38782"/>
    <cellStyle name="Subtitle 6 15" xfId="38783"/>
    <cellStyle name="Subtitle 6 15 2" xfId="38784"/>
    <cellStyle name="Subtitle 6 16" xfId="38785"/>
    <cellStyle name="Subtitle 6 16 2" xfId="38786"/>
    <cellStyle name="Subtitle 6 17" xfId="38787"/>
    <cellStyle name="Subtitle 6 17 2" xfId="38788"/>
    <cellStyle name="Subtitle 6 18" xfId="38789"/>
    <cellStyle name="Subtitle 6 18 2" xfId="38790"/>
    <cellStyle name="Subtitle 6 19" xfId="38791"/>
    <cellStyle name="Subtitle 6 19 2" xfId="38792"/>
    <cellStyle name="Subtitle 6 2" xfId="38793"/>
    <cellStyle name="Subtitle 6 2 2" xfId="38794"/>
    <cellStyle name="Subtitle 6 20" xfId="38795"/>
    <cellStyle name="Subtitle 6 20 2" xfId="38796"/>
    <cellStyle name="Subtitle 6 21" xfId="38797"/>
    <cellStyle name="Subtitle 6 21 2" xfId="38798"/>
    <cellStyle name="Subtitle 6 22" xfId="38799"/>
    <cellStyle name="Subtitle 6 22 2" xfId="38800"/>
    <cellStyle name="Subtitle 6 23" xfId="38801"/>
    <cellStyle name="Subtitle 6 23 2" xfId="38802"/>
    <cellStyle name="Subtitle 6 24" xfId="38803"/>
    <cellStyle name="Subtitle 6 24 2" xfId="38804"/>
    <cellStyle name="Subtitle 6 25" xfId="38805"/>
    <cellStyle name="Subtitle 6 25 2" xfId="38806"/>
    <cellStyle name="Subtitle 6 26" xfId="38807"/>
    <cellStyle name="Subtitle 6 26 2" xfId="38808"/>
    <cellStyle name="Subtitle 6 27" xfId="38809"/>
    <cellStyle name="Subtitle 6 27 2" xfId="38810"/>
    <cellStyle name="Subtitle 6 28" xfId="38811"/>
    <cellStyle name="Subtitle 6 28 2" xfId="38812"/>
    <cellStyle name="Subtitle 6 29" xfId="38813"/>
    <cellStyle name="Subtitle 6 29 2" xfId="38814"/>
    <cellStyle name="Subtitle 6 3" xfId="38815"/>
    <cellStyle name="Subtitle 6 3 2" xfId="38816"/>
    <cellStyle name="Subtitle 6 30" xfId="38817"/>
    <cellStyle name="Subtitle 6 30 2" xfId="38818"/>
    <cellStyle name="Subtitle 6 31" xfId="38819"/>
    <cellStyle name="Subtitle 6 31 2" xfId="38820"/>
    <cellStyle name="Subtitle 6 32" xfId="38821"/>
    <cellStyle name="Subtitle 6 32 2" xfId="38822"/>
    <cellStyle name="Subtitle 6 33" xfId="38823"/>
    <cellStyle name="Subtitle 6 33 2" xfId="38824"/>
    <cellStyle name="Subtitle 6 34" xfId="38825"/>
    <cellStyle name="Subtitle 6 34 2" xfId="38826"/>
    <cellStyle name="Subtitle 6 35" xfId="38827"/>
    <cellStyle name="Subtitle 6 35 2" xfId="38828"/>
    <cellStyle name="Subtitle 6 36" xfId="38829"/>
    <cellStyle name="Subtitle 6 36 2" xfId="38830"/>
    <cellStyle name="Subtitle 6 37" xfId="38831"/>
    <cellStyle name="Subtitle 6 37 2" xfId="38832"/>
    <cellStyle name="Subtitle 6 38" xfId="38833"/>
    <cellStyle name="Subtitle 6 38 2" xfId="38834"/>
    <cellStyle name="Subtitle 6 39" xfId="38835"/>
    <cellStyle name="Subtitle 6 39 2" xfId="38836"/>
    <cellStyle name="Subtitle 6 4" xfId="38837"/>
    <cellStyle name="Subtitle 6 4 2" xfId="38838"/>
    <cellStyle name="Subtitle 6 40" xfId="38839"/>
    <cellStyle name="Subtitle 6 40 2" xfId="38840"/>
    <cellStyle name="Subtitle 6 41" xfId="38841"/>
    <cellStyle name="Subtitle 6 41 2" xfId="38842"/>
    <cellStyle name="Subtitle 6 42" xfId="38843"/>
    <cellStyle name="Subtitle 6 42 2" xfId="38844"/>
    <cellStyle name="Subtitle 6 43" xfId="38845"/>
    <cellStyle name="Subtitle 6 43 2" xfId="38846"/>
    <cellStyle name="Subtitle 6 44" xfId="38847"/>
    <cellStyle name="Subtitle 6 44 2" xfId="38848"/>
    <cellStyle name="Subtitle 6 45" xfId="38849"/>
    <cellStyle name="Subtitle 6 45 2" xfId="38850"/>
    <cellStyle name="Subtitle 6 46" xfId="38851"/>
    <cellStyle name="Subtitle 6 46 2" xfId="38852"/>
    <cellStyle name="Subtitle 6 47" xfId="38853"/>
    <cellStyle name="Subtitle 6 47 2" xfId="38854"/>
    <cellStyle name="Subtitle 6 48" xfId="38855"/>
    <cellStyle name="Subtitle 6 48 2" xfId="38856"/>
    <cellStyle name="Subtitle 6 49" xfId="38857"/>
    <cellStyle name="Subtitle 6 49 2" xfId="38858"/>
    <cellStyle name="Subtitle 6 5" xfId="38859"/>
    <cellStyle name="Subtitle 6 5 2" xfId="38860"/>
    <cellStyle name="Subtitle 6 50" xfId="38861"/>
    <cellStyle name="Subtitle 6 50 2" xfId="38862"/>
    <cellStyle name="Subtitle 6 51" xfId="38863"/>
    <cellStyle name="Subtitle 6 51 2" xfId="38864"/>
    <cellStyle name="Subtitle 6 52" xfId="38865"/>
    <cellStyle name="Subtitle 6 53" xfId="38866"/>
    <cellStyle name="Subtitle 6 54" xfId="38867"/>
    <cellStyle name="Subtitle 6 55" xfId="38868"/>
    <cellStyle name="Subtitle 6 56" xfId="38869"/>
    <cellStyle name="Subtitle 6 57" xfId="38870"/>
    <cellStyle name="Subtitle 6 58" xfId="38871"/>
    <cellStyle name="Subtitle 6 59" xfId="38872"/>
    <cellStyle name="Subtitle 6 6" xfId="38873"/>
    <cellStyle name="Subtitle 6 6 2" xfId="38874"/>
    <cellStyle name="Subtitle 6 60" xfId="38875"/>
    <cellStyle name="Subtitle 6 61" xfId="38876"/>
    <cellStyle name="Subtitle 6 62" xfId="38877"/>
    <cellStyle name="Subtitle 6 63" xfId="38878"/>
    <cellStyle name="Subtitle 6 64" xfId="38879"/>
    <cellStyle name="Subtitle 6 65" xfId="38880"/>
    <cellStyle name="Subtitle 6 66" xfId="38881"/>
    <cellStyle name="Subtitle 6 67" xfId="38882"/>
    <cellStyle name="Subtitle 6 68" xfId="38883"/>
    <cellStyle name="Subtitle 6 69" xfId="38884"/>
    <cellStyle name="Subtitle 6 7" xfId="38885"/>
    <cellStyle name="Subtitle 6 7 2" xfId="38886"/>
    <cellStyle name="Subtitle 6 70" xfId="38887"/>
    <cellStyle name="Subtitle 6 71" xfId="38888"/>
    <cellStyle name="Subtitle 6 72" xfId="38889"/>
    <cellStyle name="Subtitle 6 73" xfId="38890"/>
    <cellStyle name="Subtitle 6 74" xfId="38891"/>
    <cellStyle name="Subtitle 6 75" xfId="38892"/>
    <cellStyle name="Subtitle 6 76" xfId="38893"/>
    <cellStyle name="Subtitle 6 77" xfId="38894"/>
    <cellStyle name="Subtitle 6 78" xfId="38895"/>
    <cellStyle name="Subtitle 6 79" xfId="38896"/>
    <cellStyle name="Subtitle 6 8" xfId="38897"/>
    <cellStyle name="Subtitle 6 8 2" xfId="38898"/>
    <cellStyle name="Subtitle 6 80" xfId="38899"/>
    <cellStyle name="Subtitle 6 81" xfId="38900"/>
    <cellStyle name="Subtitle 6 82" xfId="38901"/>
    <cellStyle name="Subtitle 6 83" xfId="38902"/>
    <cellStyle name="Subtitle 6 84" xfId="38903"/>
    <cellStyle name="Subtitle 6 85" xfId="38904"/>
    <cellStyle name="Subtitle 6 86" xfId="38905"/>
    <cellStyle name="Subtitle 6 87" xfId="38906"/>
    <cellStyle name="Subtitle 6 88" xfId="38907"/>
    <cellStyle name="Subtitle 6 89" xfId="38908"/>
    <cellStyle name="Subtitle 6 9" xfId="38909"/>
    <cellStyle name="Subtitle 6 9 2" xfId="38910"/>
    <cellStyle name="Subtitle 6 90" xfId="38911"/>
    <cellStyle name="Subtitle 6 91" xfId="38912"/>
    <cellStyle name="Subtitle 6 92" xfId="38913"/>
    <cellStyle name="Subtitle 6 93" xfId="38914"/>
    <cellStyle name="Subtitle 6 94" xfId="38915"/>
    <cellStyle name="Subtitle 6 95" xfId="38916"/>
    <cellStyle name="Subtitle 6 96" xfId="38917"/>
    <cellStyle name="Subtitle 6 97" xfId="38918"/>
    <cellStyle name="Subtitle 6 98" xfId="38919"/>
    <cellStyle name="Subtitle 6 99" xfId="38920"/>
    <cellStyle name="Subtitle 6_NYMEX FUTURES" xfId="38921"/>
    <cellStyle name="Subtitle 7" xfId="38922"/>
    <cellStyle name="Subtitle 7 10" xfId="38923"/>
    <cellStyle name="Subtitle 7 10 2" xfId="38924"/>
    <cellStyle name="Subtitle 7 100" xfId="38925"/>
    <cellStyle name="Subtitle 7 101" xfId="38926"/>
    <cellStyle name="Subtitle 7 102" xfId="38927"/>
    <cellStyle name="Subtitle 7 103" xfId="38928"/>
    <cellStyle name="Subtitle 7 104" xfId="38929"/>
    <cellStyle name="Subtitle 7 105" xfId="38930"/>
    <cellStyle name="Subtitle 7 106" xfId="38931"/>
    <cellStyle name="Subtitle 7 107" xfId="38932"/>
    <cellStyle name="Subtitle 7 108" xfId="38933"/>
    <cellStyle name="Subtitle 7 109" xfId="38934"/>
    <cellStyle name="Subtitle 7 11" xfId="38935"/>
    <cellStyle name="Subtitle 7 11 2" xfId="38936"/>
    <cellStyle name="Subtitle 7 110" xfId="38937"/>
    <cellStyle name="Subtitle 7 111" xfId="38938"/>
    <cellStyle name="Subtitle 7 112" xfId="38939"/>
    <cellStyle name="Subtitle 7 113" xfId="38940"/>
    <cellStyle name="Subtitle 7 114" xfId="38941"/>
    <cellStyle name="Subtitle 7 115" xfId="38942"/>
    <cellStyle name="Subtitle 7 116" xfId="38943"/>
    <cellStyle name="Subtitle 7 12" xfId="38944"/>
    <cellStyle name="Subtitle 7 12 2" xfId="38945"/>
    <cellStyle name="Subtitle 7 13" xfId="38946"/>
    <cellStyle name="Subtitle 7 13 2" xfId="38947"/>
    <cellStyle name="Subtitle 7 14" xfId="38948"/>
    <cellStyle name="Subtitle 7 14 2" xfId="38949"/>
    <cellStyle name="Subtitle 7 15" xfId="38950"/>
    <cellStyle name="Subtitle 7 15 2" xfId="38951"/>
    <cellStyle name="Subtitle 7 16" xfId="38952"/>
    <cellStyle name="Subtitle 7 16 2" xfId="38953"/>
    <cellStyle name="Subtitle 7 17" xfId="38954"/>
    <cellStyle name="Subtitle 7 17 2" xfId="38955"/>
    <cellStyle name="Subtitle 7 18" xfId="38956"/>
    <cellStyle name="Subtitle 7 18 2" xfId="38957"/>
    <cellStyle name="Subtitle 7 19" xfId="38958"/>
    <cellStyle name="Subtitle 7 19 2" xfId="38959"/>
    <cellStyle name="Subtitle 7 2" xfId="38960"/>
    <cellStyle name="Subtitle 7 2 2" xfId="38961"/>
    <cellStyle name="Subtitle 7 20" xfId="38962"/>
    <cellStyle name="Subtitle 7 20 2" xfId="38963"/>
    <cellStyle name="Subtitle 7 21" xfId="38964"/>
    <cellStyle name="Subtitle 7 21 2" xfId="38965"/>
    <cellStyle name="Subtitle 7 22" xfId="38966"/>
    <cellStyle name="Subtitle 7 22 2" xfId="38967"/>
    <cellStyle name="Subtitle 7 23" xfId="38968"/>
    <cellStyle name="Subtitle 7 23 2" xfId="38969"/>
    <cellStyle name="Subtitle 7 24" xfId="38970"/>
    <cellStyle name="Subtitle 7 24 2" xfId="38971"/>
    <cellStyle name="Subtitle 7 25" xfId="38972"/>
    <cellStyle name="Subtitle 7 25 2" xfId="38973"/>
    <cellStyle name="Subtitle 7 26" xfId="38974"/>
    <cellStyle name="Subtitle 7 26 2" xfId="38975"/>
    <cellStyle name="Subtitle 7 27" xfId="38976"/>
    <cellStyle name="Subtitle 7 27 2" xfId="38977"/>
    <cellStyle name="Subtitle 7 28" xfId="38978"/>
    <cellStyle name="Subtitle 7 28 2" xfId="38979"/>
    <cellStyle name="Subtitle 7 29" xfId="38980"/>
    <cellStyle name="Subtitle 7 29 2" xfId="38981"/>
    <cellStyle name="Subtitle 7 3" xfId="38982"/>
    <cellStyle name="Subtitle 7 3 2" xfId="38983"/>
    <cellStyle name="Subtitle 7 30" xfId="38984"/>
    <cellStyle name="Subtitle 7 30 2" xfId="38985"/>
    <cellStyle name="Subtitle 7 31" xfId="38986"/>
    <cellStyle name="Subtitle 7 31 2" xfId="38987"/>
    <cellStyle name="Subtitle 7 32" xfId="38988"/>
    <cellStyle name="Subtitle 7 32 2" xfId="38989"/>
    <cellStyle name="Subtitle 7 33" xfId="38990"/>
    <cellStyle name="Subtitle 7 33 2" xfId="38991"/>
    <cellStyle name="Subtitle 7 34" xfId="38992"/>
    <cellStyle name="Subtitle 7 34 2" xfId="38993"/>
    <cellStyle name="Subtitle 7 35" xfId="38994"/>
    <cellStyle name="Subtitle 7 35 2" xfId="38995"/>
    <cellStyle name="Subtitle 7 36" xfId="38996"/>
    <cellStyle name="Subtitle 7 36 2" xfId="38997"/>
    <cellStyle name="Subtitle 7 37" xfId="38998"/>
    <cellStyle name="Subtitle 7 37 2" xfId="38999"/>
    <cellStyle name="Subtitle 7 38" xfId="39000"/>
    <cellStyle name="Subtitle 7 38 2" xfId="39001"/>
    <cellStyle name="Subtitle 7 39" xfId="39002"/>
    <cellStyle name="Subtitle 7 39 2" xfId="39003"/>
    <cellStyle name="Subtitle 7 4" xfId="39004"/>
    <cellStyle name="Subtitle 7 4 2" xfId="39005"/>
    <cellStyle name="Subtitle 7 40" xfId="39006"/>
    <cellStyle name="Subtitle 7 40 2" xfId="39007"/>
    <cellStyle name="Subtitle 7 41" xfId="39008"/>
    <cellStyle name="Subtitle 7 41 2" xfId="39009"/>
    <cellStyle name="Subtitle 7 42" xfId="39010"/>
    <cellStyle name="Subtitle 7 42 2" xfId="39011"/>
    <cellStyle name="Subtitle 7 43" xfId="39012"/>
    <cellStyle name="Subtitle 7 43 2" xfId="39013"/>
    <cellStyle name="Subtitle 7 44" xfId="39014"/>
    <cellStyle name="Subtitle 7 44 2" xfId="39015"/>
    <cellStyle name="Subtitle 7 45" xfId="39016"/>
    <cellStyle name="Subtitle 7 45 2" xfId="39017"/>
    <cellStyle name="Subtitle 7 46" xfId="39018"/>
    <cellStyle name="Subtitle 7 46 2" xfId="39019"/>
    <cellStyle name="Subtitle 7 47" xfId="39020"/>
    <cellStyle name="Subtitle 7 47 2" xfId="39021"/>
    <cellStyle name="Subtitle 7 48" xfId="39022"/>
    <cellStyle name="Subtitle 7 48 2" xfId="39023"/>
    <cellStyle name="Subtitle 7 49" xfId="39024"/>
    <cellStyle name="Subtitle 7 49 2" xfId="39025"/>
    <cellStyle name="Subtitle 7 5" xfId="39026"/>
    <cellStyle name="Subtitle 7 5 2" xfId="39027"/>
    <cellStyle name="Subtitle 7 50" xfId="39028"/>
    <cellStyle name="Subtitle 7 50 2" xfId="39029"/>
    <cellStyle name="Subtitle 7 51" xfId="39030"/>
    <cellStyle name="Subtitle 7 51 2" xfId="39031"/>
    <cellStyle name="Subtitle 7 52" xfId="39032"/>
    <cellStyle name="Subtitle 7 53" xfId="39033"/>
    <cellStyle name="Subtitle 7 54" xfId="39034"/>
    <cellStyle name="Subtitle 7 55" xfId="39035"/>
    <cellStyle name="Subtitle 7 56" xfId="39036"/>
    <cellStyle name="Subtitle 7 57" xfId="39037"/>
    <cellStyle name="Subtitle 7 58" xfId="39038"/>
    <cellStyle name="Subtitle 7 59" xfId="39039"/>
    <cellStyle name="Subtitle 7 6" xfId="39040"/>
    <cellStyle name="Subtitle 7 6 2" xfId="39041"/>
    <cellStyle name="Subtitle 7 60" xfId="39042"/>
    <cellStyle name="Subtitle 7 61" xfId="39043"/>
    <cellStyle name="Subtitle 7 62" xfId="39044"/>
    <cellStyle name="Subtitle 7 63" xfId="39045"/>
    <cellStyle name="Subtitle 7 64" xfId="39046"/>
    <cellStyle name="Subtitle 7 65" xfId="39047"/>
    <cellStyle name="Subtitle 7 66" xfId="39048"/>
    <cellStyle name="Subtitle 7 67" xfId="39049"/>
    <cellStyle name="Subtitle 7 68" xfId="39050"/>
    <cellStyle name="Subtitle 7 69" xfId="39051"/>
    <cellStyle name="Subtitle 7 7" xfId="39052"/>
    <cellStyle name="Subtitle 7 7 2" xfId="39053"/>
    <cellStyle name="Subtitle 7 70" xfId="39054"/>
    <cellStyle name="Subtitle 7 71" xfId="39055"/>
    <cellStyle name="Subtitle 7 72" xfId="39056"/>
    <cellStyle name="Subtitle 7 73" xfId="39057"/>
    <cellStyle name="Subtitle 7 74" xfId="39058"/>
    <cellStyle name="Subtitle 7 75" xfId="39059"/>
    <cellStyle name="Subtitle 7 76" xfId="39060"/>
    <cellStyle name="Subtitle 7 77" xfId="39061"/>
    <cellStyle name="Subtitle 7 78" xfId="39062"/>
    <cellStyle name="Subtitle 7 79" xfId="39063"/>
    <cellStyle name="Subtitle 7 8" xfId="39064"/>
    <cellStyle name="Subtitle 7 8 2" xfId="39065"/>
    <cellStyle name="Subtitle 7 80" xfId="39066"/>
    <cellStyle name="Subtitle 7 81" xfId="39067"/>
    <cellStyle name="Subtitle 7 82" xfId="39068"/>
    <cellStyle name="Subtitle 7 83" xfId="39069"/>
    <cellStyle name="Subtitle 7 84" xfId="39070"/>
    <cellStyle name="Subtitle 7 85" xfId="39071"/>
    <cellStyle name="Subtitle 7 86" xfId="39072"/>
    <cellStyle name="Subtitle 7 87" xfId="39073"/>
    <cellStyle name="Subtitle 7 88" xfId="39074"/>
    <cellStyle name="Subtitle 7 89" xfId="39075"/>
    <cellStyle name="Subtitle 7 9" xfId="39076"/>
    <cellStyle name="Subtitle 7 9 2" xfId="39077"/>
    <cellStyle name="Subtitle 7 90" xfId="39078"/>
    <cellStyle name="Subtitle 7 91" xfId="39079"/>
    <cellStyle name="Subtitle 7 92" xfId="39080"/>
    <cellStyle name="Subtitle 7 93" xfId="39081"/>
    <cellStyle name="Subtitle 7 94" xfId="39082"/>
    <cellStyle name="Subtitle 7 95" xfId="39083"/>
    <cellStyle name="Subtitle 7 96" xfId="39084"/>
    <cellStyle name="Subtitle 7 97" xfId="39085"/>
    <cellStyle name="Subtitle 7 98" xfId="39086"/>
    <cellStyle name="Subtitle 7 99" xfId="39087"/>
    <cellStyle name="Subtitle 7_NYMEX FUTURES" xfId="39088"/>
    <cellStyle name="Subtitle 8" xfId="39089"/>
    <cellStyle name="Subtitle 8 10" xfId="39090"/>
    <cellStyle name="Subtitle 8 10 2" xfId="39091"/>
    <cellStyle name="Subtitle 8 100" xfId="39092"/>
    <cellStyle name="Subtitle 8 101" xfId="39093"/>
    <cellStyle name="Subtitle 8 102" xfId="39094"/>
    <cellStyle name="Subtitle 8 103" xfId="39095"/>
    <cellStyle name="Subtitle 8 104" xfId="39096"/>
    <cellStyle name="Subtitle 8 105" xfId="39097"/>
    <cellStyle name="Subtitle 8 106" xfId="39098"/>
    <cellStyle name="Subtitle 8 107" xfId="39099"/>
    <cellStyle name="Subtitle 8 108" xfId="39100"/>
    <cellStyle name="Subtitle 8 109" xfId="39101"/>
    <cellStyle name="Subtitle 8 11" xfId="39102"/>
    <cellStyle name="Subtitle 8 11 2" xfId="39103"/>
    <cellStyle name="Subtitle 8 110" xfId="39104"/>
    <cellStyle name="Subtitle 8 111" xfId="39105"/>
    <cellStyle name="Subtitle 8 112" xfId="39106"/>
    <cellStyle name="Subtitle 8 113" xfId="39107"/>
    <cellStyle name="Subtitle 8 114" xfId="39108"/>
    <cellStyle name="Subtitle 8 115" xfId="39109"/>
    <cellStyle name="Subtitle 8 116" xfId="39110"/>
    <cellStyle name="Subtitle 8 12" xfId="39111"/>
    <cellStyle name="Subtitle 8 12 2" xfId="39112"/>
    <cellStyle name="Subtitle 8 13" xfId="39113"/>
    <cellStyle name="Subtitle 8 13 2" xfId="39114"/>
    <cellStyle name="Subtitle 8 14" xfId="39115"/>
    <cellStyle name="Subtitle 8 14 2" xfId="39116"/>
    <cellStyle name="Subtitle 8 15" xfId="39117"/>
    <cellStyle name="Subtitle 8 15 2" xfId="39118"/>
    <cellStyle name="Subtitle 8 16" xfId="39119"/>
    <cellStyle name="Subtitle 8 16 2" xfId="39120"/>
    <cellStyle name="Subtitle 8 17" xfId="39121"/>
    <cellStyle name="Subtitle 8 17 2" xfId="39122"/>
    <cellStyle name="Subtitle 8 18" xfId="39123"/>
    <cellStyle name="Subtitle 8 18 2" xfId="39124"/>
    <cellStyle name="Subtitle 8 19" xfId="39125"/>
    <cellStyle name="Subtitle 8 19 2" xfId="39126"/>
    <cellStyle name="Subtitle 8 2" xfId="39127"/>
    <cellStyle name="Subtitle 8 2 2" xfId="39128"/>
    <cellStyle name="Subtitle 8 20" xfId="39129"/>
    <cellStyle name="Subtitle 8 20 2" xfId="39130"/>
    <cellStyle name="Subtitle 8 21" xfId="39131"/>
    <cellStyle name="Subtitle 8 21 2" xfId="39132"/>
    <cellStyle name="Subtitle 8 22" xfId="39133"/>
    <cellStyle name="Subtitle 8 22 2" xfId="39134"/>
    <cellStyle name="Subtitle 8 23" xfId="39135"/>
    <cellStyle name="Subtitle 8 23 2" xfId="39136"/>
    <cellStyle name="Subtitle 8 24" xfId="39137"/>
    <cellStyle name="Subtitle 8 24 2" xfId="39138"/>
    <cellStyle name="Subtitle 8 25" xfId="39139"/>
    <cellStyle name="Subtitle 8 25 2" xfId="39140"/>
    <cellStyle name="Subtitle 8 26" xfId="39141"/>
    <cellStyle name="Subtitle 8 26 2" xfId="39142"/>
    <cellStyle name="Subtitle 8 27" xfId="39143"/>
    <cellStyle name="Subtitle 8 27 2" xfId="39144"/>
    <cellStyle name="Subtitle 8 28" xfId="39145"/>
    <cellStyle name="Subtitle 8 28 2" xfId="39146"/>
    <cellStyle name="Subtitle 8 29" xfId="39147"/>
    <cellStyle name="Subtitle 8 29 2" xfId="39148"/>
    <cellStyle name="Subtitle 8 3" xfId="39149"/>
    <cellStyle name="Subtitle 8 3 2" xfId="39150"/>
    <cellStyle name="Subtitle 8 30" xfId="39151"/>
    <cellStyle name="Subtitle 8 30 2" xfId="39152"/>
    <cellStyle name="Subtitle 8 31" xfId="39153"/>
    <cellStyle name="Subtitle 8 31 2" xfId="39154"/>
    <cellStyle name="Subtitle 8 32" xfId="39155"/>
    <cellStyle name="Subtitle 8 32 2" xfId="39156"/>
    <cellStyle name="Subtitle 8 33" xfId="39157"/>
    <cellStyle name="Subtitle 8 33 2" xfId="39158"/>
    <cellStyle name="Subtitle 8 34" xfId="39159"/>
    <cellStyle name="Subtitle 8 34 2" xfId="39160"/>
    <cellStyle name="Subtitle 8 35" xfId="39161"/>
    <cellStyle name="Subtitle 8 35 2" xfId="39162"/>
    <cellStyle name="Subtitle 8 36" xfId="39163"/>
    <cellStyle name="Subtitle 8 36 2" xfId="39164"/>
    <cellStyle name="Subtitle 8 37" xfId="39165"/>
    <cellStyle name="Subtitle 8 37 2" xfId="39166"/>
    <cellStyle name="Subtitle 8 38" xfId="39167"/>
    <cellStyle name="Subtitle 8 38 2" xfId="39168"/>
    <cellStyle name="Subtitle 8 39" xfId="39169"/>
    <cellStyle name="Subtitle 8 39 2" xfId="39170"/>
    <cellStyle name="Subtitle 8 4" xfId="39171"/>
    <cellStyle name="Subtitle 8 4 2" xfId="39172"/>
    <cellStyle name="Subtitle 8 40" xfId="39173"/>
    <cellStyle name="Subtitle 8 40 2" xfId="39174"/>
    <cellStyle name="Subtitle 8 41" xfId="39175"/>
    <cellStyle name="Subtitle 8 41 2" xfId="39176"/>
    <cellStyle name="Subtitle 8 42" xfId="39177"/>
    <cellStyle name="Subtitle 8 42 2" xfId="39178"/>
    <cellStyle name="Subtitle 8 43" xfId="39179"/>
    <cellStyle name="Subtitle 8 43 2" xfId="39180"/>
    <cellStyle name="Subtitle 8 44" xfId="39181"/>
    <cellStyle name="Subtitle 8 44 2" xfId="39182"/>
    <cellStyle name="Subtitle 8 45" xfId="39183"/>
    <cellStyle name="Subtitle 8 45 2" xfId="39184"/>
    <cellStyle name="Subtitle 8 46" xfId="39185"/>
    <cellStyle name="Subtitle 8 46 2" xfId="39186"/>
    <cellStyle name="Subtitle 8 47" xfId="39187"/>
    <cellStyle name="Subtitle 8 47 2" xfId="39188"/>
    <cellStyle name="Subtitle 8 48" xfId="39189"/>
    <cellStyle name="Subtitle 8 48 2" xfId="39190"/>
    <cellStyle name="Subtitle 8 49" xfId="39191"/>
    <cellStyle name="Subtitle 8 49 2" xfId="39192"/>
    <cellStyle name="Subtitle 8 5" xfId="39193"/>
    <cellStyle name="Subtitle 8 5 2" xfId="39194"/>
    <cellStyle name="Subtitle 8 50" xfId="39195"/>
    <cellStyle name="Subtitle 8 50 2" xfId="39196"/>
    <cellStyle name="Subtitle 8 51" xfId="39197"/>
    <cellStyle name="Subtitle 8 51 2" xfId="39198"/>
    <cellStyle name="Subtitle 8 52" xfId="39199"/>
    <cellStyle name="Subtitle 8 53" xfId="39200"/>
    <cellStyle name="Subtitle 8 54" xfId="39201"/>
    <cellStyle name="Subtitle 8 55" xfId="39202"/>
    <cellStyle name="Subtitle 8 56" xfId="39203"/>
    <cellStyle name="Subtitle 8 57" xfId="39204"/>
    <cellStyle name="Subtitle 8 58" xfId="39205"/>
    <cellStyle name="Subtitle 8 59" xfId="39206"/>
    <cellStyle name="Subtitle 8 6" xfId="39207"/>
    <cellStyle name="Subtitle 8 6 2" xfId="39208"/>
    <cellStyle name="Subtitle 8 60" xfId="39209"/>
    <cellStyle name="Subtitle 8 61" xfId="39210"/>
    <cellStyle name="Subtitle 8 62" xfId="39211"/>
    <cellStyle name="Subtitle 8 63" xfId="39212"/>
    <cellStyle name="Subtitle 8 64" xfId="39213"/>
    <cellStyle name="Subtitle 8 65" xfId="39214"/>
    <cellStyle name="Subtitle 8 66" xfId="39215"/>
    <cellStyle name="Subtitle 8 67" xfId="39216"/>
    <cellStyle name="Subtitle 8 68" xfId="39217"/>
    <cellStyle name="Subtitle 8 69" xfId="39218"/>
    <cellStyle name="Subtitle 8 7" xfId="39219"/>
    <cellStyle name="Subtitle 8 7 2" xfId="39220"/>
    <cellStyle name="Subtitle 8 70" xfId="39221"/>
    <cellStyle name="Subtitle 8 71" xfId="39222"/>
    <cellStyle name="Subtitle 8 72" xfId="39223"/>
    <cellStyle name="Subtitle 8 73" xfId="39224"/>
    <cellStyle name="Subtitle 8 74" xfId="39225"/>
    <cellStyle name="Subtitle 8 75" xfId="39226"/>
    <cellStyle name="Subtitle 8 76" xfId="39227"/>
    <cellStyle name="Subtitle 8 77" xfId="39228"/>
    <cellStyle name="Subtitle 8 78" xfId="39229"/>
    <cellStyle name="Subtitle 8 79" xfId="39230"/>
    <cellStyle name="Subtitle 8 8" xfId="39231"/>
    <cellStyle name="Subtitle 8 8 2" xfId="39232"/>
    <cellStyle name="Subtitle 8 80" xfId="39233"/>
    <cellStyle name="Subtitle 8 81" xfId="39234"/>
    <cellStyle name="Subtitle 8 82" xfId="39235"/>
    <cellStyle name="Subtitle 8 83" xfId="39236"/>
    <cellStyle name="Subtitle 8 84" xfId="39237"/>
    <cellStyle name="Subtitle 8 85" xfId="39238"/>
    <cellStyle name="Subtitle 8 86" xfId="39239"/>
    <cellStyle name="Subtitle 8 87" xfId="39240"/>
    <cellStyle name="Subtitle 8 88" xfId="39241"/>
    <cellStyle name="Subtitle 8 89" xfId="39242"/>
    <cellStyle name="Subtitle 8 9" xfId="39243"/>
    <cellStyle name="Subtitle 8 9 2" xfId="39244"/>
    <cellStyle name="Subtitle 8 90" xfId="39245"/>
    <cellStyle name="Subtitle 8 91" xfId="39246"/>
    <cellStyle name="Subtitle 8 92" xfId="39247"/>
    <cellStyle name="Subtitle 8 93" xfId="39248"/>
    <cellStyle name="Subtitle 8 94" xfId="39249"/>
    <cellStyle name="Subtitle 8 95" xfId="39250"/>
    <cellStyle name="Subtitle 8 96" xfId="39251"/>
    <cellStyle name="Subtitle 8 97" xfId="39252"/>
    <cellStyle name="Subtitle 8 98" xfId="39253"/>
    <cellStyle name="Subtitle 8 99" xfId="39254"/>
    <cellStyle name="Subtitle 8_NYMEX FUTURES" xfId="39255"/>
    <cellStyle name="Subtitle 9" xfId="39256"/>
    <cellStyle name="Subtitle 9 10" xfId="39257"/>
    <cellStyle name="Subtitle 9 10 2" xfId="39258"/>
    <cellStyle name="Subtitle 9 100" xfId="39259"/>
    <cellStyle name="Subtitle 9 101" xfId="39260"/>
    <cellStyle name="Subtitle 9 102" xfId="39261"/>
    <cellStyle name="Subtitle 9 103" xfId="39262"/>
    <cellStyle name="Subtitle 9 104" xfId="39263"/>
    <cellStyle name="Subtitle 9 105" xfId="39264"/>
    <cellStyle name="Subtitle 9 106" xfId="39265"/>
    <cellStyle name="Subtitle 9 107" xfId="39266"/>
    <cellStyle name="Subtitle 9 108" xfId="39267"/>
    <cellStyle name="Subtitle 9 109" xfId="39268"/>
    <cellStyle name="Subtitle 9 11" xfId="39269"/>
    <cellStyle name="Subtitle 9 11 2" xfId="39270"/>
    <cellStyle name="Subtitle 9 110" xfId="39271"/>
    <cellStyle name="Subtitle 9 111" xfId="39272"/>
    <cellStyle name="Subtitle 9 112" xfId="39273"/>
    <cellStyle name="Subtitle 9 113" xfId="39274"/>
    <cellStyle name="Subtitle 9 114" xfId="39275"/>
    <cellStyle name="Subtitle 9 115" xfId="39276"/>
    <cellStyle name="Subtitle 9 116" xfId="39277"/>
    <cellStyle name="Subtitle 9 12" xfId="39278"/>
    <cellStyle name="Subtitle 9 12 2" xfId="39279"/>
    <cellStyle name="Subtitle 9 13" xfId="39280"/>
    <cellStyle name="Subtitle 9 13 2" xfId="39281"/>
    <cellStyle name="Subtitle 9 14" xfId="39282"/>
    <cellStyle name="Subtitle 9 14 2" xfId="39283"/>
    <cellStyle name="Subtitle 9 15" xfId="39284"/>
    <cellStyle name="Subtitle 9 15 2" xfId="39285"/>
    <cellStyle name="Subtitle 9 16" xfId="39286"/>
    <cellStyle name="Subtitle 9 16 2" xfId="39287"/>
    <cellStyle name="Subtitle 9 17" xfId="39288"/>
    <cellStyle name="Subtitle 9 17 2" xfId="39289"/>
    <cellStyle name="Subtitle 9 18" xfId="39290"/>
    <cellStyle name="Subtitle 9 18 2" xfId="39291"/>
    <cellStyle name="Subtitle 9 19" xfId="39292"/>
    <cellStyle name="Subtitle 9 19 2" xfId="39293"/>
    <cellStyle name="Subtitle 9 2" xfId="39294"/>
    <cellStyle name="Subtitle 9 2 2" xfId="39295"/>
    <cellStyle name="Subtitle 9 20" xfId="39296"/>
    <cellStyle name="Subtitle 9 20 2" xfId="39297"/>
    <cellStyle name="Subtitle 9 21" xfId="39298"/>
    <cellStyle name="Subtitle 9 21 2" xfId="39299"/>
    <cellStyle name="Subtitle 9 22" xfId="39300"/>
    <cellStyle name="Subtitle 9 22 2" xfId="39301"/>
    <cellStyle name="Subtitle 9 23" xfId="39302"/>
    <cellStyle name="Subtitle 9 23 2" xfId="39303"/>
    <cellStyle name="Subtitle 9 24" xfId="39304"/>
    <cellStyle name="Subtitle 9 24 2" xfId="39305"/>
    <cellStyle name="Subtitle 9 25" xfId="39306"/>
    <cellStyle name="Subtitle 9 25 2" xfId="39307"/>
    <cellStyle name="Subtitle 9 26" xfId="39308"/>
    <cellStyle name="Subtitle 9 26 2" xfId="39309"/>
    <cellStyle name="Subtitle 9 27" xfId="39310"/>
    <cellStyle name="Subtitle 9 27 2" xfId="39311"/>
    <cellStyle name="Subtitle 9 28" xfId="39312"/>
    <cellStyle name="Subtitle 9 28 2" xfId="39313"/>
    <cellStyle name="Subtitle 9 29" xfId="39314"/>
    <cellStyle name="Subtitle 9 29 2" xfId="39315"/>
    <cellStyle name="Subtitle 9 3" xfId="39316"/>
    <cellStyle name="Subtitle 9 3 2" xfId="39317"/>
    <cellStyle name="Subtitle 9 30" xfId="39318"/>
    <cellStyle name="Subtitle 9 30 2" xfId="39319"/>
    <cellStyle name="Subtitle 9 31" xfId="39320"/>
    <cellStyle name="Subtitle 9 31 2" xfId="39321"/>
    <cellStyle name="Subtitle 9 32" xfId="39322"/>
    <cellStyle name="Subtitle 9 32 2" xfId="39323"/>
    <cellStyle name="Subtitle 9 33" xfId="39324"/>
    <cellStyle name="Subtitle 9 33 2" xfId="39325"/>
    <cellStyle name="Subtitle 9 34" xfId="39326"/>
    <cellStyle name="Subtitle 9 34 2" xfId="39327"/>
    <cellStyle name="Subtitle 9 35" xfId="39328"/>
    <cellStyle name="Subtitle 9 35 2" xfId="39329"/>
    <cellStyle name="Subtitle 9 36" xfId="39330"/>
    <cellStyle name="Subtitle 9 36 2" xfId="39331"/>
    <cellStyle name="Subtitle 9 37" xfId="39332"/>
    <cellStyle name="Subtitle 9 37 2" xfId="39333"/>
    <cellStyle name="Subtitle 9 38" xfId="39334"/>
    <cellStyle name="Subtitle 9 38 2" xfId="39335"/>
    <cellStyle name="Subtitle 9 39" xfId="39336"/>
    <cellStyle name="Subtitle 9 39 2" xfId="39337"/>
    <cellStyle name="Subtitle 9 4" xfId="39338"/>
    <cellStyle name="Subtitle 9 4 2" xfId="39339"/>
    <cellStyle name="Subtitle 9 40" xfId="39340"/>
    <cellStyle name="Subtitle 9 40 2" xfId="39341"/>
    <cellStyle name="Subtitle 9 41" xfId="39342"/>
    <cellStyle name="Subtitle 9 41 2" xfId="39343"/>
    <cellStyle name="Subtitle 9 42" xfId="39344"/>
    <cellStyle name="Subtitle 9 42 2" xfId="39345"/>
    <cellStyle name="Subtitle 9 43" xfId="39346"/>
    <cellStyle name="Subtitle 9 43 2" xfId="39347"/>
    <cellStyle name="Subtitle 9 44" xfId="39348"/>
    <cellStyle name="Subtitle 9 44 2" xfId="39349"/>
    <cellStyle name="Subtitle 9 45" xfId="39350"/>
    <cellStyle name="Subtitle 9 45 2" xfId="39351"/>
    <cellStyle name="Subtitle 9 46" xfId="39352"/>
    <cellStyle name="Subtitle 9 46 2" xfId="39353"/>
    <cellStyle name="Subtitle 9 47" xfId="39354"/>
    <cellStyle name="Subtitle 9 47 2" xfId="39355"/>
    <cellStyle name="Subtitle 9 48" xfId="39356"/>
    <cellStyle name="Subtitle 9 48 2" xfId="39357"/>
    <cellStyle name="Subtitle 9 49" xfId="39358"/>
    <cellStyle name="Subtitle 9 49 2" xfId="39359"/>
    <cellStyle name="Subtitle 9 5" xfId="39360"/>
    <cellStyle name="Subtitle 9 5 2" xfId="39361"/>
    <cellStyle name="Subtitle 9 50" xfId="39362"/>
    <cellStyle name="Subtitle 9 50 2" xfId="39363"/>
    <cellStyle name="Subtitle 9 51" xfId="39364"/>
    <cellStyle name="Subtitle 9 51 2" xfId="39365"/>
    <cellStyle name="Subtitle 9 52" xfId="39366"/>
    <cellStyle name="Subtitle 9 53" xfId="39367"/>
    <cellStyle name="Subtitle 9 54" xfId="39368"/>
    <cellStyle name="Subtitle 9 55" xfId="39369"/>
    <cellStyle name="Subtitle 9 56" xfId="39370"/>
    <cellStyle name="Subtitle 9 57" xfId="39371"/>
    <cellStyle name="Subtitle 9 58" xfId="39372"/>
    <cellStyle name="Subtitle 9 59" xfId="39373"/>
    <cellStyle name="Subtitle 9 6" xfId="39374"/>
    <cellStyle name="Subtitle 9 6 2" xfId="39375"/>
    <cellStyle name="Subtitle 9 60" xfId="39376"/>
    <cellStyle name="Subtitle 9 61" xfId="39377"/>
    <cellStyle name="Subtitle 9 62" xfId="39378"/>
    <cellStyle name="Subtitle 9 63" xfId="39379"/>
    <cellStyle name="Subtitle 9 64" xfId="39380"/>
    <cellStyle name="Subtitle 9 65" xfId="39381"/>
    <cellStyle name="Subtitle 9 66" xfId="39382"/>
    <cellStyle name="Subtitle 9 67" xfId="39383"/>
    <cellStyle name="Subtitle 9 68" xfId="39384"/>
    <cellStyle name="Subtitle 9 69" xfId="39385"/>
    <cellStyle name="Subtitle 9 7" xfId="39386"/>
    <cellStyle name="Subtitle 9 7 2" xfId="39387"/>
    <cellStyle name="Subtitle 9 70" xfId="39388"/>
    <cellStyle name="Subtitle 9 71" xfId="39389"/>
    <cellStyle name="Subtitle 9 72" xfId="39390"/>
    <cellStyle name="Subtitle 9 73" xfId="39391"/>
    <cellStyle name="Subtitle 9 74" xfId="39392"/>
    <cellStyle name="Subtitle 9 75" xfId="39393"/>
    <cellStyle name="Subtitle 9 76" xfId="39394"/>
    <cellStyle name="Subtitle 9 77" xfId="39395"/>
    <cellStyle name="Subtitle 9 78" xfId="39396"/>
    <cellStyle name="Subtitle 9 79" xfId="39397"/>
    <cellStyle name="Subtitle 9 8" xfId="39398"/>
    <cellStyle name="Subtitle 9 8 2" xfId="39399"/>
    <cellStyle name="Subtitle 9 80" xfId="39400"/>
    <cellStyle name="Subtitle 9 81" xfId="39401"/>
    <cellStyle name="Subtitle 9 82" xfId="39402"/>
    <cellStyle name="Subtitle 9 83" xfId="39403"/>
    <cellStyle name="Subtitle 9 84" xfId="39404"/>
    <cellStyle name="Subtitle 9 85" xfId="39405"/>
    <cellStyle name="Subtitle 9 86" xfId="39406"/>
    <cellStyle name="Subtitle 9 87" xfId="39407"/>
    <cellStyle name="Subtitle 9 88" xfId="39408"/>
    <cellStyle name="Subtitle 9 89" xfId="39409"/>
    <cellStyle name="Subtitle 9 9" xfId="39410"/>
    <cellStyle name="Subtitle 9 9 2" xfId="39411"/>
    <cellStyle name="Subtitle 9 90" xfId="39412"/>
    <cellStyle name="Subtitle 9 91" xfId="39413"/>
    <cellStyle name="Subtitle 9 92" xfId="39414"/>
    <cellStyle name="Subtitle 9 93" xfId="39415"/>
    <cellStyle name="Subtitle 9 94" xfId="39416"/>
    <cellStyle name="Subtitle 9 95" xfId="39417"/>
    <cellStyle name="Subtitle 9 96" xfId="39418"/>
    <cellStyle name="Subtitle 9 97" xfId="39419"/>
    <cellStyle name="Subtitle 9 98" xfId="39420"/>
    <cellStyle name="Subtitle 9 99" xfId="39421"/>
    <cellStyle name="Subtitle 9_NYMEX FUTURES" xfId="39422"/>
    <cellStyle name="Subtitle_NYMEX FUTURES" xfId="39423"/>
    <cellStyle name="Testo avviso" xfId="72"/>
    <cellStyle name="Testo descrittivo" xfId="73"/>
    <cellStyle name="text" xfId="336"/>
    <cellStyle name="Title" xfId="74" builtinId="15" customBuiltin="1"/>
    <cellStyle name="Title 10" xfId="39424"/>
    <cellStyle name="Title 10 2" xfId="39425"/>
    <cellStyle name="Title 10 3" xfId="39426"/>
    <cellStyle name="Title 11" xfId="39427"/>
    <cellStyle name="Title 11 2" xfId="39428"/>
    <cellStyle name="Title 11 3" xfId="39429"/>
    <cellStyle name="Title 12" xfId="39430"/>
    <cellStyle name="Title 12 2" xfId="39431"/>
    <cellStyle name="Title 12 3" xfId="39432"/>
    <cellStyle name="Title 13" xfId="39433"/>
    <cellStyle name="Title 13 2" xfId="39434"/>
    <cellStyle name="Title 13 3" xfId="39435"/>
    <cellStyle name="Title 14" xfId="39436"/>
    <cellStyle name="Title 14 2" xfId="39437"/>
    <cellStyle name="Title 14 3" xfId="39438"/>
    <cellStyle name="Title 15" xfId="39439"/>
    <cellStyle name="Title 15 2" xfId="39440"/>
    <cellStyle name="Title 15 3" xfId="39441"/>
    <cellStyle name="Title 16" xfId="39442"/>
    <cellStyle name="Title 16 2" xfId="39443"/>
    <cellStyle name="Title 16 3" xfId="39444"/>
    <cellStyle name="Title 17" xfId="39445"/>
    <cellStyle name="Title 17 2" xfId="39446"/>
    <cellStyle name="Title 17 3" xfId="39447"/>
    <cellStyle name="Title 18" xfId="39448"/>
    <cellStyle name="Title 18 2" xfId="39449"/>
    <cellStyle name="Title 18 3" xfId="39450"/>
    <cellStyle name="Title 19" xfId="39451"/>
    <cellStyle name="Title 19 2" xfId="39452"/>
    <cellStyle name="Title 19 3" xfId="39453"/>
    <cellStyle name="Title 2" xfId="451"/>
    <cellStyle name="Title 2 10" xfId="39454"/>
    <cellStyle name="Title 2 10 10" xfId="39455"/>
    <cellStyle name="Title 2 10 10 2" xfId="39456"/>
    <cellStyle name="Title 2 10 100" xfId="39457"/>
    <cellStyle name="Title 2 10 101" xfId="39458"/>
    <cellStyle name="Title 2 10 102" xfId="39459"/>
    <cellStyle name="Title 2 10 103" xfId="39460"/>
    <cellStyle name="Title 2 10 104" xfId="39461"/>
    <cellStyle name="Title 2 10 105" xfId="39462"/>
    <cellStyle name="Title 2 10 106" xfId="39463"/>
    <cellStyle name="Title 2 10 107" xfId="39464"/>
    <cellStyle name="Title 2 10 108" xfId="39465"/>
    <cellStyle name="Title 2 10 109" xfId="39466"/>
    <cellStyle name="Title 2 10 11" xfId="39467"/>
    <cellStyle name="Title 2 10 11 2" xfId="39468"/>
    <cellStyle name="Title 2 10 12" xfId="39469"/>
    <cellStyle name="Title 2 10 12 2" xfId="39470"/>
    <cellStyle name="Title 2 10 13" xfId="39471"/>
    <cellStyle name="Title 2 10 13 2" xfId="39472"/>
    <cellStyle name="Title 2 10 14" xfId="39473"/>
    <cellStyle name="Title 2 10 14 2" xfId="39474"/>
    <cellStyle name="Title 2 10 15" xfId="39475"/>
    <cellStyle name="Title 2 10 15 2" xfId="39476"/>
    <cellStyle name="Title 2 10 16" xfId="39477"/>
    <cellStyle name="Title 2 10 16 2" xfId="39478"/>
    <cellStyle name="Title 2 10 17" xfId="39479"/>
    <cellStyle name="Title 2 10 17 2" xfId="39480"/>
    <cellStyle name="Title 2 10 18" xfId="39481"/>
    <cellStyle name="Title 2 10 18 2" xfId="39482"/>
    <cellStyle name="Title 2 10 19" xfId="39483"/>
    <cellStyle name="Title 2 10 19 2" xfId="39484"/>
    <cellStyle name="Title 2 10 2" xfId="39485"/>
    <cellStyle name="Title 2 10 2 10" xfId="39486"/>
    <cellStyle name="Title 2 10 2 11" xfId="39487"/>
    <cellStyle name="Title 2 10 2 12" xfId="39488"/>
    <cellStyle name="Title 2 10 2 13" xfId="39489"/>
    <cellStyle name="Title 2 10 2 14" xfId="39490"/>
    <cellStyle name="Title 2 10 2 15" xfId="39491"/>
    <cellStyle name="Title 2 10 2 16" xfId="39492"/>
    <cellStyle name="Title 2 10 2 17" xfId="39493"/>
    <cellStyle name="Title 2 10 2 18" xfId="39494"/>
    <cellStyle name="Title 2 10 2 19" xfId="39495"/>
    <cellStyle name="Title 2 10 2 2" xfId="39496"/>
    <cellStyle name="Title 2 10 2 2 10" xfId="39497"/>
    <cellStyle name="Title 2 10 2 2 11" xfId="39498"/>
    <cellStyle name="Title 2 10 2 2 12" xfId="39499"/>
    <cellStyle name="Title 2 10 2 2 13" xfId="39500"/>
    <cellStyle name="Title 2 10 2 2 14" xfId="39501"/>
    <cellStyle name="Title 2 10 2 2 15" xfId="39502"/>
    <cellStyle name="Title 2 10 2 2 16" xfId="39503"/>
    <cellStyle name="Title 2 10 2 2 17" xfId="39504"/>
    <cellStyle name="Title 2 10 2 2 18" xfId="39505"/>
    <cellStyle name="Title 2 10 2 2 19" xfId="39506"/>
    <cellStyle name="Title 2 10 2 2 2" xfId="39507"/>
    <cellStyle name="Title 2 10 2 2 2 10" xfId="39508"/>
    <cellStyle name="Title 2 10 2 2 2 11" xfId="39509"/>
    <cellStyle name="Title 2 10 2 2 2 12" xfId="39510"/>
    <cellStyle name="Title 2 10 2 2 2 13" xfId="39511"/>
    <cellStyle name="Title 2 10 2 2 2 14" xfId="39512"/>
    <cellStyle name="Title 2 10 2 2 2 15" xfId="39513"/>
    <cellStyle name="Title 2 10 2 2 2 16" xfId="39514"/>
    <cellStyle name="Title 2 10 2 2 2 17" xfId="39515"/>
    <cellStyle name="Title 2 10 2 2 2 18" xfId="39516"/>
    <cellStyle name="Title 2 10 2 2 2 19" xfId="39517"/>
    <cellStyle name="Title 2 10 2 2 2 2" xfId="39518"/>
    <cellStyle name="Title 2 10 2 2 2 2 10" xfId="39519"/>
    <cellStyle name="Title 2 10 2 2 2 2 11" xfId="39520"/>
    <cellStyle name="Title 2 10 2 2 2 2 12" xfId="39521"/>
    <cellStyle name="Title 2 10 2 2 2 2 13" xfId="39522"/>
    <cellStyle name="Title 2 10 2 2 2 2 14" xfId="39523"/>
    <cellStyle name="Title 2 10 2 2 2 2 15" xfId="39524"/>
    <cellStyle name="Title 2 10 2 2 2 2 16" xfId="39525"/>
    <cellStyle name="Title 2 10 2 2 2 2 17" xfId="39526"/>
    <cellStyle name="Title 2 10 2 2 2 2 18" xfId="39527"/>
    <cellStyle name="Title 2 10 2 2 2 2 19" xfId="39528"/>
    <cellStyle name="Title 2 10 2 2 2 2 2" xfId="39529"/>
    <cellStyle name="Title 2 10 2 2 2 2 2 2" xfId="39530"/>
    <cellStyle name="Title 2 10 2 2 2 2 20" xfId="39531"/>
    <cellStyle name="Title 2 10 2 2 2 2 21" xfId="39532"/>
    <cellStyle name="Title 2 10 2 2 2 2 22" xfId="39533"/>
    <cellStyle name="Title 2 10 2 2 2 2 23" xfId="39534"/>
    <cellStyle name="Title 2 10 2 2 2 2 24" xfId="39535"/>
    <cellStyle name="Title 2 10 2 2 2 2 25" xfId="39536"/>
    <cellStyle name="Title 2 10 2 2 2 2 26" xfId="39537"/>
    <cellStyle name="Title 2 10 2 2 2 2 27" xfId="39538"/>
    <cellStyle name="Title 2 10 2 2 2 2 28" xfId="39539"/>
    <cellStyle name="Title 2 10 2 2 2 2 29" xfId="39540"/>
    <cellStyle name="Title 2 10 2 2 2 2 3" xfId="39541"/>
    <cellStyle name="Title 2 10 2 2 2 2 30" xfId="39542"/>
    <cellStyle name="Title 2 10 2 2 2 2 31" xfId="39543"/>
    <cellStyle name="Title 2 10 2 2 2 2 32" xfId="39544"/>
    <cellStyle name="Title 2 10 2 2 2 2 33" xfId="39545"/>
    <cellStyle name="Title 2 10 2 2 2 2 34" xfId="39546"/>
    <cellStyle name="Title 2 10 2 2 2 2 35" xfId="39547"/>
    <cellStyle name="Title 2 10 2 2 2 2 36" xfId="39548"/>
    <cellStyle name="Title 2 10 2 2 2 2 37" xfId="39549"/>
    <cellStyle name="Title 2 10 2 2 2 2 38" xfId="39550"/>
    <cellStyle name="Title 2 10 2 2 2 2 39" xfId="39551"/>
    <cellStyle name="Title 2 10 2 2 2 2 4" xfId="39552"/>
    <cellStyle name="Title 2 10 2 2 2 2 40" xfId="39553"/>
    <cellStyle name="Title 2 10 2 2 2 2 41" xfId="39554"/>
    <cellStyle name="Title 2 10 2 2 2 2 42" xfId="39555"/>
    <cellStyle name="Title 2 10 2 2 2 2 43" xfId="39556"/>
    <cellStyle name="Title 2 10 2 2 2 2 44" xfId="39557"/>
    <cellStyle name="Title 2 10 2 2 2 2 45" xfId="39558"/>
    <cellStyle name="Title 2 10 2 2 2 2 46" xfId="39559"/>
    <cellStyle name="Title 2 10 2 2 2 2 47" xfId="39560"/>
    <cellStyle name="Title 2 10 2 2 2 2 48" xfId="39561"/>
    <cellStyle name="Title 2 10 2 2 2 2 49" xfId="39562"/>
    <cellStyle name="Title 2 10 2 2 2 2 5" xfId="39563"/>
    <cellStyle name="Title 2 10 2 2 2 2 50" xfId="39564"/>
    <cellStyle name="Title 2 10 2 2 2 2 51" xfId="39565"/>
    <cellStyle name="Title 2 10 2 2 2 2 52" xfId="39566"/>
    <cellStyle name="Title 2 10 2 2 2 2 53" xfId="39567"/>
    <cellStyle name="Title 2 10 2 2 2 2 54" xfId="39568"/>
    <cellStyle name="Title 2 10 2 2 2 2 55" xfId="39569"/>
    <cellStyle name="Title 2 10 2 2 2 2 56" xfId="39570"/>
    <cellStyle name="Title 2 10 2 2 2 2 57" xfId="39571"/>
    <cellStyle name="Title 2 10 2 2 2 2 58" xfId="39572"/>
    <cellStyle name="Title 2 10 2 2 2 2 59" xfId="39573"/>
    <cellStyle name="Title 2 10 2 2 2 2 6" xfId="39574"/>
    <cellStyle name="Title 2 10 2 2 2 2 60" xfId="39575"/>
    <cellStyle name="Title 2 10 2 2 2 2 61" xfId="39576"/>
    <cellStyle name="Title 2 10 2 2 2 2 62" xfId="39577"/>
    <cellStyle name="Title 2 10 2 2 2 2 63" xfId="39578"/>
    <cellStyle name="Title 2 10 2 2 2 2 64" xfId="39579"/>
    <cellStyle name="Title 2 10 2 2 2 2 65" xfId="39580"/>
    <cellStyle name="Title 2 10 2 2 2 2 66" xfId="39581"/>
    <cellStyle name="Title 2 10 2 2 2 2 67" xfId="39582"/>
    <cellStyle name="Title 2 10 2 2 2 2 68" xfId="39583"/>
    <cellStyle name="Title 2 10 2 2 2 2 69" xfId="39584"/>
    <cellStyle name="Title 2 10 2 2 2 2 7" xfId="39585"/>
    <cellStyle name="Title 2 10 2 2 2 2 70" xfId="39586"/>
    <cellStyle name="Title 2 10 2 2 2 2 71" xfId="39587"/>
    <cellStyle name="Title 2 10 2 2 2 2 72" xfId="39588"/>
    <cellStyle name="Title 2 10 2 2 2 2 73" xfId="39589"/>
    <cellStyle name="Title 2 10 2 2 2 2 74" xfId="39590"/>
    <cellStyle name="Title 2 10 2 2 2 2 8" xfId="39591"/>
    <cellStyle name="Title 2 10 2 2 2 2 9" xfId="39592"/>
    <cellStyle name="Title 2 10 2 2 2 20" xfId="39593"/>
    <cellStyle name="Title 2 10 2 2 2 21" xfId="39594"/>
    <cellStyle name="Title 2 10 2 2 2 22" xfId="39595"/>
    <cellStyle name="Title 2 10 2 2 2 23" xfId="39596"/>
    <cellStyle name="Title 2 10 2 2 2 24" xfId="39597"/>
    <cellStyle name="Title 2 10 2 2 2 25" xfId="39598"/>
    <cellStyle name="Title 2 10 2 2 2 26" xfId="39599"/>
    <cellStyle name="Title 2 10 2 2 2 27" xfId="39600"/>
    <cellStyle name="Title 2 10 2 2 2 28" xfId="39601"/>
    <cellStyle name="Title 2 10 2 2 2 29" xfId="39602"/>
    <cellStyle name="Title 2 10 2 2 2 3" xfId="39603"/>
    <cellStyle name="Title 2 10 2 2 2 3 2" xfId="39604"/>
    <cellStyle name="Title 2 10 2 2 2 30" xfId="39605"/>
    <cellStyle name="Title 2 10 2 2 2 31" xfId="39606"/>
    <cellStyle name="Title 2 10 2 2 2 32" xfId="39607"/>
    <cellStyle name="Title 2 10 2 2 2 33" xfId="39608"/>
    <cellStyle name="Title 2 10 2 2 2 34" xfId="39609"/>
    <cellStyle name="Title 2 10 2 2 2 35" xfId="39610"/>
    <cellStyle name="Title 2 10 2 2 2 36" xfId="39611"/>
    <cellStyle name="Title 2 10 2 2 2 37" xfId="39612"/>
    <cellStyle name="Title 2 10 2 2 2 38" xfId="39613"/>
    <cellStyle name="Title 2 10 2 2 2 39" xfId="39614"/>
    <cellStyle name="Title 2 10 2 2 2 4" xfId="39615"/>
    <cellStyle name="Title 2 10 2 2 2 40" xfId="39616"/>
    <cellStyle name="Title 2 10 2 2 2 41" xfId="39617"/>
    <cellStyle name="Title 2 10 2 2 2 42" xfId="39618"/>
    <cellStyle name="Title 2 10 2 2 2 43" xfId="39619"/>
    <cellStyle name="Title 2 10 2 2 2 44" xfId="39620"/>
    <cellStyle name="Title 2 10 2 2 2 45" xfId="39621"/>
    <cellStyle name="Title 2 10 2 2 2 46" xfId="39622"/>
    <cellStyle name="Title 2 10 2 2 2 47" xfId="39623"/>
    <cellStyle name="Title 2 10 2 2 2 48" xfId="39624"/>
    <cellStyle name="Title 2 10 2 2 2 49" xfId="39625"/>
    <cellStyle name="Title 2 10 2 2 2 5" xfId="39626"/>
    <cellStyle name="Title 2 10 2 2 2 50" xfId="39627"/>
    <cellStyle name="Title 2 10 2 2 2 51" xfId="39628"/>
    <cellStyle name="Title 2 10 2 2 2 52" xfId="39629"/>
    <cellStyle name="Title 2 10 2 2 2 53" xfId="39630"/>
    <cellStyle name="Title 2 10 2 2 2 54" xfId="39631"/>
    <cellStyle name="Title 2 10 2 2 2 55" xfId="39632"/>
    <cellStyle name="Title 2 10 2 2 2 56" xfId="39633"/>
    <cellStyle name="Title 2 10 2 2 2 57" xfId="39634"/>
    <cellStyle name="Title 2 10 2 2 2 58" xfId="39635"/>
    <cellStyle name="Title 2 10 2 2 2 59" xfId="39636"/>
    <cellStyle name="Title 2 10 2 2 2 6" xfId="39637"/>
    <cellStyle name="Title 2 10 2 2 2 60" xfId="39638"/>
    <cellStyle name="Title 2 10 2 2 2 61" xfId="39639"/>
    <cellStyle name="Title 2 10 2 2 2 62" xfId="39640"/>
    <cellStyle name="Title 2 10 2 2 2 63" xfId="39641"/>
    <cellStyle name="Title 2 10 2 2 2 64" xfId="39642"/>
    <cellStyle name="Title 2 10 2 2 2 65" xfId="39643"/>
    <cellStyle name="Title 2 10 2 2 2 66" xfId="39644"/>
    <cellStyle name="Title 2 10 2 2 2 67" xfId="39645"/>
    <cellStyle name="Title 2 10 2 2 2 68" xfId="39646"/>
    <cellStyle name="Title 2 10 2 2 2 69" xfId="39647"/>
    <cellStyle name="Title 2 10 2 2 2 7" xfId="39648"/>
    <cellStyle name="Title 2 10 2 2 2 70" xfId="39649"/>
    <cellStyle name="Title 2 10 2 2 2 71" xfId="39650"/>
    <cellStyle name="Title 2 10 2 2 2 72" xfId="39651"/>
    <cellStyle name="Title 2 10 2 2 2 73" xfId="39652"/>
    <cellStyle name="Title 2 10 2 2 2 74" xfId="39653"/>
    <cellStyle name="Title 2 10 2 2 2 8" xfId="39654"/>
    <cellStyle name="Title 2 10 2 2 2 9" xfId="39655"/>
    <cellStyle name="Title 2 10 2 2 20" xfId="39656"/>
    <cellStyle name="Title 2 10 2 2 21" xfId="39657"/>
    <cellStyle name="Title 2 10 2 2 22" xfId="39658"/>
    <cellStyle name="Title 2 10 2 2 23" xfId="39659"/>
    <cellStyle name="Title 2 10 2 2 24" xfId="39660"/>
    <cellStyle name="Title 2 10 2 2 25" xfId="39661"/>
    <cellStyle name="Title 2 10 2 2 26" xfId="39662"/>
    <cellStyle name="Title 2 10 2 2 27" xfId="39663"/>
    <cellStyle name="Title 2 10 2 2 28" xfId="39664"/>
    <cellStyle name="Title 2 10 2 2 29" xfId="39665"/>
    <cellStyle name="Title 2 10 2 2 3" xfId="39666"/>
    <cellStyle name="Title 2 10 2 2 3 2" xfId="39667"/>
    <cellStyle name="Title 2 10 2 2 30" xfId="39668"/>
    <cellStyle name="Title 2 10 2 2 31" xfId="39669"/>
    <cellStyle name="Title 2 10 2 2 32" xfId="39670"/>
    <cellStyle name="Title 2 10 2 2 33" xfId="39671"/>
    <cellStyle name="Title 2 10 2 2 34" xfId="39672"/>
    <cellStyle name="Title 2 10 2 2 35" xfId="39673"/>
    <cellStyle name="Title 2 10 2 2 36" xfId="39674"/>
    <cellStyle name="Title 2 10 2 2 37" xfId="39675"/>
    <cellStyle name="Title 2 10 2 2 38" xfId="39676"/>
    <cellStyle name="Title 2 10 2 2 39" xfId="39677"/>
    <cellStyle name="Title 2 10 2 2 4" xfId="39678"/>
    <cellStyle name="Title 2 10 2 2 40" xfId="39679"/>
    <cellStyle name="Title 2 10 2 2 41" xfId="39680"/>
    <cellStyle name="Title 2 10 2 2 42" xfId="39681"/>
    <cellStyle name="Title 2 10 2 2 43" xfId="39682"/>
    <cellStyle name="Title 2 10 2 2 44" xfId="39683"/>
    <cellStyle name="Title 2 10 2 2 45" xfId="39684"/>
    <cellStyle name="Title 2 10 2 2 46" xfId="39685"/>
    <cellStyle name="Title 2 10 2 2 47" xfId="39686"/>
    <cellStyle name="Title 2 10 2 2 48" xfId="39687"/>
    <cellStyle name="Title 2 10 2 2 49" xfId="39688"/>
    <cellStyle name="Title 2 10 2 2 5" xfId="39689"/>
    <cellStyle name="Title 2 10 2 2 50" xfId="39690"/>
    <cellStyle name="Title 2 10 2 2 51" xfId="39691"/>
    <cellStyle name="Title 2 10 2 2 52" xfId="39692"/>
    <cellStyle name="Title 2 10 2 2 53" xfId="39693"/>
    <cellStyle name="Title 2 10 2 2 54" xfId="39694"/>
    <cellStyle name="Title 2 10 2 2 55" xfId="39695"/>
    <cellStyle name="Title 2 10 2 2 56" xfId="39696"/>
    <cellStyle name="Title 2 10 2 2 57" xfId="39697"/>
    <cellStyle name="Title 2 10 2 2 58" xfId="39698"/>
    <cellStyle name="Title 2 10 2 2 59" xfId="39699"/>
    <cellStyle name="Title 2 10 2 2 6" xfId="39700"/>
    <cellStyle name="Title 2 10 2 2 60" xfId="39701"/>
    <cellStyle name="Title 2 10 2 2 61" xfId="39702"/>
    <cellStyle name="Title 2 10 2 2 62" xfId="39703"/>
    <cellStyle name="Title 2 10 2 2 63" xfId="39704"/>
    <cellStyle name="Title 2 10 2 2 64" xfId="39705"/>
    <cellStyle name="Title 2 10 2 2 65" xfId="39706"/>
    <cellStyle name="Title 2 10 2 2 66" xfId="39707"/>
    <cellStyle name="Title 2 10 2 2 67" xfId="39708"/>
    <cellStyle name="Title 2 10 2 2 68" xfId="39709"/>
    <cellStyle name="Title 2 10 2 2 69" xfId="39710"/>
    <cellStyle name="Title 2 10 2 2 7" xfId="39711"/>
    <cellStyle name="Title 2 10 2 2 70" xfId="39712"/>
    <cellStyle name="Title 2 10 2 2 71" xfId="39713"/>
    <cellStyle name="Title 2 10 2 2 72" xfId="39714"/>
    <cellStyle name="Title 2 10 2 2 73" xfId="39715"/>
    <cellStyle name="Title 2 10 2 2 74" xfId="39716"/>
    <cellStyle name="Title 2 10 2 2 75" xfId="39717"/>
    <cellStyle name="Title 2 10 2 2 76" xfId="39718"/>
    <cellStyle name="Title 2 10 2 2 77" xfId="39719"/>
    <cellStyle name="Title 2 10 2 2 78" xfId="39720"/>
    <cellStyle name="Title 2 10 2 2 79" xfId="39721"/>
    <cellStyle name="Title 2 10 2 2 8" xfId="39722"/>
    <cellStyle name="Title 2 10 2 2 80" xfId="39723"/>
    <cellStyle name="Title 2 10 2 2 81" xfId="39724"/>
    <cellStyle name="Title 2 10 2 2 82" xfId="39725"/>
    <cellStyle name="Title 2 10 2 2 83" xfId="39726"/>
    <cellStyle name="Title 2 10 2 2 84" xfId="39727"/>
    <cellStyle name="Title 2 10 2 2 85" xfId="39728"/>
    <cellStyle name="Title 2 10 2 2 86" xfId="39729"/>
    <cellStyle name="Title 2 10 2 2 87" xfId="39730"/>
    <cellStyle name="Title 2 10 2 2 88" xfId="39731"/>
    <cellStyle name="Title 2 10 2 2 9" xfId="39732"/>
    <cellStyle name="Title 2 10 2 20" xfId="39733"/>
    <cellStyle name="Title 2 10 2 21" xfId="39734"/>
    <cellStyle name="Title 2 10 2 22" xfId="39735"/>
    <cellStyle name="Title 2 10 2 23" xfId="39736"/>
    <cellStyle name="Title 2 10 2 24" xfId="39737"/>
    <cellStyle name="Title 2 10 2 25" xfId="39738"/>
    <cellStyle name="Title 2 10 2 26" xfId="39739"/>
    <cellStyle name="Title 2 10 2 27" xfId="39740"/>
    <cellStyle name="Title 2 10 2 28" xfId="39741"/>
    <cellStyle name="Title 2 10 2 29" xfId="39742"/>
    <cellStyle name="Title 2 10 2 3" xfId="39743"/>
    <cellStyle name="Title 2 10 2 3 2" xfId="39744"/>
    <cellStyle name="Title 2 10 2 30" xfId="39745"/>
    <cellStyle name="Title 2 10 2 31" xfId="39746"/>
    <cellStyle name="Title 2 10 2 32" xfId="39747"/>
    <cellStyle name="Title 2 10 2 33" xfId="39748"/>
    <cellStyle name="Title 2 10 2 34" xfId="39749"/>
    <cellStyle name="Title 2 10 2 35" xfId="39750"/>
    <cellStyle name="Title 2 10 2 36" xfId="39751"/>
    <cellStyle name="Title 2 10 2 37" xfId="39752"/>
    <cellStyle name="Title 2 10 2 38" xfId="39753"/>
    <cellStyle name="Title 2 10 2 39" xfId="39754"/>
    <cellStyle name="Title 2 10 2 4" xfId="39755"/>
    <cellStyle name="Title 2 10 2 40" xfId="39756"/>
    <cellStyle name="Title 2 10 2 41" xfId="39757"/>
    <cellStyle name="Title 2 10 2 42" xfId="39758"/>
    <cellStyle name="Title 2 10 2 43" xfId="39759"/>
    <cellStyle name="Title 2 10 2 44" xfId="39760"/>
    <cellStyle name="Title 2 10 2 45" xfId="39761"/>
    <cellStyle name="Title 2 10 2 46" xfId="39762"/>
    <cellStyle name="Title 2 10 2 47" xfId="39763"/>
    <cellStyle name="Title 2 10 2 48" xfId="39764"/>
    <cellStyle name="Title 2 10 2 49" xfId="39765"/>
    <cellStyle name="Title 2 10 2 5" xfId="39766"/>
    <cellStyle name="Title 2 10 2 50" xfId="39767"/>
    <cellStyle name="Title 2 10 2 51" xfId="39768"/>
    <cellStyle name="Title 2 10 2 52" xfId="39769"/>
    <cellStyle name="Title 2 10 2 53" xfId="39770"/>
    <cellStyle name="Title 2 10 2 54" xfId="39771"/>
    <cellStyle name="Title 2 10 2 55" xfId="39772"/>
    <cellStyle name="Title 2 10 2 56" xfId="39773"/>
    <cellStyle name="Title 2 10 2 57" xfId="39774"/>
    <cellStyle name="Title 2 10 2 58" xfId="39775"/>
    <cellStyle name="Title 2 10 2 59" xfId="39776"/>
    <cellStyle name="Title 2 10 2 6" xfId="39777"/>
    <cellStyle name="Title 2 10 2 60" xfId="39778"/>
    <cellStyle name="Title 2 10 2 61" xfId="39779"/>
    <cellStyle name="Title 2 10 2 62" xfId="39780"/>
    <cellStyle name="Title 2 10 2 63" xfId="39781"/>
    <cellStyle name="Title 2 10 2 64" xfId="39782"/>
    <cellStyle name="Title 2 10 2 65" xfId="39783"/>
    <cellStyle name="Title 2 10 2 66" xfId="39784"/>
    <cellStyle name="Title 2 10 2 67" xfId="39785"/>
    <cellStyle name="Title 2 10 2 68" xfId="39786"/>
    <cellStyle name="Title 2 10 2 69" xfId="39787"/>
    <cellStyle name="Title 2 10 2 7" xfId="39788"/>
    <cellStyle name="Title 2 10 2 70" xfId="39789"/>
    <cellStyle name="Title 2 10 2 71" xfId="39790"/>
    <cellStyle name="Title 2 10 2 72" xfId="39791"/>
    <cellStyle name="Title 2 10 2 73" xfId="39792"/>
    <cellStyle name="Title 2 10 2 74" xfId="39793"/>
    <cellStyle name="Title 2 10 2 75" xfId="39794"/>
    <cellStyle name="Title 2 10 2 76" xfId="39795"/>
    <cellStyle name="Title 2 10 2 77" xfId="39796"/>
    <cellStyle name="Title 2 10 2 78" xfId="39797"/>
    <cellStyle name="Title 2 10 2 79" xfId="39798"/>
    <cellStyle name="Title 2 10 2 8" xfId="39799"/>
    <cellStyle name="Title 2 10 2 80" xfId="39800"/>
    <cellStyle name="Title 2 10 2 81" xfId="39801"/>
    <cellStyle name="Title 2 10 2 82" xfId="39802"/>
    <cellStyle name="Title 2 10 2 83" xfId="39803"/>
    <cellStyle name="Title 2 10 2 84" xfId="39804"/>
    <cellStyle name="Title 2 10 2 85" xfId="39805"/>
    <cellStyle name="Title 2 10 2 86" xfId="39806"/>
    <cellStyle name="Title 2 10 2 87" xfId="39807"/>
    <cellStyle name="Title 2 10 2 88" xfId="39808"/>
    <cellStyle name="Title 2 10 2 9" xfId="39809"/>
    <cellStyle name="Title 2 10 20" xfId="39810"/>
    <cellStyle name="Title 2 10 20 2" xfId="39811"/>
    <cellStyle name="Title 2 10 21" xfId="39812"/>
    <cellStyle name="Title 2 10 21 2" xfId="39813"/>
    <cellStyle name="Title 2 10 22" xfId="39814"/>
    <cellStyle name="Title 2 10 22 2" xfId="39815"/>
    <cellStyle name="Title 2 10 23" xfId="39816"/>
    <cellStyle name="Title 2 10 23 2" xfId="39817"/>
    <cellStyle name="Title 2 10 24" xfId="39818"/>
    <cellStyle name="Title 2 10 24 2" xfId="39819"/>
    <cellStyle name="Title 2 10 25" xfId="39820"/>
    <cellStyle name="Title 2 10 25 2" xfId="39821"/>
    <cellStyle name="Title 2 10 26" xfId="39822"/>
    <cellStyle name="Title 2 10 26 2" xfId="39823"/>
    <cellStyle name="Title 2 10 27" xfId="39824"/>
    <cellStyle name="Title 2 10 27 2" xfId="39825"/>
    <cellStyle name="Title 2 10 28" xfId="39826"/>
    <cellStyle name="Title 2 10 28 2" xfId="39827"/>
    <cellStyle name="Title 2 10 29" xfId="39828"/>
    <cellStyle name="Title 2 10 29 2" xfId="39829"/>
    <cellStyle name="Title 2 10 3" xfId="39830"/>
    <cellStyle name="Title 2 10 3 2" xfId="39831"/>
    <cellStyle name="Title 2 10 30" xfId="39832"/>
    <cellStyle name="Title 2 10 30 2" xfId="39833"/>
    <cellStyle name="Title 2 10 31" xfId="39834"/>
    <cellStyle name="Title 2 10 31 2" xfId="39835"/>
    <cellStyle name="Title 2 10 32" xfId="39836"/>
    <cellStyle name="Title 2 10 32 2" xfId="39837"/>
    <cellStyle name="Title 2 10 33" xfId="39838"/>
    <cellStyle name="Title 2 10 33 2" xfId="39839"/>
    <cellStyle name="Title 2 10 34" xfId="39840"/>
    <cellStyle name="Title 2 10 34 2" xfId="39841"/>
    <cellStyle name="Title 2 10 35" xfId="39842"/>
    <cellStyle name="Title 2 10 35 2" xfId="39843"/>
    <cellStyle name="Title 2 10 36" xfId="39844"/>
    <cellStyle name="Title 2 10 36 2" xfId="39845"/>
    <cellStyle name="Title 2 10 37" xfId="39846"/>
    <cellStyle name="Title 2 10 37 2" xfId="39847"/>
    <cellStyle name="Title 2 10 38" xfId="39848"/>
    <cellStyle name="Title 2 10 38 2" xfId="39849"/>
    <cellStyle name="Title 2 10 39" xfId="39850"/>
    <cellStyle name="Title 2 10 39 2" xfId="39851"/>
    <cellStyle name="Title 2 10 4" xfId="39852"/>
    <cellStyle name="Title 2 10 4 2" xfId="39853"/>
    <cellStyle name="Title 2 10 40" xfId="39854"/>
    <cellStyle name="Title 2 10 40 2" xfId="39855"/>
    <cellStyle name="Title 2 10 41" xfId="39856"/>
    <cellStyle name="Title 2 10 41 2" xfId="39857"/>
    <cellStyle name="Title 2 10 42" xfId="39858"/>
    <cellStyle name="Title 2 10 42 2" xfId="39859"/>
    <cellStyle name="Title 2 10 43" xfId="39860"/>
    <cellStyle name="Title 2 10 43 2" xfId="39861"/>
    <cellStyle name="Title 2 10 44" xfId="39862"/>
    <cellStyle name="Title 2 10 44 2" xfId="39863"/>
    <cellStyle name="Title 2 10 45" xfId="39864"/>
    <cellStyle name="Title 2 10 46" xfId="39865"/>
    <cellStyle name="Title 2 10 47" xfId="39866"/>
    <cellStyle name="Title 2 10 48" xfId="39867"/>
    <cellStyle name="Title 2 10 49" xfId="39868"/>
    <cellStyle name="Title 2 10 5" xfId="39869"/>
    <cellStyle name="Title 2 10 5 2" xfId="39870"/>
    <cellStyle name="Title 2 10 50" xfId="39871"/>
    <cellStyle name="Title 2 10 51" xfId="39872"/>
    <cellStyle name="Title 2 10 52" xfId="39873"/>
    <cellStyle name="Title 2 10 53" xfId="39874"/>
    <cellStyle name="Title 2 10 54" xfId="39875"/>
    <cellStyle name="Title 2 10 55" xfId="39876"/>
    <cellStyle name="Title 2 10 56" xfId="39877"/>
    <cellStyle name="Title 2 10 57" xfId="39878"/>
    <cellStyle name="Title 2 10 58" xfId="39879"/>
    <cellStyle name="Title 2 10 59" xfId="39880"/>
    <cellStyle name="Title 2 10 6" xfId="39881"/>
    <cellStyle name="Title 2 10 6 2" xfId="39882"/>
    <cellStyle name="Title 2 10 60" xfId="39883"/>
    <cellStyle name="Title 2 10 61" xfId="39884"/>
    <cellStyle name="Title 2 10 62" xfId="39885"/>
    <cellStyle name="Title 2 10 63" xfId="39886"/>
    <cellStyle name="Title 2 10 64" xfId="39887"/>
    <cellStyle name="Title 2 10 65" xfId="39888"/>
    <cellStyle name="Title 2 10 66" xfId="39889"/>
    <cellStyle name="Title 2 10 67" xfId="39890"/>
    <cellStyle name="Title 2 10 68" xfId="39891"/>
    <cellStyle name="Title 2 10 69" xfId="39892"/>
    <cellStyle name="Title 2 10 7" xfId="39893"/>
    <cellStyle name="Title 2 10 7 2" xfId="39894"/>
    <cellStyle name="Title 2 10 70" xfId="39895"/>
    <cellStyle name="Title 2 10 71" xfId="39896"/>
    <cellStyle name="Title 2 10 72" xfId="39897"/>
    <cellStyle name="Title 2 10 73" xfId="39898"/>
    <cellStyle name="Title 2 10 74" xfId="39899"/>
    <cellStyle name="Title 2 10 75" xfId="39900"/>
    <cellStyle name="Title 2 10 76" xfId="39901"/>
    <cellStyle name="Title 2 10 77" xfId="39902"/>
    <cellStyle name="Title 2 10 78" xfId="39903"/>
    <cellStyle name="Title 2 10 79" xfId="39904"/>
    <cellStyle name="Title 2 10 8" xfId="39905"/>
    <cellStyle name="Title 2 10 8 2" xfId="39906"/>
    <cellStyle name="Title 2 10 80" xfId="39907"/>
    <cellStyle name="Title 2 10 81" xfId="39908"/>
    <cellStyle name="Title 2 10 82" xfId="39909"/>
    <cellStyle name="Title 2 10 83" xfId="39910"/>
    <cellStyle name="Title 2 10 84" xfId="39911"/>
    <cellStyle name="Title 2 10 85" xfId="39912"/>
    <cellStyle name="Title 2 10 86" xfId="39913"/>
    <cellStyle name="Title 2 10 87" xfId="39914"/>
    <cellStyle name="Title 2 10 88" xfId="39915"/>
    <cellStyle name="Title 2 10 89" xfId="39916"/>
    <cellStyle name="Title 2 10 9" xfId="39917"/>
    <cellStyle name="Title 2 10 9 2" xfId="39918"/>
    <cellStyle name="Title 2 10 90" xfId="39919"/>
    <cellStyle name="Title 2 10 91" xfId="39920"/>
    <cellStyle name="Title 2 10 92" xfId="39921"/>
    <cellStyle name="Title 2 10 93" xfId="39922"/>
    <cellStyle name="Title 2 10 94" xfId="39923"/>
    <cellStyle name="Title 2 10 95" xfId="39924"/>
    <cellStyle name="Title 2 10 96" xfId="39925"/>
    <cellStyle name="Title 2 10 97" xfId="39926"/>
    <cellStyle name="Title 2 10 98" xfId="39927"/>
    <cellStyle name="Title 2 10 99" xfId="39928"/>
    <cellStyle name="Title 2 100" xfId="39929"/>
    <cellStyle name="Title 2 101" xfId="39930"/>
    <cellStyle name="Title 2 102" xfId="39931"/>
    <cellStyle name="Title 2 103" xfId="39932"/>
    <cellStyle name="Title 2 104" xfId="39933"/>
    <cellStyle name="Title 2 105" xfId="39934"/>
    <cellStyle name="Title 2 106" xfId="39935"/>
    <cellStyle name="Title 2 107" xfId="39936"/>
    <cellStyle name="Title 2 108" xfId="39937"/>
    <cellStyle name="Title 2 109" xfId="39938"/>
    <cellStyle name="Title 2 11" xfId="39939"/>
    <cellStyle name="Title 2 11 2" xfId="39940"/>
    <cellStyle name="Title 2 110" xfId="39941"/>
    <cellStyle name="Title 2 111" xfId="39942"/>
    <cellStyle name="Title 2 112" xfId="39943"/>
    <cellStyle name="Title 2 113" xfId="39944"/>
    <cellStyle name="Title 2 114" xfId="39945"/>
    <cellStyle name="Title 2 115" xfId="39946"/>
    <cellStyle name="Title 2 116" xfId="39947"/>
    <cellStyle name="Title 2 117" xfId="39948"/>
    <cellStyle name="Title 2 118" xfId="39949"/>
    <cellStyle name="Title 2 119" xfId="39950"/>
    <cellStyle name="Title 2 12" xfId="39951"/>
    <cellStyle name="Title 2 12 2" xfId="39952"/>
    <cellStyle name="Title 2 120" xfId="39953"/>
    <cellStyle name="Title 2 121" xfId="39954"/>
    <cellStyle name="Title 2 122" xfId="39955"/>
    <cellStyle name="Title 2 123" xfId="39956"/>
    <cellStyle name="Title 2 124" xfId="39957"/>
    <cellStyle name="Title 2 125" xfId="39958"/>
    <cellStyle name="Title 2 126" xfId="39959"/>
    <cellStyle name="Title 2 127" xfId="39960"/>
    <cellStyle name="Title 2 128" xfId="39961"/>
    <cellStyle name="Title 2 129" xfId="39962"/>
    <cellStyle name="Title 2 13" xfId="39963"/>
    <cellStyle name="Title 2 13 2" xfId="39964"/>
    <cellStyle name="Title 2 130" xfId="39965"/>
    <cellStyle name="Title 2 131" xfId="39966"/>
    <cellStyle name="Title 2 132" xfId="39967"/>
    <cellStyle name="Title 2 133" xfId="39968"/>
    <cellStyle name="Title 2 134" xfId="39969"/>
    <cellStyle name="Title 2 135" xfId="39970"/>
    <cellStyle name="Title 2 136" xfId="39971"/>
    <cellStyle name="Title 2 137" xfId="39972"/>
    <cellStyle name="Title 2 138" xfId="39973"/>
    <cellStyle name="Title 2 139" xfId="39974"/>
    <cellStyle name="Title 2 14" xfId="39975"/>
    <cellStyle name="Title 2 14 2" xfId="39976"/>
    <cellStyle name="Title 2 140" xfId="39977"/>
    <cellStyle name="Title 2 141" xfId="39978"/>
    <cellStyle name="Title 2 142" xfId="39979"/>
    <cellStyle name="Title 2 143" xfId="39980"/>
    <cellStyle name="Title 2 144" xfId="39981"/>
    <cellStyle name="Title 2 145" xfId="39982"/>
    <cellStyle name="Title 2 146" xfId="39983"/>
    <cellStyle name="Title 2 15" xfId="39984"/>
    <cellStyle name="Title 2 15 2" xfId="39985"/>
    <cellStyle name="Title 2 16" xfId="39986"/>
    <cellStyle name="Title 2 16 2" xfId="39987"/>
    <cellStyle name="Title 2 17" xfId="39988"/>
    <cellStyle name="Title 2 17 2" xfId="39989"/>
    <cellStyle name="Title 2 18" xfId="39990"/>
    <cellStyle name="Title 2 18 2" xfId="39991"/>
    <cellStyle name="Title 2 19" xfId="39992"/>
    <cellStyle name="Title 2 19 2" xfId="39993"/>
    <cellStyle name="Title 2 2" xfId="1748"/>
    <cellStyle name="Title 2 2 10" xfId="39994"/>
    <cellStyle name="Title 2 2 10 2" xfId="39995"/>
    <cellStyle name="Title 2 2 100" xfId="39996"/>
    <cellStyle name="Title 2 2 101" xfId="39997"/>
    <cellStyle name="Title 2 2 102" xfId="39998"/>
    <cellStyle name="Title 2 2 103" xfId="39999"/>
    <cellStyle name="Title 2 2 104" xfId="40000"/>
    <cellStyle name="Title 2 2 105" xfId="40001"/>
    <cellStyle name="Title 2 2 106" xfId="40002"/>
    <cellStyle name="Title 2 2 107" xfId="40003"/>
    <cellStyle name="Title 2 2 108" xfId="40004"/>
    <cellStyle name="Title 2 2 109" xfId="40005"/>
    <cellStyle name="Title 2 2 11" xfId="40006"/>
    <cellStyle name="Title 2 2 11 2" xfId="40007"/>
    <cellStyle name="Title 2 2 110" xfId="40008"/>
    <cellStyle name="Title 2 2 111" xfId="40009"/>
    <cellStyle name="Title 2 2 112" xfId="40010"/>
    <cellStyle name="Title 2 2 113" xfId="40011"/>
    <cellStyle name="Title 2 2 114" xfId="40012"/>
    <cellStyle name="Title 2 2 115" xfId="40013"/>
    <cellStyle name="Title 2 2 116" xfId="40014"/>
    <cellStyle name="Title 2 2 117" xfId="40015"/>
    <cellStyle name="Title 2 2 118" xfId="40016"/>
    <cellStyle name="Title 2 2 119" xfId="40017"/>
    <cellStyle name="Title 2 2 12" xfId="40018"/>
    <cellStyle name="Title 2 2 12 2" xfId="40019"/>
    <cellStyle name="Title 2 2 120" xfId="40020"/>
    <cellStyle name="Title 2 2 121" xfId="40021"/>
    <cellStyle name="Title 2 2 122" xfId="40022"/>
    <cellStyle name="Title 2 2 123" xfId="40023"/>
    <cellStyle name="Title 2 2 124" xfId="40024"/>
    <cellStyle name="Title 2 2 125" xfId="40025"/>
    <cellStyle name="Title 2 2 126" xfId="40026"/>
    <cellStyle name="Title 2 2 127" xfId="40027"/>
    <cellStyle name="Title 2 2 128" xfId="40028"/>
    <cellStyle name="Title 2 2 129" xfId="40029"/>
    <cellStyle name="Title 2 2 13" xfId="40030"/>
    <cellStyle name="Title 2 2 13 2" xfId="40031"/>
    <cellStyle name="Title 2 2 130" xfId="40032"/>
    <cellStyle name="Title 2 2 131" xfId="40033"/>
    <cellStyle name="Title 2 2 132" xfId="40034"/>
    <cellStyle name="Title 2 2 133" xfId="40035"/>
    <cellStyle name="Title 2 2 134" xfId="40036"/>
    <cellStyle name="Title 2 2 135" xfId="40037"/>
    <cellStyle name="Title 2 2 136" xfId="40038"/>
    <cellStyle name="Title 2 2 137" xfId="40039"/>
    <cellStyle name="Title 2 2 138" xfId="40040"/>
    <cellStyle name="Title 2 2 139" xfId="40041"/>
    <cellStyle name="Title 2 2 14" xfId="40042"/>
    <cellStyle name="Title 2 2 14 2" xfId="40043"/>
    <cellStyle name="Title 2 2 140" xfId="40044"/>
    <cellStyle name="Title 2 2 15" xfId="40045"/>
    <cellStyle name="Title 2 2 15 2" xfId="40046"/>
    <cellStyle name="Title 2 2 16" xfId="40047"/>
    <cellStyle name="Title 2 2 16 2" xfId="40048"/>
    <cellStyle name="Title 2 2 17" xfId="40049"/>
    <cellStyle name="Title 2 2 17 2" xfId="40050"/>
    <cellStyle name="Title 2 2 18" xfId="40051"/>
    <cellStyle name="Title 2 2 18 2" xfId="40052"/>
    <cellStyle name="Title 2 2 19" xfId="40053"/>
    <cellStyle name="Title 2 2 19 2" xfId="40054"/>
    <cellStyle name="Title 2 2 2" xfId="40055"/>
    <cellStyle name="Title 2 2 2 10" xfId="40056"/>
    <cellStyle name="Title 2 2 2 10 2" xfId="40057"/>
    <cellStyle name="Title 2 2 2 100" xfId="40058"/>
    <cellStyle name="Title 2 2 2 101" xfId="40059"/>
    <cellStyle name="Title 2 2 2 102" xfId="40060"/>
    <cellStyle name="Title 2 2 2 103" xfId="40061"/>
    <cellStyle name="Title 2 2 2 104" xfId="40062"/>
    <cellStyle name="Title 2 2 2 105" xfId="40063"/>
    <cellStyle name="Title 2 2 2 106" xfId="40064"/>
    <cellStyle name="Title 2 2 2 107" xfId="40065"/>
    <cellStyle name="Title 2 2 2 108" xfId="40066"/>
    <cellStyle name="Title 2 2 2 109" xfId="40067"/>
    <cellStyle name="Title 2 2 2 11" xfId="40068"/>
    <cellStyle name="Title 2 2 2 11 2" xfId="40069"/>
    <cellStyle name="Title 2 2 2 110" xfId="40070"/>
    <cellStyle name="Title 2 2 2 111" xfId="40071"/>
    <cellStyle name="Title 2 2 2 112" xfId="40072"/>
    <cellStyle name="Title 2 2 2 113" xfId="40073"/>
    <cellStyle name="Title 2 2 2 114" xfId="40074"/>
    <cellStyle name="Title 2 2 2 115" xfId="40075"/>
    <cellStyle name="Title 2 2 2 116" xfId="40076"/>
    <cellStyle name="Title 2 2 2 117" xfId="40077"/>
    <cellStyle name="Title 2 2 2 118" xfId="40078"/>
    <cellStyle name="Title 2 2 2 119" xfId="40079"/>
    <cellStyle name="Title 2 2 2 12" xfId="40080"/>
    <cellStyle name="Title 2 2 2 12 2" xfId="40081"/>
    <cellStyle name="Title 2 2 2 120" xfId="40082"/>
    <cellStyle name="Title 2 2 2 121" xfId="40083"/>
    <cellStyle name="Title 2 2 2 122" xfId="40084"/>
    <cellStyle name="Title 2 2 2 123" xfId="40085"/>
    <cellStyle name="Title 2 2 2 124" xfId="40086"/>
    <cellStyle name="Title 2 2 2 125" xfId="40087"/>
    <cellStyle name="Title 2 2 2 126" xfId="40088"/>
    <cellStyle name="Title 2 2 2 127" xfId="40089"/>
    <cellStyle name="Title 2 2 2 128" xfId="40090"/>
    <cellStyle name="Title 2 2 2 129" xfId="40091"/>
    <cellStyle name="Title 2 2 2 13" xfId="40092"/>
    <cellStyle name="Title 2 2 2 13 2" xfId="40093"/>
    <cellStyle name="Title 2 2 2 130" xfId="40094"/>
    <cellStyle name="Title 2 2 2 131" xfId="40095"/>
    <cellStyle name="Title 2 2 2 132" xfId="40096"/>
    <cellStyle name="Title 2 2 2 133" xfId="40097"/>
    <cellStyle name="Title 2 2 2 134" xfId="40098"/>
    <cellStyle name="Title 2 2 2 135" xfId="40099"/>
    <cellStyle name="Title 2 2 2 136" xfId="40100"/>
    <cellStyle name="Title 2 2 2 137" xfId="40101"/>
    <cellStyle name="Title 2 2 2 14" xfId="40102"/>
    <cellStyle name="Title 2 2 2 14 2" xfId="40103"/>
    <cellStyle name="Title 2 2 2 15" xfId="40104"/>
    <cellStyle name="Title 2 2 2 15 2" xfId="40105"/>
    <cellStyle name="Title 2 2 2 16" xfId="40106"/>
    <cellStyle name="Title 2 2 2 16 2" xfId="40107"/>
    <cellStyle name="Title 2 2 2 17" xfId="40108"/>
    <cellStyle name="Title 2 2 2 17 2" xfId="40109"/>
    <cellStyle name="Title 2 2 2 18" xfId="40110"/>
    <cellStyle name="Title 2 2 2 18 2" xfId="40111"/>
    <cellStyle name="Title 2 2 2 19" xfId="40112"/>
    <cellStyle name="Title 2 2 2 19 2" xfId="40113"/>
    <cellStyle name="Title 2 2 2 2" xfId="40114"/>
    <cellStyle name="Title 2 2 2 2 10" xfId="40115"/>
    <cellStyle name="Title 2 2 2 2 10 2" xfId="40116"/>
    <cellStyle name="Title 2 2 2 2 100" xfId="40117"/>
    <cellStyle name="Title 2 2 2 2 101" xfId="40118"/>
    <cellStyle name="Title 2 2 2 2 102" xfId="40119"/>
    <cellStyle name="Title 2 2 2 2 103" xfId="40120"/>
    <cellStyle name="Title 2 2 2 2 104" xfId="40121"/>
    <cellStyle name="Title 2 2 2 2 105" xfId="40122"/>
    <cellStyle name="Title 2 2 2 2 106" xfId="40123"/>
    <cellStyle name="Title 2 2 2 2 107" xfId="40124"/>
    <cellStyle name="Title 2 2 2 2 108" xfId="40125"/>
    <cellStyle name="Title 2 2 2 2 109" xfId="40126"/>
    <cellStyle name="Title 2 2 2 2 11" xfId="40127"/>
    <cellStyle name="Title 2 2 2 2 11 2" xfId="40128"/>
    <cellStyle name="Title 2 2 2 2 110" xfId="40129"/>
    <cellStyle name="Title 2 2 2 2 111" xfId="40130"/>
    <cellStyle name="Title 2 2 2 2 112" xfId="40131"/>
    <cellStyle name="Title 2 2 2 2 113" xfId="40132"/>
    <cellStyle name="Title 2 2 2 2 114" xfId="40133"/>
    <cellStyle name="Title 2 2 2 2 115" xfId="40134"/>
    <cellStyle name="Title 2 2 2 2 116" xfId="40135"/>
    <cellStyle name="Title 2 2 2 2 117" xfId="40136"/>
    <cellStyle name="Title 2 2 2 2 118" xfId="40137"/>
    <cellStyle name="Title 2 2 2 2 119" xfId="40138"/>
    <cellStyle name="Title 2 2 2 2 12" xfId="40139"/>
    <cellStyle name="Title 2 2 2 2 12 2" xfId="40140"/>
    <cellStyle name="Title 2 2 2 2 120" xfId="40141"/>
    <cellStyle name="Title 2 2 2 2 121" xfId="40142"/>
    <cellStyle name="Title 2 2 2 2 122" xfId="40143"/>
    <cellStyle name="Title 2 2 2 2 123" xfId="40144"/>
    <cellStyle name="Title 2 2 2 2 124" xfId="40145"/>
    <cellStyle name="Title 2 2 2 2 125" xfId="40146"/>
    <cellStyle name="Title 2 2 2 2 126" xfId="40147"/>
    <cellStyle name="Title 2 2 2 2 127" xfId="40148"/>
    <cellStyle name="Title 2 2 2 2 128" xfId="40149"/>
    <cellStyle name="Title 2 2 2 2 129" xfId="40150"/>
    <cellStyle name="Title 2 2 2 2 13" xfId="40151"/>
    <cellStyle name="Title 2 2 2 2 13 2" xfId="40152"/>
    <cellStyle name="Title 2 2 2 2 130" xfId="40153"/>
    <cellStyle name="Title 2 2 2 2 131" xfId="40154"/>
    <cellStyle name="Title 2 2 2 2 132" xfId="40155"/>
    <cellStyle name="Title 2 2 2 2 133" xfId="40156"/>
    <cellStyle name="Title 2 2 2 2 134" xfId="40157"/>
    <cellStyle name="Title 2 2 2 2 135" xfId="40158"/>
    <cellStyle name="Title 2 2 2 2 136" xfId="40159"/>
    <cellStyle name="Title 2 2 2 2 137" xfId="40160"/>
    <cellStyle name="Title 2 2 2 2 14" xfId="40161"/>
    <cellStyle name="Title 2 2 2 2 14 2" xfId="40162"/>
    <cellStyle name="Title 2 2 2 2 15" xfId="40163"/>
    <cellStyle name="Title 2 2 2 2 15 2" xfId="40164"/>
    <cellStyle name="Title 2 2 2 2 16" xfId="40165"/>
    <cellStyle name="Title 2 2 2 2 16 2" xfId="40166"/>
    <cellStyle name="Title 2 2 2 2 17" xfId="40167"/>
    <cellStyle name="Title 2 2 2 2 17 2" xfId="40168"/>
    <cellStyle name="Title 2 2 2 2 18" xfId="40169"/>
    <cellStyle name="Title 2 2 2 2 18 2" xfId="40170"/>
    <cellStyle name="Title 2 2 2 2 19" xfId="40171"/>
    <cellStyle name="Title 2 2 2 2 19 2" xfId="40172"/>
    <cellStyle name="Title 2 2 2 2 2" xfId="40173"/>
    <cellStyle name="Title 2 2 2 2 2 10" xfId="40174"/>
    <cellStyle name="Title 2 2 2 2 2 10 2" xfId="40175"/>
    <cellStyle name="Title 2 2 2 2 2 100" xfId="40176"/>
    <cellStyle name="Title 2 2 2 2 2 101" xfId="40177"/>
    <cellStyle name="Title 2 2 2 2 2 102" xfId="40178"/>
    <cellStyle name="Title 2 2 2 2 2 103" xfId="40179"/>
    <cellStyle name="Title 2 2 2 2 2 104" xfId="40180"/>
    <cellStyle name="Title 2 2 2 2 2 105" xfId="40181"/>
    <cellStyle name="Title 2 2 2 2 2 106" xfId="40182"/>
    <cellStyle name="Title 2 2 2 2 2 107" xfId="40183"/>
    <cellStyle name="Title 2 2 2 2 2 108" xfId="40184"/>
    <cellStyle name="Title 2 2 2 2 2 109" xfId="40185"/>
    <cellStyle name="Title 2 2 2 2 2 11" xfId="40186"/>
    <cellStyle name="Title 2 2 2 2 2 11 2" xfId="40187"/>
    <cellStyle name="Title 2 2 2 2 2 110" xfId="40188"/>
    <cellStyle name="Title 2 2 2 2 2 111" xfId="40189"/>
    <cellStyle name="Title 2 2 2 2 2 112" xfId="40190"/>
    <cellStyle name="Title 2 2 2 2 2 113" xfId="40191"/>
    <cellStyle name="Title 2 2 2 2 2 114" xfId="40192"/>
    <cellStyle name="Title 2 2 2 2 2 115" xfId="40193"/>
    <cellStyle name="Title 2 2 2 2 2 116" xfId="40194"/>
    <cellStyle name="Title 2 2 2 2 2 117" xfId="40195"/>
    <cellStyle name="Title 2 2 2 2 2 118" xfId="40196"/>
    <cellStyle name="Title 2 2 2 2 2 119" xfId="40197"/>
    <cellStyle name="Title 2 2 2 2 2 12" xfId="40198"/>
    <cellStyle name="Title 2 2 2 2 2 12 2" xfId="40199"/>
    <cellStyle name="Title 2 2 2 2 2 120" xfId="40200"/>
    <cellStyle name="Title 2 2 2 2 2 121" xfId="40201"/>
    <cellStyle name="Title 2 2 2 2 2 122" xfId="40202"/>
    <cellStyle name="Title 2 2 2 2 2 123" xfId="40203"/>
    <cellStyle name="Title 2 2 2 2 2 124" xfId="40204"/>
    <cellStyle name="Title 2 2 2 2 2 125" xfId="40205"/>
    <cellStyle name="Title 2 2 2 2 2 126" xfId="40206"/>
    <cellStyle name="Title 2 2 2 2 2 127" xfId="40207"/>
    <cellStyle name="Title 2 2 2 2 2 128" xfId="40208"/>
    <cellStyle name="Title 2 2 2 2 2 129" xfId="40209"/>
    <cellStyle name="Title 2 2 2 2 2 13" xfId="40210"/>
    <cellStyle name="Title 2 2 2 2 2 13 2" xfId="40211"/>
    <cellStyle name="Title 2 2 2 2 2 130" xfId="40212"/>
    <cellStyle name="Title 2 2 2 2 2 131" xfId="40213"/>
    <cellStyle name="Title 2 2 2 2 2 132" xfId="40214"/>
    <cellStyle name="Title 2 2 2 2 2 133" xfId="40215"/>
    <cellStyle name="Title 2 2 2 2 2 134" xfId="40216"/>
    <cellStyle name="Title 2 2 2 2 2 135" xfId="40217"/>
    <cellStyle name="Title 2 2 2 2 2 136" xfId="40218"/>
    <cellStyle name="Title 2 2 2 2 2 14" xfId="40219"/>
    <cellStyle name="Title 2 2 2 2 2 14 2" xfId="40220"/>
    <cellStyle name="Title 2 2 2 2 2 15" xfId="40221"/>
    <cellStyle name="Title 2 2 2 2 2 15 2" xfId="40222"/>
    <cellStyle name="Title 2 2 2 2 2 16" xfId="40223"/>
    <cellStyle name="Title 2 2 2 2 2 16 2" xfId="40224"/>
    <cellStyle name="Title 2 2 2 2 2 17" xfId="40225"/>
    <cellStyle name="Title 2 2 2 2 2 17 2" xfId="40226"/>
    <cellStyle name="Title 2 2 2 2 2 18" xfId="40227"/>
    <cellStyle name="Title 2 2 2 2 2 18 2" xfId="40228"/>
    <cellStyle name="Title 2 2 2 2 2 19" xfId="40229"/>
    <cellStyle name="Title 2 2 2 2 2 19 2" xfId="40230"/>
    <cellStyle name="Title 2 2 2 2 2 2" xfId="40231"/>
    <cellStyle name="Title 2 2 2 2 2 2 10" xfId="40232"/>
    <cellStyle name="Title 2 2 2 2 2 2 10 2" xfId="40233"/>
    <cellStyle name="Title 2 2 2 2 2 2 100" xfId="40234"/>
    <cellStyle name="Title 2 2 2 2 2 2 101" xfId="40235"/>
    <cellStyle name="Title 2 2 2 2 2 2 102" xfId="40236"/>
    <cellStyle name="Title 2 2 2 2 2 2 103" xfId="40237"/>
    <cellStyle name="Title 2 2 2 2 2 2 104" xfId="40238"/>
    <cellStyle name="Title 2 2 2 2 2 2 105" xfId="40239"/>
    <cellStyle name="Title 2 2 2 2 2 2 106" xfId="40240"/>
    <cellStyle name="Title 2 2 2 2 2 2 107" xfId="40241"/>
    <cellStyle name="Title 2 2 2 2 2 2 108" xfId="40242"/>
    <cellStyle name="Title 2 2 2 2 2 2 109" xfId="40243"/>
    <cellStyle name="Title 2 2 2 2 2 2 11" xfId="40244"/>
    <cellStyle name="Title 2 2 2 2 2 2 11 2" xfId="40245"/>
    <cellStyle name="Title 2 2 2 2 2 2 110" xfId="40246"/>
    <cellStyle name="Title 2 2 2 2 2 2 111" xfId="40247"/>
    <cellStyle name="Title 2 2 2 2 2 2 112" xfId="40248"/>
    <cellStyle name="Title 2 2 2 2 2 2 113" xfId="40249"/>
    <cellStyle name="Title 2 2 2 2 2 2 114" xfId="40250"/>
    <cellStyle name="Title 2 2 2 2 2 2 115" xfId="40251"/>
    <cellStyle name="Title 2 2 2 2 2 2 116" xfId="40252"/>
    <cellStyle name="Title 2 2 2 2 2 2 117" xfId="40253"/>
    <cellStyle name="Title 2 2 2 2 2 2 118" xfId="40254"/>
    <cellStyle name="Title 2 2 2 2 2 2 119" xfId="40255"/>
    <cellStyle name="Title 2 2 2 2 2 2 12" xfId="40256"/>
    <cellStyle name="Title 2 2 2 2 2 2 12 2" xfId="40257"/>
    <cellStyle name="Title 2 2 2 2 2 2 120" xfId="40258"/>
    <cellStyle name="Title 2 2 2 2 2 2 121" xfId="40259"/>
    <cellStyle name="Title 2 2 2 2 2 2 122" xfId="40260"/>
    <cellStyle name="Title 2 2 2 2 2 2 123" xfId="40261"/>
    <cellStyle name="Title 2 2 2 2 2 2 124" xfId="40262"/>
    <cellStyle name="Title 2 2 2 2 2 2 125" xfId="40263"/>
    <cellStyle name="Title 2 2 2 2 2 2 126" xfId="40264"/>
    <cellStyle name="Title 2 2 2 2 2 2 127" xfId="40265"/>
    <cellStyle name="Title 2 2 2 2 2 2 128" xfId="40266"/>
    <cellStyle name="Title 2 2 2 2 2 2 129" xfId="40267"/>
    <cellStyle name="Title 2 2 2 2 2 2 13" xfId="40268"/>
    <cellStyle name="Title 2 2 2 2 2 2 13 2" xfId="40269"/>
    <cellStyle name="Title 2 2 2 2 2 2 130" xfId="40270"/>
    <cellStyle name="Title 2 2 2 2 2 2 131" xfId="40271"/>
    <cellStyle name="Title 2 2 2 2 2 2 132" xfId="40272"/>
    <cellStyle name="Title 2 2 2 2 2 2 133" xfId="40273"/>
    <cellStyle name="Title 2 2 2 2 2 2 134" xfId="40274"/>
    <cellStyle name="Title 2 2 2 2 2 2 135" xfId="40275"/>
    <cellStyle name="Title 2 2 2 2 2 2 136" xfId="40276"/>
    <cellStyle name="Title 2 2 2 2 2 2 14" xfId="40277"/>
    <cellStyle name="Title 2 2 2 2 2 2 14 2" xfId="40278"/>
    <cellStyle name="Title 2 2 2 2 2 2 15" xfId="40279"/>
    <cellStyle name="Title 2 2 2 2 2 2 15 2" xfId="40280"/>
    <cellStyle name="Title 2 2 2 2 2 2 16" xfId="40281"/>
    <cellStyle name="Title 2 2 2 2 2 2 16 2" xfId="40282"/>
    <cellStyle name="Title 2 2 2 2 2 2 17" xfId="40283"/>
    <cellStyle name="Title 2 2 2 2 2 2 17 2" xfId="40284"/>
    <cellStyle name="Title 2 2 2 2 2 2 18" xfId="40285"/>
    <cellStyle name="Title 2 2 2 2 2 2 18 2" xfId="40286"/>
    <cellStyle name="Title 2 2 2 2 2 2 19" xfId="40287"/>
    <cellStyle name="Title 2 2 2 2 2 2 19 2" xfId="40288"/>
    <cellStyle name="Title 2 2 2 2 2 2 2" xfId="40289"/>
    <cellStyle name="Title 2 2 2 2 2 2 2 10" xfId="40290"/>
    <cellStyle name="Title 2 2 2 2 2 2 2 10 2" xfId="40291"/>
    <cellStyle name="Title 2 2 2 2 2 2 2 100" xfId="40292"/>
    <cellStyle name="Title 2 2 2 2 2 2 2 101" xfId="40293"/>
    <cellStyle name="Title 2 2 2 2 2 2 2 102" xfId="40294"/>
    <cellStyle name="Title 2 2 2 2 2 2 2 103" xfId="40295"/>
    <cellStyle name="Title 2 2 2 2 2 2 2 104" xfId="40296"/>
    <cellStyle name="Title 2 2 2 2 2 2 2 105" xfId="40297"/>
    <cellStyle name="Title 2 2 2 2 2 2 2 106" xfId="40298"/>
    <cellStyle name="Title 2 2 2 2 2 2 2 107" xfId="40299"/>
    <cellStyle name="Title 2 2 2 2 2 2 2 108" xfId="40300"/>
    <cellStyle name="Title 2 2 2 2 2 2 2 109" xfId="40301"/>
    <cellStyle name="Title 2 2 2 2 2 2 2 11" xfId="40302"/>
    <cellStyle name="Title 2 2 2 2 2 2 2 11 2" xfId="40303"/>
    <cellStyle name="Title 2 2 2 2 2 2 2 110" xfId="40304"/>
    <cellStyle name="Title 2 2 2 2 2 2 2 111" xfId="40305"/>
    <cellStyle name="Title 2 2 2 2 2 2 2 112" xfId="40306"/>
    <cellStyle name="Title 2 2 2 2 2 2 2 113" xfId="40307"/>
    <cellStyle name="Title 2 2 2 2 2 2 2 114" xfId="40308"/>
    <cellStyle name="Title 2 2 2 2 2 2 2 115" xfId="40309"/>
    <cellStyle name="Title 2 2 2 2 2 2 2 116" xfId="40310"/>
    <cellStyle name="Title 2 2 2 2 2 2 2 117" xfId="40311"/>
    <cellStyle name="Title 2 2 2 2 2 2 2 118" xfId="40312"/>
    <cellStyle name="Title 2 2 2 2 2 2 2 119" xfId="40313"/>
    <cellStyle name="Title 2 2 2 2 2 2 2 12" xfId="40314"/>
    <cellStyle name="Title 2 2 2 2 2 2 2 12 2" xfId="40315"/>
    <cellStyle name="Title 2 2 2 2 2 2 2 120" xfId="40316"/>
    <cellStyle name="Title 2 2 2 2 2 2 2 121" xfId="40317"/>
    <cellStyle name="Title 2 2 2 2 2 2 2 122" xfId="40318"/>
    <cellStyle name="Title 2 2 2 2 2 2 2 123" xfId="40319"/>
    <cellStyle name="Title 2 2 2 2 2 2 2 124" xfId="40320"/>
    <cellStyle name="Title 2 2 2 2 2 2 2 125" xfId="40321"/>
    <cellStyle name="Title 2 2 2 2 2 2 2 126" xfId="40322"/>
    <cellStyle name="Title 2 2 2 2 2 2 2 127" xfId="40323"/>
    <cellStyle name="Title 2 2 2 2 2 2 2 128" xfId="40324"/>
    <cellStyle name="Title 2 2 2 2 2 2 2 129" xfId="40325"/>
    <cellStyle name="Title 2 2 2 2 2 2 2 13" xfId="40326"/>
    <cellStyle name="Title 2 2 2 2 2 2 2 13 2" xfId="40327"/>
    <cellStyle name="Title 2 2 2 2 2 2 2 130" xfId="40328"/>
    <cellStyle name="Title 2 2 2 2 2 2 2 131" xfId="40329"/>
    <cellStyle name="Title 2 2 2 2 2 2 2 132" xfId="40330"/>
    <cellStyle name="Title 2 2 2 2 2 2 2 133" xfId="40331"/>
    <cellStyle name="Title 2 2 2 2 2 2 2 134" xfId="40332"/>
    <cellStyle name="Title 2 2 2 2 2 2 2 135" xfId="40333"/>
    <cellStyle name="Title 2 2 2 2 2 2 2 14" xfId="40334"/>
    <cellStyle name="Title 2 2 2 2 2 2 2 14 2" xfId="40335"/>
    <cellStyle name="Title 2 2 2 2 2 2 2 15" xfId="40336"/>
    <cellStyle name="Title 2 2 2 2 2 2 2 15 2" xfId="40337"/>
    <cellStyle name="Title 2 2 2 2 2 2 2 16" xfId="40338"/>
    <cellStyle name="Title 2 2 2 2 2 2 2 16 2" xfId="40339"/>
    <cellStyle name="Title 2 2 2 2 2 2 2 17" xfId="40340"/>
    <cellStyle name="Title 2 2 2 2 2 2 2 17 2" xfId="40341"/>
    <cellStyle name="Title 2 2 2 2 2 2 2 18" xfId="40342"/>
    <cellStyle name="Title 2 2 2 2 2 2 2 18 2" xfId="40343"/>
    <cellStyle name="Title 2 2 2 2 2 2 2 19" xfId="40344"/>
    <cellStyle name="Title 2 2 2 2 2 2 2 19 2" xfId="40345"/>
    <cellStyle name="Title 2 2 2 2 2 2 2 2" xfId="40346"/>
    <cellStyle name="Title 2 2 2 2 2 2 2 2 10" xfId="40347"/>
    <cellStyle name="Title 2 2 2 2 2 2 2 2 10 2" xfId="40348"/>
    <cellStyle name="Title 2 2 2 2 2 2 2 2 100" xfId="40349"/>
    <cellStyle name="Title 2 2 2 2 2 2 2 2 101" xfId="40350"/>
    <cellStyle name="Title 2 2 2 2 2 2 2 2 102" xfId="40351"/>
    <cellStyle name="Title 2 2 2 2 2 2 2 2 103" xfId="40352"/>
    <cellStyle name="Title 2 2 2 2 2 2 2 2 104" xfId="40353"/>
    <cellStyle name="Title 2 2 2 2 2 2 2 2 105" xfId="40354"/>
    <cellStyle name="Title 2 2 2 2 2 2 2 2 106" xfId="40355"/>
    <cellStyle name="Title 2 2 2 2 2 2 2 2 107" xfId="40356"/>
    <cellStyle name="Title 2 2 2 2 2 2 2 2 108" xfId="40357"/>
    <cellStyle name="Title 2 2 2 2 2 2 2 2 109" xfId="40358"/>
    <cellStyle name="Title 2 2 2 2 2 2 2 2 11" xfId="40359"/>
    <cellStyle name="Title 2 2 2 2 2 2 2 2 11 2" xfId="40360"/>
    <cellStyle name="Title 2 2 2 2 2 2 2 2 110" xfId="40361"/>
    <cellStyle name="Title 2 2 2 2 2 2 2 2 111" xfId="40362"/>
    <cellStyle name="Title 2 2 2 2 2 2 2 2 12" xfId="40363"/>
    <cellStyle name="Title 2 2 2 2 2 2 2 2 12 2" xfId="40364"/>
    <cellStyle name="Title 2 2 2 2 2 2 2 2 13" xfId="40365"/>
    <cellStyle name="Title 2 2 2 2 2 2 2 2 13 2" xfId="40366"/>
    <cellStyle name="Title 2 2 2 2 2 2 2 2 14" xfId="40367"/>
    <cellStyle name="Title 2 2 2 2 2 2 2 2 14 2" xfId="40368"/>
    <cellStyle name="Title 2 2 2 2 2 2 2 2 15" xfId="40369"/>
    <cellStyle name="Title 2 2 2 2 2 2 2 2 15 2" xfId="40370"/>
    <cellStyle name="Title 2 2 2 2 2 2 2 2 16" xfId="40371"/>
    <cellStyle name="Title 2 2 2 2 2 2 2 2 16 2" xfId="40372"/>
    <cellStyle name="Title 2 2 2 2 2 2 2 2 17" xfId="40373"/>
    <cellStyle name="Title 2 2 2 2 2 2 2 2 17 2" xfId="40374"/>
    <cellStyle name="Title 2 2 2 2 2 2 2 2 18" xfId="40375"/>
    <cellStyle name="Title 2 2 2 2 2 2 2 2 18 2" xfId="40376"/>
    <cellStyle name="Title 2 2 2 2 2 2 2 2 19" xfId="40377"/>
    <cellStyle name="Title 2 2 2 2 2 2 2 2 19 2" xfId="40378"/>
    <cellStyle name="Title 2 2 2 2 2 2 2 2 2" xfId="40379"/>
    <cellStyle name="Title 2 2 2 2 2 2 2 2 2 10" xfId="40380"/>
    <cellStyle name="Title 2 2 2 2 2 2 2 2 2 10 2" xfId="40381"/>
    <cellStyle name="Title 2 2 2 2 2 2 2 2 2 11" xfId="40382"/>
    <cellStyle name="Title 2 2 2 2 2 2 2 2 2 11 2" xfId="40383"/>
    <cellStyle name="Title 2 2 2 2 2 2 2 2 2 12" xfId="40384"/>
    <cellStyle name="Title 2 2 2 2 2 2 2 2 2 12 2" xfId="40385"/>
    <cellStyle name="Title 2 2 2 2 2 2 2 2 2 13" xfId="40386"/>
    <cellStyle name="Title 2 2 2 2 2 2 2 2 2 13 2" xfId="40387"/>
    <cellStyle name="Title 2 2 2 2 2 2 2 2 2 14" xfId="40388"/>
    <cellStyle name="Title 2 2 2 2 2 2 2 2 2 14 2" xfId="40389"/>
    <cellStyle name="Title 2 2 2 2 2 2 2 2 2 15" xfId="40390"/>
    <cellStyle name="Title 2 2 2 2 2 2 2 2 2 15 2" xfId="40391"/>
    <cellStyle name="Title 2 2 2 2 2 2 2 2 2 16" xfId="40392"/>
    <cellStyle name="Title 2 2 2 2 2 2 2 2 2 16 2" xfId="40393"/>
    <cellStyle name="Title 2 2 2 2 2 2 2 2 2 17" xfId="40394"/>
    <cellStyle name="Title 2 2 2 2 2 2 2 2 2 17 2" xfId="40395"/>
    <cellStyle name="Title 2 2 2 2 2 2 2 2 2 18" xfId="40396"/>
    <cellStyle name="Title 2 2 2 2 2 2 2 2 2 18 2" xfId="40397"/>
    <cellStyle name="Title 2 2 2 2 2 2 2 2 2 19" xfId="40398"/>
    <cellStyle name="Title 2 2 2 2 2 2 2 2 2 19 2" xfId="40399"/>
    <cellStyle name="Title 2 2 2 2 2 2 2 2 2 2" xfId="40400"/>
    <cellStyle name="Title 2 2 2 2 2 2 2 2 2 2 10" xfId="40401"/>
    <cellStyle name="Title 2 2 2 2 2 2 2 2 2 2 10 2" xfId="40402"/>
    <cellStyle name="Title 2 2 2 2 2 2 2 2 2 2 11" xfId="40403"/>
    <cellStyle name="Title 2 2 2 2 2 2 2 2 2 2 11 2" xfId="40404"/>
    <cellStyle name="Title 2 2 2 2 2 2 2 2 2 2 12" xfId="40405"/>
    <cellStyle name="Title 2 2 2 2 2 2 2 2 2 2 12 2" xfId="40406"/>
    <cellStyle name="Title 2 2 2 2 2 2 2 2 2 2 13" xfId="40407"/>
    <cellStyle name="Title 2 2 2 2 2 2 2 2 2 2 13 2" xfId="40408"/>
    <cellStyle name="Title 2 2 2 2 2 2 2 2 2 2 14" xfId="40409"/>
    <cellStyle name="Title 2 2 2 2 2 2 2 2 2 2 14 2" xfId="40410"/>
    <cellStyle name="Title 2 2 2 2 2 2 2 2 2 2 15" xfId="40411"/>
    <cellStyle name="Title 2 2 2 2 2 2 2 2 2 2 15 2" xfId="40412"/>
    <cellStyle name="Title 2 2 2 2 2 2 2 2 2 2 16" xfId="40413"/>
    <cellStyle name="Title 2 2 2 2 2 2 2 2 2 2 16 2" xfId="40414"/>
    <cellStyle name="Title 2 2 2 2 2 2 2 2 2 2 17" xfId="40415"/>
    <cellStyle name="Title 2 2 2 2 2 2 2 2 2 2 17 2" xfId="40416"/>
    <cellStyle name="Title 2 2 2 2 2 2 2 2 2 2 18" xfId="40417"/>
    <cellStyle name="Title 2 2 2 2 2 2 2 2 2 2 18 2" xfId="40418"/>
    <cellStyle name="Title 2 2 2 2 2 2 2 2 2 2 19" xfId="40419"/>
    <cellStyle name="Title 2 2 2 2 2 2 2 2 2 2 19 2" xfId="40420"/>
    <cellStyle name="Title 2 2 2 2 2 2 2 2 2 2 2" xfId="40421"/>
    <cellStyle name="Title 2 2 2 2 2 2 2 2 2 2 2 10" xfId="40422"/>
    <cellStyle name="Title 2 2 2 2 2 2 2 2 2 2 2 11" xfId="40423"/>
    <cellStyle name="Title 2 2 2 2 2 2 2 2 2 2 2 12" xfId="40424"/>
    <cellStyle name="Title 2 2 2 2 2 2 2 2 2 2 2 13" xfId="40425"/>
    <cellStyle name="Title 2 2 2 2 2 2 2 2 2 2 2 14" xfId="40426"/>
    <cellStyle name="Title 2 2 2 2 2 2 2 2 2 2 2 15" xfId="40427"/>
    <cellStyle name="Title 2 2 2 2 2 2 2 2 2 2 2 16" xfId="40428"/>
    <cellStyle name="Title 2 2 2 2 2 2 2 2 2 2 2 17" xfId="40429"/>
    <cellStyle name="Title 2 2 2 2 2 2 2 2 2 2 2 18" xfId="40430"/>
    <cellStyle name="Title 2 2 2 2 2 2 2 2 2 2 2 19" xfId="40431"/>
    <cellStyle name="Title 2 2 2 2 2 2 2 2 2 2 2 2" xfId="40432"/>
    <cellStyle name="Title 2 2 2 2 2 2 2 2 2 2 2 2 10" xfId="40433"/>
    <cellStyle name="Title 2 2 2 2 2 2 2 2 2 2 2 2 11" xfId="40434"/>
    <cellStyle name="Title 2 2 2 2 2 2 2 2 2 2 2 2 12" xfId="40435"/>
    <cellStyle name="Title 2 2 2 2 2 2 2 2 2 2 2 2 13" xfId="40436"/>
    <cellStyle name="Title 2 2 2 2 2 2 2 2 2 2 2 2 14" xfId="40437"/>
    <cellStyle name="Title 2 2 2 2 2 2 2 2 2 2 2 2 15" xfId="40438"/>
    <cellStyle name="Title 2 2 2 2 2 2 2 2 2 2 2 2 16" xfId="40439"/>
    <cellStyle name="Title 2 2 2 2 2 2 2 2 2 2 2 2 17" xfId="40440"/>
    <cellStyle name="Title 2 2 2 2 2 2 2 2 2 2 2 2 18" xfId="40441"/>
    <cellStyle name="Title 2 2 2 2 2 2 2 2 2 2 2 2 19" xfId="40442"/>
    <cellStyle name="Title 2 2 2 2 2 2 2 2 2 2 2 2 2" xfId="40443"/>
    <cellStyle name="Title 2 2 2 2 2 2 2 2 2 2 2 2 2 10" xfId="40444"/>
    <cellStyle name="Title 2 2 2 2 2 2 2 2 2 2 2 2 2 11" xfId="40445"/>
    <cellStyle name="Title 2 2 2 2 2 2 2 2 2 2 2 2 2 12" xfId="40446"/>
    <cellStyle name="Title 2 2 2 2 2 2 2 2 2 2 2 2 2 13" xfId="40447"/>
    <cellStyle name="Title 2 2 2 2 2 2 2 2 2 2 2 2 2 14" xfId="40448"/>
    <cellStyle name="Title 2 2 2 2 2 2 2 2 2 2 2 2 2 15" xfId="40449"/>
    <cellStyle name="Title 2 2 2 2 2 2 2 2 2 2 2 2 2 16" xfId="40450"/>
    <cellStyle name="Title 2 2 2 2 2 2 2 2 2 2 2 2 2 17" xfId="40451"/>
    <cellStyle name="Title 2 2 2 2 2 2 2 2 2 2 2 2 2 18" xfId="40452"/>
    <cellStyle name="Title 2 2 2 2 2 2 2 2 2 2 2 2 2 19" xfId="40453"/>
    <cellStyle name="Title 2 2 2 2 2 2 2 2 2 2 2 2 2 2" xfId="40454"/>
    <cellStyle name="Title 2 2 2 2 2 2 2 2 2 2 2 2 2 2 10" xfId="40455"/>
    <cellStyle name="Title 2 2 2 2 2 2 2 2 2 2 2 2 2 2 11" xfId="40456"/>
    <cellStyle name="Title 2 2 2 2 2 2 2 2 2 2 2 2 2 2 12" xfId="40457"/>
    <cellStyle name="Title 2 2 2 2 2 2 2 2 2 2 2 2 2 2 13" xfId="40458"/>
    <cellStyle name="Title 2 2 2 2 2 2 2 2 2 2 2 2 2 2 14" xfId="40459"/>
    <cellStyle name="Title 2 2 2 2 2 2 2 2 2 2 2 2 2 2 15" xfId="40460"/>
    <cellStyle name="Title 2 2 2 2 2 2 2 2 2 2 2 2 2 2 16" xfId="40461"/>
    <cellStyle name="Title 2 2 2 2 2 2 2 2 2 2 2 2 2 2 17" xfId="40462"/>
    <cellStyle name="Title 2 2 2 2 2 2 2 2 2 2 2 2 2 2 18" xfId="40463"/>
    <cellStyle name="Title 2 2 2 2 2 2 2 2 2 2 2 2 2 2 19" xfId="40464"/>
    <cellStyle name="Title 2 2 2 2 2 2 2 2 2 2 2 2 2 2 2" xfId="40465"/>
    <cellStyle name="Title 2 2 2 2 2 2 2 2 2 2 2 2 2 2 2 2" xfId="40466"/>
    <cellStyle name="Title 2 2 2 2 2 2 2 2 2 2 2 2 2 2 20" xfId="40467"/>
    <cellStyle name="Title 2 2 2 2 2 2 2 2 2 2 2 2 2 2 21" xfId="40468"/>
    <cellStyle name="Title 2 2 2 2 2 2 2 2 2 2 2 2 2 2 22" xfId="40469"/>
    <cellStyle name="Title 2 2 2 2 2 2 2 2 2 2 2 2 2 2 23" xfId="40470"/>
    <cellStyle name="Title 2 2 2 2 2 2 2 2 2 2 2 2 2 2 24" xfId="40471"/>
    <cellStyle name="Title 2 2 2 2 2 2 2 2 2 2 2 2 2 2 25" xfId="40472"/>
    <cellStyle name="Title 2 2 2 2 2 2 2 2 2 2 2 2 2 2 26" xfId="40473"/>
    <cellStyle name="Title 2 2 2 2 2 2 2 2 2 2 2 2 2 2 27" xfId="40474"/>
    <cellStyle name="Title 2 2 2 2 2 2 2 2 2 2 2 2 2 2 28" xfId="40475"/>
    <cellStyle name="Title 2 2 2 2 2 2 2 2 2 2 2 2 2 2 29" xfId="40476"/>
    <cellStyle name="Title 2 2 2 2 2 2 2 2 2 2 2 2 2 2 3" xfId="40477"/>
    <cellStyle name="Title 2 2 2 2 2 2 2 2 2 2 2 2 2 2 30" xfId="40478"/>
    <cellStyle name="Title 2 2 2 2 2 2 2 2 2 2 2 2 2 2 31" xfId="40479"/>
    <cellStyle name="Title 2 2 2 2 2 2 2 2 2 2 2 2 2 2 32" xfId="40480"/>
    <cellStyle name="Title 2 2 2 2 2 2 2 2 2 2 2 2 2 2 33" xfId="40481"/>
    <cellStyle name="Title 2 2 2 2 2 2 2 2 2 2 2 2 2 2 34" xfId="40482"/>
    <cellStyle name="Title 2 2 2 2 2 2 2 2 2 2 2 2 2 2 35" xfId="40483"/>
    <cellStyle name="Title 2 2 2 2 2 2 2 2 2 2 2 2 2 2 36" xfId="40484"/>
    <cellStyle name="Title 2 2 2 2 2 2 2 2 2 2 2 2 2 2 37" xfId="40485"/>
    <cellStyle name="Title 2 2 2 2 2 2 2 2 2 2 2 2 2 2 38" xfId="40486"/>
    <cellStyle name="Title 2 2 2 2 2 2 2 2 2 2 2 2 2 2 39" xfId="40487"/>
    <cellStyle name="Title 2 2 2 2 2 2 2 2 2 2 2 2 2 2 4" xfId="40488"/>
    <cellStyle name="Title 2 2 2 2 2 2 2 2 2 2 2 2 2 2 40" xfId="40489"/>
    <cellStyle name="Title 2 2 2 2 2 2 2 2 2 2 2 2 2 2 41" xfId="40490"/>
    <cellStyle name="Title 2 2 2 2 2 2 2 2 2 2 2 2 2 2 42" xfId="40491"/>
    <cellStyle name="Title 2 2 2 2 2 2 2 2 2 2 2 2 2 2 43" xfId="40492"/>
    <cellStyle name="Title 2 2 2 2 2 2 2 2 2 2 2 2 2 2 44" xfId="40493"/>
    <cellStyle name="Title 2 2 2 2 2 2 2 2 2 2 2 2 2 2 45" xfId="40494"/>
    <cellStyle name="Title 2 2 2 2 2 2 2 2 2 2 2 2 2 2 46" xfId="40495"/>
    <cellStyle name="Title 2 2 2 2 2 2 2 2 2 2 2 2 2 2 47" xfId="40496"/>
    <cellStyle name="Title 2 2 2 2 2 2 2 2 2 2 2 2 2 2 48" xfId="40497"/>
    <cellStyle name="Title 2 2 2 2 2 2 2 2 2 2 2 2 2 2 49" xfId="40498"/>
    <cellStyle name="Title 2 2 2 2 2 2 2 2 2 2 2 2 2 2 5" xfId="40499"/>
    <cellStyle name="Title 2 2 2 2 2 2 2 2 2 2 2 2 2 2 50" xfId="40500"/>
    <cellStyle name="Title 2 2 2 2 2 2 2 2 2 2 2 2 2 2 51" xfId="40501"/>
    <cellStyle name="Title 2 2 2 2 2 2 2 2 2 2 2 2 2 2 52" xfId="40502"/>
    <cellStyle name="Title 2 2 2 2 2 2 2 2 2 2 2 2 2 2 53" xfId="40503"/>
    <cellStyle name="Title 2 2 2 2 2 2 2 2 2 2 2 2 2 2 54" xfId="40504"/>
    <cellStyle name="Title 2 2 2 2 2 2 2 2 2 2 2 2 2 2 55" xfId="40505"/>
    <cellStyle name="Title 2 2 2 2 2 2 2 2 2 2 2 2 2 2 56" xfId="40506"/>
    <cellStyle name="Title 2 2 2 2 2 2 2 2 2 2 2 2 2 2 57" xfId="40507"/>
    <cellStyle name="Title 2 2 2 2 2 2 2 2 2 2 2 2 2 2 58" xfId="40508"/>
    <cellStyle name="Title 2 2 2 2 2 2 2 2 2 2 2 2 2 2 59" xfId="40509"/>
    <cellStyle name="Title 2 2 2 2 2 2 2 2 2 2 2 2 2 2 6" xfId="40510"/>
    <cellStyle name="Title 2 2 2 2 2 2 2 2 2 2 2 2 2 2 60" xfId="40511"/>
    <cellStyle name="Title 2 2 2 2 2 2 2 2 2 2 2 2 2 2 61" xfId="40512"/>
    <cellStyle name="Title 2 2 2 2 2 2 2 2 2 2 2 2 2 2 62" xfId="40513"/>
    <cellStyle name="Title 2 2 2 2 2 2 2 2 2 2 2 2 2 2 63" xfId="40514"/>
    <cellStyle name="Title 2 2 2 2 2 2 2 2 2 2 2 2 2 2 64" xfId="40515"/>
    <cellStyle name="Title 2 2 2 2 2 2 2 2 2 2 2 2 2 2 65" xfId="40516"/>
    <cellStyle name="Title 2 2 2 2 2 2 2 2 2 2 2 2 2 2 66" xfId="40517"/>
    <cellStyle name="Title 2 2 2 2 2 2 2 2 2 2 2 2 2 2 67" xfId="40518"/>
    <cellStyle name="Title 2 2 2 2 2 2 2 2 2 2 2 2 2 2 68" xfId="40519"/>
    <cellStyle name="Title 2 2 2 2 2 2 2 2 2 2 2 2 2 2 69" xfId="40520"/>
    <cellStyle name="Title 2 2 2 2 2 2 2 2 2 2 2 2 2 2 7" xfId="40521"/>
    <cellStyle name="Title 2 2 2 2 2 2 2 2 2 2 2 2 2 2 70" xfId="40522"/>
    <cellStyle name="Title 2 2 2 2 2 2 2 2 2 2 2 2 2 2 71" xfId="40523"/>
    <cellStyle name="Title 2 2 2 2 2 2 2 2 2 2 2 2 2 2 72" xfId="40524"/>
    <cellStyle name="Title 2 2 2 2 2 2 2 2 2 2 2 2 2 2 73" xfId="40525"/>
    <cellStyle name="Title 2 2 2 2 2 2 2 2 2 2 2 2 2 2 74" xfId="40526"/>
    <cellStyle name="Title 2 2 2 2 2 2 2 2 2 2 2 2 2 2 8" xfId="40527"/>
    <cellStyle name="Title 2 2 2 2 2 2 2 2 2 2 2 2 2 2 9" xfId="40528"/>
    <cellStyle name="Title 2 2 2 2 2 2 2 2 2 2 2 2 2 20" xfId="40529"/>
    <cellStyle name="Title 2 2 2 2 2 2 2 2 2 2 2 2 2 21" xfId="40530"/>
    <cellStyle name="Title 2 2 2 2 2 2 2 2 2 2 2 2 2 22" xfId="40531"/>
    <cellStyle name="Title 2 2 2 2 2 2 2 2 2 2 2 2 2 23" xfId="40532"/>
    <cellStyle name="Title 2 2 2 2 2 2 2 2 2 2 2 2 2 24" xfId="40533"/>
    <cellStyle name="Title 2 2 2 2 2 2 2 2 2 2 2 2 2 25" xfId="40534"/>
    <cellStyle name="Title 2 2 2 2 2 2 2 2 2 2 2 2 2 26" xfId="40535"/>
    <cellStyle name="Title 2 2 2 2 2 2 2 2 2 2 2 2 2 27" xfId="40536"/>
    <cellStyle name="Title 2 2 2 2 2 2 2 2 2 2 2 2 2 28" xfId="40537"/>
    <cellStyle name="Title 2 2 2 2 2 2 2 2 2 2 2 2 2 29" xfId="40538"/>
    <cellStyle name="Title 2 2 2 2 2 2 2 2 2 2 2 2 2 3" xfId="40539"/>
    <cellStyle name="Title 2 2 2 2 2 2 2 2 2 2 2 2 2 3 2" xfId="40540"/>
    <cellStyle name="Title 2 2 2 2 2 2 2 2 2 2 2 2 2 30" xfId="40541"/>
    <cellStyle name="Title 2 2 2 2 2 2 2 2 2 2 2 2 2 31" xfId="40542"/>
    <cellStyle name="Title 2 2 2 2 2 2 2 2 2 2 2 2 2 32" xfId="40543"/>
    <cellStyle name="Title 2 2 2 2 2 2 2 2 2 2 2 2 2 33" xfId="40544"/>
    <cellStyle name="Title 2 2 2 2 2 2 2 2 2 2 2 2 2 34" xfId="40545"/>
    <cellStyle name="Title 2 2 2 2 2 2 2 2 2 2 2 2 2 35" xfId="40546"/>
    <cellStyle name="Title 2 2 2 2 2 2 2 2 2 2 2 2 2 36" xfId="40547"/>
    <cellStyle name="Title 2 2 2 2 2 2 2 2 2 2 2 2 2 37" xfId="40548"/>
    <cellStyle name="Title 2 2 2 2 2 2 2 2 2 2 2 2 2 38" xfId="40549"/>
    <cellStyle name="Title 2 2 2 2 2 2 2 2 2 2 2 2 2 39" xfId="40550"/>
    <cellStyle name="Title 2 2 2 2 2 2 2 2 2 2 2 2 2 4" xfId="40551"/>
    <cellStyle name="Title 2 2 2 2 2 2 2 2 2 2 2 2 2 40" xfId="40552"/>
    <cellStyle name="Title 2 2 2 2 2 2 2 2 2 2 2 2 2 41" xfId="40553"/>
    <cellStyle name="Title 2 2 2 2 2 2 2 2 2 2 2 2 2 42" xfId="40554"/>
    <cellStyle name="Title 2 2 2 2 2 2 2 2 2 2 2 2 2 43" xfId="40555"/>
    <cellStyle name="Title 2 2 2 2 2 2 2 2 2 2 2 2 2 44" xfId="40556"/>
    <cellStyle name="Title 2 2 2 2 2 2 2 2 2 2 2 2 2 45" xfId="40557"/>
    <cellStyle name="Title 2 2 2 2 2 2 2 2 2 2 2 2 2 46" xfId="40558"/>
    <cellStyle name="Title 2 2 2 2 2 2 2 2 2 2 2 2 2 47" xfId="40559"/>
    <cellStyle name="Title 2 2 2 2 2 2 2 2 2 2 2 2 2 48" xfId="40560"/>
    <cellStyle name="Title 2 2 2 2 2 2 2 2 2 2 2 2 2 49" xfId="40561"/>
    <cellStyle name="Title 2 2 2 2 2 2 2 2 2 2 2 2 2 5" xfId="40562"/>
    <cellStyle name="Title 2 2 2 2 2 2 2 2 2 2 2 2 2 50" xfId="40563"/>
    <cellStyle name="Title 2 2 2 2 2 2 2 2 2 2 2 2 2 51" xfId="40564"/>
    <cellStyle name="Title 2 2 2 2 2 2 2 2 2 2 2 2 2 52" xfId="40565"/>
    <cellStyle name="Title 2 2 2 2 2 2 2 2 2 2 2 2 2 53" xfId="40566"/>
    <cellStyle name="Title 2 2 2 2 2 2 2 2 2 2 2 2 2 54" xfId="40567"/>
    <cellStyle name="Title 2 2 2 2 2 2 2 2 2 2 2 2 2 55" xfId="40568"/>
    <cellStyle name="Title 2 2 2 2 2 2 2 2 2 2 2 2 2 56" xfId="40569"/>
    <cellStyle name="Title 2 2 2 2 2 2 2 2 2 2 2 2 2 57" xfId="40570"/>
    <cellStyle name="Title 2 2 2 2 2 2 2 2 2 2 2 2 2 58" xfId="40571"/>
    <cellStyle name="Title 2 2 2 2 2 2 2 2 2 2 2 2 2 59" xfId="40572"/>
    <cellStyle name="Title 2 2 2 2 2 2 2 2 2 2 2 2 2 6" xfId="40573"/>
    <cellStyle name="Title 2 2 2 2 2 2 2 2 2 2 2 2 2 60" xfId="40574"/>
    <cellStyle name="Title 2 2 2 2 2 2 2 2 2 2 2 2 2 61" xfId="40575"/>
    <cellStyle name="Title 2 2 2 2 2 2 2 2 2 2 2 2 2 62" xfId="40576"/>
    <cellStyle name="Title 2 2 2 2 2 2 2 2 2 2 2 2 2 63" xfId="40577"/>
    <cellStyle name="Title 2 2 2 2 2 2 2 2 2 2 2 2 2 64" xfId="40578"/>
    <cellStyle name="Title 2 2 2 2 2 2 2 2 2 2 2 2 2 65" xfId="40579"/>
    <cellStyle name="Title 2 2 2 2 2 2 2 2 2 2 2 2 2 66" xfId="40580"/>
    <cellStyle name="Title 2 2 2 2 2 2 2 2 2 2 2 2 2 67" xfId="40581"/>
    <cellStyle name="Title 2 2 2 2 2 2 2 2 2 2 2 2 2 68" xfId="40582"/>
    <cellStyle name="Title 2 2 2 2 2 2 2 2 2 2 2 2 2 69" xfId="40583"/>
    <cellStyle name="Title 2 2 2 2 2 2 2 2 2 2 2 2 2 7" xfId="40584"/>
    <cellStyle name="Title 2 2 2 2 2 2 2 2 2 2 2 2 2 70" xfId="40585"/>
    <cellStyle name="Title 2 2 2 2 2 2 2 2 2 2 2 2 2 71" xfId="40586"/>
    <cellStyle name="Title 2 2 2 2 2 2 2 2 2 2 2 2 2 72" xfId="40587"/>
    <cellStyle name="Title 2 2 2 2 2 2 2 2 2 2 2 2 2 73" xfId="40588"/>
    <cellStyle name="Title 2 2 2 2 2 2 2 2 2 2 2 2 2 74" xfId="40589"/>
    <cellStyle name="Title 2 2 2 2 2 2 2 2 2 2 2 2 2 8" xfId="40590"/>
    <cellStyle name="Title 2 2 2 2 2 2 2 2 2 2 2 2 2 9" xfId="40591"/>
    <cellStyle name="Title 2 2 2 2 2 2 2 2 2 2 2 2 20" xfId="40592"/>
    <cellStyle name="Title 2 2 2 2 2 2 2 2 2 2 2 2 21" xfId="40593"/>
    <cellStyle name="Title 2 2 2 2 2 2 2 2 2 2 2 2 22" xfId="40594"/>
    <cellStyle name="Title 2 2 2 2 2 2 2 2 2 2 2 2 23" xfId="40595"/>
    <cellStyle name="Title 2 2 2 2 2 2 2 2 2 2 2 2 24" xfId="40596"/>
    <cellStyle name="Title 2 2 2 2 2 2 2 2 2 2 2 2 25" xfId="40597"/>
    <cellStyle name="Title 2 2 2 2 2 2 2 2 2 2 2 2 26" xfId="40598"/>
    <cellStyle name="Title 2 2 2 2 2 2 2 2 2 2 2 2 27" xfId="40599"/>
    <cellStyle name="Title 2 2 2 2 2 2 2 2 2 2 2 2 28" xfId="40600"/>
    <cellStyle name="Title 2 2 2 2 2 2 2 2 2 2 2 2 29" xfId="40601"/>
    <cellStyle name="Title 2 2 2 2 2 2 2 2 2 2 2 2 3" xfId="40602"/>
    <cellStyle name="Title 2 2 2 2 2 2 2 2 2 2 2 2 3 2" xfId="40603"/>
    <cellStyle name="Title 2 2 2 2 2 2 2 2 2 2 2 2 30" xfId="40604"/>
    <cellStyle name="Title 2 2 2 2 2 2 2 2 2 2 2 2 31" xfId="40605"/>
    <cellStyle name="Title 2 2 2 2 2 2 2 2 2 2 2 2 32" xfId="40606"/>
    <cellStyle name="Title 2 2 2 2 2 2 2 2 2 2 2 2 33" xfId="40607"/>
    <cellStyle name="Title 2 2 2 2 2 2 2 2 2 2 2 2 34" xfId="40608"/>
    <cellStyle name="Title 2 2 2 2 2 2 2 2 2 2 2 2 35" xfId="40609"/>
    <cellStyle name="Title 2 2 2 2 2 2 2 2 2 2 2 2 36" xfId="40610"/>
    <cellStyle name="Title 2 2 2 2 2 2 2 2 2 2 2 2 37" xfId="40611"/>
    <cellStyle name="Title 2 2 2 2 2 2 2 2 2 2 2 2 38" xfId="40612"/>
    <cellStyle name="Title 2 2 2 2 2 2 2 2 2 2 2 2 39" xfId="40613"/>
    <cellStyle name="Title 2 2 2 2 2 2 2 2 2 2 2 2 4" xfId="40614"/>
    <cellStyle name="Title 2 2 2 2 2 2 2 2 2 2 2 2 40" xfId="40615"/>
    <cellStyle name="Title 2 2 2 2 2 2 2 2 2 2 2 2 41" xfId="40616"/>
    <cellStyle name="Title 2 2 2 2 2 2 2 2 2 2 2 2 42" xfId="40617"/>
    <cellStyle name="Title 2 2 2 2 2 2 2 2 2 2 2 2 43" xfId="40618"/>
    <cellStyle name="Title 2 2 2 2 2 2 2 2 2 2 2 2 44" xfId="40619"/>
    <cellStyle name="Title 2 2 2 2 2 2 2 2 2 2 2 2 45" xfId="40620"/>
    <cellStyle name="Title 2 2 2 2 2 2 2 2 2 2 2 2 46" xfId="40621"/>
    <cellStyle name="Title 2 2 2 2 2 2 2 2 2 2 2 2 47" xfId="40622"/>
    <cellStyle name="Title 2 2 2 2 2 2 2 2 2 2 2 2 48" xfId="40623"/>
    <cellStyle name="Title 2 2 2 2 2 2 2 2 2 2 2 2 49" xfId="40624"/>
    <cellStyle name="Title 2 2 2 2 2 2 2 2 2 2 2 2 5" xfId="40625"/>
    <cellStyle name="Title 2 2 2 2 2 2 2 2 2 2 2 2 50" xfId="40626"/>
    <cellStyle name="Title 2 2 2 2 2 2 2 2 2 2 2 2 51" xfId="40627"/>
    <cellStyle name="Title 2 2 2 2 2 2 2 2 2 2 2 2 52" xfId="40628"/>
    <cellStyle name="Title 2 2 2 2 2 2 2 2 2 2 2 2 53" xfId="40629"/>
    <cellStyle name="Title 2 2 2 2 2 2 2 2 2 2 2 2 54" xfId="40630"/>
    <cellStyle name="Title 2 2 2 2 2 2 2 2 2 2 2 2 55" xfId="40631"/>
    <cellStyle name="Title 2 2 2 2 2 2 2 2 2 2 2 2 56" xfId="40632"/>
    <cellStyle name="Title 2 2 2 2 2 2 2 2 2 2 2 2 57" xfId="40633"/>
    <cellStyle name="Title 2 2 2 2 2 2 2 2 2 2 2 2 58" xfId="40634"/>
    <cellStyle name="Title 2 2 2 2 2 2 2 2 2 2 2 2 59" xfId="40635"/>
    <cellStyle name="Title 2 2 2 2 2 2 2 2 2 2 2 2 6" xfId="40636"/>
    <cellStyle name="Title 2 2 2 2 2 2 2 2 2 2 2 2 60" xfId="40637"/>
    <cellStyle name="Title 2 2 2 2 2 2 2 2 2 2 2 2 61" xfId="40638"/>
    <cellStyle name="Title 2 2 2 2 2 2 2 2 2 2 2 2 62" xfId="40639"/>
    <cellStyle name="Title 2 2 2 2 2 2 2 2 2 2 2 2 63" xfId="40640"/>
    <cellStyle name="Title 2 2 2 2 2 2 2 2 2 2 2 2 64" xfId="40641"/>
    <cellStyle name="Title 2 2 2 2 2 2 2 2 2 2 2 2 65" xfId="40642"/>
    <cellStyle name="Title 2 2 2 2 2 2 2 2 2 2 2 2 66" xfId="40643"/>
    <cellStyle name="Title 2 2 2 2 2 2 2 2 2 2 2 2 67" xfId="40644"/>
    <cellStyle name="Title 2 2 2 2 2 2 2 2 2 2 2 2 68" xfId="40645"/>
    <cellStyle name="Title 2 2 2 2 2 2 2 2 2 2 2 2 69" xfId="40646"/>
    <cellStyle name="Title 2 2 2 2 2 2 2 2 2 2 2 2 7" xfId="40647"/>
    <cellStyle name="Title 2 2 2 2 2 2 2 2 2 2 2 2 70" xfId="40648"/>
    <cellStyle name="Title 2 2 2 2 2 2 2 2 2 2 2 2 71" xfId="40649"/>
    <cellStyle name="Title 2 2 2 2 2 2 2 2 2 2 2 2 72" xfId="40650"/>
    <cellStyle name="Title 2 2 2 2 2 2 2 2 2 2 2 2 73" xfId="40651"/>
    <cellStyle name="Title 2 2 2 2 2 2 2 2 2 2 2 2 74" xfId="40652"/>
    <cellStyle name="Title 2 2 2 2 2 2 2 2 2 2 2 2 75" xfId="40653"/>
    <cellStyle name="Title 2 2 2 2 2 2 2 2 2 2 2 2 76" xfId="40654"/>
    <cellStyle name="Title 2 2 2 2 2 2 2 2 2 2 2 2 77" xfId="40655"/>
    <cellStyle name="Title 2 2 2 2 2 2 2 2 2 2 2 2 78" xfId="40656"/>
    <cellStyle name="Title 2 2 2 2 2 2 2 2 2 2 2 2 79" xfId="40657"/>
    <cellStyle name="Title 2 2 2 2 2 2 2 2 2 2 2 2 8" xfId="40658"/>
    <cellStyle name="Title 2 2 2 2 2 2 2 2 2 2 2 2 80" xfId="40659"/>
    <cellStyle name="Title 2 2 2 2 2 2 2 2 2 2 2 2 81" xfId="40660"/>
    <cellStyle name="Title 2 2 2 2 2 2 2 2 2 2 2 2 82" xfId="40661"/>
    <cellStyle name="Title 2 2 2 2 2 2 2 2 2 2 2 2 83" xfId="40662"/>
    <cellStyle name="Title 2 2 2 2 2 2 2 2 2 2 2 2 84" xfId="40663"/>
    <cellStyle name="Title 2 2 2 2 2 2 2 2 2 2 2 2 85" xfId="40664"/>
    <cellStyle name="Title 2 2 2 2 2 2 2 2 2 2 2 2 86" xfId="40665"/>
    <cellStyle name="Title 2 2 2 2 2 2 2 2 2 2 2 2 87" xfId="40666"/>
    <cellStyle name="Title 2 2 2 2 2 2 2 2 2 2 2 2 88" xfId="40667"/>
    <cellStyle name="Title 2 2 2 2 2 2 2 2 2 2 2 2 9" xfId="40668"/>
    <cellStyle name="Title 2 2 2 2 2 2 2 2 2 2 2 20" xfId="40669"/>
    <cellStyle name="Title 2 2 2 2 2 2 2 2 2 2 2 21" xfId="40670"/>
    <cellStyle name="Title 2 2 2 2 2 2 2 2 2 2 2 22" xfId="40671"/>
    <cellStyle name="Title 2 2 2 2 2 2 2 2 2 2 2 23" xfId="40672"/>
    <cellStyle name="Title 2 2 2 2 2 2 2 2 2 2 2 24" xfId="40673"/>
    <cellStyle name="Title 2 2 2 2 2 2 2 2 2 2 2 25" xfId="40674"/>
    <cellStyle name="Title 2 2 2 2 2 2 2 2 2 2 2 26" xfId="40675"/>
    <cellStyle name="Title 2 2 2 2 2 2 2 2 2 2 2 27" xfId="40676"/>
    <cellStyle name="Title 2 2 2 2 2 2 2 2 2 2 2 28" xfId="40677"/>
    <cellStyle name="Title 2 2 2 2 2 2 2 2 2 2 2 29" xfId="40678"/>
    <cellStyle name="Title 2 2 2 2 2 2 2 2 2 2 2 3" xfId="40679"/>
    <cellStyle name="Title 2 2 2 2 2 2 2 2 2 2 2 3 2" xfId="40680"/>
    <cellStyle name="Title 2 2 2 2 2 2 2 2 2 2 2 30" xfId="40681"/>
    <cellStyle name="Title 2 2 2 2 2 2 2 2 2 2 2 31" xfId="40682"/>
    <cellStyle name="Title 2 2 2 2 2 2 2 2 2 2 2 32" xfId="40683"/>
    <cellStyle name="Title 2 2 2 2 2 2 2 2 2 2 2 33" xfId="40684"/>
    <cellStyle name="Title 2 2 2 2 2 2 2 2 2 2 2 34" xfId="40685"/>
    <cellStyle name="Title 2 2 2 2 2 2 2 2 2 2 2 35" xfId="40686"/>
    <cellStyle name="Title 2 2 2 2 2 2 2 2 2 2 2 36" xfId="40687"/>
    <cellStyle name="Title 2 2 2 2 2 2 2 2 2 2 2 37" xfId="40688"/>
    <cellStyle name="Title 2 2 2 2 2 2 2 2 2 2 2 38" xfId="40689"/>
    <cellStyle name="Title 2 2 2 2 2 2 2 2 2 2 2 39" xfId="40690"/>
    <cellStyle name="Title 2 2 2 2 2 2 2 2 2 2 2 4" xfId="40691"/>
    <cellStyle name="Title 2 2 2 2 2 2 2 2 2 2 2 40" xfId="40692"/>
    <cellStyle name="Title 2 2 2 2 2 2 2 2 2 2 2 41" xfId="40693"/>
    <cellStyle name="Title 2 2 2 2 2 2 2 2 2 2 2 42" xfId="40694"/>
    <cellStyle name="Title 2 2 2 2 2 2 2 2 2 2 2 43" xfId="40695"/>
    <cellStyle name="Title 2 2 2 2 2 2 2 2 2 2 2 44" xfId="40696"/>
    <cellStyle name="Title 2 2 2 2 2 2 2 2 2 2 2 45" xfId="40697"/>
    <cellStyle name="Title 2 2 2 2 2 2 2 2 2 2 2 46" xfId="40698"/>
    <cellStyle name="Title 2 2 2 2 2 2 2 2 2 2 2 47" xfId="40699"/>
    <cellStyle name="Title 2 2 2 2 2 2 2 2 2 2 2 48" xfId="40700"/>
    <cellStyle name="Title 2 2 2 2 2 2 2 2 2 2 2 49" xfId="40701"/>
    <cellStyle name="Title 2 2 2 2 2 2 2 2 2 2 2 5" xfId="40702"/>
    <cellStyle name="Title 2 2 2 2 2 2 2 2 2 2 2 50" xfId="40703"/>
    <cellStyle name="Title 2 2 2 2 2 2 2 2 2 2 2 51" xfId="40704"/>
    <cellStyle name="Title 2 2 2 2 2 2 2 2 2 2 2 52" xfId="40705"/>
    <cellStyle name="Title 2 2 2 2 2 2 2 2 2 2 2 53" xfId="40706"/>
    <cellStyle name="Title 2 2 2 2 2 2 2 2 2 2 2 54" xfId="40707"/>
    <cellStyle name="Title 2 2 2 2 2 2 2 2 2 2 2 55" xfId="40708"/>
    <cellStyle name="Title 2 2 2 2 2 2 2 2 2 2 2 56" xfId="40709"/>
    <cellStyle name="Title 2 2 2 2 2 2 2 2 2 2 2 57" xfId="40710"/>
    <cellStyle name="Title 2 2 2 2 2 2 2 2 2 2 2 58" xfId="40711"/>
    <cellStyle name="Title 2 2 2 2 2 2 2 2 2 2 2 59" xfId="40712"/>
    <cellStyle name="Title 2 2 2 2 2 2 2 2 2 2 2 6" xfId="40713"/>
    <cellStyle name="Title 2 2 2 2 2 2 2 2 2 2 2 60" xfId="40714"/>
    <cellStyle name="Title 2 2 2 2 2 2 2 2 2 2 2 61" xfId="40715"/>
    <cellStyle name="Title 2 2 2 2 2 2 2 2 2 2 2 62" xfId="40716"/>
    <cellStyle name="Title 2 2 2 2 2 2 2 2 2 2 2 63" xfId="40717"/>
    <cellStyle name="Title 2 2 2 2 2 2 2 2 2 2 2 64" xfId="40718"/>
    <cellStyle name="Title 2 2 2 2 2 2 2 2 2 2 2 65" xfId="40719"/>
    <cellStyle name="Title 2 2 2 2 2 2 2 2 2 2 2 66" xfId="40720"/>
    <cellStyle name="Title 2 2 2 2 2 2 2 2 2 2 2 67" xfId="40721"/>
    <cellStyle name="Title 2 2 2 2 2 2 2 2 2 2 2 68" xfId="40722"/>
    <cellStyle name="Title 2 2 2 2 2 2 2 2 2 2 2 69" xfId="40723"/>
    <cellStyle name="Title 2 2 2 2 2 2 2 2 2 2 2 7" xfId="40724"/>
    <cellStyle name="Title 2 2 2 2 2 2 2 2 2 2 2 70" xfId="40725"/>
    <cellStyle name="Title 2 2 2 2 2 2 2 2 2 2 2 71" xfId="40726"/>
    <cellStyle name="Title 2 2 2 2 2 2 2 2 2 2 2 72" xfId="40727"/>
    <cellStyle name="Title 2 2 2 2 2 2 2 2 2 2 2 73" xfId="40728"/>
    <cellStyle name="Title 2 2 2 2 2 2 2 2 2 2 2 74" xfId="40729"/>
    <cellStyle name="Title 2 2 2 2 2 2 2 2 2 2 2 75" xfId="40730"/>
    <cellStyle name="Title 2 2 2 2 2 2 2 2 2 2 2 76" xfId="40731"/>
    <cellStyle name="Title 2 2 2 2 2 2 2 2 2 2 2 77" xfId="40732"/>
    <cellStyle name="Title 2 2 2 2 2 2 2 2 2 2 2 78" xfId="40733"/>
    <cellStyle name="Title 2 2 2 2 2 2 2 2 2 2 2 79" xfId="40734"/>
    <cellStyle name="Title 2 2 2 2 2 2 2 2 2 2 2 8" xfId="40735"/>
    <cellStyle name="Title 2 2 2 2 2 2 2 2 2 2 2 80" xfId="40736"/>
    <cellStyle name="Title 2 2 2 2 2 2 2 2 2 2 2 81" xfId="40737"/>
    <cellStyle name="Title 2 2 2 2 2 2 2 2 2 2 2 82" xfId="40738"/>
    <cellStyle name="Title 2 2 2 2 2 2 2 2 2 2 2 83" xfId="40739"/>
    <cellStyle name="Title 2 2 2 2 2 2 2 2 2 2 2 84" xfId="40740"/>
    <cellStyle name="Title 2 2 2 2 2 2 2 2 2 2 2 85" xfId="40741"/>
    <cellStyle name="Title 2 2 2 2 2 2 2 2 2 2 2 86" xfId="40742"/>
    <cellStyle name="Title 2 2 2 2 2 2 2 2 2 2 2 87" xfId="40743"/>
    <cellStyle name="Title 2 2 2 2 2 2 2 2 2 2 2 88" xfId="40744"/>
    <cellStyle name="Title 2 2 2 2 2 2 2 2 2 2 2 9" xfId="40745"/>
    <cellStyle name="Title 2 2 2 2 2 2 2 2 2 2 20" xfId="40746"/>
    <cellStyle name="Title 2 2 2 2 2 2 2 2 2 2 20 2" xfId="40747"/>
    <cellStyle name="Title 2 2 2 2 2 2 2 2 2 2 21" xfId="40748"/>
    <cellStyle name="Title 2 2 2 2 2 2 2 2 2 2 21 2" xfId="40749"/>
    <cellStyle name="Title 2 2 2 2 2 2 2 2 2 2 22" xfId="40750"/>
    <cellStyle name="Title 2 2 2 2 2 2 2 2 2 2 22 2" xfId="40751"/>
    <cellStyle name="Title 2 2 2 2 2 2 2 2 2 2 23" xfId="40752"/>
    <cellStyle name="Title 2 2 2 2 2 2 2 2 2 2 23 2" xfId="40753"/>
    <cellStyle name="Title 2 2 2 2 2 2 2 2 2 2 24" xfId="40754"/>
    <cellStyle name="Title 2 2 2 2 2 2 2 2 2 2 24 2" xfId="40755"/>
    <cellStyle name="Title 2 2 2 2 2 2 2 2 2 2 25" xfId="40756"/>
    <cellStyle name="Title 2 2 2 2 2 2 2 2 2 2 25 2" xfId="40757"/>
    <cellStyle name="Title 2 2 2 2 2 2 2 2 2 2 26" xfId="40758"/>
    <cellStyle name="Title 2 2 2 2 2 2 2 2 2 2 26 2" xfId="40759"/>
    <cellStyle name="Title 2 2 2 2 2 2 2 2 2 2 27" xfId="40760"/>
    <cellStyle name="Title 2 2 2 2 2 2 2 2 2 2 27 2" xfId="40761"/>
    <cellStyle name="Title 2 2 2 2 2 2 2 2 2 2 28" xfId="40762"/>
    <cellStyle name="Title 2 2 2 2 2 2 2 2 2 2 28 2" xfId="40763"/>
    <cellStyle name="Title 2 2 2 2 2 2 2 2 2 2 29" xfId="40764"/>
    <cellStyle name="Title 2 2 2 2 2 2 2 2 2 2 29 2" xfId="40765"/>
    <cellStyle name="Title 2 2 2 2 2 2 2 2 2 2 3" xfId="40766"/>
    <cellStyle name="Title 2 2 2 2 2 2 2 2 2 2 3 2" xfId="40767"/>
    <cellStyle name="Title 2 2 2 2 2 2 2 2 2 2 30" xfId="40768"/>
    <cellStyle name="Title 2 2 2 2 2 2 2 2 2 2 30 2" xfId="40769"/>
    <cellStyle name="Title 2 2 2 2 2 2 2 2 2 2 31" xfId="40770"/>
    <cellStyle name="Title 2 2 2 2 2 2 2 2 2 2 31 2" xfId="40771"/>
    <cellStyle name="Title 2 2 2 2 2 2 2 2 2 2 32" xfId="40772"/>
    <cellStyle name="Title 2 2 2 2 2 2 2 2 2 2 32 2" xfId="40773"/>
    <cellStyle name="Title 2 2 2 2 2 2 2 2 2 2 33" xfId="40774"/>
    <cellStyle name="Title 2 2 2 2 2 2 2 2 2 2 33 2" xfId="40775"/>
    <cellStyle name="Title 2 2 2 2 2 2 2 2 2 2 34" xfId="40776"/>
    <cellStyle name="Title 2 2 2 2 2 2 2 2 2 2 34 2" xfId="40777"/>
    <cellStyle name="Title 2 2 2 2 2 2 2 2 2 2 35" xfId="40778"/>
    <cellStyle name="Title 2 2 2 2 2 2 2 2 2 2 35 2" xfId="40779"/>
    <cellStyle name="Title 2 2 2 2 2 2 2 2 2 2 36" xfId="40780"/>
    <cellStyle name="Title 2 2 2 2 2 2 2 2 2 2 36 2" xfId="40781"/>
    <cellStyle name="Title 2 2 2 2 2 2 2 2 2 2 37" xfId="40782"/>
    <cellStyle name="Title 2 2 2 2 2 2 2 2 2 2 37 2" xfId="40783"/>
    <cellStyle name="Title 2 2 2 2 2 2 2 2 2 2 38" xfId="40784"/>
    <cellStyle name="Title 2 2 2 2 2 2 2 2 2 2 38 2" xfId="40785"/>
    <cellStyle name="Title 2 2 2 2 2 2 2 2 2 2 39" xfId="40786"/>
    <cellStyle name="Title 2 2 2 2 2 2 2 2 2 2 39 2" xfId="40787"/>
    <cellStyle name="Title 2 2 2 2 2 2 2 2 2 2 4" xfId="40788"/>
    <cellStyle name="Title 2 2 2 2 2 2 2 2 2 2 4 2" xfId="40789"/>
    <cellStyle name="Title 2 2 2 2 2 2 2 2 2 2 40" xfId="40790"/>
    <cellStyle name="Title 2 2 2 2 2 2 2 2 2 2 40 2" xfId="40791"/>
    <cellStyle name="Title 2 2 2 2 2 2 2 2 2 2 41" xfId="40792"/>
    <cellStyle name="Title 2 2 2 2 2 2 2 2 2 2 41 2" xfId="40793"/>
    <cellStyle name="Title 2 2 2 2 2 2 2 2 2 2 42" xfId="40794"/>
    <cellStyle name="Title 2 2 2 2 2 2 2 2 2 2 42 2" xfId="40795"/>
    <cellStyle name="Title 2 2 2 2 2 2 2 2 2 2 43" xfId="40796"/>
    <cellStyle name="Title 2 2 2 2 2 2 2 2 2 2 43 2" xfId="40797"/>
    <cellStyle name="Title 2 2 2 2 2 2 2 2 2 2 44" xfId="40798"/>
    <cellStyle name="Title 2 2 2 2 2 2 2 2 2 2 44 2" xfId="40799"/>
    <cellStyle name="Title 2 2 2 2 2 2 2 2 2 2 45" xfId="40800"/>
    <cellStyle name="Title 2 2 2 2 2 2 2 2 2 2 46" xfId="40801"/>
    <cellStyle name="Title 2 2 2 2 2 2 2 2 2 2 47" xfId="40802"/>
    <cellStyle name="Title 2 2 2 2 2 2 2 2 2 2 48" xfId="40803"/>
    <cellStyle name="Title 2 2 2 2 2 2 2 2 2 2 49" xfId="40804"/>
    <cellStyle name="Title 2 2 2 2 2 2 2 2 2 2 5" xfId="40805"/>
    <cellStyle name="Title 2 2 2 2 2 2 2 2 2 2 5 2" xfId="40806"/>
    <cellStyle name="Title 2 2 2 2 2 2 2 2 2 2 50" xfId="40807"/>
    <cellStyle name="Title 2 2 2 2 2 2 2 2 2 2 51" xfId="40808"/>
    <cellStyle name="Title 2 2 2 2 2 2 2 2 2 2 52" xfId="40809"/>
    <cellStyle name="Title 2 2 2 2 2 2 2 2 2 2 53" xfId="40810"/>
    <cellStyle name="Title 2 2 2 2 2 2 2 2 2 2 54" xfId="40811"/>
    <cellStyle name="Title 2 2 2 2 2 2 2 2 2 2 55" xfId="40812"/>
    <cellStyle name="Title 2 2 2 2 2 2 2 2 2 2 56" xfId="40813"/>
    <cellStyle name="Title 2 2 2 2 2 2 2 2 2 2 57" xfId="40814"/>
    <cellStyle name="Title 2 2 2 2 2 2 2 2 2 2 58" xfId="40815"/>
    <cellStyle name="Title 2 2 2 2 2 2 2 2 2 2 59" xfId="40816"/>
    <cellStyle name="Title 2 2 2 2 2 2 2 2 2 2 6" xfId="40817"/>
    <cellStyle name="Title 2 2 2 2 2 2 2 2 2 2 6 2" xfId="40818"/>
    <cellStyle name="Title 2 2 2 2 2 2 2 2 2 2 60" xfId="40819"/>
    <cellStyle name="Title 2 2 2 2 2 2 2 2 2 2 61" xfId="40820"/>
    <cellStyle name="Title 2 2 2 2 2 2 2 2 2 2 62" xfId="40821"/>
    <cellStyle name="Title 2 2 2 2 2 2 2 2 2 2 63" xfId="40822"/>
    <cellStyle name="Title 2 2 2 2 2 2 2 2 2 2 64" xfId="40823"/>
    <cellStyle name="Title 2 2 2 2 2 2 2 2 2 2 65" xfId="40824"/>
    <cellStyle name="Title 2 2 2 2 2 2 2 2 2 2 66" xfId="40825"/>
    <cellStyle name="Title 2 2 2 2 2 2 2 2 2 2 67" xfId="40826"/>
    <cellStyle name="Title 2 2 2 2 2 2 2 2 2 2 68" xfId="40827"/>
    <cellStyle name="Title 2 2 2 2 2 2 2 2 2 2 69" xfId="40828"/>
    <cellStyle name="Title 2 2 2 2 2 2 2 2 2 2 7" xfId="40829"/>
    <cellStyle name="Title 2 2 2 2 2 2 2 2 2 2 7 2" xfId="40830"/>
    <cellStyle name="Title 2 2 2 2 2 2 2 2 2 2 70" xfId="40831"/>
    <cellStyle name="Title 2 2 2 2 2 2 2 2 2 2 71" xfId="40832"/>
    <cellStyle name="Title 2 2 2 2 2 2 2 2 2 2 72" xfId="40833"/>
    <cellStyle name="Title 2 2 2 2 2 2 2 2 2 2 73" xfId="40834"/>
    <cellStyle name="Title 2 2 2 2 2 2 2 2 2 2 74" xfId="40835"/>
    <cellStyle name="Title 2 2 2 2 2 2 2 2 2 2 75" xfId="40836"/>
    <cellStyle name="Title 2 2 2 2 2 2 2 2 2 2 76" xfId="40837"/>
    <cellStyle name="Title 2 2 2 2 2 2 2 2 2 2 77" xfId="40838"/>
    <cellStyle name="Title 2 2 2 2 2 2 2 2 2 2 78" xfId="40839"/>
    <cellStyle name="Title 2 2 2 2 2 2 2 2 2 2 79" xfId="40840"/>
    <cellStyle name="Title 2 2 2 2 2 2 2 2 2 2 8" xfId="40841"/>
    <cellStyle name="Title 2 2 2 2 2 2 2 2 2 2 8 2" xfId="40842"/>
    <cellStyle name="Title 2 2 2 2 2 2 2 2 2 2 80" xfId="40843"/>
    <cellStyle name="Title 2 2 2 2 2 2 2 2 2 2 81" xfId="40844"/>
    <cellStyle name="Title 2 2 2 2 2 2 2 2 2 2 82" xfId="40845"/>
    <cellStyle name="Title 2 2 2 2 2 2 2 2 2 2 83" xfId="40846"/>
    <cellStyle name="Title 2 2 2 2 2 2 2 2 2 2 84" xfId="40847"/>
    <cellStyle name="Title 2 2 2 2 2 2 2 2 2 2 85" xfId="40848"/>
    <cellStyle name="Title 2 2 2 2 2 2 2 2 2 2 86" xfId="40849"/>
    <cellStyle name="Title 2 2 2 2 2 2 2 2 2 2 87" xfId="40850"/>
    <cellStyle name="Title 2 2 2 2 2 2 2 2 2 2 88" xfId="40851"/>
    <cellStyle name="Title 2 2 2 2 2 2 2 2 2 2 89" xfId="40852"/>
    <cellStyle name="Title 2 2 2 2 2 2 2 2 2 2 9" xfId="40853"/>
    <cellStyle name="Title 2 2 2 2 2 2 2 2 2 2 9 2" xfId="40854"/>
    <cellStyle name="Title 2 2 2 2 2 2 2 2 2 2 90" xfId="40855"/>
    <cellStyle name="Title 2 2 2 2 2 2 2 2 2 2 91" xfId="40856"/>
    <cellStyle name="Title 2 2 2 2 2 2 2 2 2 2 92" xfId="40857"/>
    <cellStyle name="Title 2 2 2 2 2 2 2 2 2 2 93" xfId="40858"/>
    <cellStyle name="Title 2 2 2 2 2 2 2 2 2 2 94" xfId="40859"/>
    <cellStyle name="Title 2 2 2 2 2 2 2 2 2 2 95" xfId="40860"/>
    <cellStyle name="Title 2 2 2 2 2 2 2 2 2 2 96" xfId="40861"/>
    <cellStyle name="Title 2 2 2 2 2 2 2 2 2 2 97" xfId="40862"/>
    <cellStyle name="Title 2 2 2 2 2 2 2 2 2 2 98" xfId="40863"/>
    <cellStyle name="Title 2 2 2 2 2 2 2 2 2 20" xfId="40864"/>
    <cellStyle name="Title 2 2 2 2 2 2 2 2 2 20 2" xfId="40865"/>
    <cellStyle name="Title 2 2 2 2 2 2 2 2 2 21" xfId="40866"/>
    <cellStyle name="Title 2 2 2 2 2 2 2 2 2 21 2" xfId="40867"/>
    <cellStyle name="Title 2 2 2 2 2 2 2 2 2 22" xfId="40868"/>
    <cellStyle name="Title 2 2 2 2 2 2 2 2 2 22 2" xfId="40869"/>
    <cellStyle name="Title 2 2 2 2 2 2 2 2 2 23" xfId="40870"/>
    <cellStyle name="Title 2 2 2 2 2 2 2 2 2 23 2" xfId="40871"/>
    <cellStyle name="Title 2 2 2 2 2 2 2 2 2 24" xfId="40872"/>
    <cellStyle name="Title 2 2 2 2 2 2 2 2 2 24 2" xfId="40873"/>
    <cellStyle name="Title 2 2 2 2 2 2 2 2 2 25" xfId="40874"/>
    <cellStyle name="Title 2 2 2 2 2 2 2 2 2 25 2" xfId="40875"/>
    <cellStyle name="Title 2 2 2 2 2 2 2 2 2 26" xfId="40876"/>
    <cellStyle name="Title 2 2 2 2 2 2 2 2 2 26 2" xfId="40877"/>
    <cellStyle name="Title 2 2 2 2 2 2 2 2 2 27" xfId="40878"/>
    <cellStyle name="Title 2 2 2 2 2 2 2 2 2 27 2" xfId="40879"/>
    <cellStyle name="Title 2 2 2 2 2 2 2 2 2 28" xfId="40880"/>
    <cellStyle name="Title 2 2 2 2 2 2 2 2 2 28 2" xfId="40881"/>
    <cellStyle name="Title 2 2 2 2 2 2 2 2 2 29" xfId="40882"/>
    <cellStyle name="Title 2 2 2 2 2 2 2 2 2 29 2" xfId="40883"/>
    <cellStyle name="Title 2 2 2 2 2 2 2 2 2 3" xfId="40884"/>
    <cellStyle name="Title 2 2 2 2 2 2 2 2 2 3 2" xfId="40885"/>
    <cellStyle name="Title 2 2 2 2 2 2 2 2 2 30" xfId="40886"/>
    <cellStyle name="Title 2 2 2 2 2 2 2 2 2 30 2" xfId="40887"/>
    <cellStyle name="Title 2 2 2 2 2 2 2 2 2 31" xfId="40888"/>
    <cellStyle name="Title 2 2 2 2 2 2 2 2 2 31 2" xfId="40889"/>
    <cellStyle name="Title 2 2 2 2 2 2 2 2 2 32" xfId="40890"/>
    <cellStyle name="Title 2 2 2 2 2 2 2 2 2 32 2" xfId="40891"/>
    <cellStyle name="Title 2 2 2 2 2 2 2 2 2 33" xfId="40892"/>
    <cellStyle name="Title 2 2 2 2 2 2 2 2 2 33 2" xfId="40893"/>
    <cellStyle name="Title 2 2 2 2 2 2 2 2 2 34" xfId="40894"/>
    <cellStyle name="Title 2 2 2 2 2 2 2 2 2 34 2" xfId="40895"/>
    <cellStyle name="Title 2 2 2 2 2 2 2 2 2 35" xfId="40896"/>
    <cellStyle name="Title 2 2 2 2 2 2 2 2 2 35 2" xfId="40897"/>
    <cellStyle name="Title 2 2 2 2 2 2 2 2 2 36" xfId="40898"/>
    <cellStyle name="Title 2 2 2 2 2 2 2 2 2 36 2" xfId="40899"/>
    <cellStyle name="Title 2 2 2 2 2 2 2 2 2 37" xfId="40900"/>
    <cellStyle name="Title 2 2 2 2 2 2 2 2 2 37 2" xfId="40901"/>
    <cellStyle name="Title 2 2 2 2 2 2 2 2 2 38" xfId="40902"/>
    <cellStyle name="Title 2 2 2 2 2 2 2 2 2 38 2" xfId="40903"/>
    <cellStyle name="Title 2 2 2 2 2 2 2 2 2 39" xfId="40904"/>
    <cellStyle name="Title 2 2 2 2 2 2 2 2 2 39 2" xfId="40905"/>
    <cellStyle name="Title 2 2 2 2 2 2 2 2 2 4" xfId="40906"/>
    <cellStyle name="Title 2 2 2 2 2 2 2 2 2 4 10" xfId="40907"/>
    <cellStyle name="Title 2 2 2 2 2 2 2 2 2 4 11" xfId="40908"/>
    <cellStyle name="Title 2 2 2 2 2 2 2 2 2 4 12" xfId="40909"/>
    <cellStyle name="Title 2 2 2 2 2 2 2 2 2 4 13" xfId="40910"/>
    <cellStyle name="Title 2 2 2 2 2 2 2 2 2 4 14" xfId="40911"/>
    <cellStyle name="Title 2 2 2 2 2 2 2 2 2 4 15" xfId="40912"/>
    <cellStyle name="Title 2 2 2 2 2 2 2 2 2 4 16" xfId="40913"/>
    <cellStyle name="Title 2 2 2 2 2 2 2 2 2 4 17" xfId="40914"/>
    <cellStyle name="Title 2 2 2 2 2 2 2 2 2 4 18" xfId="40915"/>
    <cellStyle name="Title 2 2 2 2 2 2 2 2 2 4 19" xfId="40916"/>
    <cellStyle name="Title 2 2 2 2 2 2 2 2 2 4 2" xfId="40917"/>
    <cellStyle name="Title 2 2 2 2 2 2 2 2 2 4 2 10" xfId="40918"/>
    <cellStyle name="Title 2 2 2 2 2 2 2 2 2 4 2 11" xfId="40919"/>
    <cellStyle name="Title 2 2 2 2 2 2 2 2 2 4 2 12" xfId="40920"/>
    <cellStyle name="Title 2 2 2 2 2 2 2 2 2 4 2 13" xfId="40921"/>
    <cellStyle name="Title 2 2 2 2 2 2 2 2 2 4 2 14" xfId="40922"/>
    <cellStyle name="Title 2 2 2 2 2 2 2 2 2 4 2 15" xfId="40923"/>
    <cellStyle name="Title 2 2 2 2 2 2 2 2 2 4 2 16" xfId="40924"/>
    <cellStyle name="Title 2 2 2 2 2 2 2 2 2 4 2 17" xfId="40925"/>
    <cellStyle name="Title 2 2 2 2 2 2 2 2 2 4 2 18" xfId="40926"/>
    <cellStyle name="Title 2 2 2 2 2 2 2 2 2 4 2 19" xfId="40927"/>
    <cellStyle name="Title 2 2 2 2 2 2 2 2 2 4 2 2" xfId="40928"/>
    <cellStyle name="Title 2 2 2 2 2 2 2 2 2 4 2 2 2" xfId="40929"/>
    <cellStyle name="Title 2 2 2 2 2 2 2 2 2 4 2 20" xfId="40930"/>
    <cellStyle name="Title 2 2 2 2 2 2 2 2 2 4 2 21" xfId="40931"/>
    <cellStyle name="Title 2 2 2 2 2 2 2 2 2 4 2 22" xfId="40932"/>
    <cellStyle name="Title 2 2 2 2 2 2 2 2 2 4 2 23" xfId="40933"/>
    <cellStyle name="Title 2 2 2 2 2 2 2 2 2 4 2 24" xfId="40934"/>
    <cellStyle name="Title 2 2 2 2 2 2 2 2 2 4 2 25" xfId="40935"/>
    <cellStyle name="Title 2 2 2 2 2 2 2 2 2 4 2 26" xfId="40936"/>
    <cellStyle name="Title 2 2 2 2 2 2 2 2 2 4 2 27" xfId="40937"/>
    <cellStyle name="Title 2 2 2 2 2 2 2 2 2 4 2 28" xfId="40938"/>
    <cellStyle name="Title 2 2 2 2 2 2 2 2 2 4 2 29" xfId="40939"/>
    <cellStyle name="Title 2 2 2 2 2 2 2 2 2 4 2 3" xfId="40940"/>
    <cellStyle name="Title 2 2 2 2 2 2 2 2 2 4 2 30" xfId="40941"/>
    <cellStyle name="Title 2 2 2 2 2 2 2 2 2 4 2 31" xfId="40942"/>
    <cellStyle name="Title 2 2 2 2 2 2 2 2 2 4 2 32" xfId="40943"/>
    <cellStyle name="Title 2 2 2 2 2 2 2 2 2 4 2 33" xfId="40944"/>
    <cellStyle name="Title 2 2 2 2 2 2 2 2 2 4 2 34" xfId="40945"/>
    <cellStyle name="Title 2 2 2 2 2 2 2 2 2 4 2 35" xfId="40946"/>
    <cellStyle name="Title 2 2 2 2 2 2 2 2 2 4 2 36" xfId="40947"/>
    <cellStyle name="Title 2 2 2 2 2 2 2 2 2 4 2 37" xfId="40948"/>
    <cellStyle name="Title 2 2 2 2 2 2 2 2 2 4 2 38" xfId="40949"/>
    <cellStyle name="Title 2 2 2 2 2 2 2 2 2 4 2 39" xfId="40950"/>
    <cellStyle name="Title 2 2 2 2 2 2 2 2 2 4 2 4" xfId="40951"/>
    <cellStyle name="Title 2 2 2 2 2 2 2 2 2 4 2 40" xfId="40952"/>
    <cellStyle name="Title 2 2 2 2 2 2 2 2 2 4 2 41" xfId="40953"/>
    <cellStyle name="Title 2 2 2 2 2 2 2 2 2 4 2 42" xfId="40954"/>
    <cellStyle name="Title 2 2 2 2 2 2 2 2 2 4 2 43" xfId="40955"/>
    <cellStyle name="Title 2 2 2 2 2 2 2 2 2 4 2 44" xfId="40956"/>
    <cellStyle name="Title 2 2 2 2 2 2 2 2 2 4 2 45" xfId="40957"/>
    <cellStyle name="Title 2 2 2 2 2 2 2 2 2 4 2 46" xfId="40958"/>
    <cellStyle name="Title 2 2 2 2 2 2 2 2 2 4 2 47" xfId="40959"/>
    <cellStyle name="Title 2 2 2 2 2 2 2 2 2 4 2 48" xfId="40960"/>
    <cellStyle name="Title 2 2 2 2 2 2 2 2 2 4 2 49" xfId="40961"/>
    <cellStyle name="Title 2 2 2 2 2 2 2 2 2 4 2 5" xfId="40962"/>
    <cellStyle name="Title 2 2 2 2 2 2 2 2 2 4 2 50" xfId="40963"/>
    <cellStyle name="Title 2 2 2 2 2 2 2 2 2 4 2 51" xfId="40964"/>
    <cellStyle name="Title 2 2 2 2 2 2 2 2 2 4 2 52" xfId="40965"/>
    <cellStyle name="Title 2 2 2 2 2 2 2 2 2 4 2 53" xfId="40966"/>
    <cellStyle name="Title 2 2 2 2 2 2 2 2 2 4 2 54" xfId="40967"/>
    <cellStyle name="Title 2 2 2 2 2 2 2 2 2 4 2 55" xfId="40968"/>
    <cellStyle name="Title 2 2 2 2 2 2 2 2 2 4 2 56" xfId="40969"/>
    <cellStyle name="Title 2 2 2 2 2 2 2 2 2 4 2 57" xfId="40970"/>
    <cellStyle name="Title 2 2 2 2 2 2 2 2 2 4 2 58" xfId="40971"/>
    <cellStyle name="Title 2 2 2 2 2 2 2 2 2 4 2 59" xfId="40972"/>
    <cellStyle name="Title 2 2 2 2 2 2 2 2 2 4 2 6" xfId="40973"/>
    <cellStyle name="Title 2 2 2 2 2 2 2 2 2 4 2 60" xfId="40974"/>
    <cellStyle name="Title 2 2 2 2 2 2 2 2 2 4 2 61" xfId="40975"/>
    <cellStyle name="Title 2 2 2 2 2 2 2 2 2 4 2 62" xfId="40976"/>
    <cellStyle name="Title 2 2 2 2 2 2 2 2 2 4 2 63" xfId="40977"/>
    <cellStyle name="Title 2 2 2 2 2 2 2 2 2 4 2 64" xfId="40978"/>
    <cellStyle name="Title 2 2 2 2 2 2 2 2 2 4 2 65" xfId="40979"/>
    <cellStyle name="Title 2 2 2 2 2 2 2 2 2 4 2 66" xfId="40980"/>
    <cellStyle name="Title 2 2 2 2 2 2 2 2 2 4 2 67" xfId="40981"/>
    <cellStyle name="Title 2 2 2 2 2 2 2 2 2 4 2 68" xfId="40982"/>
    <cellStyle name="Title 2 2 2 2 2 2 2 2 2 4 2 69" xfId="40983"/>
    <cellStyle name="Title 2 2 2 2 2 2 2 2 2 4 2 7" xfId="40984"/>
    <cellStyle name="Title 2 2 2 2 2 2 2 2 2 4 2 70" xfId="40985"/>
    <cellStyle name="Title 2 2 2 2 2 2 2 2 2 4 2 71" xfId="40986"/>
    <cellStyle name="Title 2 2 2 2 2 2 2 2 2 4 2 72" xfId="40987"/>
    <cellStyle name="Title 2 2 2 2 2 2 2 2 2 4 2 73" xfId="40988"/>
    <cellStyle name="Title 2 2 2 2 2 2 2 2 2 4 2 74" xfId="40989"/>
    <cellStyle name="Title 2 2 2 2 2 2 2 2 2 4 2 8" xfId="40990"/>
    <cellStyle name="Title 2 2 2 2 2 2 2 2 2 4 2 9" xfId="40991"/>
    <cellStyle name="Title 2 2 2 2 2 2 2 2 2 4 20" xfId="40992"/>
    <cellStyle name="Title 2 2 2 2 2 2 2 2 2 4 21" xfId="40993"/>
    <cellStyle name="Title 2 2 2 2 2 2 2 2 2 4 22" xfId="40994"/>
    <cellStyle name="Title 2 2 2 2 2 2 2 2 2 4 23" xfId="40995"/>
    <cellStyle name="Title 2 2 2 2 2 2 2 2 2 4 24" xfId="40996"/>
    <cellStyle name="Title 2 2 2 2 2 2 2 2 2 4 25" xfId="40997"/>
    <cellStyle name="Title 2 2 2 2 2 2 2 2 2 4 26" xfId="40998"/>
    <cellStyle name="Title 2 2 2 2 2 2 2 2 2 4 27" xfId="40999"/>
    <cellStyle name="Title 2 2 2 2 2 2 2 2 2 4 28" xfId="41000"/>
    <cellStyle name="Title 2 2 2 2 2 2 2 2 2 4 29" xfId="41001"/>
    <cellStyle name="Title 2 2 2 2 2 2 2 2 2 4 3" xfId="41002"/>
    <cellStyle name="Title 2 2 2 2 2 2 2 2 2 4 3 2" xfId="41003"/>
    <cellStyle name="Title 2 2 2 2 2 2 2 2 2 4 30" xfId="41004"/>
    <cellStyle name="Title 2 2 2 2 2 2 2 2 2 4 31" xfId="41005"/>
    <cellStyle name="Title 2 2 2 2 2 2 2 2 2 4 32" xfId="41006"/>
    <cellStyle name="Title 2 2 2 2 2 2 2 2 2 4 33" xfId="41007"/>
    <cellStyle name="Title 2 2 2 2 2 2 2 2 2 4 34" xfId="41008"/>
    <cellStyle name="Title 2 2 2 2 2 2 2 2 2 4 35" xfId="41009"/>
    <cellStyle name="Title 2 2 2 2 2 2 2 2 2 4 36" xfId="41010"/>
    <cellStyle name="Title 2 2 2 2 2 2 2 2 2 4 37" xfId="41011"/>
    <cellStyle name="Title 2 2 2 2 2 2 2 2 2 4 38" xfId="41012"/>
    <cellStyle name="Title 2 2 2 2 2 2 2 2 2 4 39" xfId="41013"/>
    <cellStyle name="Title 2 2 2 2 2 2 2 2 2 4 4" xfId="41014"/>
    <cellStyle name="Title 2 2 2 2 2 2 2 2 2 4 40" xfId="41015"/>
    <cellStyle name="Title 2 2 2 2 2 2 2 2 2 4 41" xfId="41016"/>
    <cellStyle name="Title 2 2 2 2 2 2 2 2 2 4 42" xfId="41017"/>
    <cellStyle name="Title 2 2 2 2 2 2 2 2 2 4 43" xfId="41018"/>
    <cellStyle name="Title 2 2 2 2 2 2 2 2 2 4 44" xfId="41019"/>
    <cellStyle name="Title 2 2 2 2 2 2 2 2 2 4 45" xfId="41020"/>
    <cellStyle name="Title 2 2 2 2 2 2 2 2 2 4 46" xfId="41021"/>
    <cellStyle name="Title 2 2 2 2 2 2 2 2 2 4 47" xfId="41022"/>
    <cellStyle name="Title 2 2 2 2 2 2 2 2 2 4 48" xfId="41023"/>
    <cellStyle name="Title 2 2 2 2 2 2 2 2 2 4 49" xfId="41024"/>
    <cellStyle name="Title 2 2 2 2 2 2 2 2 2 4 5" xfId="41025"/>
    <cellStyle name="Title 2 2 2 2 2 2 2 2 2 4 50" xfId="41026"/>
    <cellStyle name="Title 2 2 2 2 2 2 2 2 2 4 51" xfId="41027"/>
    <cellStyle name="Title 2 2 2 2 2 2 2 2 2 4 52" xfId="41028"/>
    <cellStyle name="Title 2 2 2 2 2 2 2 2 2 4 53" xfId="41029"/>
    <cellStyle name="Title 2 2 2 2 2 2 2 2 2 4 54" xfId="41030"/>
    <cellStyle name="Title 2 2 2 2 2 2 2 2 2 4 55" xfId="41031"/>
    <cellStyle name="Title 2 2 2 2 2 2 2 2 2 4 56" xfId="41032"/>
    <cellStyle name="Title 2 2 2 2 2 2 2 2 2 4 57" xfId="41033"/>
    <cellStyle name="Title 2 2 2 2 2 2 2 2 2 4 58" xfId="41034"/>
    <cellStyle name="Title 2 2 2 2 2 2 2 2 2 4 59" xfId="41035"/>
    <cellStyle name="Title 2 2 2 2 2 2 2 2 2 4 6" xfId="41036"/>
    <cellStyle name="Title 2 2 2 2 2 2 2 2 2 4 60" xfId="41037"/>
    <cellStyle name="Title 2 2 2 2 2 2 2 2 2 4 61" xfId="41038"/>
    <cellStyle name="Title 2 2 2 2 2 2 2 2 2 4 62" xfId="41039"/>
    <cellStyle name="Title 2 2 2 2 2 2 2 2 2 4 63" xfId="41040"/>
    <cellStyle name="Title 2 2 2 2 2 2 2 2 2 4 64" xfId="41041"/>
    <cellStyle name="Title 2 2 2 2 2 2 2 2 2 4 65" xfId="41042"/>
    <cellStyle name="Title 2 2 2 2 2 2 2 2 2 4 66" xfId="41043"/>
    <cellStyle name="Title 2 2 2 2 2 2 2 2 2 4 67" xfId="41044"/>
    <cellStyle name="Title 2 2 2 2 2 2 2 2 2 4 68" xfId="41045"/>
    <cellStyle name="Title 2 2 2 2 2 2 2 2 2 4 69" xfId="41046"/>
    <cellStyle name="Title 2 2 2 2 2 2 2 2 2 4 7" xfId="41047"/>
    <cellStyle name="Title 2 2 2 2 2 2 2 2 2 4 70" xfId="41048"/>
    <cellStyle name="Title 2 2 2 2 2 2 2 2 2 4 71" xfId="41049"/>
    <cellStyle name="Title 2 2 2 2 2 2 2 2 2 4 72" xfId="41050"/>
    <cellStyle name="Title 2 2 2 2 2 2 2 2 2 4 73" xfId="41051"/>
    <cellStyle name="Title 2 2 2 2 2 2 2 2 2 4 74" xfId="41052"/>
    <cellStyle name="Title 2 2 2 2 2 2 2 2 2 4 8" xfId="41053"/>
    <cellStyle name="Title 2 2 2 2 2 2 2 2 2 4 9" xfId="41054"/>
    <cellStyle name="Title 2 2 2 2 2 2 2 2 2 40" xfId="41055"/>
    <cellStyle name="Title 2 2 2 2 2 2 2 2 2 40 2" xfId="41056"/>
    <cellStyle name="Title 2 2 2 2 2 2 2 2 2 41" xfId="41057"/>
    <cellStyle name="Title 2 2 2 2 2 2 2 2 2 41 2" xfId="41058"/>
    <cellStyle name="Title 2 2 2 2 2 2 2 2 2 42" xfId="41059"/>
    <cellStyle name="Title 2 2 2 2 2 2 2 2 2 42 2" xfId="41060"/>
    <cellStyle name="Title 2 2 2 2 2 2 2 2 2 43" xfId="41061"/>
    <cellStyle name="Title 2 2 2 2 2 2 2 2 2 43 2" xfId="41062"/>
    <cellStyle name="Title 2 2 2 2 2 2 2 2 2 44" xfId="41063"/>
    <cellStyle name="Title 2 2 2 2 2 2 2 2 2 44 2" xfId="41064"/>
    <cellStyle name="Title 2 2 2 2 2 2 2 2 2 45" xfId="41065"/>
    <cellStyle name="Title 2 2 2 2 2 2 2 2 2 45 2" xfId="41066"/>
    <cellStyle name="Title 2 2 2 2 2 2 2 2 2 46" xfId="41067"/>
    <cellStyle name="Title 2 2 2 2 2 2 2 2 2 46 2" xfId="41068"/>
    <cellStyle name="Title 2 2 2 2 2 2 2 2 2 47" xfId="41069"/>
    <cellStyle name="Title 2 2 2 2 2 2 2 2 2 47 2" xfId="41070"/>
    <cellStyle name="Title 2 2 2 2 2 2 2 2 2 48" xfId="41071"/>
    <cellStyle name="Title 2 2 2 2 2 2 2 2 2 48 2" xfId="41072"/>
    <cellStyle name="Title 2 2 2 2 2 2 2 2 2 49" xfId="41073"/>
    <cellStyle name="Title 2 2 2 2 2 2 2 2 2 49 2" xfId="41074"/>
    <cellStyle name="Title 2 2 2 2 2 2 2 2 2 5" xfId="41075"/>
    <cellStyle name="Title 2 2 2 2 2 2 2 2 2 5 2" xfId="41076"/>
    <cellStyle name="Title 2 2 2 2 2 2 2 2 2 50" xfId="41077"/>
    <cellStyle name="Title 2 2 2 2 2 2 2 2 2 50 2" xfId="41078"/>
    <cellStyle name="Title 2 2 2 2 2 2 2 2 2 51" xfId="41079"/>
    <cellStyle name="Title 2 2 2 2 2 2 2 2 2 51 2" xfId="41080"/>
    <cellStyle name="Title 2 2 2 2 2 2 2 2 2 52" xfId="41081"/>
    <cellStyle name="Title 2 2 2 2 2 2 2 2 2 52 2" xfId="41082"/>
    <cellStyle name="Title 2 2 2 2 2 2 2 2 2 53" xfId="41083"/>
    <cellStyle name="Title 2 2 2 2 2 2 2 2 2 53 2" xfId="41084"/>
    <cellStyle name="Title 2 2 2 2 2 2 2 2 2 54" xfId="41085"/>
    <cellStyle name="Title 2 2 2 2 2 2 2 2 2 54 2" xfId="41086"/>
    <cellStyle name="Title 2 2 2 2 2 2 2 2 2 55" xfId="41087"/>
    <cellStyle name="Title 2 2 2 2 2 2 2 2 2 55 2" xfId="41088"/>
    <cellStyle name="Title 2 2 2 2 2 2 2 2 2 56" xfId="41089"/>
    <cellStyle name="Title 2 2 2 2 2 2 2 2 2 56 2" xfId="41090"/>
    <cellStyle name="Title 2 2 2 2 2 2 2 2 2 57" xfId="41091"/>
    <cellStyle name="Title 2 2 2 2 2 2 2 2 2 57 2" xfId="41092"/>
    <cellStyle name="Title 2 2 2 2 2 2 2 2 2 58" xfId="41093"/>
    <cellStyle name="Title 2 2 2 2 2 2 2 2 2 58 2" xfId="41094"/>
    <cellStyle name="Title 2 2 2 2 2 2 2 2 2 59" xfId="41095"/>
    <cellStyle name="Title 2 2 2 2 2 2 2 2 2 59 2" xfId="41096"/>
    <cellStyle name="Title 2 2 2 2 2 2 2 2 2 6" xfId="41097"/>
    <cellStyle name="Title 2 2 2 2 2 2 2 2 2 6 2" xfId="41098"/>
    <cellStyle name="Title 2 2 2 2 2 2 2 2 2 60" xfId="41099"/>
    <cellStyle name="Title 2 2 2 2 2 2 2 2 2 60 2" xfId="41100"/>
    <cellStyle name="Title 2 2 2 2 2 2 2 2 2 61" xfId="41101"/>
    <cellStyle name="Title 2 2 2 2 2 2 2 2 2 61 2" xfId="41102"/>
    <cellStyle name="Title 2 2 2 2 2 2 2 2 2 62" xfId="41103"/>
    <cellStyle name="Title 2 2 2 2 2 2 2 2 2 62 2" xfId="41104"/>
    <cellStyle name="Title 2 2 2 2 2 2 2 2 2 63" xfId="41105"/>
    <cellStyle name="Title 2 2 2 2 2 2 2 2 2 63 2" xfId="41106"/>
    <cellStyle name="Title 2 2 2 2 2 2 2 2 2 64" xfId="41107"/>
    <cellStyle name="Title 2 2 2 2 2 2 2 2 2 64 2" xfId="41108"/>
    <cellStyle name="Title 2 2 2 2 2 2 2 2 2 65" xfId="41109"/>
    <cellStyle name="Title 2 2 2 2 2 2 2 2 2 65 2" xfId="41110"/>
    <cellStyle name="Title 2 2 2 2 2 2 2 2 2 66" xfId="41111"/>
    <cellStyle name="Title 2 2 2 2 2 2 2 2 2 66 2" xfId="41112"/>
    <cellStyle name="Title 2 2 2 2 2 2 2 2 2 67" xfId="41113"/>
    <cellStyle name="Title 2 2 2 2 2 2 2 2 2 67 2" xfId="41114"/>
    <cellStyle name="Title 2 2 2 2 2 2 2 2 2 68" xfId="41115"/>
    <cellStyle name="Title 2 2 2 2 2 2 2 2 2 68 2" xfId="41116"/>
    <cellStyle name="Title 2 2 2 2 2 2 2 2 2 69" xfId="41117"/>
    <cellStyle name="Title 2 2 2 2 2 2 2 2 2 69 2" xfId="41118"/>
    <cellStyle name="Title 2 2 2 2 2 2 2 2 2 7" xfId="41119"/>
    <cellStyle name="Title 2 2 2 2 2 2 2 2 2 7 2" xfId="41120"/>
    <cellStyle name="Title 2 2 2 2 2 2 2 2 2 70" xfId="41121"/>
    <cellStyle name="Title 2 2 2 2 2 2 2 2 2 70 2" xfId="41122"/>
    <cellStyle name="Title 2 2 2 2 2 2 2 2 2 71" xfId="41123"/>
    <cellStyle name="Title 2 2 2 2 2 2 2 2 2 72" xfId="41124"/>
    <cellStyle name="Title 2 2 2 2 2 2 2 2 2 73" xfId="41125"/>
    <cellStyle name="Title 2 2 2 2 2 2 2 2 2 74" xfId="41126"/>
    <cellStyle name="Title 2 2 2 2 2 2 2 2 2 75" xfId="41127"/>
    <cellStyle name="Title 2 2 2 2 2 2 2 2 2 76" xfId="41128"/>
    <cellStyle name="Title 2 2 2 2 2 2 2 2 2 77" xfId="41129"/>
    <cellStyle name="Title 2 2 2 2 2 2 2 2 2 78" xfId="41130"/>
    <cellStyle name="Title 2 2 2 2 2 2 2 2 2 79" xfId="41131"/>
    <cellStyle name="Title 2 2 2 2 2 2 2 2 2 8" xfId="41132"/>
    <cellStyle name="Title 2 2 2 2 2 2 2 2 2 8 2" xfId="41133"/>
    <cellStyle name="Title 2 2 2 2 2 2 2 2 2 80" xfId="41134"/>
    <cellStyle name="Title 2 2 2 2 2 2 2 2 2 81" xfId="41135"/>
    <cellStyle name="Title 2 2 2 2 2 2 2 2 2 82" xfId="41136"/>
    <cellStyle name="Title 2 2 2 2 2 2 2 2 2 83" xfId="41137"/>
    <cellStyle name="Title 2 2 2 2 2 2 2 2 2 84" xfId="41138"/>
    <cellStyle name="Title 2 2 2 2 2 2 2 2 2 85" xfId="41139"/>
    <cellStyle name="Title 2 2 2 2 2 2 2 2 2 86" xfId="41140"/>
    <cellStyle name="Title 2 2 2 2 2 2 2 2 2 87" xfId="41141"/>
    <cellStyle name="Title 2 2 2 2 2 2 2 2 2 88" xfId="41142"/>
    <cellStyle name="Title 2 2 2 2 2 2 2 2 2 89" xfId="41143"/>
    <cellStyle name="Title 2 2 2 2 2 2 2 2 2 9" xfId="41144"/>
    <cellStyle name="Title 2 2 2 2 2 2 2 2 2 9 2" xfId="41145"/>
    <cellStyle name="Title 2 2 2 2 2 2 2 2 2 90" xfId="41146"/>
    <cellStyle name="Title 2 2 2 2 2 2 2 2 2 91" xfId="41147"/>
    <cellStyle name="Title 2 2 2 2 2 2 2 2 2 92" xfId="41148"/>
    <cellStyle name="Title 2 2 2 2 2 2 2 2 2 93" xfId="41149"/>
    <cellStyle name="Title 2 2 2 2 2 2 2 2 2 94" xfId="41150"/>
    <cellStyle name="Title 2 2 2 2 2 2 2 2 2 95" xfId="41151"/>
    <cellStyle name="Title 2 2 2 2 2 2 2 2 2 96" xfId="41152"/>
    <cellStyle name="Title 2 2 2 2 2 2 2 2 2 97" xfId="41153"/>
    <cellStyle name="Title 2 2 2 2 2 2 2 2 2 98" xfId="41154"/>
    <cellStyle name="Title 2 2 2 2 2 2 2 2 2 99" xfId="41155"/>
    <cellStyle name="Title 2 2 2 2 2 2 2 2 20" xfId="41156"/>
    <cellStyle name="Title 2 2 2 2 2 2 2 2 20 2" xfId="41157"/>
    <cellStyle name="Title 2 2 2 2 2 2 2 2 21" xfId="41158"/>
    <cellStyle name="Title 2 2 2 2 2 2 2 2 21 2" xfId="41159"/>
    <cellStyle name="Title 2 2 2 2 2 2 2 2 22" xfId="41160"/>
    <cellStyle name="Title 2 2 2 2 2 2 2 2 22 2" xfId="41161"/>
    <cellStyle name="Title 2 2 2 2 2 2 2 2 23" xfId="41162"/>
    <cellStyle name="Title 2 2 2 2 2 2 2 2 23 2" xfId="41163"/>
    <cellStyle name="Title 2 2 2 2 2 2 2 2 24" xfId="41164"/>
    <cellStyle name="Title 2 2 2 2 2 2 2 2 24 2" xfId="41165"/>
    <cellStyle name="Title 2 2 2 2 2 2 2 2 25" xfId="41166"/>
    <cellStyle name="Title 2 2 2 2 2 2 2 2 25 2" xfId="41167"/>
    <cellStyle name="Title 2 2 2 2 2 2 2 2 26" xfId="41168"/>
    <cellStyle name="Title 2 2 2 2 2 2 2 2 26 2" xfId="41169"/>
    <cellStyle name="Title 2 2 2 2 2 2 2 2 27" xfId="41170"/>
    <cellStyle name="Title 2 2 2 2 2 2 2 2 27 2" xfId="41171"/>
    <cellStyle name="Title 2 2 2 2 2 2 2 2 28" xfId="41172"/>
    <cellStyle name="Title 2 2 2 2 2 2 2 2 28 2" xfId="41173"/>
    <cellStyle name="Title 2 2 2 2 2 2 2 2 29" xfId="41174"/>
    <cellStyle name="Title 2 2 2 2 2 2 2 2 29 2" xfId="41175"/>
    <cellStyle name="Title 2 2 2 2 2 2 2 2 3" xfId="41176"/>
    <cellStyle name="Title 2 2 2 2 2 2 2 2 3 2" xfId="41177"/>
    <cellStyle name="Title 2 2 2 2 2 2 2 2 30" xfId="41178"/>
    <cellStyle name="Title 2 2 2 2 2 2 2 2 30 2" xfId="41179"/>
    <cellStyle name="Title 2 2 2 2 2 2 2 2 31" xfId="41180"/>
    <cellStyle name="Title 2 2 2 2 2 2 2 2 31 2" xfId="41181"/>
    <cellStyle name="Title 2 2 2 2 2 2 2 2 32" xfId="41182"/>
    <cellStyle name="Title 2 2 2 2 2 2 2 2 32 2" xfId="41183"/>
    <cellStyle name="Title 2 2 2 2 2 2 2 2 33" xfId="41184"/>
    <cellStyle name="Title 2 2 2 2 2 2 2 2 33 2" xfId="41185"/>
    <cellStyle name="Title 2 2 2 2 2 2 2 2 34" xfId="41186"/>
    <cellStyle name="Title 2 2 2 2 2 2 2 2 34 2" xfId="41187"/>
    <cellStyle name="Title 2 2 2 2 2 2 2 2 35" xfId="41188"/>
    <cellStyle name="Title 2 2 2 2 2 2 2 2 35 2" xfId="41189"/>
    <cellStyle name="Title 2 2 2 2 2 2 2 2 36" xfId="41190"/>
    <cellStyle name="Title 2 2 2 2 2 2 2 2 36 2" xfId="41191"/>
    <cellStyle name="Title 2 2 2 2 2 2 2 2 37" xfId="41192"/>
    <cellStyle name="Title 2 2 2 2 2 2 2 2 37 2" xfId="41193"/>
    <cellStyle name="Title 2 2 2 2 2 2 2 2 38" xfId="41194"/>
    <cellStyle name="Title 2 2 2 2 2 2 2 2 38 2" xfId="41195"/>
    <cellStyle name="Title 2 2 2 2 2 2 2 2 39" xfId="41196"/>
    <cellStyle name="Title 2 2 2 2 2 2 2 2 39 2" xfId="41197"/>
    <cellStyle name="Title 2 2 2 2 2 2 2 2 4" xfId="41198"/>
    <cellStyle name="Title 2 2 2 2 2 2 2 2 4 10" xfId="41199"/>
    <cellStyle name="Title 2 2 2 2 2 2 2 2 4 10 2" xfId="41200"/>
    <cellStyle name="Title 2 2 2 2 2 2 2 2 4 11" xfId="41201"/>
    <cellStyle name="Title 2 2 2 2 2 2 2 2 4 11 2" xfId="41202"/>
    <cellStyle name="Title 2 2 2 2 2 2 2 2 4 12" xfId="41203"/>
    <cellStyle name="Title 2 2 2 2 2 2 2 2 4 12 2" xfId="41204"/>
    <cellStyle name="Title 2 2 2 2 2 2 2 2 4 13" xfId="41205"/>
    <cellStyle name="Title 2 2 2 2 2 2 2 2 4 13 2" xfId="41206"/>
    <cellStyle name="Title 2 2 2 2 2 2 2 2 4 14" xfId="41207"/>
    <cellStyle name="Title 2 2 2 2 2 2 2 2 4 14 2" xfId="41208"/>
    <cellStyle name="Title 2 2 2 2 2 2 2 2 4 15" xfId="41209"/>
    <cellStyle name="Title 2 2 2 2 2 2 2 2 4 15 2" xfId="41210"/>
    <cellStyle name="Title 2 2 2 2 2 2 2 2 4 16" xfId="41211"/>
    <cellStyle name="Title 2 2 2 2 2 2 2 2 4 16 2" xfId="41212"/>
    <cellStyle name="Title 2 2 2 2 2 2 2 2 4 17" xfId="41213"/>
    <cellStyle name="Title 2 2 2 2 2 2 2 2 4 17 2" xfId="41214"/>
    <cellStyle name="Title 2 2 2 2 2 2 2 2 4 18" xfId="41215"/>
    <cellStyle name="Title 2 2 2 2 2 2 2 2 4 18 2" xfId="41216"/>
    <cellStyle name="Title 2 2 2 2 2 2 2 2 4 19" xfId="41217"/>
    <cellStyle name="Title 2 2 2 2 2 2 2 2 4 19 2" xfId="41218"/>
    <cellStyle name="Title 2 2 2 2 2 2 2 2 4 2" xfId="41219"/>
    <cellStyle name="Title 2 2 2 2 2 2 2 2 4 2 10" xfId="41220"/>
    <cellStyle name="Title 2 2 2 2 2 2 2 2 4 2 11" xfId="41221"/>
    <cellStyle name="Title 2 2 2 2 2 2 2 2 4 2 12" xfId="41222"/>
    <cellStyle name="Title 2 2 2 2 2 2 2 2 4 2 13" xfId="41223"/>
    <cellStyle name="Title 2 2 2 2 2 2 2 2 4 2 14" xfId="41224"/>
    <cellStyle name="Title 2 2 2 2 2 2 2 2 4 2 15" xfId="41225"/>
    <cellStyle name="Title 2 2 2 2 2 2 2 2 4 2 16" xfId="41226"/>
    <cellStyle name="Title 2 2 2 2 2 2 2 2 4 2 17" xfId="41227"/>
    <cellStyle name="Title 2 2 2 2 2 2 2 2 4 2 18" xfId="41228"/>
    <cellStyle name="Title 2 2 2 2 2 2 2 2 4 2 19" xfId="41229"/>
    <cellStyle name="Title 2 2 2 2 2 2 2 2 4 2 2" xfId="41230"/>
    <cellStyle name="Title 2 2 2 2 2 2 2 2 4 2 2 10" xfId="41231"/>
    <cellStyle name="Title 2 2 2 2 2 2 2 2 4 2 2 11" xfId="41232"/>
    <cellStyle name="Title 2 2 2 2 2 2 2 2 4 2 2 12" xfId="41233"/>
    <cellStyle name="Title 2 2 2 2 2 2 2 2 4 2 2 13" xfId="41234"/>
    <cellStyle name="Title 2 2 2 2 2 2 2 2 4 2 2 14" xfId="41235"/>
    <cellStyle name="Title 2 2 2 2 2 2 2 2 4 2 2 15" xfId="41236"/>
    <cellStyle name="Title 2 2 2 2 2 2 2 2 4 2 2 16" xfId="41237"/>
    <cellStyle name="Title 2 2 2 2 2 2 2 2 4 2 2 17" xfId="41238"/>
    <cellStyle name="Title 2 2 2 2 2 2 2 2 4 2 2 18" xfId="41239"/>
    <cellStyle name="Title 2 2 2 2 2 2 2 2 4 2 2 19" xfId="41240"/>
    <cellStyle name="Title 2 2 2 2 2 2 2 2 4 2 2 2" xfId="41241"/>
    <cellStyle name="Title 2 2 2 2 2 2 2 2 4 2 2 2 2" xfId="41242"/>
    <cellStyle name="Title 2 2 2 2 2 2 2 2 4 2 2 20" xfId="41243"/>
    <cellStyle name="Title 2 2 2 2 2 2 2 2 4 2 2 21" xfId="41244"/>
    <cellStyle name="Title 2 2 2 2 2 2 2 2 4 2 2 22" xfId="41245"/>
    <cellStyle name="Title 2 2 2 2 2 2 2 2 4 2 2 23" xfId="41246"/>
    <cellStyle name="Title 2 2 2 2 2 2 2 2 4 2 2 24" xfId="41247"/>
    <cellStyle name="Title 2 2 2 2 2 2 2 2 4 2 2 25" xfId="41248"/>
    <cellStyle name="Title 2 2 2 2 2 2 2 2 4 2 2 26" xfId="41249"/>
    <cellStyle name="Title 2 2 2 2 2 2 2 2 4 2 2 27" xfId="41250"/>
    <cellStyle name="Title 2 2 2 2 2 2 2 2 4 2 2 28" xfId="41251"/>
    <cellStyle name="Title 2 2 2 2 2 2 2 2 4 2 2 29" xfId="41252"/>
    <cellStyle name="Title 2 2 2 2 2 2 2 2 4 2 2 3" xfId="41253"/>
    <cellStyle name="Title 2 2 2 2 2 2 2 2 4 2 2 30" xfId="41254"/>
    <cellStyle name="Title 2 2 2 2 2 2 2 2 4 2 2 31" xfId="41255"/>
    <cellStyle name="Title 2 2 2 2 2 2 2 2 4 2 2 32" xfId="41256"/>
    <cellStyle name="Title 2 2 2 2 2 2 2 2 4 2 2 33" xfId="41257"/>
    <cellStyle name="Title 2 2 2 2 2 2 2 2 4 2 2 34" xfId="41258"/>
    <cellStyle name="Title 2 2 2 2 2 2 2 2 4 2 2 35" xfId="41259"/>
    <cellStyle name="Title 2 2 2 2 2 2 2 2 4 2 2 36" xfId="41260"/>
    <cellStyle name="Title 2 2 2 2 2 2 2 2 4 2 2 37" xfId="41261"/>
    <cellStyle name="Title 2 2 2 2 2 2 2 2 4 2 2 38" xfId="41262"/>
    <cellStyle name="Title 2 2 2 2 2 2 2 2 4 2 2 39" xfId="41263"/>
    <cellStyle name="Title 2 2 2 2 2 2 2 2 4 2 2 4" xfId="41264"/>
    <cellStyle name="Title 2 2 2 2 2 2 2 2 4 2 2 40" xfId="41265"/>
    <cellStyle name="Title 2 2 2 2 2 2 2 2 4 2 2 41" xfId="41266"/>
    <cellStyle name="Title 2 2 2 2 2 2 2 2 4 2 2 42" xfId="41267"/>
    <cellStyle name="Title 2 2 2 2 2 2 2 2 4 2 2 43" xfId="41268"/>
    <cellStyle name="Title 2 2 2 2 2 2 2 2 4 2 2 44" xfId="41269"/>
    <cellStyle name="Title 2 2 2 2 2 2 2 2 4 2 2 45" xfId="41270"/>
    <cellStyle name="Title 2 2 2 2 2 2 2 2 4 2 2 46" xfId="41271"/>
    <cellStyle name="Title 2 2 2 2 2 2 2 2 4 2 2 47" xfId="41272"/>
    <cellStyle name="Title 2 2 2 2 2 2 2 2 4 2 2 48" xfId="41273"/>
    <cellStyle name="Title 2 2 2 2 2 2 2 2 4 2 2 49" xfId="41274"/>
    <cellStyle name="Title 2 2 2 2 2 2 2 2 4 2 2 5" xfId="41275"/>
    <cellStyle name="Title 2 2 2 2 2 2 2 2 4 2 2 50" xfId="41276"/>
    <cellStyle name="Title 2 2 2 2 2 2 2 2 4 2 2 51" xfId="41277"/>
    <cellStyle name="Title 2 2 2 2 2 2 2 2 4 2 2 52" xfId="41278"/>
    <cellStyle name="Title 2 2 2 2 2 2 2 2 4 2 2 53" xfId="41279"/>
    <cellStyle name="Title 2 2 2 2 2 2 2 2 4 2 2 54" xfId="41280"/>
    <cellStyle name="Title 2 2 2 2 2 2 2 2 4 2 2 55" xfId="41281"/>
    <cellStyle name="Title 2 2 2 2 2 2 2 2 4 2 2 56" xfId="41282"/>
    <cellStyle name="Title 2 2 2 2 2 2 2 2 4 2 2 57" xfId="41283"/>
    <cellStyle name="Title 2 2 2 2 2 2 2 2 4 2 2 58" xfId="41284"/>
    <cellStyle name="Title 2 2 2 2 2 2 2 2 4 2 2 59" xfId="41285"/>
    <cellStyle name="Title 2 2 2 2 2 2 2 2 4 2 2 6" xfId="41286"/>
    <cellStyle name="Title 2 2 2 2 2 2 2 2 4 2 2 60" xfId="41287"/>
    <cellStyle name="Title 2 2 2 2 2 2 2 2 4 2 2 61" xfId="41288"/>
    <cellStyle name="Title 2 2 2 2 2 2 2 2 4 2 2 62" xfId="41289"/>
    <cellStyle name="Title 2 2 2 2 2 2 2 2 4 2 2 63" xfId="41290"/>
    <cellStyle name="Title 2 2 2 2 2 2 2 2 4 2 2 64" xfId="41291"/>
    <cellStyle name="Title 2 2 2 2 2 2 2 2 4 2 2 65" xfId="41292"/>
    <cellStyle name="Title 2 2 2 2 2 2 2 2 4 2 2 66" xfId="41293"/>
    <cellStyle name="Title 2 2 2 2 2 2 2 2 4 2 2 67" xfId="41294"/>
    <cellStyle name="Title 2 2 2 2 2 2 2 2 4 2 2 68" xfId="41295"/>
    <cellStyle name="Title 2 2 2 2 2 2 2 2 4 2 2 69" xfId="41296"/>
    <cellStyle name="Title 2 2 2 2 2 2 2 2 4 2 2 7" xfId="41297"/>
    <cellStyle name="Title 2 2 2 2 2 2 2 2 4 2 2 70" xfId="41298"/>
    <cellStyle name="Title 2 2 2 2 2 2 2 2 4 2 2 71" xfId="41299"/>
    <cellStyle name="Title 2 2 2 2 2 2 2 2 4 2 2 72" xfId="41300"/>
    <cellStyle name="Title 2 2 2 2 2 2 2 2 4 2 2 73" xfId="41301"/>
    <cellStyle name="Title 2 2 2 2 2 2 2 2 4 2 2 74" xfId="41302"/>
    <cellStyle name="Title 2 2 2 2 2 2 2 2 4 2 2 8" xfId="41303"/>
    <cellStyle name="Title 2 2 2 2 2 2 2 2 4 2 2 9" xfId="41304"/>
    <cellStyle name="Title 2 2 2 2 2 2 2 2 4 2 20" xfId="41305"/>
    <cellStyle name="Title 2 2 2 2 2 2 2 2 4 2 21" xfId="41306"/>
    <cellStyle name="Title 2 2 2 2 2 2 2 2 4 2 22" xfId="41307"/>
    <cellStyle name="Title 2 2 2 2 2 2 2 2 4 2 23" xfId="41308"/>
    <cellStyle name="Title 2 2 2 2 2 2 2 2 4 2 24" xfId="41309"/>
    <cellStyle name="Title 2 2 2 2 2 2 2 2 4 2 25" xfId="41310"/>
    <cellStyle name="Title 2 2 2 2 2 2 2 2 4 2 26" xfId="41311"/>
    <cellStyle name="Title 2 2 2 2 2 2 2 2 4 2 27" xfId="41312"/>
    <cellStyle name="Title 2 2 2 2 2 2 2 2 4 2 28" xfId="41313"/>
    <cellStyle name="Title 2 2 2 2 2 2 2 2 4 2 29" xfId="41314"/>
    <cellStyle name="Title 2 2 2 2 2 2 2 2 4 2 3" xfId="41315"/>
    <cellStyle name="Title 2 2 2 2 2 2 2 2 4 2 3 2" xfId="41316"/>
    <cellStyle name="Title 2 2 2 2 2 2 2 2 4 2 30" xfId="41317"/>
    <cellStyle name="Title 2 2 2 2 2 2 2 2 4 2 31" xfId="41318"/>
    <cellStyle name="Title 2 2 2 2 2 2 2 2 4 2 32" xfId="41319"/>
    <cellStyle name="Title 2 2 2 2 2 2 2 2 4 2 33" xfId="41320"/>
    <cellStyle name="Title 2 2 2 2 2 2 2 2 4 2 34" xfId="41321"/>
    <cellStyle name="Title 2 2 2 2 2 2 2 2 4 2 35" xfId="41322"/>
    <cellStyle name="Title 2 2 2 2 2 2 2 2 4 2 36" xfId="41323"/>
    <cellStyle name="Title 2 2 2 2 2 2 2 2 4 2 37" xfId="41324"/>
    <cellStyle name="Title 2 2 2 2 2 2 2 2 4 2 38" xfId="41325"/>
    <cellStyle name="Title 2 2 2 2 2 2 2 2 4 2 39" xfId="41326"/>
    <cellStyle name="Title 2 2 2 2 2 2 2 2 4 2 4" xfId="41327"/>
    <cellStyle name="Title 2 2 2 2 2 2 2 2 4 2 40" xfId="41328"/>
    <cellStyle name="Title 2 2 2 2 2 2 2 2 4 2 41" xfId="41329"/>
    <cellStyle name="Title 2 2 2 2 2 2 2 2 4 2 42" xfId="41330"/>
    <cellStyle name="Title 2 2 2 2 2 2 2 2 4 2 43" xfId="41331"/>
    <cellStyle name="Title 2 2 2 2 2 2 2 2 4 2 44" xfId="41332"/>
    <cellStyle name="Title 2 2 2 2 2 2 2 2 4 2 45" xfId="41333"/>
    <cellStyle name="Title 2 2 2 2 2 2 2 2 4 2 46" xfId="41334"/>
    <cellStyle name="Title 2 2 2 2 2 2 2 2 4 2 47" xfId="41335"/>
    <cellStyle name="Title 2 2 2 2 2 2 2 2 4 2 48" xfId="41336"/>
    <cellStyle name="Title 2 2 2 2 2 2 2 2 4 2 49" xfId="41337"/>
    <cellStyle name="Title 2 2 2 2 2 2 2 2 4 2 5" xfId="41338"/>
    <cellStyle name="Title 2 2 2 2 2 2 2 2 4 2 50" xfId="41339"/>
    <cellStyle name="Title 2 2 2 2 2 2 2 2 4 2 51" xfId="41340"/>
    <cellStyle name="Title 2 2 2 2 2 2 2 2 4 2 52" xfId="41341"/>
    <cellStyle name="Title 2 2 2 2 2 2 2 2 4 2 53" xfId="41342"/>
    <cellStyle name="Title 2 2 2 2 2 2 2 2 4 2 54" xfId="41343"/>
    <cellStyle name="Title 2 2 2 2 2 2 2 2 4 2 55" xfId="41344"/>
    <cellStyle name="Title 2 2 2 2 2 2 2 2 4 2 56" xfId="41345"/>
    <cellStyle name="Title 2 2 2 2 2 2 2 2 4 2 57" xfId="41346"/>
    <cellStyle name="Title 2 2 2 2 2 2 2 2 4 2 58" xfId="41347"/>
    <cellStyle name="Title 2 2 2 2 2 2 2 2 4 2 59" xfId="41348"/>
    <cellStyle name="Title 2 2 2 2 2 2 2 2 4 2 6" xfId="41349"/>
    <cellStyle name="Title 2 2 2 2 2 2 2 2 4 2 60" xfId="41350"/>
    <cellStyle name="Title 2 2 2 2 2 2 2 2 4 2 61" xfId="41351"/>
    <cellStyle name="Title 2 2 2 2 2 2 2 2 4 2 62" xfId="41352"/>
    <cellStyle name="Title 2 2 2 2 2 2 2 2 4 2 63" xfId="41353"/>
    <cellStyle name="Title 2 2 2 2 2 2 2 2 4 2 64" xfId="41354"/>
    <cellStyle name="Title 2 2 2 2 2 2 2 2 4 2 65" xfId="41355"/>
    <cellStyle name="Title 2 2 2 2 2 2 2 2 4 2 66" xfId="41356"/>
    <cellStyle name="Title 2 2 2 2 2 2 2 2 4 2 67" xfId="41357"/>
    <cellStyle name="Title 2 2 2 2 2 2 2 2 4 2 68" xfId="41358"/>
    <cellStyle name="Title 2 2 2 2 2 2 2 2 4 2 69" xfId="41359"/>
    <cellStyle name="Title 2 2 2 2 2 2 2 2 4 2 7" xfId="41360"/>
    <cellStyle name="Title 2 2 2 2 2 2 2 2 4 2 70" xfId="41361"/>
    <cellStyle name="Title 2 2 2 2 2 2 2 2 4 2 71" xfId="41362"/>
    <cellStyle name="Title 2 2 2 2 2 2 2 2 4 2 72" xfId="41363"/>
    <cellStyle name="Title 2 2 2 2 2 2 2 2 4 2 73" xfId="41364"/>
    <cellStyle name="Title 2 2 2 2 2 2 2 2 4 2 74" xfId="41365"/>
    <cellStyle name="Title 2 2 2 2 2 2 2 2 4 2 8" xfId="41366"/>
    <cellStyle name="Title 2 2 2 2 2 2 2 2 4 2 9" xfId="41367"/>
    <cellStyle name="Title 2 2 2 2 2 2 2 2 4 20" xfId="41368"/>
    <cellStyle name="Title 2 2 2 2 2 2 2 2 4 20 2" xfId="41369"/>
    <cellStyle name="Title 2 2 2 2 2 2 2 2 4 21" xfId="41370"/>
    <cellStyle name="Title 2 2 2 2 2 2 2 2 4 21 2" xfId="41371"/>
    <cellStyle name="Title 2 2 2 2 2 2 2 2 4 22" xfId="41372"/>
    <cellStyle name="Title 2 2 2 2 2 2 2 2 4 22 2" xfId="41373"/>
    <cellStyle name="Title 2 2 2 2 2 2 2 2 4 23" xfId="41374"/>
    <cellStyle name="Title 2 2 2 2 2 2 2 2 4 23 2" xfId="41375"/>
    <cellStyle name="Title 2 2 2 2 2 2 2 2 4 24" xfId="41376"/>
    <cellStyle name="Title 2 2 2 2 2 2 2 2 4 24 2" xfId="41377"/>
    <cellStyle name="Title 2 2 2 2 2 2 2 2 4 25" xfId="41378"/>
    <cellStyle name="Title 2 2 2 2 2 2 2 2 4 25 2" xfId="41379"/>
    <cellStyle name="Title 2 2 2 2 2 2 2 2 4 26" xfId="41380"/>
    <cellStyle name="Title 2 2 2 2 2 2 2 2 4 26 2" xfId="41381"/>
    <cellStyle name="Title 2 2 2 2 2 2 2 2 4 27" xfId="41382"/>
    <cellStyle name="Title 2 2 2 2 2 2 2 2 4 27 2" xfId="41383"/>
    <cellStyle name="Title 2 2 2 2 2 2 2 2 4 28" xfId="41384"/>
    <cellStyle name="Title 2 2 2 2 2 2 2 2 4 28 2" xfId="41385"/>
    <cellStyle name="Title 2 2 2 2 2 2 2 2 4 29" xfId="41386"/>
    <cellStyle name="Title 2 2 2 2 2 2 2 2 4 29 2" xfId="41387"/>
    <cellStyle name="Title 2 2 2 2 2 2 2 2 4 3" xfId="41388"/>
    <cellStyle name="Title 2 2 2 2 2 2 2 2 4 3 2" xfId="41389"/>
    <cellStyle name="Title 2 2 2 2 2 2 2 2 4 30" xfId="41390"/>
    <cellStyle name="Title 2 2 2 2 2 2 2 2 4 30 2" xfId="41391"/>
    <cellStyle name="Title 2 2 2 2 2 2 2 2 4 31" xfId="41392"/>
    <cellStyle name="Title 2 2 2 2 2 2 2 2 4 31 2" xfId="41393"/>
    <cellStyle name="Title 2 2 2 2 2 2 2 2 4 32" xfId="41394"/>
    <cellStyle name="Title 2 2 2 2 2 2 2 2 4 32 2" xfId="41395"/>
    <cellStyle name="Title 2 2 2 2 2 2 2 2 4 33" xfId="41396"/>
    <cellStyle name="Title 2 2 2 2 2 2 2 2 4 33 2" xfId="41397"/>
    <cellStyle name="Title 2 2 2 2 2 2 2 2 4 34" xfId="41398"/>
    <cellStyle name="Title 2 2 2 2 2 2 2 2 4 34 2" xfId="41399"/>
    <cellStyle name="Title 2 2 2 2 2 2 2 2 4 35" xfId="41400"/>
    <cellStyle name="Title 2 2 2 2 2 2 2 2 4 35 2" xfId="41401"/>
    <cellStyle name="Title 2 2 2 2 2 2 2 2 4 36" xfId="41402"/>
    <cellStyle name="Title 2 2 2 2 2 2 2 2 4 36 2" xfId="41403"/>
    <cellStyle name="Title 2 2 2 2 2 2 2 2 4 37" xfId="41404"/>
    <cellStyle name="Title 2 2 2 2 2 2 2 2 4 37 2" xfId="41405"/>
    <cellStyle name="Title 2 2 2 2 2 2 2 2 4 38" xfId="41406"/>
    <cellStyle name="Title 2 2 2 2 2 2 2 2 4 38 2" xfId="41407"/>
    <cellStyle name="Title 2 2 2 2 2 2 2 2 4 39" xfId="41408"/>
    <cellStyle name="Title 2 2 2 2 2 2 2 2 4 39 2" xfId="41409"/>
    <cellStyle name="Title 2 2 2 2 2 2 2 2 4 4" xfId="41410"/>
    <cellStyle name="Title 2 2 2 2 2 2 2 2 4 4 2" xfId="41411"/>
    <cellStyle name="Title 2 2 2 2 2 2 2 2 4 40" xfId="41412"/>
    <cellStyle name="Title 2 2 2 2 2 2 2 2 4 40 2" xfId="41413"/>
    <cellStyle name="Title 2 2 2 2 2 2 2 2 4 41" xfId="41414"/>
    <cellStyle name="Title 2 2 2 2 2 2 2 2 4 41 2" xfId="41415"/>
    <cellStyle name="Title 2 2 2 2 2 2 2 2 4 42" xfId="41416"/>
    <cellStyle name="Title 2 2 2 2 2 2 2 2 4 42 2" xfId="41417"/>
    <cellStyle name="Title 2 2 2 2 2 2 2 2 4 43" xfId="41418"/>
    <cellStyle name="Title 2 2 2 2 2 2 2 2 4 43 2" xfId="41419"/>
    <cellStyle name="Title 2 2 2 2 2 2 2 2 4 44" xfId="41420"/>
    <cellStyle name="Title 2 2 2 2 2 2 2 2 4 44 2" xfId="41421"/>
    <cellStyle name="Title 2 2 2 2 2 2 2 2 4 45" xfId="41422"/>
    <cellStyle name="Title 2 2 2 2 2 2 2 2 4 46" xfId="41423"/>
    <cellStyle name="Title 2 2 2 2 2 2 2 2 4 47" xfId="41424"/>
    <cellStyle name="Title 2 2 2 2 2 2 2 2 4 48" xfId="41425"/>
    <cellStyle name="Title 2 2 2 2 2 2 2 2 4 49" xfId="41426"/>
    <cellStyle name="Title 2 2 2 2 2 2 2 2 4 5" xfId="41427"/>
    <cellStyle name="Title 2 2 2 2 2 2 2 2 4 5 2" xfId="41428"/>
    <cellStyle name="Title 2 2 2 2 2 2 2 2 4 50" xfId="41429"/>
    <cellStyle name="Title 2 2 2 2 2 2 2 2 4 51" xfId="41430"/>
    <cellStyle name="Title 2 2 2 2 2 2 2 2 4 52" xfId="41431"/>
    <cellStyle name="Title 2 2 2 2 2 2 2 2 4 53" xfId="41432"/>
    <cellStyle name="Title 2 2 2 2 2 2 2 2 4 54" xfId="41433"/>
    <cellStyle name="Title 2 2 2 2 2 2 2 2 4 55" xfId="41434"/>
    <cellStyle name="Title 2 2 2 2 2 2 2 2 4 56" xfId="41435"/>
    <cellStyle name="Title 2 2 2 2 2 2 2 2 4 57" xfId="41436"/>
    <cellStyle name="Title 2 2 2 2 2 2 2 2 4 58" xfId="41437"/>
    <cellStyle name="Title 2 2 2 2 2 2 2 2 4 59" xfId="41438"/>
    <cellStyle name="Title 2 2 2 2 2 2 2 2 4 6" xfId="41439"/>
    <cellStyle name="Title 2 2 2 2 2 2 2 2 4 6 2" xfId="41440"/>
    <cellStyle name="Title 2 2 2 2 2 2 2 2 4 60" xfId="41441"/>
    <cellStyle name="Title 2 2 2 2 2 2 2 2 4 61" xfId="41442"/>
    <cellStyle name="Title 2 2 2 2 2 2 2 2 4 62" xfId="41443"/>
    <cellStyle name="Title 2 2 2 2 2 2 2 2 4 63" xfId="41444"/>
    <cellStyle name="Title 2 2 2 2 2 2 2 2 4 64" xfId="41445"/>
    <cellStyle name="Title 2 2 2 2 2 2 2 2 4 65" xfId="41446"/>
    <cellStyle name="Title 2 2 2 2 2 2 2 2 4 66" xfId="41447"/>
    <cellStyle name="Title 2 2 2 2 2 2 2 2 4 67" xfId="41448"/>
    <cellStyle name="Title 2 2 2 2 2 2 2 2 4 68" xfId="41449"/>
    <cellStyle name="Title 2 2 2 2 2 2 2 2 4 69" xfId="41450"/>
    <cellStyle name="Title 2 2 2 2 2 2 2 2 4 7" xfId="41451"/>
    <cellStyle name="Title 2 2 2 2 2 2 2 2 4 7 2" xfId="41452"/>
    <cellStyle name="Title 2 2 2 2 2 2 2 2 4 70" xfId="41453"/>
    <cellStyle name="Title 2 2 2 2 2 2 2 2 4 71" xfId="41454"/>
    <cellStyle name="Title 2 2 2 2 2 2 2 2 4 72" xfId="41455"/>
    <cellStyle name="Title 2 2 2 2 2 2 2 2 4 73" xfId="41456"/>
    <cellStyle name="Title 2 2 2 2 2 2 2 2 4 74" xfId="41457"/>
    <cellStyle name="Title 2 2 2 2 2 2 2 2 4 75" xfId="41458"/>
    <cellStyle name="Title 2 2 2 2 2 2 2 2 4 76" xfId="41459"/>
    <cellStyle name="Title 2 2 2 2 2 2 2 2 4 77" xfId="41460"/>
    <cellStyle name="Title 2 2 2 2 2 2 2 2 4 78" xfId="41461"/>
    <cellStyle name="Title 2 2 2 2 2 2 2 2 4 79" xfId="41462"/>
    <cellStyle name="Title 2 2 2 2 2 2 2 2 4 8" xfId="41463"/>
    <cellStyle name="Title 2 2 2 2 2 2 2 2 4 8 2" xfId="41464"/>
    <cellStyle name="Title 2 2 2 2 2 2 2 2 4 80" xfId="41465"/>
    <cellStyle name="Title 2 2 2 2 2 2 2 2 4 81" xfId="41466"/>
    <cellStyle name="Title 2 2 2 2 2 2 2 2 4 82" xfId="41467"/>
    <cellStyle name="Title 2 2 2 2 2 2 2 2 4 83" xfId="41468"/>
    <cellStyle name="Title 2 2 2 2 2 2 2 2 4 84" xfId="41469"/>
    <cellStyle name="Title 2 2 2 2 2 2 2 2 4 9" xfId="41470"/>
    <cellStyle name="Title 2 2 2 2 2 2 2 2 4 9 2" xfId="41471"/>
    <cellStyle name="Title 2 2 2 2 2 2 2 2 40" xfId="41472"/>
    <cellStyle name="Title 2 2 2 2 2 2 2 2 40 2" xfId="41473"/>
    <cellStyle name="Title 2 2 2 2 2 2 2 2 41" xfId="41474"/>
    <cellStyle name="Title 2 2 2 2 2 2 2 2 41 2" xfId="41475"/>
    <cellStyle name="Title 2 2 2 2 2 2 2 2 42" xfId="41476"/>
    <cellStyle name="Title 2 2 2 2 2 2 2 2 42 2" xfId="41477"/>
    <cellStyle name="Title 2 2 2 2 2 2 2 2 43" xfId="41478"/>
    <cellStyle name="Title 2 2 2 2 2 2 2 2 43 2" xfId="41479"/>
    <cellStyle name="Title 2 2 2 2 2 2 2 2 44" xfId="41480"/>
    <cellStyle name="Title 2 2 2 2 2 2 2 2 44 2" xfId="41481"/>
    <cellStyle name="Title 2 2 2 2 2 2 2 2 45" xfId="41482"/>
    <cellStyle name="Title 2 2 2 2 2 2 2 2 45 2" xfId="41483"/>
    <cellStyle name="Title 2 2 2 2 2 2 2 2 46" xfId="41484"/>
    <cellStyle name="Title 2 2 2 2 2 2 2 2 46 2" xfId="41485"/>
    <cellStyle name="Title 2 2 2 2 2 2 2 2 47" xfId="41486"/>
    <cellStyle name="Title 2 2 2 2 2 2 2 2 47 2" xfId="41487"/>
    <cellStyle name="Title 2 2 2 2 2 2 2 2 48" xfId="41488"/>
    <cellStyle name="Title 2 2 2 2 2 2 2 2 48 2" xfId="41489"/>
    <cellStyle name="Title 2 2 2 2 2 2 2 2 49" xfId="41490"/>
    <cellStyle name="Title 2 2 2 2 2 2 2 2 49 2" xfId="41491"/>
    <cellStyle name="Title 2 2 2 2 2 2 2 2 5" xfId="41492"/>
    <cellStyle name="Title 2 2 2 2 2 2 2 2 5 10" xfId="41493"/>
    <cellStyle name="Title 2 2 2 2 2 2 2 2 5 11" xfId="41494"/>
    <cellStyle name="Title 2 2 2 2 2 2 2 2 5 12" xfId="41495"/>
    <cellStyle name="Title 2 2 2 2 2 2 2 2 5 13" xfId="41496"/>
    <cellStyle name="Title 2 2 2 2 2 2 2 2 5 14" xfId="41497"/>
    <cellStyle name="Title 2 2 2 2 2 2 2 2 5 15" xfId="41498"/>
    <cellStyle name="Title 2 2 2 2 2 2 2 2 5 16" xfId="41499"/>
    <cellStyle name="Title 2 2 2 2 2 2 2 2 5 17" xfId="41500"/>
    <cellStyle name="Title 2 2 2 2 2 2 2 2 5 18" xfId="41501"/>
    <cellStyle name="Title 2 2 2 2 2 2 2 2 5 19" xfId="41502"/>
    <cellStyle name="Title 2 2 2 2 2 2 2 2 5 2" xfId="41503"/>
    <cellStyle name="Title 2 2 2 2 2 2 2 2 5 2 10" xfId="41504"/>
    <cellStyle name="Title 2 2 2 2 2 2 2 2 5 2 11" xfId="41505"/>
    <cellStyle name="Title 2 2 2 2 2 2 2 2 5 2 12" xfId="41506"/>
    <cellStyle name="Title 2 2 2 2 2 2 2 2 5 2 13" xfId="41507"/>
    <cellStyle name="Title 2 2 2 2 2 2 2 2 5 2 14" xfId="41508"/>
    <cellStyle name="Title 2 2 2 2 2 2 2 2 5 2 15" xfId="41509"/>
    <cellStyle name="Title 2 2 2 2 2 2 2 2 5 2 16" xfId="41510"/>
    <cellStyle name="Title 2 2 2 2 2 2 2 2 5 2 17" xfId="41511"/>
    <cellStyle name="Title 2 2 2 2 2 2 2 2 5 2 18" xfId="41512"/>
    <cellStyle name="Title 2 2 2 2 2 2 2 2 5 2 19" xfId="41513"/>
    <cellStyle name="Title 2 2 2 2 2 2 2 2 5 2 2" xfId="41514"/>
    <cellStyle name="Title 2 2 2 2 2 2 2 2 5 2 2 2" xfId="41515"/>
    <cellStyle name="Title 2 2 2 2 2 2 2 2 5 2 20" xfId="41516"/>
    <cellStyle name="Title 2 2 2 2 2 2 2 2 5 2 21" xfId="41517"/>
    <cellStyle name="Title 2 2 2 2 2 2 2 2 5 2 22" xfId="41518"/>
    <cellStyle name="Title 2 2 2 2 2 2 2 2 5 2 23" xfId="41519"/>
    <cellStyle name="Title 2 2 2 2 2 2 2 2 5 2 24" xfId="41520"/>
    <cellStyle name="Title 2 2 2 2 2 2 2 2 5 2 25" xfId="41521"/>
    <cellStyle name="Title 2 2 2 2 2 2 2 2 5 2 26" xfId="41522"/>
    <cellStyle name="Title 2 2 2 2 2 2 2 2 5 2 27" xfId="41523"/>
    <cellStyle name="Title 2 2 2 2 2 2 2 2 5 2 28" xfId="41524"/>
    <cellStyle name="Title 2 2 2 2 2 2 2 2 5 2 29" xfId="41525"/>
    <cellStyle name="Title 2 2 2 2 2 2 2 2 5 2 3" xfId="41526"/>
    <cellStyle name="Title 2 2 2 2 2 2 2 2 5 2 30" xfId="41527"/>
    <cellStyle name="Title 2 2 2 2 2 2 2 2 5 2 31" xfId="41528"/>
    <cellStyle name="Title 2 2 2 2 2 2 2 2 5 2 32" xfId="41529"/>
    <cellStyle name="Title 2 2 2 2 2 2 2 2 5 2 33" xfId="41530"/>
    <cellStyle name="Title 2 2 2 2 2 2 2 2 5 2 34" xfId="41531"/>
    <cellStyle name="Title 2 2 2 2 2 2 2 2 5 2 35" xfId="41532"/>
    <cellStyle name="Title 2 2 2 2 2 2 2 2 5 2 36" xfId="41533"/>
    <cellStyle name="Title 2 2 2 2 2 2 2 2 5 2 37" xfId="41534"/>
    <cellStyle name="Title 2 2 2 2 2 2 2 2 5 2 38" xfId="41535"/>
    <cellStyle name="Title 2 2 2 2 2 2 2 2 5 2 39" xfId="41536"/>
    <cellStyle name="Title 2 2 2 2 2 2 2 2 5 2 4" xfId="41537"/>
    <cellStyle name="Title 2 2 2 2 2 2 2 2 5 2 40" xfId="41538"/>
    <cellStyle name="Title 2 2 2 2 2 2 2 2 5 2 41" xfId="41539"/>
    <cellStyle name="Title 2 2 2 2 2 2 2 2 5 2 42" xfId="41540"/>
    <cellStyle name="Title 2 2 2 2 2 2 2 2 5 2 43" xfId="41541"/>
    <cellStyle name="Title 2 2 2 2 2 2 2 2 5 2 44" xfId="41542"/>
    <cellStyle name="Title 2 2 2 2 2 2 2 2 5 2 45" xfId="41543"/>
    <cellStyle name="Title 2 2 2 2 2 2 2 2 5 2 46" xfId="41544"/>
    <cellStyle name="Title 2 2 2 2 2 2 2 2 5 2 47" xfId="41545"/>
    <cellStyle name="Title 2 2 2 2 2 2 2 2 5 2 48" xfId="41546"/>
    <cellStyle name="Title 2 2 2 2 2 2 2 2 5 2 49" xfId="41547"/>
    <cellStyle name="Title 2 2 2 2 2 2 2 2 5 2 5" xfId="41548"/>
    <cellStyle name="Title 2 2 2 2 2 2 2 2 5 2 50" xfId="41549"/>
    <cellStyle name="Title 2 2 2 2 2 2 2 2 5 2 51" xfId="41550"/>
    <cellStyle name="Title 2 2 2 2 2 2 2 2 5 2 52" xfId="41551"/>
    <cellStyle name="Title 2 2 2 2 2 2 2 2 5 2 53" xfId="41552"/>
    <cellStyle name="Title 2 2 2 2 2 2 2 2 5 2 54" xfId="41553"/>
    <cellStyle name="Title 2 2 2 2 2 2 2 2 5 2 55" xfId="41554"/>
    <cellStyle name="Title 2 2 2 2 2 2 2 2 5 2 56" xfId="41555"/>
    <cellStyle name="Title 2 2 2 2 2 2 2 2 5 2 57" xfId="41556"/>
    <cellStyle name="Title 2 2 2 2 2 2 2 2 5 2 58" xfId="41557"/>
    <cellStyle name="Title 2 2 2 2 2 2 2 2 5 2 59" xfId="41558"/>
    <cellStyle name="Title 2 2 2 2 2 2 2 2 5 2 6" xfId="41559"/>
    <cellStyle name="Title 2 2 2 2 2 2 2 2 5 2 60" xfId="41560"/>
    <cellStyle name="Title 2 2 2 2 2 2 2 2 5 2 61" xfId="41561"/>
    <cellStyle name="Title 2 2 2 2 2 2 2 2 5 2 62" xfId="41562"/>
    <cellStyle name="Title 2 2 2 2 2 2 2 2 5 2 63" xfId="41563"/>
    <cellStyle name="Title 2 2 2 2 2 2 2 2 5 2 64" xfId="41564"/>
    <cellStyle name="Title 2 2 2 2 2 2 2 2 5 2 65" xfId="41565"/>
    <cellStyle name="Title 2 2 2 2 2 2 2 2 5 2 66" xfId="41566"/>
    <cellStyle name="Title 2 2 2 2 2 2 2 2 5 2 67" xfId="41567"/>
    <cellStyle name="Title 2 2 2 2 2 2 2 2 5 2 68" xfId="41568"/>
    <cellStyle name="Title 2 2 2 2 2 2 2 2 5 2 69" xfId="41569"/>
    <cellStyle name="Title 2 2 2 2 2 2 2 2 5 2 7" xfId="41570"/>
    <cellStyle name="Title 2 2 2 2 2 2 2 2 5 2 70" xfId="41571"/>
    <cellStyle name="Title 2 2 2 2 2 2 2 2 5 2 71" xfId="41572"/>
    <cellStyle name="Title 2 2 2 2 2 2 2 2 5 2 72" xfId="41573"/>
    <cellStyle name="Title 2 2 2 2 2 2 2 2 5 2 73" xfId="41574"/>
    <cellStyle name="Title 2 2 2 2 2 2 2 2 5 2 74" xfId="41575"/>
    <cellStyle name="Title 2 2 2 2 2 2 2 2 5 2 8" xfId="41576"/>
    <cellStyle name="Title 2 2 2 2 2 2 2 2 5 2 9" xfId="41577"/>
    <cellStyle name="Title 2 2 2 2 2 2 2 2 5 20" xfId="41578"/>
    <cellStyle name="Title 2 2 2 2 2 2 2 2 5 21" xfId="41579"/>
    <cellStyle name="Title 2 2 2 2 2 2 2 2 5 22" xfId="41580"/>
    <cellStyle name="Title 2 2 2 2 2 2 2 2 5 23" xfId="41581"/>
    <cellStyle name="Title 2 2 2 2 2 2 2 2 5 24" xfId="41582"/>
    <cellStyle name="Title 2 2 2 2 2 2 2 2 5 25" xfId="41583"/>
    <cellStyle name="Title 2 2 2 2 2 2 2 2 5 26" xfId="41584"/>
    <cellStyle name="Title 2 2 2 2 2 2 2 2 5 27" xfId="41585"/>
    <cellStyle name="Title 2 2 2 2 2 2 2 2 5 28" xfId="41586"/>
    <cellStyle name="Title 2 2 2 2 2 2 2 2 5 29" xfId="41587"/>
    <cellStyle name="Title 2 2 2 2 2 2 2 2 5 3" xfId="41588"/>
    <cellStyle name="Title 2 2 2 2 2 2 2 2 5 3 2" xfId="41589"/>
    <cellStyle name="Title 2 2 2 2 2 2 2 2 5 30" xfId="41590"/>
    <cellStyle name="Title 2 2 2 2 2 2 2 2 5 31" xfId="41591"/>
    <cellStyle name="Title 2 2 2 2 2 2 2 2 5 32" xfId="41592"/>
    <cellStyle name="Title 2 2 2 2 2 2 2 2 5 33" xfId="41593"/>
    <cellStyle name="Title 2 2 2 2 2 2 2 2 5 34" xfId="41594"/>
    <cellStyle name="Title 2 2 2 2 2 2 2 2 5 35" xfId="41595"/>
    <cellStyle name="Title 2 2 2 2 2 2 2 2 5 36" xfId="41596"/>
    <cellStyle name="Title 2 2 2 2 2 2 2 2 5 37" xfId="41597"/>
    <cellStyle name="Title 2 2 2 2 2 2 2 2 5 38" xfId="41598"/>
    <cellStyle name="Title 2 2 2 2 2 2 2 2 5 39" xfId="41599"/>
    <cellStyle name="Title 2 2 2 2 2 2 2 2 5 4" xfId="41600"/>
    <cellStyle name="Title 2 2 2 2 2 2 2 2 5 40" xfId="41601"/>
    <cellStyle name="Title 2 2 2 2 2 2 2 2 5 41" xfId="41602"/>
    <cellStyle name="Title 2 2 2 2 2 2 2 2 5 42" xfId="41603"/>
    <cellStyle name="Title 2 2 2 2 2 2 2 2 5 43" xfId="41604"/>
    <cellStyle name="Title 2 2 2 2 2 2 2 2 5 44" xfId="41605"/>
    <cellStyle name="Title 2 2 2 2 2 2 2 2 5 45" xfId="41606"/>
    <cellStyle name="Title 2 2 2 2 2 2 2 2 5 46" xfId="41607"/>
    <cellStyle name="Title 2 2 2 2 2 2 2 2 5 47" xfId="41608"/>
    <cellStyle name="Title 2 2 2 2 2 2 2 2 5 48" xfId="41609"/>
    <cellStyle name="Title 2 2 2 2 2 2 2 2 5 49" xfId="41610"/>
    <cellStyle name="Title 2 2 2 2 2 2 2 2 5 5" xfId="41611"/>
    <cellStyle name="Title 2 2 2 2 2 2 2 2 5 50" xfId="41612"/>
    <cellStyle name="Title 2 2 2 2 2 2 2 2 5 51" xfId="41613"/>
    <cellStyle name="Title 2 2 2 2 2 2 2 2 5 52" xfId="41614"/>
    <cellStyle name="Title 2 2 2 2 2 2 2 2 5 53" xfId="41615"/>
    <cellStyle name="Title 2 2 2 2 2 2 2 2 5 54" xfId="41616"/>
    <cellStyle name="Title 2 2 2 2 2 2 2 2 5 55" xfId="41617"/>
    <cellStyle name="Title 2 2 2 2 2 2 2 2 5 56" xfId="41618"/>
    <cellStyle name="Title 2 2 2 2 2 2 2 2 5 57" xfId="41619"/>
    <cellStyle name="Title 2 2 2 2 2 2 2 2 5 58" xfId="41620"/>
    <cellStyle name="Title 2 2 2 2 2 2 2 2 5 59" xfId="41621"/>
    <cellStyle name="Title 2 2 2 2 2 2 2 2 5 6" xfId="41622"/>
    <cellStyle name="Title 2 2 2 2 2 2 2 2 5 60" xfId="41623"/>
    <cellStyle name="Title 2 2 2 2 2 2 2 2 5 61" xfId="41624"/>
    <cellStyle name="Title 2 2 2 2 2 2 2 2 5 62" xfId="41625"/>
    <cellStyle name="Title 2 2 2 2 2 2 2 2 5 63" xfId="41626"/>
    <cellStyle name="Title 2 2 2 2 2 2 2 2 5 64" xfId="41627"/>
    <cellStyle name="Title 2 2 2 2 2 2 2 2 5 65" xfId="41628"/>
    <cellStyle name="Title 2 2 2 2 2 2 2 2 5 66" xfId="41629"/>
    <cellStyle name="Title 2 2 2 2 2 2 2 2 5 67" xfId="41630"/>
    <cellStyle name="Title 2 2 2 2 2 2 2 2 5 68" xfId="41631"/>
    <cellStyle name="Title 2 2 2 2 2 2 2 2 5 69" xfId="41632"/>
    <cellStyle name="Title 2 2 2 2 2 2 2 2 5 7" xfId="41633"/>
    <cellStyle name="Title 2 2 2 2 2 2 2 2 5 70" xfId="41634"/>
    <cellStyle name="Title 2 2 2 2 2 2 2 2 5 71" xfId="41635"/>
    <cellStyle name="Title 2 2 2 2 2 2 2 2 5 72" xfId="41636"/>
    <cellStyle name="Title 2 2 2 2 2 2 2 2 5 73" xfId="41637"/>
    <cellStyle name="Title 2 2 2 2 2 2 2 2 5 74" xfId="41638"/>
    <cellStyle name="Title 2 2 2 2 2 2 2 2 5 8" xfId="41639"/>
    <cellStyle name="Title 2 2 2 2 2 2 2 2 5 9" xfId="41640"/>
    <cellStyle name="Title 2 2 2 2 2 2 2 2 50" xfId="41641"/>
    <cellStyle name="Title 2 2 2 2 2 2 2 2 50 2" xfId="41642"/>
    <cellStyle name="Title 2 2 2 2 2 2 2 2 51" xfId="41643"/>
    <cellStyle name="Title 2 2 2 2 2 2 2 2 51 2" xfId="41644"/>
    <cellStyle name="Title 2 2 2 2 2 2 2 2 52" xfId="41645"/>
    <cellStyle name="Title 2 2 2 2 2 2 2 2 52 2" xfId="41646"/>
    <cellStyle name="Title 2 2 2 2 2 2 2 2 53" xfId="41647"/>
    <cellStyle name="Title 2 2 2 2 2 2 2 2 53 2" xfId="41648"/>
    <cellStyle name="Title 2 2 2 2 2 2 2 2 54" xfId="41649"/>
    <cellStyle name="Title 2 2 2 2 2 2 2 2 54 2" xfId="41650"/>
    <cellStyle name="Title 2 2 2 2 2 2 2 2 55" xfId="41651"/>
    <cellStyle name="Title 2 2 2 2 2 2 2 2 55 2" xfId="41652"/>
    <cellStyle name="Title 2 2 2 2 2 2 2 2 56" xfId="41653"/>
    <cellStyle name="Title 2 2 2 2 2 2 2 2 56 2" xfId="41654"/>
    <cellStyle name="Title 2 2 2 2 2 2 2 2 57" xfId="41655"/>
    <cellStyle name="Title 2 2 2 2 2 2 2 2 57 2" xfId="41656"/>
    <cellStyle name="Title 2 2 2 2 2 2 2 2 58" xfId="41657"/>
    <cellStyle name="Title 2 2 2 2 2 2 2 2 58 2" xfId="41658"/>
    <cellStyle name="Title 2 2 2 2 2 2 2 2 59" xfId="41659"/>
    <cellStyle name="Title 2 2 2 2 2 2 2 2 59 2" xfId="41660"/>
    <cellStyle name="Title 2 2 2 2 2 2 2 2 6" xfId="41661"/>
    <cellStyle name="Title 2 2 2 2 2 2 2 2 6 2" xfId="41662"/>
    <cellStyle name="Title 2 2 2 2 2 2 2 2 60" xfId="41663"/>
    <cellStyle name="Title 2 2 2 2 2 2 2 2 60 2" xfId="41664"/>
    <cellStyle name="Title 2 2 2 2 2 2 2 2 61" xfId="41665"/>
    <cellStyle name="Title 2 2 2 2 2 2 2 2 61 2" xfId="41666"/>
    <cellStyle name="Title 2 2 2 2 2 2 2 2 62" xfId="41667"/>
    <cellStyle name="Title 2 2 2 2 2 2 2 2 62 2" xfId="41668"/>
    <cellStyle name="Title 2 2 2 2 2 2 2 2 63" xfId="41669"/>
    <cellStyle name="Title 2 2 2 2 2 2 2 2 63 2" xfId="41670"/>
    <cellStyle name="Title 2 2 2 2 2 2 2 2 64" xfId="41671"/>
    <cellStyle name="Title 2 2 2 2 2 2 2 2 64 2" xfId="41672"/>
    <cellStyle name="Title 2 2 2 2 2 2 2 2 65" xfId="41673"/>
    <cellStyle name="Title 2 2 2 2 2 2 2 2 65 2" xfId="41674"/>
    <cellStyle name="Title 2 2 2 2 2 2 2 2 66" xfId="41675"/>
    <cellStyle name="Title 2 2 2 2 2 2 2 2 66 2" xfId="41676"/>
    <cellStyle name="Title 2 2 2 2 2 2 2 2 67" xfId="41677"/>
    <cellStyle name="Title 2 2 2 2 2 2 2 2 67 2" xfId="41678"/>
    <cellStyle name="Title 2 2 2 2 2 2 2 2 68" xfId="41679"/>
    <cellStyle name="Title 2 2 2 2 2 2 2 2 68 2" xfId="41680"/>
    <cellStyle name="Title 2 2 2 2 2 2 2 2 69" xfId="41681"/>
    <cellStyle name="Title 2 2 2 2 2 2 2 2 69 2" xfId="41682"/>
    <cellStyle name="Title 2 2 2 2 2 2 2 2 7" xfId="41683"/>
    <cellStyle name="Title 2 2 2 2 2 2 2 2 7 2" xfId="41684"/>
    <cellStyle name="Title 2 2 2 2 2 2 2 2 70" xfId="41685"/>
    <cellStyle name="Title 2 2 2 2 2 2 2 2 70 2" xfId="41686"/>
    <cellStyle name="Title 2 2 2 2 2 2 2 2 71" xfId="41687"/>
    <cellStyle name="Title 2 2 2 2 2 2 2 2 71 2" xfId="41688"/>
    <cellStyle name="Title 2 2 2 2 2 2 2 2 72" xfId="41689"/>
    <cellStyle name="Title 2 2 2 2 2 2 2 2 73" xfId="41690"/>
    <cellStyle name="Title 2 2 2 2 2 2 2 2 74" xfId="41691"/>
    <cellStyle name="Title 2 2 2 2 2 2 2 2 75" xfId="41692"/>
    <cellStyle name="Title 2 2 2 2 2 2 2 2 76" xfId="41693"/>
    <cellStyle name="Title 2 2 2 2 2 2 2 2 77" xfId="41694"/>
    <cellStyle name="Title 2 2 2 2 2 2 2 2 78" xfId="41695"/>
    <cellStyle name="Title 2 2 2 2 2 2 2 2 79" xfId="41696"/>
    <cellStyle name="Title 2 2 2 2 2 2 2 2 8" xfId="41697"/>
    <cellStyle name="Title 2 2 2 2 2 2 2 2 8 2" xfId="41698"/>
    <cellStyle name="Title 2 2 2 2 2 2 2 2 80" xfId="41699"/>
    <cellStyle name="Title 2 2 2 2 2 2 2 2 81" xfId="41700"/>
    <cellStyle name="Title 2 2 2 2 2 2 2 2 82" xfId="41701"/>
    <cellStyle name="Title 2 2 2 2 2 2 2 2 83" xfId="41702"/>
    <cellStyle name="Title 2 2 2 2 2 2 2 2 84" xfId="41703"/>
    <cellStyle name="Title 2 2 2 2 2 2 2 2 85" xfId="41704"/>
    <cellStyle name="Title 2 2 2 2 2 2 2 2 86" xfId="41705"/>
    <cellStyle name="Title 2 2 2 2 2 2 2 2 87" xfId="41706"/>
    <cellStyle name="Title 2 2 2 2 2 2 2 2 88" xfId="41707"/>
    <cellStyle name="Title 2 2 2 2 2 2 2 2 89" xfId="41708"/>
    <cellStyle name="Title 2 2 2 2 2 2 2 2 9" xfId="41709"/>
    <cellStyle name="Title 2 2 2 2 2 2 2 2 9 2" xfId="41710"/>
    <cellStyle name="Title 2 2 2 2 2 2 2 2 90" xfId="41711"/>
    <cellStyle name="Title 2 2 2 2 2 2 2 2 91" xfId="41712"/>
    <cellStyle name="Title 2 2 2 2 2 2 2 2 92" xfId="41713"/>
    <cellStyle name="Title 2 2 2 2 2 2 2 2 93" xfId="41714"/>
    <cellStyle name="Title 2 2 2 2 2 2 2 2 94" xfId="41715"/>
    <cellStyle name="Title 2 2 2 2 2 2 2 2 95" xfId="41716"/>
    <cellStyle name="Title 2 2 2 2 2 2 2 2 96" xfId="41717"/>
    <cellStyle name="Title 2 2 2 2 2 2 2 2 97" xfId="41718"/>
    <cellStyle name="Title 2 2 2 2 2 2 2 2 98" xfId="41719"/>
    <cellStyle name="Title 2 2 2 2 2 2 2 2 99" xfId="41720"/>
    <cellStyle name="Title 2 2 2 2 2 2 2 20" xfId="41721"/>
    <cellStyle name="Title 2 2 2 2 2 2 2 20 2" xfId="41722"/>
    <cellStyle name="Title 2 2 2 2 2 2 2 21" xfId="41723"/>
    <cellStyle name="Title 2 2 2 2 2 2 2 21 2" xfId="41724"/>
    <cellStyle name="Title 2 2 2 2 2 2 2 22" xfId="41725"/>
    <cellStyle name="Title 2 2 2 2 2 2 2 22 2" xfId="41726"/>
    <cellStyle name="Title 2 2 2 2 2 2 2 23" xfId="41727"/>
    <cellStyle name="Title 2 2 2 2 2 2 2 23 2" xfId="41728"/>
    <cellStyle name="Title 2 2 2 2 2 2 2 24" xfId="41729"/>
    <cellStyle name="Title 2 2 2 2 2 2 2 24 2" xfId="41730"/>
    <cellStyle name="Title 2 2 2 2 2 2 2 25" xfId="41731"/>
    <cellStyle name="Title 2 2 2 2 2 2 2 25 2" xfId="41732"/>
    <cellStyle name="Title 2 2 2 2 2 2 2 26" xfId="41733"/>
    <cellStyle name="Title 2 2 2 2 2 2 2 26 2" xfId="41734"/>
    <cellStyle name="Title 2 2 2 2 2 2 2 27" xfId="41735"/>
    <cellStyle name="Title 2 2 2 2 2 2 2 27 2" xfId="41736"/>
    <cellStyle name="Title 2 2 2 2 2 2 2 28" xfId="41737"/>
    <cellStyle name="Title 2 2 2 2 2 2 2 28 2" xfId="41738"/>
    <cellStyle name="Title 2 2 2 2 2 2 2 29" xfId="41739"/>
    <cellStyle name="Title 2 2 2 2 2 2 2 29 10" xfId="41740"/>
    <cellStyle name="Title 2 2 2 2 2 2 2 29 11" xfId="41741"/>
    <cellStyle name="Title 2 2 2 2 2 2 2 29 12" xfId="41742"/>
    <cellStyle name="Title 2 2 2 2 2 2 2 29 13" xfId="41743"/>
    <cellStyle name="Title 2 2 2 2 2 2 2 29 14" xfId="41744"/>
    <cellStyle name="Title 2 2 2 2 2 2 2 29 15" xfId="41745"/>
    <cellStyle name="Title 2 2 2 2 2 2 2 29 16" xfId="41746"/>
    <cellStyle name="Title 2 2 2 2 2 2 2 29 17" xfId="41747"/>
    <cellStyle name="Title 2 2 2 2 2 2 2 29 18" xfId="41748"/>
    <cellStyle name="Title 2 2 2 2 2 2 2 29 19" xfId="41749"/>
    <cellStyle name="Title 2 2 2 2 2 2 2 29 2" xfId="41750"/>
    <cellStyle name="Title 2 2 2 2 2 2 2 29 2 10" xfId="41751"/>
    <cellStyle name="Title 2 2 2 2 2 2 2 29 2 11" xfId="41752"/>
    <cellStyle name="Title 2 2 2 2 2 2 2 29 2 12" xfId="41753"/>
    <cellStyle name="Title 2 2 2 2 2 2 2 29 2 13" xfId="41754"/>
    <cellStyle name="Title 2 2 2 2 2 2 2 29 2 14" xfId="41755"/>
    <cellStyle name="Title 2 2 2 2 2 2 2 29 2 15" xfId="41756"/>
    <cellStyle name="Title 2 2 2 2 2 2 2 29 2 16" xfId="41757"/>
    <cellStyle name="Title 2 2 2 2 2 2 2 29 2 17" xfId="41758"/>
    <cellStyle name="Title 2 2 2 2 2 2 2 29 2 18" xfId="41759"/>
    <cellStyle name="Title 2 2 2 2 2 2 2 29 2 19" xfId="41760"/>
    <cellStyle name="Title 2 2 2 2 2 2 2 29 2 2" xfId="41761"/>
    <cellStyle name="Title 2 2 2 2 2 2 2 29 2 2 2" xfId="41762"/>
    <cellStyle name="Title 2 2 2 2 2 2 2 29 2 20" xfId="41763"/>
    <cellStyle name="Title 2 2 2 2 2 2 2 29 2 21" xfId="41764"/>
    <cellStyle name="Title 2 2 2 2 2 2 2 29 2 22" xfId="41765"/>
    <cellStyle name="Title 2 2 2 2 2 2 2 29 2 23" xfId="41766"/>
    <cellStyle name="Title 2 2 2 2 2 2 2 29 2 24" xfId="41767"/>
    <cellStyle name="Title 2 2 2 2 2 2 2 29 2 25" xfId="41768"/>
    <cellStyle name="Title 2 2 2 2 2 2 2 29 2 26" xfId="41769"/>
    <cellStyle name="Title 2 2 2 2 2 2 2 29 2 27" xfId="41770"/>
    <cellStyle name="Title 2 2 2 2 2 2 2 29 2 28" xfId="41771"/>
    <cellStyle name="Title 2 2 2 2 2 2 2 29 2 29" xfId="41772"/>
    <cellStyle name="Title 2 2 2 2 2 2 2 29 2 3" xfId="41773"/>
    <cellStyle name="Title 2 2 2 2 2 2 2 29 2 30" xfId="41774"/>
    <cellStyle name="Title 2 2 2 2 2 2 2 29 2 31" xfId="41775"/>
    <cellStyle name="Title 2 2 2 2 2 2 2 29 2 32" xfId="41776"/>
    <cellStyle name="Title 2 2 2 2 2 2 2 29 2 33" xfId="41777"/>
    <cellStyle name="Title 2 2 2 2 2 2 2 29 2 34" xfId="41778"/>
    <cellStyle name="Title 2 2 2 2 2 2 2 29 2 35" xfId="41779"/>
    <cellStyle name="Title 2 2 2 2 2 2 2 29 2 36" xfId="41780"/>
    <cellStyle name="Title 2 2 2 2 2 2 2 29 2 37" xfId="41781"/>
    <cellStyle name="Title 2 2 2 2 2 2 2 29 2 38" xfId="41782"/>
    <cellStyle name="Title 2 2 2 2 2 2 2 29 2 39" xfId="41783"/>
    <cellStyle name="Title 2 2 2 2 2 2 2 29 2 4" xfId="41784"/>
    <cellStyle name="Title 2 2 2 2 2 2 2 29 2 40" xfId="41785"/>
    <cellStyle name="Title 2 2 2 2 2 2 2 29 2 41" xfId="41786"/>
    <cellStyle name="Title 2 2 2 2 2 2 2 29 2 42" xfId="41787"/>
    <cellStyle name="Title 2 2 2 2 2 2 2 29 2 43" xfId="41788"/>
    <cellStyle name="Title 2 2 2 2 2 2 2 29 2 44" xfId="41789"/>
    <cellStyle name="Title 2 2 2 2 2 2 2 29 2 45" xfId="41790"/>
    <cellStyle name="Title 2 2 2 2 2 2 2 29 2 46" xfId="41791"/>
    <cellStyle name="Title 2 2 2 2 2 2 2 29 2 47" xfId="41792"/>
    <cellStyle name="Title 2 2 2 2 2 2 2 29 2 48" xfId="41793"/>
    <cellStyle name="Title 2 2 2 2 2 2 2 29 2 49" xfId="41794"/>
    <cellStyle name="Title 2 2 2 2 2 2 2 29 2 5" xfId="41795"/>
    <cellStyle name="Title 2 2 2 2 2 2 2 29 2 50" xfId="41796"/>
    <cellStyle name="Title 2 2 2 2 2 2 2 29 2 51" xfId="41797"/>
    <cellStyle name="Title 2 2 2 2 2 2 2 29 2 52" xfId="41798"/>
    <cellStyle name="Title 2 2 2 2 2 2 2 29 2 53" xfId="41799"/>
    <cellStyle name="Title 2 2 2 2 2 2 2 29 2 54" xfId="41800"/>
    <cellStyle name="Title 2 2 2 2 2 2 2 29 2 55" xfId="41801"/>
    <cellStyle name="Title 2 2 2 2 2 2 2 29 2 56" xfId="41802"/>
    <cellStyle name="Title 2 2 2 2 2 2 2 29 2 57" xfId="41803"/>
    <cellStyle name="Title 2 2 2 2 2 2 2 29 2 58" xfId="41804"/>
    <cellStyle name="Title 2 2 2 2 2 2 2 29 2 59" xfId="41805"/>
    <cellStyle name="Title 2 2 2 2 2 2 2 29 2 6" xfId="41806"/>
    <cellStyle name="Title 2 2 2 2 2 2 2 29 2 60" xfId="41807"/>
    <cellStyle name="Title 2 2 2 2 2 2 2 29 2 61" xfId="41808"/>
    <cellStyle name="Title 2 2 2 2 2 2 2 29 2 62" xfId="41809"/>
    <cellStyle name="Title 2 2 2 2 2 2 2 29 2 63" xfId="41810"/>
    <cellStyle name="Title 2 2 2 2 2 2 2 29 2 64" xfId="41811"/>
    <cellStyle name="Title 2 2 2 2 2 2 2 29 2 65" xfId="41812"/>
    <cellStyle name="Title 2 2 2 2 2 2 2 29 2 66" xfId="41813"/>
    <cellStyle name="Title 2 2 2 2 2 2 2 29 2 67" xfId="41814"/>
    <cellStyle name="Title 2 2 2 2 2 2 2 29 2 68" xfId="41815"/>
    <cellStyle name="Title 2 2 2 2 2 2 2 29 2 69" xfId="41816"/>
    <cellStyle name="Title 2 2 2 2 2 2 2 29 2 7" xfId="41817"/>
    <cellStyle name="Title 2 2 2 2 2 2 2 29 2 70" xfId="41818"/>
    <cellStyle name="Title 2 2 2 2 2 2 2 29 2 71" xfId="41819"/>
    <cellStyle name="Title 2 2 2 2 2 2 2 29 2 72" xfId="41820"/>
    <cellStyle name="Title 2 2 2 2 2 2 2 29 2 73" xfId="41821"/>
    <cellStyle name="Title 2 2 2 2 2 2 2 29 2 74" xfId="41822"/>
    <cellStyle name="Title 2 2 2 2 2 2 2 29 2 8" xfId="41823"/>
    <cellStyle name="Title 2 2 2 2 2 2 2 29 2 9" xfId="41824"/>
    <cellStyle name="Title 2 2 2 2 2 2 2 29 20" xfId="41825"/>
    <cellStyle name="Title 2 2 2 2 2 2 2 29 21" xfId="41826"/>
    <cellStyle name="Title 2 2 2 2 2 2 2 29 22" xfId="41827"/>
    <cellStyle name="Title 2 2 2 2 2 2 2 29 23" xfId="41828"/>
    <cellStyle name="Title 2 2 2 2 2 2 2 29 24" xfId="41829"/>
    <cellStyle name="Title 2 2 2 2 2 2 2 29 25" xfId="41830"/>
    <cellStyle name="Title 2 2 2 2 2 2 2 29 26" xfId="41831"/>
    <cellStyle name="Title 2 2 2 2 2 2 2 29 27" xfId="41832"/>
    <cellStyle name="Title 2 2 2 2 2 2 2 29 28" xfId="41833"/>
    <cellStyle name="Title 2 2 2 2 2 2 2 29 29" xfId="41834"/>
    <cellStyle name="Title 2 2 2 2 2 2 2 29 3" xfId="41835"/>
    <cellStyle name="Title 2 2 2 2 2 2 2 29 3 2" xfId="41836"/>
    <cellStyle name="Title 2 2 2 2 2 2 2 29 30" xfId="41837"/>
    <cellStyle name="Title 2 2 2 2 2 2 2 29 31" xfId="41838"/>
    <cellStyle name="Title 2 2 2 2 2 2 2 29 32" xfId="41839"/>
    <cellStyle name="Title 2 2 2 2 2 2 2 29 33" xfId="41840"/>
    <cellStyle name="Title 2 2 2 2 2 2 2 29 34" xfId="41841"/>
    <cellStyle name="Title 2 2 2 2 2 2 2 29 35" xfId="41842"/>
    <cellStyle name="Title 2 2 2 2 2 2 2 29 36" xfId="41843"/>
    <cellStyle name="Title 2 2 2 2 2 2 2 29 37" xfId="41844"/>
    <cellStyle name="Title 2 2 2 2 2 2 2 29 38" xfId="41845"/>
    <cellStyle name="Title 2 2 2 2 2 2 2 29 39" xfId="41846"/>
    <cellStyle name="Title 2 2 2 2 2 2 2 29 4" xfId="41847"/>
    <cellStyle name="Title 2 2 2 2 2 2 2 29 40" xfId="41848"/>
    <cellStyle name="Title 2 2 2 2 2 2 2 29 41" xfId="41849"/>
    <cellStyle name="Title 2 2 2 2 2 2 2 29 42" xfId="41850"/>
    <cellStyle name="Title 2 2 2 2 2 2 2 29 43" xfId="41851"/>
    <cellStyle name="Title 2 2 2 2 2 2 2 29 44" xfId="41852"/>
    <cellStyle name="Title 2 2 2 2 2 2 2 29 45" xfId="41853"/>
    <cellStyle name="Title 2 2 2 2 2 2 2 29 46" xfId="41854"/>
    <cellStyle name="Title 2 2 2 2 2 2 2 29 47" xfId="41855"/>
    <cellStyle name="Title 2 2 2 2 2 2 2 29 48" xfId="41856"/>
    <cellStyle name="Title 2 2 2 2 2 2 2 29 49" xfId="41857"/>
    <cellStyle name="Title 2 2 2 2 2 2 2 29 5" xfId="41858"/>
    <cellStyle name="Title 2 2 2 2 2 2 2 29 50" xfId="41859"/>
    <cellStyle name="Title 2 2 2 2 2 2 2 29 51" xfId="41860"/>
    <cellStyle name="Title 2 2 2 2 2 2 2 29 52" xfId="41861"/>
    <cellStyle name="Title 2 2 2 2 2 2 2 29 53" xfId="41862"/>
    <cellStyle name="Title 2 2 2 2 2 2 2 29 54" xfId="41863"/>
    <cellStyle name="Title 2 2 2 2 2 2 2 29 55" xfId="41864"/>
    <cellStyle name="Title 2 2 2 2 2 2 2 29 56" xfId="41865"/>
    <cellStyle name="Title 2 2 2 2 2 2 2 29 57" xfId="41866"/>
    <cellStyle name="Title 2 2 2 2 2 2 2 29 58" xfId="41867"/>
    <cellStyle name="Title 2 2 2 2 2 2 2 29 59" xfId="41868"/>
    <cellStyle name="Title 2 2 2 2 2 2 2 29 6" xfId="41869"/>
    <cellStyle name="Title 2 2 2 2 2 2 2 29 60" xfId="41870"/>
    <cellStyle name="Title 2 2 2 2 2 2 2 29 61" xfId="41871"/>
    <cellStyle name="Title 2 2 2 2 2 2 2 29 62" xfId="41872"/>
    <cellStyle name="Title 2 2 2 2 2 2 2 29 63" xfId="41873"/>
    <cellStyle name="Title 2 2 2 2 2 2 2 29 64" xfId="41874"/>
    <cellStyle name="Title 2 2 2 2 2 2 2 29 65" xfId="41875"/>
    <cellStyle name="Title 2 2 2 2 2 2 2 29 66" xfId="41876"/>
    <cellStyle name="Title 2 2 2 2 2 2 2 29 67" xfId="41877"/>
    <cellStyle name="Title 2 2 2 2 2 2 2 29 68" xfId="41878"/>
    <cellStyle name="Title 2 2 2 2 2 2 2 29 69" xfId="41879"/>
    <cellStyle name="Title 2 2 2 2 2 2 2 29 7" xfId="41880"/>
    <cellStyle name="Title 2 2 2 2 2 2 2 29 70" xfId="41881"/>
    <cellStyle name="Title 2 2 2 2 2 2 2 29 71" xfId="41882"/>
    <cellStyle name="Title 2 2 2 2 2 2 2 29 72" xfId="41883"/>
    <cellStyle name="Title 2 2 2 2 2 2 2 29 73" xfId="41884"/>
    <cellStyle name="Title 2 2 2 2 2 2 2 29 74" xfId="41885"/>
    <cellStyle name="Title 2 2 2 2 2 2 2 29 8" xfId="41886"/>
    <cellStyle name="Title 2 2 2 2 2 2 2 29 9" xfId="41887"/>
    <cellStyle name="Title 2 2 2 2 2 2 2 3" xfId="41888"/>
    <cellStyle name="Title 2 2 2 2 2 2 2 3 10" xfId="41889"/>
    <cellStyle name="Title 2 2 2 2 2 2 2 3 100" xfId="41890"/>
    <cellStyle name="Title 2 2 2 2 2 2 2 3 101" xfId="41891"/>
    <cellStyle name="Title 2 2 2 2 2 2 2 3 102" xfId="41892"/>
    <cellStyle name="Title 2 2 2 2 2 2 2 3 103" xfId="41893"/>
    <cellStyle name="Title 2 2 2 2 2 2 2 3 104" xfId="41894"/>
    <cellStyle name="Title 2 2 2 2 2 2 2 3 105" xfId="41895"/>
    <cellStyle name="Title 2 2 2 2 2 2 2 3 106" xfId="41896"/>
    <cellStyle name="Title 2 2 2 2 2 2 2 3 107" xfId="41897"/>
    <cellStyle name="Title 2 2 2 2 2 2 2 3 108" xfId="41898"/>
    <cellStyle name="Title 2 2 2 2 2 2 2 3 109" xfId="41899"/>
    <cellStyle name="Title 2 2 2 2 2 2 2 3 11" xfId="41900"/>
    <cellStyle name="Title 2 2 2 2 2 2 2 3 110" xfId="41901"/>
    <cellStyle name="Title 2 2 2 2 2 2 2 3 12" xfId="41902"/>
    <cellStyle name="Title 2 2 2 2 2 2 2 3 13" xfId="41903"/>
    <cellStyle name="Title 2 2 2 2 2 2 2 3 14" xfId="41904"/>
    <cellStyle name="Title 2 2 2 2 2 2 2 3 15" xfId="41905"/>
    <cellStyle name="Title 2 2 2 2 2 2 2 3 16" xfId="41906"/>
    <cellStyle name="Title 2 2 2 2 2 2 2 3 17" xfId="41907"/>
    <cellStyle name="Title 2 2 2 2 2 2 2 3 18" xfId="41908"/>
    <cellStyle name="Title 2 2 2 2 2 2 2 3 19" xfId="41909"/>
    <cellStyle name="Title 2 2 2 2 2 2 2 3 2" xfId="41910"/>
    <cellStyle name="Title 2 2 2 2 2 2 2 3 2 10" xfId="41911"/>
    <cellStyle name="Title 2 2 2 2 2 2 2 3 2 11" xfId="41912"/>
    <cellStyle name="Title 2 2 2 2 2 2 2 3 2 12" xfId="41913"/>
    <cellStyle name="Title 2 2 2 2 2 2 2 3 2 13" xfId="41914"/>
    <cellStyle name="Title 2 2 2 2 2 2 2 3 2 13 2" xfId="41915"/>
    <cellStyle name="Title 2 2 2 2 2 2 2 3 2 14" xfId="41916"/>
    <cellStyle name="Title 2 2 2 2 2 2 2 3 2 15" xfId="41917"/>
    <cellStyle name="Title 2 2 2 2 2 2 2 3 2 16" xfId="41918"/>
    <cellStyle name="Title 2 2 2 2 2 2 2 3 2 17" xfId="41919"/>
    <cellStyle name="Title 2 2 2 2 2 2 2 3 2 18" xfId="41920"/>
    <cellStyle name="Title 2 2 2 2 2 2 2 3 2 19" xfId="41921"/>
    <cellStyle name="Title 2 2 2 2 2 2 2 3 2 2" xfId="41922"/>
    <cellStyle name="Title 2 2 2 2 2 2 2 3 2 2 10" xfId="41923"/>
    <cellStyle name="Title 2 2 2 2 2 2 2 3 2 2 11" xfId="41924"/>
    <cellStyle name="Title 2 2 2 2 2 2 2 3 2 2 12" xfId="41925"/>
    <cellStyle name="Title 2 2 2 2 2 2 2 3 2 2 13" xfId="41926"/>
    <cellStyle name="Title 2 2 2 2 2 2 2 3 2 2 14" xfId="41927"/>
    <cellStyle name="Title 2 2 2 2 2 2 2 3 2 2 15" xfId="41928"/>
    <cellStyle name="Title 2 2 2 2 2 2 2 3 2 2 16" xfId="41929"/>
    <cellStyle name="Title 2 2 2 2 2 2 2 3 2 2 17" xfId="41930"/>
    <cellStyle name="Title 2 2 2 2 2 2 2 3 2 2 18" xfId="41931"/>
    <cellStyle name="Title 2 2 2 2 2 2 2 3 2 2 19" xfId="41932"/>
    <cellStyle name="Title 2 2 2 2 2 2 2 3 2 2 2" xfId="41933"/>
    <cellStyle name="Title 2 2 2 2 2 2 2 3 2 2 2 10" xfId="41934"/>
    <cellStyle name="Title 2 2 2 2 2 2 2 3 2 2 2 11" xfId="41935"/>
    <cellStyle name="Title 2 2 2 2 2 2 2 3 2 2 2 12" xfId="41936"/>
    <cellStyle name="Title 2 2 2 2 2 2 2 3 2 2 2 13" xfId="41937"/>
    <cellStyle name="Title 2 2 2 2 2 2 2 3 2 2 2 14" xfId="41938"/>
    <cellStyle name="Title 2 2 2 2 2 2 2 3 2 2 2 15" xfId="41939"/>
    <cellStyle name="Title 2 2 2 2 2 2 2 3 2 2 2 16" xfId="41940"/>
    <cellStyle name="Title 2 2 2 2 2 2 2 3 2 2 2 17" xfId="41941"/>
    <cellStyle name="Title 2 2 2 2 2 2 2 3 2 2 2 18" xfId="41942"/>
    <cellStyle name="Title 2 2 2 2 2 2 2 3 2 2 2 19" xfId="41943"/>
    <cellStyle name="Title 2 2 2 2 2 2 2 3 2 2 2 2" xfId="41944"/>
    <cellStyle name="Title 2 2 2 2 2 2 2 3 2 2 2 2 10" xfId="41945"/>
    <cellStyle name="Title 2 2 2 2 2 2 2 3 2 2 2 2 11" xfId="41946"/>
    <cellStyle name="Title 2 2 2 2 2 2 2 3 2 2 2 2 12" xfId="41947"/>
    <cellStyle name="Title 2 2 2 2 2 2 2 3 2 2 2 2 13" xfId="41948"/>
    <cellStyle name="Title 2 2 2 2 2 2 2 3 2 2 2 2 14" xfId="41949"/>
    <cellStyle name="Title 2 2 2 2 2 2 2 3 2 2 2 2 15" xfId="41950"/>
    <cellStyle name="Title 2 2 2 2 2 2 2 3 2 2 2 2 16" xfId="41951"/>
    <cellStyle name="Title 2 2 2 2 2 2 2 3 2 2 2 2 17" xfId="41952"/>
    <cellStyle name="Title 2 2 2 2 2 2 2 3 2 2 2 2 18" xfId="41953"/>
    <cellStyle name="Title 2 2 2 2 2 2 2 3 2 2 2 2 19" xfId="41954"/>
    <cellStyle name="Title 2 2 2 2 2 2 2 3 2 2 2 2 2" xfId="41955"/>
    <cellStyle name="Title 2 2 2 2 2 2 2 3 2 2 2 2 2 10" xfId="41956"/>
    <cellStyle name="Title 2 2 2 2 2 2 2 3 2 2 2 2 2 11" xfId="41957"/>
    <cellStyle name="Title 2 2 2 2 2 2 2 3 2 2 2 2 2 12" xfId="41958"/>
    <cellStyle name="Title 2 2 2 2 2 2 2 3 2 2 2 2 2 13" xfId="41959"/>
    <cellStyle name="Title 2 2 2 2 2 2 2 3 2 2 2 2 2 14" xfId="41960"/>
    <cellStyle name="Title 2 2 2 2 2 2 2 3 2 2 2 2 2 15" xfId="41961"/>
    <cellStyle name="Title 2 2 2 2 2 2 2 3 2 2 2 2 2 16" xfId="41962"/>
    <cellStyle name="Title 2 2 2 2 2 2 2 3 2 2 2 2 2 17" xfId="41963"/>
    <cellStyle name="Title 2 2 2 2 2 2 2 3 2 2 2 2 2 18" xfId="41964"/>
    <cellStyle name="Title 2 2 2 2 2 2 2 3 2 2 2 2 2 19" xfId="41965"/>
    <cellStyle name="Title 2 2 2 2 2 2 2 3 2 2 2 2 2 2" xfId="41966"/>
    <cellStyle name="Title 2 2 2 2 2 2 2 3 2 2 2 2 2 2 2" xfId="41967"/>
    <cellStyle name="Title 2 2 2 2 2 2 2 3 2 2 2 2 2 20" xfId="41968"/>
    <cellStyle name="Title 2 2 2 2 2 2 2 3 2 2 2 2 2 21" xfId="41969"/>
    <cellStyle name="Title 2 2 2 2 2 2 2 3 2 2 2 2 2 22" xfId="41970"/>
    <cellStyle name="Title 2 2 2 2 2 2 2 3 2 2 2 2 2 23" xfId="41971"/>
    <cellStyle name="Title 2 2 2 2 2 2 2 3 2 2 2 2 2 24" xfId="41972"/>
    <cellStyle name="Title 2 2 2 2 2 2 2 3 2 2 2 2 2 25" xfId="41973"/>
    <cellStyle name="Title 2 2 2 2 2 2 2 3 2 2 2 2 2 26" xfId="41974"/>
    <cellStyle name="Title 2 2 2 2 2 2 2 3 2 2 2 2 2 27" xfId="41975"/>
    <cellStyle name="Title 2 2 2 2 2 2 2 3 2 2 2 2 2 28" xfId="41976"/>
    <cellStyle name="Title 2 2 2 2 2 2 2 3 2 2 2 2 2 29" xfId="41977"/>
    <cellStyle name="Title 2 2 2 2 2 2 2 3 2 2 2 2 2 3" xfId="41978"/>
    <cellStyle name="Title 2 2 2 2 2 2 2 3 2 2 2 2 2 30" xfId="41979"/>
    <cellStyle name="Title 2 2 2 2 2 2 2 3 2 2 2 2 2 31" xfId="41980"/>
    <cellStyle name="Title 2 2 2 2 2 2 2 3 2 2 2 2 2 32" xfId="41981"/>
    <cellStyle name="Title 2 2 2 2 2 2 2 3 2 2 2 2 2 33" xfId="41982"/>
    <cellStyle name="Title 2 2 2 2 2 2 2 3 2 2 2 2 2 34" xfId="41983"/>
    <cellStyle name="Title 2 2 2 2 2 2 2 3 2 2 2 2 2 35" xfId="41984"/>
    <cellStyle name="Title 2 2 2 2 2 2 2 3 2 2 2 2 2 36" xfId="41985"/>
    <cellStyle name="Title 2 2 2 2 2 2 2 3 2 2 2 2 2 37" xfId="41986"/>
    <cellStyle name="Title 2 2 2 2 2 2 2 3 2 2 2 2 2 38" xfId="41987"/>
    <cellStyle name="Title 2 2 2 2 2 2 2 3 2 2 2 2 2 39" xfId="41988"/>
    <cellStyle name="Title 2 2 2 2 2 2 2 3 2 2 2 2 2 4" xfId="41989"/>
    <cellStyle name="Title 2 2 2 2 2 2 2 3 2 2 2 2 2 40" xfId="41990"/>
    <cellStyle name="Title 2 2 2 2 2 2 2 3 2 2 2 2 2 41" xfId="41991"/>
    <cellStyle name="Title 2 2 2 2 2 2 2 3 2 2 2 2 2 42" xfId="41992"/>
    <cellStyle name="Title 2 2 2 2 2 2 2 3 2 2 2 2 2 43" xfId="41993"/>
    <cellStyle name="Title 2 2 2 2 2 2 2 3 2 2 2 2 2 44" xfId="41994"/>
    <cellStyle name="Title 2 2 2 2 2 2 2 3 2 2 2 2 2 45" xfId="41995"/>
    <cellStyle name="Title 2 2 2 2 2 2 2 3 2 2 2 2 2 46" xfId="41996"/>
    <cellStyle name="Title 2 2 2 2 2 2 2 3 2 2 2 2 2 47" xfId="41997"/>
    <cellStyle name="Title 2 2 2 2 2 2 2 3 2 2 2 2 2 48" xfId="41998"/>
    <cellStyle name="Title 2 2 2 2 2 2 2 3 2 2 2 2 2 49" xfId="41999"/>
    <cellStyle name="Title 2 2 2 2 2 2 2 3 2 2 2 2 2 5" xfId="42000"/>
    <cellStyle name="Title 2 2 2 2 2 2 2 3 2 2 2 2 2 50" xfId="42001"/>
    <cellStyle name="Title 2 2 2 2 2 2 2 3 2 2 2 2 2 51" xfId="42002"/>
    <cellStyle name="Title 2 2 2 2 2 2 2 3 2 2 2 2 2 52" xfId="42003"/>
    <cellStyle name="Title 2 2 2 2 2 2 2 3 2 2 2 2 2 53" xfId="42004"/>
    <cellStyle name="Title 2 2 2 2 2 2 2 3 2 2 2 2 2 54" xfId="42005"/>
    <cellStyle name="Title 2 2 2 2 2 2 2 3 2 2 2 2 2 55" xfId="42006"/>
    <cellStyle name="Title 2 2 2 2 2 2 2 3 2 2 2 2 2 56" xfId="42007"/>
    <cellStyle name="Title 2 2 2 2 2 2 2 3 2 2 2 2 2 57" xfId="42008"/>
    <cellStyle name="Title 2 2 2 2 2 2 2 3 2 2 2 2 2 58" xfId="42009"/>
    <cellStyle name="Title 2 2 2 2 2 2 2 3 2 2 2 2 2 59" xfId="42010"/>
    <cellStyle name="Title 2 2 2 2 2 2 2 3 2 2 2 2 2 6" xfId="42011"/>
    <cellStyle name="Title 2 2 2 2 2 2 2 3 2 2 2 2 2 60" xfId="42012"/>
    <cellStyle name="Title 2 2 2 2 2 2 2 3 2 2 2 2 2 61" xfId="42013"/>
    <cellStyle name="Title 2 2 2 2 2 2 2 3 2 2 2 2 2 62" xfId="42014"/>
    <cellStyle name="Title 2 2 2 2 2 2 2 3 2 2 2 2 2 63" xfId="42015"/>
    <cellStyle name="Title 2 2 2 2 2 2 2 3 2 2 2 2 2 64" xfId="42016"/>
    <cellStyle name="Title 2 2 2 2 2 2 2 3 2 2 2 2 2 65" xfId="42017"/>
    <cellStyle name="Title 2 2 2 2 2 2 2 3 2 2 2 2 2 66" xfId="42018"/>
    <cellStyle name="Title 2 2 2 2 2 2 2 3 2 2 2 2 2 67" xfId="42019"/>
    <cellStyle name="Title 2 2 2 2 2 2 2 3 2 2 2 2 2 68" xfId="42020"/>
    <cellStyle name="Title 2 2 2 2 2 2 2 3 2 2 2 2 2 69" xfId="42021"/>
    <cellStyle name="Title 2 2 2 2 2 2 2 3 2 2 2 2 2 7" xfId="42022"/>
    <cellStyle name="Title 2 2 2 2 2 2 2 3 2 2 2 2 2 70" xfId="42023"/>
    <cellStyle name="Title 2 2 2 2 2 2 2 3 2 2 2 2 2 71" xfId="42024"/>
    <cellStyle name="Title 2 2 2 2 2 2 2 3 2 2 2 2 2 72" xfId="42025"/>
    <cellStyle name="Title 2 2 2 2 2 2 2 3 2 2 2 2 2 73" xfId="42026"/>
    <cellStyle name="Title 2 2 2 2 2 2 2 3 2 2 2 2 2 74" xfId="42027"/>
    <cellStyle name="Title 2 2 2 2 2 2 2 3 2 2 2 2 2 8" xfId="42028"/>
    <cellStyle name="Title 2 2 2 2 2 2 2 3 2 2 2 2 2 9" xfId="42029"/>
    <cellStyle name="Title 2 2 2 2 2 2 2 3 2 2 2 2 20" xfId="42030"/>
    <cellStyle name="Title 2 2 2 2 2 2 2 3 2 2 2 2 21" xfId="42031"/>
    <cellStyle name="Title 2 2 2 2 2 2 2 3 2 2 2 2 22" xfId="42032"/>
    <cellStyle name="Title 2 2 2 2 2 2 2 3 2 2 2 2 23" xfId="42033"/>
    <cellStyle name="Title 2 2 2 2 2 2 2 3 2 2 2 2 24" xfId="42034"/>
    <cellStyle name="Title 2 2 2 2 2 2 2 3 2 2 2 2 25" xfId="42035"/>
    <cellStyle name="Title 2 2 2 2 2 2 2 3 2 2 2 2 26" xfId="42036"/>
    <cellStyle name="Title 2 2 2 2 2 2 2 3 2 2 2 2 27" xfId="42037"/>
    <cellStyle name="Title 2 2 2 2 2 2 2 3 2 2 2 2 28" xfId="42038"/>
    <cellStyle name="Title 2 2 2 2 2 2 2 3 2 2 2 2 29" xfId="42039"/>
    <cellStyle name="Title 2 2 2 2 2 2 2 3 2 2 2 2 3" xfId="42040"/>
    <cellStyle name="Title 2 2 2 2 2 2 2 3 2 2 2 2 3 2" xfId="42041"/>
    <cellStyle name="Title 2 2 2 2 2 2 2 3 2 2 2 2 30" xfId="42042"/>
    <cellStyle name="Title 2 2 2 2 2 2 2 3 2 2 2 2 31" xfId="42043"/>
    <cellStyle name="Title 2 2 2 2 2 2 2 3 2 2 2 2 32" xfId="42044"/>
    <cellStyle name="Title 2 2 2 2 2 2 2 3 2 2 2 2 33" xfId="42045"/>
    <cellStyle name="Title 2 2 2 2 2 2 2 3 2 2 2 2 34" xfId="42046"/>
    <cellStyle name="Title 2 2 2 2 2 2 2 3 2 2 2 2 35" xfId="42047"/>
    <cellStyle name="Title 2 2 2 2 2 2 2 3 2 2 2 2 36" xfId="42048"/>
    <cellStyle name="Title 2 2 2 2 2 2 2 3 2 2 2 2 37" xfId="42049"/>
    <cellStyle name="Title 2 2 2 2 2 2 2 3 2 2 2 2 38" xfId="42050"/>
    <cellStyle name="Title 2 2 2 2 2 2 2 3 2 2 2 2 39" xfId="42051"/>
    <cellStyle name="Title 2 2 2 2 2 2 2 3 2 2 2 2 4" xfId="42052"/>
    <cellStyle name="Title 2 2 2 2 2 2 2 3 2 2 2 2 40" xfId="42053"/>
    <cellStyle name="Title 2 2 2 2 2 2 2 3 2 2 2 2 41" xfId="42054"/>
    <cellStyle name="Title 2 2 2 2 2 2 2 3 2 2 2 2 42" xfId="42055"/>
    <cellStyle name="Title 2 2 2 2 2 2 2 3 2 2 2 2 43" xfId="42056"/>
    <cellStyle name="Title 2 2 2 2 2 2 2 3 2 2 2 2 44" xfId="42057"/>
    <cellStyle name="Title 2 2 2 2 2 2 2 3 2 2 2 2 45" xfId="42058"/>
    <cellStyle name="Title 2 2 2 2 2 2 2 3 2 2 2 2 46" xfId="42059"/>
    <cellStyle name="Title 2 2 2 2 2 2 2 3 2 2 2 2 47" xfId="42060"/>
    <cellStyle name="Title 2 2 2 2 2 2 2 3 2 2 2 2 48" xfId="42061"/>
    <cellStyle name="Title 2 2 2 2 2 2 2 3 2 2 2 2 49" xfId="42062"/>
    <cellStyle name="Title 2 2 2 2 2 2 2 3 2 2 2 2 5" xfId="42063"/>
    <cellStyle name="Title 2 2 2 2 2 2 2 3 2 2 2 2 50" xfId="42064"/>
    <cellStyle name="Title 2 2 2 2 2 2 2 3 2 2 2 2 51" xfId="42065"/>
    <cellStyle name="Title 2 2 2 2 2 2 2 3 2 2 2 2 52" xfId="42066"/>
    <cellStyle name="Title 2 2 2 2 2 2 2 3 2 2 2 2 53" xfId="42067"/>
    <cellStyle name="Title 2 2 2 2 2 2 2 3 2 2 2 2 54" xfId="42068"/>
    <cellStyle name="Title 2 2 2 2 2 2 2 3 2 2 2 2 55" xfId="42069"/>
    <cellStyle name="Title 2 2 2 2 2 2 2 3 2 2 2 2 56" xfId="42070"/>
    <cellStyle name="Title 2 2 2 2 2 2 2 3 2 2 2 2 57" xfId="42071"/>
    <cellStyle name="Title 2 2 2 2 2 2 2 3 2 2 2 2 58" xfId="42072"/>
    <cellStyle name="Title 2 2 2 2 2 2 2 3 2 2 2 2 59" xfId="42073"/>
    <cellStyle name="Title 2 2 2 2 2 2 2 3 2 2 2 2 6" xfId="42074"/>
    <cellStyle name="Title 2 2 2 2 2 2 2 3 2 2 2 2 60" xfId="42075"/>
    <cellStyle name="Title 2 2 2 2 2 2 2 3 2 2 2 2 61" xfId="42076"/>
    <cellStyle name="Title 2 2 2 2 2 2 2 3 2 2 2 2 62" xfId="42077"/>
    <cellStyle name="Title 2 2 2 2 2 2 2 3 2 2 2 2 63" xfId="42078"/>
    <cellStyle name="Title 2 2 2 2 2 2 2 3 2 2 2 2 64" xfId="42079"/>
    <cellStyle name="Title 2 2 2 2 2 2 2 3 2 2 2 2 65" xfId="42080"/>
    <cellStyle name="Title 2 2 2 2 2 2 2 3 2 2 2 2 66" xfId="42081"/>
    <cellStyle name="Title 2 2 2 2 2 2 2 3 2 2 2 2 67" xfId="42082"/>
    <cellStyle name="Title 2 2 2 2 2 2 2 3 2 2 2 2 68" xfId="42083"/>
    <cellStyle name="Title 2 2 2 2 2 2 2 3 2 2 2 2 69" xfId="42084"/>
    <cellStyle name="Title 2 2 2 2 2 2 2 3 2 2 2 2 7" xfId="42085"/>
    <cellStyle name="Title 2 2 2 2 2 2 2 3 2 2 2 2 70" xfId="42086"/>
    <cellStyle name="Title 2 2 2 2 2 2 2 3 2 2 2 2 71" xfId="42087"/>
    <cellStyle name="Title 2 2 2 2 2 2 2 3 2 2 2 2 72" xfId="42088"/>
    <cellStyle name="Title 2 2 2 2 2 2 2 3 2 2 2 2 73" xfId="42089"/>
    <cellStyle name="Title 2 2 2 2 2 2 2 3 2 2 2 2 74" xfId="42090"/>
    <cellStyle name="Title 2 2 2 2 2 2 2 3 2 2 2 2 8" xfId="42091"/>
    <cellStyle name="Title 2 2 2 2 2 2 2 3 2 2 2 2 9" xfId="42092"/>
    <cellStyle name="Title 2 2 2 2 2 2 2 3 2 2 2 20" xfId="42093"/>
    <cellStyle name="Title 2 2 2 2 2 2 2 3 2 2 2 21" xfId="42094"/>
    <cellStyle name="Title 2 2 2 2 2 2 2 3 2 2 2 22" xfId="42095"/>
    <cellStyle name="Title 2 2 2 2 2 2 2 3 2 2 2 23" xfId="42096"/>
    <cellStyle name="Title 2 2 2 2 2 2 2 3 2 2 2 24" xfId="42097"/>
    <cellStyle name="Title 2 2 2 2 2 2 2 3 2 2 2 25" xfId="42098"/>
    <cellStyle name="Title 2 2 2 2 2 2 2 3 2 2 2 26" xfId="42099"/>
    <cellStyle name="Title 2 2 2 2 2 2 2 3 2 2 2 27" xfId="42100"/>
    <cellStyle name="Title 2 2 2 2 2 2 2 3 2 2 2 28" xfId="42101"/>
    <cellStyle name="Title 2 2 2 2 2 2 2 3 2 2 2 29" xfId="42102"/>
    <cellStyle name="Title 2 2 2 2 2 2 2 3 2 2 2 3" xfId="42103"/>
    <cellStyle name="Title 2 2 2 2 2 2 2 3 2 2 2 3 2" xfId="42104"/>
    <cellStyle name="Title 2 2 2 2 2 2 2 3 2 2 2 30" xfId="42105"/>
    <cellStyle name="Title 2 2 2 2 2 2 2 3 2 2 2 31" xfId="42106"/>
    <cellStyle name="Title 2 2 2 2 2 2 2 3 2 2 2 32" xfId="42107"/>
    <cellStyle name="Title 2 2 2 2 2 2 2 3 2 2 2 33" xfId="42108"/>
    <cellStyle name="Title 2 2 2 2 2 2 2 3 2 2 2 34" xfId="42109"/>
    <cellStyle name="Title 2 2 2 2 2 2 2 3 2 2 2 35" xfId="42110"/>
    <cellStyle name="Title 2 2 2 2 2 2 2 3 2 2 2 36" xfId="42111"/>
    <cellStyle name="Title 2 2 2 2 2 2 2 3 2 2 2 37" xfId="42112"/>
    <cellStyle name="Title 2 2 2 2 2 2 2 3 2 2 2 38" xfId="42113"/>
    <cellStyle name="Title 2 2 2 2 2 2 2 3 2 2 2 39" xfId="42114"/>
    <cellStyle name="Title 2 2 2 2 2 2 2 3 2 2 2 4" xfId="42115"/>
    <cellStyle name="Title 2 2 2 2 2 2 2 3 2 2 2 40" xfId="42116"/>
    <cellStyle name="Title 2 2 2 2 2 2 2 3 2 2 2 41" xfId="42117"/>
    <cellStyle name="Title 2 2 2 2 2 2 2 3 2 2 2 42" xfId="42118"/>
    <cellStyle name="Title 2 2 2 2 2 2 2 3 2 2 2 43" xfId="42119"/>
    <cellStyle name="Title 2 2 2 2 2 2 2 3 2 2 2 44" xfId="42120"/>
    <cellStyle name="Title 2 2 2 2 2 2 2 3 2 2 2 45" xfId="42121"/>
    <cellStyle name="Title 2 2 2 2 2 2 2 3 2 2 2 46" xfId="42122"/>
    <cellStyle name="Title 2 2 2 2 2 2 2 3 2 2 2 47" xfId="42123"/>
    <cellStyle name="Title 2 2 2 2 2 2 2 3 2 2 2 48" xfId="42124"/>
    <cellStyle name="Title 2 2 2 2 2 2 2 3 2 2 2 49" xfId="42125"/>
    <cellStyle name="Title 2 2 2 2 2 2 2 3 2 2 2 5" xfId="42126"/>
    <cellStyle name="Title 2 2 2 2 2 2 2 3 2 2 2 50" xfId="42127"/>
    <cellStyle name="Title 2 2 2 2 2 2 2 3 2 2 2 51" xfId="42128"/>
    <cellStyle name="Title 2 2 2 2 2 2 2 3 2 2 2 52" xfId="42129"/>
    <cellStyle name="Title 2 2 2 2 2 2 2 3 2 2 2 53" xfId="42130"/>
    <cellStyle name="Title 2 2 2 2 2 2 2 3 2 2 2 54" xfId="42131"/>
    <cellStyle name="Title 2 2 2 2 2 2 2 3 2 2 2 55" xfId="42132"/>
    <cellStyle name="Title 2 2 2 2 2 2 2 3 2 2 2 56" xfId="42133"/>
    <cellStyle name="Title 2 2 2 2 2 2 2 3 2 2 2 57" xfId="42134"/>
    <cellStyle name="Title 2 2 2 2 2 2 2 3 2 2 2 58" xfId="42135"/>
    <cellStyle name="Title 2 2 2 2 2 2 2 3 2 2 2 59" xfId="42136"/>
    <cellStyle name="Title 2 2 2 2 2 2 2 3 2 2 2 6" xfId="42137"/>
    <cellStyle name="Title 2 2 2 2 2 2 2 3 2 2 2 60" xfId="42138"/>
    <cellStyle name="Title 2 2 2 2 2 2 2 3 2 2 2 61" xfId="42139"/>
    <cellStyle name="Title 2 2 2 2 2 2 2 3 2 2 2 62" xfId="42140"/>
    <cellStyle name="Title 2 2 2 2 2 2 2 3 2 2 2 63" xfId="42141"/>
    <cellStyle name="Title 2 2 2 2 2 2 2 3 2 2 2 64" xfId="42142"/>
    <cellStyle name="Title 2 2 2 2 2 2 2 3 2 2 2 65" xfId="42143"/>
    <cellStyle name="Title 2 2 2 2 2 2 2 3 2 2 2 66" xfId="42144"/>
    <cellStyle name="Title 2 2 2 2 2 2 2 3 2 2 2 67" xfId="42145"/>
    <cellStyle name="Title 2 2 2 2 2 2 2 3 2 2 2 68" xfId="42146"/>
    <cellStyle name="Title 2 2 2 2 2 2 2 3 2 2 2 69" xfId="42147"/>
    <cellStyle name="Title 2 2 2 2 2 2 2 3 2 2 2 7" xfId="42148"/>
    <cellStyle name="Title 2 2 2 2 2 2 2 3 2 2 2 70" xfId="42149"/>
    <cellStyle name="Title 2 2 2 2 2 2 2 3 2 2 2 71" xfId="42150"/>
    <cellStyle name="Title 2 2 2 2 2 2 2 3 2 2 2 72" xfId="42151"/>
    <cellStyle name="Title 2 2 2 2 2 2 2 3 2 2 2 73" xfId="42152"/>
    <cellStyle name="Title 2 2 2 2 2 2 2 3 2 2 2 74" xfId="42153"/>
    <cellStyle name="Title 2 2 2 2 2 2 2 3 2 2 2 75" xfId="42154"/>
    <cellStyle name="Title 2 2 2 2 2 2 2 3 2 2 2 76" xfId="42155"/>
    <cellStyle name="Title 2 2 2 2 2 2 2 3 2 2 2 77" xfId="42156"/>
    <cellStyle name="Title 2 2 2 2 2 2 2 3 2 2 2 78" xfId="42157"/>
    <cellStyle name="Title 2 2 2 2 2 2 2 3 2 2 2 79" xfId="42158"/>
    <cellStyle name="Title 2 2 2 2 2 2 2 3 2 2 2 8" xfId="42159"/>
    <cellStyle name="Title 2 2 2 2 2 2 2 3 2 2 2 80" xfId="42160"/>
    <cellStyle name="Title 2 2 2 2 2 2 2 3 2 2 2 81" xfId="42161"/>
    <cellStyle name="Title 2 2 2 2 2 2 2 3 2 2 2 82" xfId="42162"/>
    <cellStyle name="Title 2 2 2 2 2 2 2 3 2 2 2 83" xfId="42163"/>
    <cellStyle name="Title 2 2 2 2 2 2 2 3 2 2 2 84" xfId="42164"/>
    <cellStyle name="Title 2 2 2 2 2 2 2 3 2 2 2 85" xfId="42165"/>
    <cellStyle name="Title 2 2 2 2 2 2 2 3 2 2 2 86" xfId="42166"/>
    <cellStyle name="Title 2 2 2 2 2 2 2 3 2 2 2 87" xfId="42167"/>
    <cellStyle name="Title 2 2 2 2 2 2 2 3 2 2 2 88" xfId="42168"/>
    <cellStyle name="Title 2 2 2 2 2 2 2 3 2 2 2 9" xfId="42169"/>
    <cellStyle name="Title 2 2 2 2 2 2 2 3 2 2 20" xfId="42170"/>
    <cellStyle name="Title 2 2 2 2 2 2 2 3 2 2 21" xfId="42171"/>
    <cellStyle name="Title 2 2 2 2 2 2 2 3 2 2 22" xfId="42172"/>
    <cellStyle name="Title 2 2 2 2 2 2 2 3 2 2 23" xfId="42173"/>
    <cellStyle name="Title 2 2 2 2 2 2 2 3 2 2 24" xfId="42174"/>
    <cellStyle name="Title 2 2 2 2 2 2 2 3 2 2 25" xfId="42175"/>
    <cellStyle name="Title 2 2 2 2 2 2 2 3 2 2 26" xfId="42176"/>
    <cellStyle name="Title 2 2 2 2 2 2 2 3 2 2 27" xfId="42177"/>
    <cellStyle name="Title 2 2 2 2 2 2 2 3 2 2 28" xfId="42178"/>
    <cellStyle name="Title 2 2 2 2 2 2 2 3 2 2 29" xfId="42179"/>
    <cellStyle name="Title 2 2 2 2 2 2 2 3 2 2 3" xfId="42180"/>
    <cellStyle name="Title 2 2 2 2 2 2 2 3 2 2 3 2" xfId="42181"/>
    <cellStyle name="Title 2 2 2 2 2 2 2 3 2 2 30" xfId="42182"/>
    <cellStyle name="Title 2 2 2 2 2 2 2 3 2 2 31" xfId="42183"/>
    <cellStyle name="Title 2 2 2 2 2 2 2 3 2 2 32" xfId="42184"/>
    <cellStyle name="Title 2 2 2 2 2 2 2 3 2 2 33" xfId="42185"/>
    <cellStyle name="Title 2 2 2 2 2 2 2 3 2 2 34" xfId="42186"/>
    <cellStyle name="Title 2 2 2 2 2 2 2 3 2 2 35" xfId="42187"/>
    <cellStyle name="Title 2 2 2 2 2 2 2 3 2 2 36" xfId="42188"/>
    <cellStyle name="Title 2 2 2 2 2 2 2 3 2 2 37" xfId="42189"/>
    <cellStyle name="Title 2 2 2 2 2 2 2 3 2 2 38" xfId="42190"/>
    <cellStyle name="Title 2 2 2 2 2 2 2 3 2 2 39" xfId="42191"/>
    <cellStyle name="Title 2 2 2 2 2 2 2 3 2 2 4" xfId="42192"/>
    <cellStyle name="Title 2 2 2 2 2 2 2 3 2 2 40" xfId="42193"/>
    <cellStyle name="Title 2 2 2 2 2 2 2 3 2 2 41" xfId="42194"/>
    <cellStyle name="Title 2 2 2 2 2 2 2 3 2 2 42" xfId="42195"/>
    <cellStyle name="Title 2 2 2 2 2 2 2 3 2 2 43" xfId="42196"/>
    <cellStyle name="Title 2 2 2 2 2 2 2 3 2 2 44" xfId="42197"/>
    <cellStyle name="Title 2 2 2 2 2 2 2 3 2 2 45" xfId="42198"/>
    <cellStyle name="Title 2 2 2 2 2 2 2 3 2 2 46" xfId="42199"/>
    <cellStyle name="Title 2 2 2 2 2 2 2 3 2 2 47" xfId="42200"/>
    <cellStyle name="Title 2 2 2 2 2 2 2 3 2 2 48" xfId="42201"/>
    <cellStyle name="Title 2 2 2 2 2 2 2 3 2 2 49" xfId="42202"/>
    <cellStyle name="Title 2 2 2 2 2 2 2 3 2 2 5" xfId="42203"/>
    <cellStyle name="Title 2 2 2 2 2 2 2 3 2 2 50" xfId="42204"/>
    <cellStyle name="Title 2 2 2 2 2 2 2 3 2 2 51" xfId="42205"/>
    <cellStyle name="Title 2 2 2 2 2 2 2 3 2 2 52" xfId="42206"/>
    <cellStyle name="Title 2 2 2 2 2 2 2 3 2 2 53" xfId="42207"/>
    <cellStyle name="Title 2 2 2 2 2 2 2 3 2 2 54" xfId="42208"/>
    <cellStyle name="Title 2 2 2 2 2 2 2 3 2 2 55" xfId="42209"/>
    <cellStyle name="Title 2 2 2 2 2 2 2 3 2 2 56" xfId="42210"/>
    <cellStyle name="Title 2 2 2 2 2 2 2 3 2 2 57" xfId="42211"/>
    <cellStyle name="Title 2 2 2 2 2 2 2 3 2 2 58" xfId="42212"/>
    <cellStyle name="Title 2 2 2 2 2 2 2 3 2 2 59" xfId="42213"/>
    <cellStyle name="Title 2 2 2 2 2 2 2 3 2 2 6" xfId="42214"/>
    <cellStyle name="Title 2 2 2 2 2 2 2 3 2 2 60" xfId="42215"/>
    <cellStyle name="Title 2 2 2 2 2 2 2 3 2 2 61" xfId="42216"/>
    <cellStyle name="Title 2 2 2 2 2 2 2 3 2 2 62" xfId="42217"/>
    <cellStyle name="Title 2 2 2 2 2 2 2 3 2 2 63" xfId="42218"/>
    <cellStyle name="Title 2 2 2 2 2 2 2 3 2 2 64" xfId="42219"/>
    <cellStyle name="Title 2 2 2 2 2 2 2 3 2 2 65" xfId="42220"/>
    <cellStyle name="Title 2 2 2 2 2 2 2 3 2 2 66" xfId="42221"/>
    <cellStyle name="Title 2 2 2 2 2 2 2 3 2 2 67" xfId="42222"/>
    <cellStyle name="Title 2 2 2 2 2 2 2 3 2 2 68" xfId="42223"/>
    <cellStyle name="Title 2 2 2 2 2 2 2 3 2 2 69" xfId="42224"/>
    <cellStyle name="Title 2 2 2 2 2 2 2 3 2 2 7" xfId="42225"/>
    <cellStyle name="Title 2 2 2 2 2 2 2 3 2 2 70" xfId="42226"/>
    <cellStyle name="Title 2 2 2 2 2 2 2 3 2 2 71" xfId="42227"/>
    <cellStyle name="Title 2 2 2 2 2 2 2 3 2 2 72" xfId="42228"/>
    <cellStyle name="Title 2 2 2 2 2 2 2 3 2 2 73" xfId="42229"/>
    <cellStyle name="Title 2 2 2 2 2 2 2 3 2 2 74" xfId="42230"/>
    <cellStyle name="Title 2 2 2 2 2 2 2 3 2 2 75" xfId="42231"/>
    <cellStyle name="Title 2 2 2 2 2 2 2 3 2 2 76" xfId="42232"/>
    <cellStyle name="Title 2 2 2 2 2 2 2 3 2 2 77" xfId="42233"/>
    <cellStyle name="Title 2 2 2 2 2 2 2 3 2 2 78" xfId="42234"/>
    <cellStyle name="Title 2 2 2 2 2 2 2 3 2 2 79" xfId="42235"/>
    <cellStyle name="Title 2 2 2 2 2 2 2 3 2 2 8" xfId="42236"/>
    <cellStyle name="Title 2 2 2 2 2 2 2 3 2 2 80" xfId="42237"/>
    <cellStyle name="Title 2 2 2 2 2 2 2 3 2 2 81" xfId="42238"/>
    <cellStyle name="Title 2 2 2 2 2 2 2 3 2 2 82" xfId="42239"/>
    <cellStyle name="Title 2 2 2 2 2 2 2 3 2 2 83" xfId="42240"/>
    <cellStyle name="Title 2 2 2 2 2 2 2 3 2 2 84" xfId="42241"/>
    <cellStyle name="Title 2 2 2 2 2 2 2 3 2 2 85" xfId="42242"/>
    <cellStyle name="Title 2 2 2 2 2 2 2 3 2 2 86" xfId="42243"/>
    <cellStyle name="Title 2 2 2 2 2 2 2 3 2 2 87" xfId="42244"/>
    <cellStyle name="Title 2 2 2 2 2 2 2 3 2 2 88" xfId="42245"/>
    <cellStyle name="Title 2 2 2 2 2 2 2 3 2 2 9" xfId="42246"/>
    <cellStyle name="Title 2 2 2 2 2 2 2 3 2 20" xfId="42247"/>
    <cellStyle name="Title 2 2 2 2 2 2 2 3 2 21" xfId="42248"/>
    <cellStyle name="Title 2 2 2 2 2 2 2 3 2 22" xfId="42249"/>
    <cellStyle name="Title 2 2 2 2 2 2 2 3 2 23" xfId="42250"/>
    <cellStyle name="Title 2 2 2 2 2 2 2 3 2 24" xfId="42251"/>
    <cellStyle name="Title 2 2 2 2 2 2 2 3 2 25" xfId="42252"/>
    <cellStyle name="Title 2 2 2 2 2 2 2 3 2 26" xfId="42253"/>
    <cellStyle name="Title 2 2 2 2 2 2 2 3 2 27" xfId="42254"/>
    <cellStyle name="Title 2 2 2 2 2 2 2 3 2 28" xfId="42255"/>
    <cellStyle name="Title 2 2 2 2 2 2 2 3 2 29" xfId="42256"/>
    <cellStyle name="Title 2 2 2 2 2 2 2 3 2 3" xfId="42257"/>
    <cellStyle name="Title 2 2 2 2 2 2 2 3 2 30" xfId="42258"/>
    <cellStyle name="Title 2 2 2 2 2 2 2 3 2 31" xfId="42259"/>
    <cellStyle name="Title 2 2 2 2 2 2 2 3 2 32" xfId="42260"/>
    <cellStyle name="Title 2 2 2 2 2 2 2 3 2 33" xfId="42261"/>
    <cellStyle name="Title 2 2 2 2 2 2 2 3 2 34" xfId="42262"/>
    <cellStyle name="Title 2 2 2 2 2 2 2 3 2 35" xfId="42263"/>
    <cellStyle name="Title 2 2 2 2 2 2 2 3 2 36" xfId="42264"/>
    <cellStyle name="Title 2 2 2 2 2 2 2 3 2 37" xfId="42265"/>
    <cellStyle name="Title 2 2 2 2 2 2 2 3 2 38" xfId="42266"/>
    <cellStyle name="Title 2 2 2 2 2 2 2 3 2 39" xfId="42267"/>
    <cellStyle name="Title 2 2 2 2 2 2 2 3 2 4" xfId="42268"/>
    <cellStyle name="Title 2 2 2 2 2 2 2 3 2 40" xfId="42269"/>
    <cellStyle name="Title 2 2 2 2 2 2 2 3 2 41" xfId="42270"/>
    <cellStyle name="Title 2 2 2 2 2 2 2 3 2 42" xfId="42271"/>
    <cellStyle name="Title 2 2 2 2 2 2 2 3 2 43" xfId="42272"/>
    <cellStyle name="Title 2 2 2 2 2 2 2 3 2 44" xfId="42273"/>
    <cellStyle name="Title 2 2 2 2 2 2 2 3 2 45" xfId="42274"/>
    <cellStyle name="Title 2 2 2 2 2 2 2 3 2 46" xfId="42275"/>
    <cellStyle name="Title 2 2 2 2 2 2 2 3 2 47" xfId="42276"/>
    <cellStyle name="Title 2 2 2 2 2 2 2 3 2 48" xfId="42277"/>
    <cellStyle name="Title 2 2 2 2 2 2 2 3 2 49" xfId="42278"/>
    <cellStyle name="Title 2 2 2 2 2 2 2 3 2 5" xfId="42279"/>
    <cellStyle name="Title 2 2 2 2 2 2 2 3 2 50" xfId="42280"/>
    <cellStyle name="Title 2 2 2 2 2 2 2 3 2 51" xfId="42281"/>
    <cellStyle name="Title 2 2 2 2 2 2 2 3 2 52" xfId="42282"/>
    <cellStyle name="Title 2 2 2 2 2 2 2 3 2 53" xfId="42283"/>
    <cellStyle name="Title 2 2 2 2 2 2 2 3 2 54" xfId="42284"/>
    <cellStyle name="Title 2 2 2 2 2 2 2 3 2 55" xfId="42285"/>
    <cellStyle name="Title 2 2 2 2 2 2 2 3 2 56" xfId="42286"/>
    <cellStyle name="Title 2 2 2 2 2 2 2 3 2 57" xfId="42287"/>
    <cellStyle name="Title 2 2 2 2 2 2 2 3 2 58" xfId="42288"/>
    <cellStyle name="Title 2 2 2 2 2 2 2 3 2 59" xfId="42289"/>
    <cellStyle name="Title 2 2 2 2 2 2 2 3 2 6" xfId="42290"/>
    <cellStyle name="Title 2 2 2 2 2 2 2 3 2 60" xfId="42291"/>
    <cellStyle name="Title 2 2 2 2 2 2 2 3 2 61" xfId="42292"/>
    <cellStyle name="Title 2 2 2 2 2 2 2 3 2 62" xfId="42293"/>
    <cellStyle name="Title 2 2 2 2 2 2 2 3 2 63" xfId="42294"/>
    <cellStyle name="Title 2 2 2 2 2 2 2 3 2 64" xfId="42295"/>
    <cellStyle name="Title 2 2 2 2 2 2 2 3 2 65" xfId="42296"/>
    <cellStyle name="Title 2 2 2 2 2 2 2 3 2 66" xfId="42297"/>
    <cellStyle name="Title 2 2 2 2 2 2 2 3 2 67" xfId="42298"/>
    <cellStyle name="Title 2 2 2 2 2 2 2 3 2 68" xfId="42299"/>
    <cellStyle name="Title 2 2 2 2 2 2 2 3 2 69" xfId="42300"/>
    <cellStyle name="Title 2 2 2 2 2 2 2 3 2 7" xfId="42301"/>
    <cellStyle name="Title 2 2 2 2 2 2 2 3 2 70" xfId="42302"/>
    <cellStyle name="Title 2 2 2 2 2 2 2 3 2 71" xfId="42303"/>
    <cellStyle name="Title 2 2 2 2 2 2 2 3 2 72" xfId="42304"/>
    <cellStyle name="Title 2 2 2 2 2 2 2 3 2 73" xfId="42305"/>
    <cellStyle name="Title 2 2 2 2 2 2 2 3 2 74" xfId="42306"/>
    <cellStyle name="Title 2 2 2 2 2 2 2 3 2 75" xfId="42307"/>
    <cellStyle name="Title 2 2 2 2 2 2 2 3 2 76" xfId="42308"/>
    <cellStyle name="Title 2 2 2 2 2 2 2 3 2 77" xfId="42309"/>
    <cellStyle name="Title 2 2 2 2 2 2 2 3 2 78" xfId="42310"/>
    <cellStyle name="Title 2 2 2 2 2 2 2 3 2 79" xfId="42311"/>
    <cellStyle name="Title 2 2 2 2 2 2 2 3 2 8" xfId="42312"/>
    <cellStyle name="Title 2 2 2 2 2 2 2 3 2 80" xfId="42313"/>
    <cellStyle name="Title 2 2 2 2 2 2 2 3 2 81" xfId="42314"/>
    <cellStyle name="Title 2 2 2 2 2 2 2 3 2 82" xfId="42315"/>
    <cellStyle name="Title 2 2 2 2 2 2 2 3 2 83" xfId="42316"/>
    <cellStyle name="Title 2 2 2 2 2 2 2 3 2 84" xfId="42317"/>
    <cellStyle name="Title 2 2 2 2 2 2 2 3 2 85" xfId="42318"/>
    <cellStyle name="Title 2 2 2 2 2 2 2 3 2 86" xfId="42319"/>
    <cellStyle name="Title 2 2 2 2 2 2 2 3 2 87" xfId="42320"/>
    <cellStyle name="Title 2 2 2 2 2 2 2 3 2 88" xfId="42321"/>
    <cellStyle name="Title 2 2 2 2 2 2 2 3 2 89" xfId="42322"/>
    <cellStyle name="Title 2 2 2 2 2 2 2 3 2 9" xfId="42323"/>
    <cellStyle name="Title 2 2 2 2 2 2 2 3 2 90" xfId="42324"/>
    <cellStyle name="Title 2 2 2 2 2 2 2 3 2 91" xfId="42325"/>
    <cellStyle name="Title 2 2 2 2 2 2 2 3 2 92" xfId="42326"/>
    <cellStyle name="Title 2 2 2 2 2 2 2 3 2 93" xfId="42327"/>
    <cellStyle name="Title 2 2 2 2 2 2 2 3 2 94" xfId="42328"/>
    <cellStyle name="Title 2 2 2 2 2 2 2 3 2 95" xfId="42329"/>
    <cellStyle name="Title 2 2 2 2 2 2 2 3 2 96" xfId="42330"/>
    <cellStyle name="Title 2 2 2 2 2 2 2 3 2 97" xfId="42331"/>
    <cellStyle name="Title 2 2 2 2 2 2 2 3 2 98" xfId="42332"/>
    <cellStyle name="Title 2 2 2 2 2 2 2 3 20" xfId="42333"/>
    <cellStyle name="Title 2 2 2 2 2 2 2 3 21" xfId="42334"/>
    <cellStyle name="Title 2 2 2 2 2 2 2 3 22" xfId="42335"/>
    <cellStyle name="Title 2 2 2 2 2 2 2 3 23" xfId="42336"/>
    <cellStyle name="Title 2 2 2 2 2 2 2 3 24" xfId="42337"/>
    <cellStyle name="Title 2 2 2 2 2 2 2 3 25" xfId="42338"/>
    <cellStyle name="Title 2 2 2 2 2 2 2 3 25 2" xfId="42339"/>
    <cellStyle name="Title 2 2 2 2 2 2 2 3 26" xfId="42340"/>
    <cellStyle name="Title 2 2 2 2 2 2 2 3 27" xfId="42341"/>
    <cellStyle name="Title 2 2 2 2 2 2 2 3 28" xfId="42342"/>
    <cellStyle name="Title 2 2 2 2 2 2 2 3 29" xfId="42343"/>
    <cellStyle name="Title 2 2 2 2 2 2 2 3 3" xfId="42344"/>
    <cellStyle name="Title 2 2 2 2 2 2 2 3 30" xfId="42345"/>
    <cellStyle name="Title 2 2 2 2 2 2 2 3 31" xfId="42346"/>
    <cellStyle name="Title 2 2 2 2 2 2 2 3 32" xfId="42347"/>
    <cellStyle name="Title 2 2 2 2 2 2 2 3 33" xfId="42348"/>
    <cellStyle name="Title 2 2 2 2 2 2 2 3 34" xfId="42349"/>
    <cellStyle name="Title 2 2 2 2 2 2 2 3 35" xfId="42350"/>
    <cellStyle name="Title 2 2 2 2 2 2 2 3 36" xfId="42351"/>
    <cellStyle name="Title 2 2 2 2 2 2 2 3 37" xfId="42352"/>
    <cellStyle name="Title 2 2 2 2 2 2 2 3 38" xfId="42353"/>
    <cellStyle name="Title 2 2 2 2 2 2 2 3 39" xfId="42354"/>
    <cellStyle name="Title 2 2 2 2 2 2 2 3 4" xfId="42355"/>
    <cellStyle name="Title 2 2 2 2 2 2 2 3 4 10" xfId="42356"/>
    <cellStyle name="Title 2 2 2 2 2 2 2 3 4 11" xfId="42357"/>
    <cellStyle name="Title 2 2 2 2 2 2 2 3 4 12" xfId="42358"/>
    <cellStyle name="Title 2 2 2 2 2 2 2 3 4 13" xfId="42359"/>
    <cellStyle name="Title 2 2 2 2 2 2 2 3 4 14" xfId="42360"/>
    <cellStyle name="Title 2 2 2 2 2 2 2 3 4 15" xfId="42361"/>
    <cellStyle name="Title 2 2 2 2 2 2 2 3 4 16" xfId="42362"/>
    <cellStyle name="Title 2 2 2 2 2 2 2 3 4 17" xfId="42363"/>
    <cellStyle name="Title 2 2 2 2 2 2 2 3 4 18" xfId="42364"/>
    <cellStyle name="Title 2 2 2 2 2 2 2 3 4 19" xfId="42365"/>
    <cellStyle name="Title 2 2 2 2 2 2 2 3 4 2" xfId="42366"/>
    <cellStyle name="Title 2 2 2 2 2 2 2 3 4 2 10" xfId="42367"/>
    <cellStyle name="Title 2 2 2 2 2 2 2 3 4 2 11" xfId="42368"/>
    <cellStyle name="Title 2 2 2 2 2 2 2 3 4 2 12" xfId="42369"/>
    <cellStyle name="Title 2 2 2 2 2 2 2 3 4 2 13" xfId="42370"/>
    <cellStyle name="Title 2 2 2 2 2 2 2 3 4 2 14" xfId="42371"/>
    <cellStyle name="Title 2 2 2 2 2 2 2 3 4 2 15" xfId="42372"/>
    <cellStyle name="Title 2 2 2 2 2 2 2 3 4 2 16" xfId="42373"/>
    <cellStyle name="Title 2 2 2 2 2 2 2 3 4 2 17" xfId="42374"/>
    <cellStyle name="Title 2 2 2 2 2 2 2 3 4 2 18" xfId="42375"/>
    <cellStyle name="Title 2 2 2 2 2 2 2 3 4 2 19" xfId="42376"/>
    <cellStyle name="Title 2 2 2 2 2 2 2 3 4 2 2" xfId="42377"/>
    <cellStyle name="Title 2 2 2 2 2 2 2 3 4 2 2 2" xfId="42378"/>
    <cellStyle name="Title 2 2 2 2 2 2 2 3 4 2 20" xfId="42379"/>
    <cellStyle name="Title 2 2 2 2 2 2 2 3 4 2 21" xfId="42380"/>
    <cellStyle name="Title 2 2 2 2 2 2 2 3 4 2 22" xfId="42381"/>
    <cellStyle name="Title 2 2 2 2 2 2 2 3 4 2 23" xfId="42382"/>
    <cellStyle name="Title 2 2 2 2 2 2 2 3 4 2 24" xfId="42383"/>
    <cellStyle name="Title 2 2 2 2 2 2 2 3 4 2 25" xfId="42384"/>
    <cellStyle name="Title 2 2 2 2 2 2 2 3 4 2 26" xfId="42385"/>
    <cellStyle name="Title 2 2 2 2 2 2 2 3 4 2 27" xfId="42386"/>
    <cellStyle name="Title 2 2 2 2 2 2 2 3 4 2 28" xfId="42387"/>
    <cellStyle name="Title 2 2 2 2 2 2 2 3 4 2 29" xfId="42388"/>
    <cellStyle name="Title 2 2 2 2 2 2 2 3 4 2 3" xfId="42389"/>
    <cellStyle name="Title 2 2 2 2 2 2 2 3 4 2 30" xfId="42390"/>
    <cellStyle name="Title 2 2 2 2 2 2 2 3 4 2 31" xfId="42391"/>
    <cellStyle name="Title 2 2 2 2 2 2 2 3 4 2 32" xfId="42392"/>
    <cellStyle name="Title 2 2 2 2 2 2 2 3 4 2 33" xfId="42393"/>
    <cellStyle name="Title 2 2 2 2 2 2 2 3 4 2 34" xfId="42394"/>
    <cellStyle name="Title 2 2 2 2 2 2 2 3 4 2 35" xfId="42395"/>
    <cellStyle name="Title 2 2 2 2 2 2 2 3 4 2 36" xfId="42396"/>
    <cellStyle name="Title 2 2 2 2 2 2 2 3 4 2 37" xfId="42397"/>
    <cellStyle name="Title 2 2 2 2 2 2 2 3 4 2 38" xfId="42398"/>
    <cellStyle name="Title 2 2 2 2 2 2 2 3 4 2 39" xfId="42399"/>
    <cellStyle name="Title 2 2 2 2 2 2 2 3 4 2 4" xfId="42400"/>
    <cellStyle name="Title 2 2 2 2 2 2 2 3 4 2 40" xfId="42401"/>
    <cellStyle name="Title 2 2 2 2 2 2 2 3 4 2 41" xfId="42402"/>
    <cellStyle name="Title 2 2 2 2 2 2 2 3 4 2 42" xfId="42403"/>
    <cellStyle name="Title 2 2 2 2 2 2 2 3 4 2 43" xfId="42404"/>
    <cellStyle name="Title 2 2 2 2 2 2 2 3 4 2 44" xfId="42405"/>
    <cellStyle name="Title 2 2 2 2 2 2 2 3 4 2 45" xfId="42406"/>
    <cellStyle name="Title 2 2 2 2 2 2 2 3 4 2 46" xfId="42407"/>
    <cellStyle name="Title 2 2 2 2 2 2 2 3 4 2 47" xfId="42408"/>
    <cellStyle name="Title 2 2 2 2 2 2 2 3 4 2 48" xfId="42409"/>
    <cellStyle name="Title 2 2 2 2 2 2 2 3 4 2 49" xfId="42410"/>
    <cellStyle name="Title 2 2 2 2 2 2 2 3 4 2 5" xfId="42411"/>
    <cellStyle name="Title 2 2 2 2 2 2 2 3 4 2 50" xfId="42412"/>
    <cellStyle name="Title 2 2 2 2 2 2 2 3 4 2 51" xfId="42413"/>
    <cellStyle name="Title 2 2 2 2 2 2 2 3 4 2 52" xfId="42414"/>
    <cellStyle name="Title 2 2 2 2 2 2 2 3 4 2 53" xfId="42415"/>
    <cellStyle name="Title 2 2 2 2 2 2 2 3 4 2 54" xfId="42416"/>
    <cellStyle name="Title 2 2 2 2 2 2 2 3 4 2 55" xfId="42417"/>
    <cellStyle name="Title 2 2 2 2 2 2 2 3 4 2 56" xfId="42418"/>
    <cellStyle name="Title 2 2 2 2 2 2 2 3 4 2 57" xfId="42419"/>
    <cellStyle name="Title 2 2 2 2 2 2 2 3 4 2 58" xfId="42420"/>
    <cellStyle name="Title 2 2 2 2 2 2 2 3 4 2 59" xfId="42421"/>
    <cellStyle name="Title 2 2 2 2 2 2 2 3 4 2 6" xfId="42422"/>
    <cellStyle name="Title 2 2 2 2 2 2 2 3 4 2 60" xfId="42423"/>
    <cellStyle name="Title 2 2 2 2 2 2 2 3 4 2 61" xfId="42424"/>
    <cellStyle name="Title 2 2 2 2 2 2 2 3 4 2 62" xfId="42425"/>
    <cellStyle name="Title 2 2 2 2 2 2 2 3 4 2 63" xfId="42426"/>
    <cellStyle name="Title 2 2 2 2 2 2 2 3 4 2 64" xfId="42427"/>
    <cellStyle name="Title 2 2 2 2 2 2 2 3 4 2 65" xfId="42428"/>
    <cellStyle name="Title 2 2 2 2 2 2 2 3 4 2 66" xfId="42429"/>
    <cellStyle name="Title 2 2 2 2 2 2 2 3 4 2 67" xfId="42430"/>
    <cellStyle name="Title 2 2 2 2 2 2 2 3 4 2 68" xfId="42431"/>
    <cellStyle name="Title 2 2 2 2 2 2 2 3 4 2 69" xfId="42432"/>
    <cellStyle name="Title 2 2 2 2 2 2 2 3 4 2 7" xfId="42433"/>
    <cellStyle name="Title 2 2 2 2 2 2 2 3 4 2 70" xfId="42434"/>
    <cellStyle name="Title 2 2 2 2 2 2 2 3 4 2 71" xfId="42435"/>
    <cellStyle name="Title 2 2 2 2 2 2 2 3 4 2 72" xfId="42436"/>
    <cellStyle name="Title 2 2 2 2 2 2 2 3 4 2 73" xfId="42437"/>
    <cellStyle name="Title 2 2 2 2 2 2 2 3 4 2 74" xfId="42438"/>
    <cellStyle name="Title 2 2 2 2 2 2 2 3 4 2 8" xfId="42439"/>
    <cellStyle name="Title 2 2 2 2 2 2 2 3 4 2 9" xfId="42440"/>
    <cellStyle name="Title 2 2 2 2 2 2 2 3 4 20" xfId="42441"/>
    <cellStyle name="Title 2 2 2 2 2 2 2 3 4 21" xfId="42442"/>
    <cellStyle name="Title 2 2 2 2 2 2 2 3 4 22" xfId="42443"/>
    <cellStyle name="Title 2 2 2 2 2 2 2 3 4 23" xfId="42444"/>
    <cellStyle name="Title 2 2 2 2 2 2 2 3 4 24" xfId="42445"/>
    <cellStyle name="Title 2 2 2 2 2 2 2 3 4 25" xfId="42446"/>
    <cellStyle name="Title 2 2 2 2 2 2 2 3 4 26" xfId="42447"/>
    <cellStyle name="Title 2 2 2 2 2 2 2 3 4 27" xfId="42448"/>
    <cellStyle name="Title 2 2 2 2 2 2 2 3 4 28" xfId="42449"/>
    <cellStyle name="Title 2 2 2 2 2 2 2 3 4 29" xfId="42450"/>
    <cellStyle name="Title 2 2 2 2 2 2 2 3 4 3" xfId="42451"/>
    <cellStyle name="Title 2 2 2 2 2 2 2 3 4 3 2" xfId="42452"/>
    <cellStyle name="Title 2 2 2 2 2 2 2 3 4 30" xfId="42453"/>
    <cellStyle name="Title 2 2 2 2 2 2 2 3 4 31" xfId="42454"/>
    <cellStyle name="Title 2 2 2 2 2 2 2 3 4 32" xfId="42455"/>
    <cellStyle name="Title 2 2 2 2 2 2 2 3 4 33" xfId="42456"/>
    <cellStyle name="Title 2 2 2 2 2 2 2 3 4 34" xfId="42457"/>
    <cellStyle name="Title 2 2 2 2 2 2 2 3 4 35" xfId="42458"/>
    <cellStyle name="Title 2 2 2 2 2 2 2 3 4 36" xfId="42459"/>
    <cellStyle name="Title 2 2 2 2 2 2 2 3 4 37" xfId="42460"/>
    <cellStyle name="Title 2 2 2 2 2 2 2 3 4 38" xfId="42461"/>
    <cellStyle name="Title 2 2 2 2 2 2 2 3 4 39" xfId="42462"/>
    <cellStyle name="Title 2 2 2 2 2 2 2 3 4 4" xfId="42463"/>
    <cellStyle name="Title 2 2 2 2 2 2 2 3 4 40" xfId="42464"/>
    <cellStyle name="Title 2 2 2 2 2 2 2 3 4 41" xfId="42465"/>
    <cellStyle name="Title 2 2 2 2 2 2 2 3 4 42" xfId="42466"/>
    <cellStyle name="Title 2 2 2 2 2 2 2 3 4 43" xfId="42467"/>
    <cellStyle name="Title 2 2 2 2 2 2 2 3 4 44" xfId="42468"/>
    <cellStyle name="Title 2 2 2 2 2 2 2 3 4 45" xfId="42469"/>
    <cellStyle name="Title 2 2 2 2 2 2 2 3 4 46" xfId="42470"/>
    <cellStyle name="Title 2 2 2 2 2 2 2 3 4 47" xfId="42471"/>
    <cellStyle name="Title 2 2 2 2 2 2 2 3 4 48" xfId="42472"/>
    <cellStyle name="Title 2 2 2 2 2 2 2 3 4 49" xfId="42473"/>
    <cellStyle name="Title 2 2 2 2 2 2 2 3 4 5" xfId="42474"/>
    <cellStyle name="Title 2 2 2 2 2 2 2 3 4 50" xfId="42475"/>
    <cellStyle name="Title 2 2 2 2 2 2 2 3 4 51" xfId="42476"/>
    <cellStyle name="Title 2 2 2 2 2 2 2 3 4 52" xfId="42477"/>
    <cellStyle name="Title 2 2 2 2 2 2 2 3 4 53" xfId="42478"/>
    <cellStyle name="Title 2 2 2 2 2 2 2 3 4 54" xfId="42479"/>
    <cellStyle name="Title 2 2 2 2 2 2 2 3 4 55" xfId="42480"/>
    <cellStyle name="Title 2 2 2 2 2 2 2 3 4 56" xfId="42481"/>
    <cellStyle name="Title 2 2 2 2 2 2 2 3 4 57" xfId="42482"/>
    <cellStyle name="Title 2 2 2 2 2 2 2 3 4 58" xfId="42483"/>
    <cellStyle name="Title 2 2 2 2 2 2 2 3 4 59" xfId="42484"/>
    <cellStyle name="Title 2 2 2 2 2 2 2 3 4 6" xfId="42485"/>
    <cellStyle name="Title 2 2 2 2 2 2 2 3 4 60" xfId="42486"/>
    <cellStyle name="Title 2 2 2 2 2 2 2 3 4 61" xfId="42487"/>
    <cellStyle name="Title 2 2 2 2 2 2 2 3 4 62" xfId="42488"/>
    <cellStyle name="Title 2 2 2 2 2 2 2 3 4 63" xfId="42489"/>
    <cellStyle name="Title 2 2 2 2 2 2 2 3 4 64" xfId="42490"/>
    <cellStyle name="Title 2 2 2 2 2 2 2 3 4 65" xfId="42491"/>
    <cellStyle name="Title 2 2 2 2 2 2 2 3 4 66" xfId="42492"/>
    <cellStyle name="Title 2 2 2 2 2 2 2 3 4 67" xfId="42493"/>
    <cellStyle name="Title 2 2 2 2 2 2 2 3 4 68" xfId="42494"/>
    <cellStyle name="Title 2 2 2 2 2 2 2 3 4 69" xfId="42495"/>
    <cellStyle name="Title 2 2 2 2 2 2 2 3 4 7" xfId="42496"/>
    <cellStyle name="Title 2 2 2 2 2 2 2 3 4 70" xfId="42497"/>
    <cellStyle name="Title 2 2 2 2 2 2 2 3 4 71" xfId="42498"/>
    <cellStyle name="Title 2 2 2 2 2 2 2 3 4 72" xfId="42499"/>
    <cellStyle name="Title 2 2 2 2 2 2 2 3 4 73" xfId="42500"/>
    <cellStyle name="Title 2 2 2 2 2 2 2 3 4 74" xfId="42501"/>
    <cellStyle name="Title 2 2 2 2 2 2 2 3 4 8" xfId="42502"/>
    <cellStyle name="Title 2 2 2 2 2 2 2 3 4 9" xfId="42503"/>
    <cellStyle name="Title 2 2 2 2 2 2 2 3 40" xfId="42504"/>
    <cellStyle name="Title 2 2 2 2 2 2 2 3 41" xfId="42505"/>
    <cellStyle name="Title 2 2 2 2 2 2 2 3 42" xfId="42506"/>
    <cellStyle name="Title 2 2 2 2 2 2 2 3 43" xfId="42507"/>
    <cellStyle name="Title 2 2 2 2 2 2 2 3 44" xfId="42508"/>
    <cellStyle name="Title 2 2 2 2 2 2 2 3 45" xfId="42509"/>
    <cellStyle name="Title 2 2 2 2 2 2 2 3 46" xfId="42510"/>
    <cellStyle name="Title 2 2 2 2 2 2 2 3 47" xfId="42511"/>
    <cellStyle name="Title 2 2 2 2 2 2 2 3 48" xfId="42512"/>
    <cellStyle name="Title 2 2 2 2 2 2 2 3 49" xfId="42513"/>
    <cellStyle name="Title 2 2 2 2 2 2 2 3 5" xfId="42514"/>
    <cellStyle name="Title 2 2 2 2 2 2 2 3 50" xfId="42515"/>
    <cellStyle name="Title 2 2 2 2 2 2 2 3 51" xfId="42516"/>
    <cellStyle name="Title 2 2 2 2 2 2 2 3 52" xfId="42517"/>
    <cellStyle name="Title 2 2 2 2 2 2 2 3 53" xfId="42518"/>
    <cellStyle name="Title 2 2 2 2 2 2 2 3 54" xfId="42519"/>
    <cellStyle name="Title 2 2 2 2 2 2 2 3 55" xfId="42520"/>
    <cellStyle name="Title 2 2 2 2 2 2 2 3 56" xfId="42521"/>
    <cellStyle name="Title 2 2 2 2 2 2 2 3 57" xfId="42522"/>
    <cellStyle name="Title 2 2 2 2 2 2 2 3 58" xfId="42523"/>
    <cellStyle name="Title 2 2 2 2 2 2 2 3 59" xfId="42524"/>
    <cellStyle name="Title 2 2 2 2 2 2 2 3 6" xfId="42525"/>
    <cellStyle name="Title 2 2 2 2 2 2 2 3 60" xfId="42526"/>
    <cellStyle name="Title 2 2 2 2 2 2 2 3 61" xfId="42527"/>
    <cellStyle name="Title 2 2 2 2 2 2 2 3 62" xfId="42528"/>
    <cellStyle name="Title 2 2 2 2 2 2 2 3 63" xfId="42529"/>
    <cellStyle name="Title 2 2 2 2 2 2 2 3 64" xfId="42530"/>
    <cellStyle name="Title 2 2 2 2 2 2 2 3 65" xfId="42531"/>
    <cellStyle name="Title 2 2 2 2 2 2 2 3 66" xfId="42532"/>
    <cellStyle name="Title 2 2 2 2 2 2 2 3 67" xfId="42533"/>
    <cellStyle name="Title 2 2 2 2 2 2 2 3 68" xfId="42534"/>
    <cellStyle name="Title 2 2 2 2 2 2 2 3 69" xfId="42535"/>
    <cellStyle name="Title 2 2 2 2 2 2 2 3 7" xfId="42536"/>
    <cellStyle name="Title 2 2 2 2 2 2 2 3 70" xfId="42537"/>
    <cellStyle name="Title 2 2 2 2 2 2 2 3 71" xfId="42538"/>
    <cellStyle name="Title 2 2 2 2 2 2 2 3 72" xfId="42539"/>
    <cellStyle name="Title 2 2 2 2 2 2 2 3 73" xfId="42540"/>
    <cellStyle name="Title 2 2 2 2 2 2 2 3 74" xfId="42541"/>
    <cellStyle name="Title 2 2 2 2 2 2 2 3 75" xfId="42542"/>
    <cellStyle name="Title 2 2 2 2 2 2 2 3 76" xfId="42543"/>
    <cellStyle name="Title 2 2 2 2 2 2 2 3 77" xfId="42544"/>
    <cellStyle name="Title 2 2 2 2 2 2 2 3 78" xfId="42545"/>
    <cellStyle name="Title 2 2 2 2 2 2 2 3 79" xfId="42546"/>
    <cellStyle name="Title 2 2 2 2 2 2 2 3 8" xfId="42547"/>
    <cellStyle name="Title 2 2 2 2 2 2 2 3 80" xfId="42548"/>
    <cellStyle name="Title 2 2 2 2 2 2 2 3 81" xfId="42549"/>
    <cellStyle name="Title 2 2 2 2 2 2 2 3 82" xfId="42550"/>
    <cellStyle name="Title 2 2 2 2 2 2 2 3 83" xfId="42551"/>
    <cellStyle name="Title 2 2 2 2 2 2 2 3 84" xfId="42552"/>
    <cellStyle name="Title 2 2 2 2 2 2 2 3 85" xfId="42553"/>
    <cellStyle name="Title 2 2 2 2 2 2 2 3 86" xfId="42554"/>
    <cellStyle name="Title 2 2 2 2 2 2 2 3 87" xfId="42555"/>
    <cellStyle name="Title 2 2 2 2 2 2 2 3 88" xfId="42556"/>
    <cellStyle name="Title 2 2 2 2 2 2 2 3 89" xfId="42557"/>
    <cellStyle name="Title 2 2 2 2 2 2 2 3 9" xfId="42558"/>
    <cellStyle name="Title 2 2 2 2 2 2 2 3 90" xfId="42559"/>
    <cellStyle name="Title 2 2 2 2 2 2 2 3 91" xfId="42560"/>
    <cellStyle name="Title 2 2 2 2 2 2 2 3 92" xfId="42561"/>
    <cellStyle name="Title 2 2 2 2 2 2 2 3 93" xfId="42562"/>
    <cellStyle name="Title 2 2 2 2 2 2 2 3 94" xfId="42563"/>
    <cellStyle name="Title 2 2 2 2 2 2 2 3 95" xfId="42564"/>
    <cellStyle name="Title 2 2 2 2 2 2 2 3 96" xfId="42565"/>
    <cellStyle name="Title 2 2 2 2 2 2 2 3 97" xfId="42566"/>
    <cellStyle name="Title 2 2 2 2 2 2 2 3 98" xfId="42567"/>
    <cellStyle name="Title 2 2 2 2 2 2 2 3 99" xfId="42568"/>
    <cellStyle name="Title 2 2 2 2 2 2 2 30" xfId="42569"/>
    <cellStyle name="Title 2 2 2 2 2 2 2 30 2" xfId="42570"/>
    <cellStyle name="Title 2 2 2 2 2 2 2 31" xfId="42571"/>
    <cellStyle name="Title 2 2 2 2 2 2 2 31 2" xfId="42572"/>
    <cellStyle name="Title 2 2 2 2 2 2 2 32" xfId="42573"/>
    <cellStyle name="Title 2 2 2 2 2 2 2 32 2" xfId="42574"/>
    <cellStyle name="Title 2 2 2 2 2 2 2 33" xfId="42575"/>
    <cellStyle name="Title 2 2 2 2 2 2 2 33 2" xfId="42576"/>
    <cellStyle name="Title 2 2 2 2 2 2 2 34" xfId="42577"/>
    <cellStyle name="Title 2 2 2 2 2 2 2 34 2" xfId="42578"/>
    <cellStyle name="Title 2 2 2 2 2 2 2 35" xfId="42579"/>
    <cellStyle name="Title 2 2 2 2 2 2 2 35 2" xfId="42580"/>
    <cellStyle name="Title 2 2 2 2 2 2 2 36" xfId="42581"/>
    <cellStyle name="Title 2 2 2 2 2 2 2 36 2" xfId="42582"/>
    <cellStyle name="Title 2 2 2 2 2 2 2 37" xfId="42583"/>
    <cellStyle name="Title 2 2 2 2 2 2 2 37 2" xfId="42584"/>
    <cellStyle name="Title 2 2 2 2 2 2 2 38" xfId="42585"/>
    <cellStyle name="Title 2 2 2 2 2 2 2 38 2" xfId="42586"/>
    <cellStyle name="Title 2 2 2 2 2 2 2 39" xfId="42587"/>
    <cellStyle name="Title 2 2 2 2 2 2 2 39 2" xfId="42588"/>
    <cellStyle name="Title 2 2 2 2 2 2 2 4" xfId="42589"/>
    <cellStyle name="Title 2 2 2 2 2 2 2 4 10" xfId="42590"/>
    <cellStyle name="Title 2 2 2 2 2 2 2 4 10 2" xfId="42591"/>
    <cellStyle name="Title 2 2 2 2 2 2 2 4 100" xfId="42592"/>
    <cellStyle name="Title 2 2 2 2 2 2 2 4 101" xfId="42593"/>
    <cellStyle name="Title 2 2 2 2 2 2 2 4 102" xfId="42594"/>
    <cellStyle name="Title 2 2 2 2 2 2 2 4 103" xfId="42595"/>
    <cellStyle name="Title 2 2 2 2 2 2 2 4 104" xfId="42596"/>
    <cellStyle name="Title 2 2 2 2 2 2 2 4 105" xfId="42597"/>
    <cellStyle name="Title 2 2 2 2 2 2 2 4 106" xfId="42598"/>
    <cellStyle name="Title 2 2 2 2 2 2 2 4 107" xfId="42599"/>
    <cellStyle name="Title 2 2 2 2 2 2 2 4 108" xfId="42600"/>
    <cellStyle name="Title 2 2 2 2 2 2 2 4 109" xfId="42601"/>
    <cellStyle name="Title 2 2 2 2 2 2 2 4 11" xfId="42602"/>
    <cellStyle name="Title 2 2 2 2 2 2 2 4 11 2" xfId="42603"/>
    <cellStyle name="Title 2 2 2 2 2 2 2 4 12" xfId="42604"/>
    <cellStyle name="Title 2 2 2 2 2 2 2 4 12 2" xfId="42605"/>
    <cellStyle name="Title 2 2 2 2 2 2 2 4 13" xfId="42606"/>
    <cellStyle name="Title 2 2 2 2 2 2 2 4 13 2" xfId="42607"/>
    <cellStyle name="Title 2 2 2 2 2 2 2 4 14" xfId="42608"/>
    <cellStyle name="Title 2 2 2 2 2 2 2 4 14 2" xfId="42609"/>
    <cellStyle name="Title 2 2 2 2 2 2 2 4 15" xfId="42610"/>
    <cellStyle name="Title 2 2 2 2 2 2 2 4 15 2" xfId="42611"/>
    <cellStyle name="Title 2 2 2 2 2 2 2 4 16" xfId="42612"/>
    <cellStyle name="Title 2 2 2 2 2 2 2 4 16 2" xfId="42613"/>
    <cellStyle name="Title 2 2 2 2 2 2 2 4 17" xfId="42614"/>
    <cellStyle name="Title 2 2 2 2 2 2 2 4 17 2" xfId="42615"/>
    <cellStyle name="Title 2 2 2 2 2 2 2 4 18" xfId="42616"/>
    <cellStyle name="Title 2 2 2 2 2 2 2 4 18 2" xfId="42617"/>
    <cellStyle name="Title 2 2 2 2 2 2 2 4 19" xfId="42618"/>
    <cellStyle name="Title 2 2 2 2 2 2 2 4 19 2" xfId="42619"/>
    <cellStyle name="Title 2 2 2 2 2 2 2 4 2" xfId="42620"/>
    <cellStyle name="Title 2 2 2 2 2 2 2 4 2 10" xfId="42621"/>
    <cellStyle name="Title 2 2 2 2 2 2 2 4 2 11" xfId="42622"/>
    <cellStyle name="Title 2 2 2 2 2 2 2 4 2 12" xfId="42623"/>
    <cellStyle name="Title 2 2 2 2 2 2 2 4 2 13" xfId="42624"/>
    <cellStyle name="Title 2 2 2 2 2 2 2 4 2 14" xfId="42625"/>
    <cellStyle name="Title 2 2 2 2 2 2 2 4 2 15" xfId="42626"/>
    <cellStyle name="Title 2 2 2 2 2 2 2 4 2 16" xfId="42627"/>
    <cellStyle name="Title 2 2 2 2 2 2 2 4 2 17" xfId="42628"/>
    <cellStyle name="Title 2 2 2 2 2 2 2 4 2 18" xfId="42629"/>
    <cellStyle name="Title 2 2 2 2 2 2 2 4 2 19" xfId="42630"/>
    <cellStyle name="Title 2 2 2 2 2 2 2 4 2 2" xfId="42631"/>
    <cellStyle name="Title 2 2 2 2 2 2 2 4 2 2 10" xfId="42632"/>
    <cellStyle name="Title 2 2 2 2 2 2 2 4 2 2 11" xfId="42633"/>
    <cellStyle name="Title 2 2 2 2 2 2 2 4 2 2 12" xfId="42634"/>
    <cellStyle name="Title 2 2 2 2 2 2 2 4 2 2 13" xfId="42635"/>
    <cellStyle name="Title 2 2 2 2 2 2 2 4 2 2 14" xfId="42636"/>
    <cellStyle name="Title 2 2 2 2 2 2 2 4 2 2 15" xfId="42637"/>
    <cellStyle name="Title 2 2 2 2 2 2 2 4 2 2 16" xfId="42638"/>
    <cellStyle name="Title 2 2 2 2 2 2 2 4 2 2 17" xfId="42639"/>
    <cellStyle name="Title 2 2 2 2 2 2 2 4 2 2 18" xfId="42640"/>
    <cellStyle name="Title 2 2 2 2 2 2 2 4 2 2 19" xfId="42641"/>
    <cellStyle name="Title 2 2 2 2 2 2 2 4 2 2 2" xfId="42642"/>
    <cellStyle name="Title 2 2 2 2 2 2 2 4 2 2 2 10" xfId="42643"/>
    <cellStyle name="Title 2 2 2 2 2 2 2 4 2 2 2 11" xfId="42644"/>
    <cellStyle name="Title 2 2 2 2 2 2 2 4 2 2 2 12" xfId="42645"/>
    <cellStyle name="Title 2 2 2 2 2 2 2 4 2 2 2 13" xfId="42646"/>
    <cellStyle name="Title 2 2 2 2 2 2 2 4 2 2 2 14" xfId="42647"/>
    <cellStyle name="Title 2 2 2 2 2 2 2 4 2 2 2 15" xfId="42648"/>
    <cellStyle name="Title 2 2 2 2 2 2 2 4 2 2 2 16" xfId="42649"/>
    <cellStyle name="Title 2 2 2 2 2 2 2 4 2 2 2 17" xfId="42650"/>
    <cellStyle name="Title 2 2 2 2 2 2 2 4 2 2 2 18" xfId="42651"/>
    <cellStyle name="Title 2 2 2 2 2 2 2 4 2 2 2 19" xfId="42652"/>
    <cellStyle name="Title 2 2 2 2 2 2 2 4 2 2 2 2" xfId="42653"/>
    <cellStyle name="Title 2 2 2 2 2 2 2 4 2 2 2 2 10" xfId="42654"/>
    <cellStyle name="Title 2 2 2 2 2 2 2 4 2 2 2 2 11" xfId="42655"/>
    <cellStyle name="Title 2 2 2 2 2 2 2 4 2 2 2 2 12" xfId="42656"/>
    <cellStyle name="Title 2 2 2 2 2 2 2 4 2 2 2 2 13" xfId="42657"/>
    <cellStyle name="Title 2 2 2 2 2 2 2 4 2 2 2 2 14" xfId="42658"/>
    <cellStyle name="Title 2 2 2 2 2 2 2 4 2 2 2 2 15" xfId="42659"/>
    <cellStyle name="Title 2 2 2 2 2 2 2 4 2 2 2 2 16" xfId="42660"/>
    <cellStyle name="Title 2 2 2 2 2 2 2 4 2 2 2 2 17" xfId="42661"/>
    <cellStyle name="Title 2 2 2 2 2 2 2 4 2 2 2 2 18" xfId="42662"/>
    <cellStyle name="Title 2 2 2 2 2 2 2 4 2 2 2 2 19" xfId="42663"/>
    <cellStyle name="Title 2 2 2 2 2 2 2 4 2 2 2 2 2" xfId="42664"/>
    <cellStyle name="Title 2 2 2 2 2 2 2 4 2 2 2 2 2 2" xfId="42665"/>
    <cellStyle name="Title 2 2 2 2 2 2 2 4 2 2 2 2 20" xfId="42666"/>
    <cellStyle name="Title 2 2 2 2 2 2 2 4 2 2 2 2 21" xfId="42667"/>
    <cellStyle name="Title 2 2 2 2 2 2 2 4 2 2 2 2 22" xfId="42668"/>
    <cellStyle name="Title 2 2 2 2 2 2 2 4 2 2 2 2 23" xfId="42669"/>
    <cellStyle name="Title 2 2 2 2 2 2 2 4 2 2 2 2 24" xfId="42670"/>
    <cellStyle name="Title 2 2 2 2 2 2 2 4 2 2 2 2 25" xfId="42671"/>
    <cellStyle name="Title 2 2 2 2 2 2 2 4 2 2 2 2 26" xfId="42672"/>
    <cellStyle name="Title 2 2 2 2 2 2 2 4 2 2 2 2 27" xfId="42673"/>
    <cellStyle name="Title 2 2 2 2 2 2 2 4 2 2 2 2 28" xfId="42674"/>
    <cellStyle name="Title 2 2 2 2 2 2 2 4 2 2 2 2 29" xfId="42675"/>
    <cellStyle name="Title 2 2 2 2 2 2 2 4 2 2 2 2 3" xfId="42676"/>
    <cellStyle name="Title 2 2 2 2 2 2 2 4 2 2 2 2 30" xfId="42677"/>
    <cellStyle name="Title 2 2 2 2 2 2 2 4 2 2 2 2 31" xfId="42678"/>
    <cellStyle name="Title 2 2 2 2 2 2 2 4 2 2 2 2 32" xfId="42679"/>
    <cellStyle name="Title 2 2 2 2 2 2 2 4 2 2 2 2 33" xfId="42680"/>
    <cellStyle name="Title 2 2 2 2 2 2 2 4 2 2 2 2 34" xfId="42681"/>
    <cellStyle name="Title 2 2 2 2 2 2 2 4 2 2 2 2 35" xfId="42682"/>
    <cellStyle name="Title 2 2 2 2 2 2 2 4 2 2 2 2 36" xfId="42683"/>
    <cellStyle name="Title 2 2 2 2 2 2 2 4 2 2 2 2 37" xfId="42684"/>
    <cellStyle name="Title 2 2 2 2 2 2 2 4 2 2 2 2 38" xfId="42685"/>
    <cellStyle name="Title 2 2 2 2 2 2 2 4 2 2 2 2 39" xfId="42686"/>
    <cellStyle name="Title 2 2 2 2 2 2 2 4 2 2 2 2 4" xfId="42687"/>
    <cellStyle name="Title 2 2 2 2 2 2 2 4 2 2 2 2 40" xfId="42688"/>
    <cellStyle name="Title 2 2 2 2 2 2 2 4 2 2 2 2 41" xfId="42689"/>
    <cellStyle name="Title 2 2 2 2 2 2 2 4 2 2 2 2 42" xfId="42690"/>
    <cellStyle name="Title 2 2 2 2 2 2 2 4 2 2 2 2 43" xfId="42691"/>
    <cellStyle name="Title 2 2 2 2 2 2 2 4 2 2 2 2 44" xfId="42692"/>
    <cellStyle name="Title 2 2 2 2 2 2 2 4 2 2 2 2 45" xfId="42693"/>
    <cellStyle name="Title 2 2 2 2 2 2 2 4 2 2 2 2 46" xfId="42694"/>
    <cellStyle name="Title 2 2 2 2 2 2 2 4 2 2 2 2 47" xfId="42695"/>
    <cellStyle name="Title 2 2 2 2 2 2 2 4 2 2 2 2 48" xfId="42696"/>
    <cellStyle name="Title 2 2 2 2 2 2 2 4 2 2 2 2 49" xfId="42697"/>
    <cellStyle name="Title 2 2 2 2 2 2 2 4 2 2 2 2 5" xfId="42698"/>
    <cellStyle name="Title 2 2 2 2 2 2 2 4 2 2 2 2 50" xfId="42699"/>
    <cellStyle name="Title 2 2 2 2 2 2 2 4 2 2 2 2 51" xfId="42700"/>
    <cellStyle name="Title 2 2 2 2 2 2 2 4 2 2 2 2 52" xfId="42701"/>
    <cellStyle name="Title 2 2 2 2 2 2 2 4 2 2 2 2 53" xfId="42702"/>
    <cellStyle name="Title 2 2 2 2 2 2 2 4 2 2 2 2 54" xfId="42703"/>
    <cellStyle name="Title 2 2 2 2 2 2 2 4 2 2 2 2 55" xfId="42704"/>
    <cellStyle name="Title 2 2 2 2 2 2 2 4 2 2 2 2 56" xfId="42705"/>
    <cellStyle name="Title 2 2 2 2 2 2 2 4 2 2 2 2 57" xfId="42706"/>
    <cellStyle name="Title 2 2 2 2 2 2 2 4 2 2 2 2 58" xfId="42707"/>
    <cellStyle name="Title 2 2 2 2 2 2 2 4 2 2 2 2 59" xfId="42708"/>
    <cellStyle name="Title 2 2 2 2 2 2 2 4 2 2 2 2 6" xfId="42709"/>
    <cellStyle name="Title 2 2 2 2 2 2 2 4 2 2 2 2 60" xfId="42710"/>
    <cellStyle name="Title 2 2 2 2 2 2 2 4 2 2 2 2 61" xfId="42711"/>
    <cellStyle name="Title 2 2 2 2 2 2 2 4 2 2 2 2 62" xfId="42712"/>
    <cellStyle name="Title 2 2 2 2 2 2 2 4 2 2 2 2 63" xfId="42713"/>
    <cellStyle name="Title 2 2 2 2 2 2 2 4 2 2 2 2 64" xfId="42714"/>
    <cellStyle name="Title 2 2 2 2 2 2 2 4 2 2 2 2 65" xfId="42715"/>
    <cellStyle name="Title 2 2 2 2 2 2 2 4 2 2 2 2 66" xfId="42716"/>
    <cellStyle name="Title 2 2 2 2 2 2 2 4 2 2 2 2 67" xfId="42717"/>
    <cellStyle name="Title 2 2 2 2 2 2 2 4 2 2 2 2 68" xfId="42718"/>
    <cellStyle name="Title 2 2 2 2 2 2 2 4 2 2 2 2 69" xfId="42719"/>
    <cellStyle name="Title 2 2 2 2 2 2 2 4 2 2 2 2 7" xfId="42720"/>
    <cellStyle name="Title 2 2 2 2 2 2 2 4 2 2 2 2 70" xfId="42721"/>
    <cellStyle name="Title 2 2 2 2 2 2 2 4 2 2 2 2 71" xfId="42722"/>
    <cellStyle name="Title 2 2 2 2 2 2 2 4 2 2 2 2 72" xfId="42723"/>
    <cellStyle name="Title 2 2 2 2 2 2 2 4 2 2 2 2 73" xfId="42724"/>
    <cellStyle name="Title 2 2 2 2 2 2 2 4 2 2 2 2 74" xfId="42725"/>
    <cellStyle name="Title 2 2 2 2 2 2 2 4 2 2 2 2 8" xfId="42726"/>
    <cellStyle name="Title 2 2 2 2 2 2 2 4 2 2 2 2 9" xfId="42727"/>
    <cellStyle name="Title 2 2 2 2 2 2 2 4 2 2 2 20" xfId="42728"/>
    <cellStyle name="Title 2 2 2 2 2 2 2 4 2 2 2 21" xfId="42729"/>
    <cellStyle name="Title 2 2 2 2 2 2 2 4 2 2 2 22" xfId="42730"/>
    <cellStyle name="Title 2 2 2 2 2 2 2 4 2 2 2 23" xfId="42731"/>
    <cellStyle name="Title 2 2 2 2 2 2 2 4 2 2 2 24" xfId="42732"/>
    <cellStyle name="Title 2 2 2 2 2 2 2 4 2 2 2 25" xfId="42733"/>
    <cellStyle name="Title 2 2 2 2 2 2 2 4 2 2 2 26" xfId="42734"/>
    <cellStyle name="Title 2 2 2 2 2 2 2 4 2 2 2 27" xfId="42735"/>
    <cellStyle name="Title 2 2 2 2 2 2 2 4 2 2 2 28" xfId="42736"/>
    <cellStyle name="Title 2 2 2 2 2 2 2 4 2 2 2 29" xfId="42737"/>
    <cellStyle name="Title 2 2 2 2 2 2 2 4 2 2 2 3" xfId="42738"/>
    <cellStyle name="Title 2 2 2 2 2 2 2 4 2 2 2 3 2" xfId="42739"/>
    <cellStyle name="Title 2 2 2 2 2 2 2 4 2 2 2 30" xfId="42740"/>
    <cellStyle name="Title 2 2 2 2 2 2 2 4 2 2 2 31" xfId="42741"/>
    <cellStyle name="Title 2 2 2 2 2 2 2 4 2 2 2 32" xfId="42742"/>
    <cellStyle name="Title 2 2 2 2 2 2 2 4 2 2 2 33" xfId="42743"/>
    <cellStyle name="Title 2 2 2 2 2 2 2 4 2 2 2 34" xfId="42744"/>
    <cellStyle name="Title 2 2 2 2 2 2 2 4 2 2 2 35" xfId="42745"/>
    <cellStyle name="Title 2 2 2 2 2 2 2 4 2 2 2 36" xfId="42746"/>
    <cellStyle name="Title 2 2 2 2 2 2 2 4 2 2 2 37" xfId="42747"/>
    <cellStyle name="Title 2 2 2 2 2 2 2 4 2 2 2 38" xfId="42748"/>
    <cellStyle name="Title 2 2 2 2 2 2 2 4 2 2 2 39" xfId="42749"/>
    <cellStyle name="Title 2 2 2 2 2 2 2 4 2 2 2 4" xfId="42750"/>
    <cellStyle name="Title 2 2 2 2 2 2 2 4 2 2 2 40" xfId="42751"/>
    <cellStyle name="Title 2 2 2 2 2 2 2 4 2 2 2 41" xfId="42752"/>
    <cellStyle name="Title 2 2 2 2 2 2 2 4 2 2 2 42" xfId="42753"/>
    <cellStyle name="Title 2 2 2 2 2 2 2 4 2 2 2 43" xfId="42754"/>
    <cellStyle name="Title 2 2 2 2 2 2 2 4 2 2 2 44" xfId="42755"/>
    <cellStyle name="Title 2 2 2 2 2 2 2 4 2 2 2 45" xfId="42756"/>
    <cellStyle name="Title 2 2 2 2 2 2 2 4 2 2 2 46" xfId="42757"/>
    <cellStyle name="Title 2 2 2 2 2 2 2 4 2 2 2 47" xfId="42758"/>
    <cellStyle name="Title 2 2 2 2 2 2 2 4 2 2 2 48" xfId="42759"/>
    <cellStyle name="Title 2 2 2 2 2 2 2 4 2 2 2 49" xfId="42760"/>
    <cellStyle name="Title 2 2 2 2 2 2 2 4 2 2 2 5" xfId="42761"/>
    <cellStyle name="Title 2 2 2 2 2 2 2 4 2 2 2 50" xfId="42762"/>
    <cellStyle name="Title 2 2 2 2 2 2 2 4 2 2 2 51" xfId="42763"/>
    <cellStyle name="Title 2 2 2 2 2 2 2 4 2 2 2 52" xfId="42764"/>
    <cellStyle name="Title 2 2 2 2 2 2 2 4 2 2 2 53" xfId="42765"/>
    <cellStyle name="Title 2 2 2 2 2 2 2 4 2 2 2 54" xfId="42766"/>
    <cellStyle name="Title 2 2 2 2 2 2 2 4 2 2 2 55" xfId="42767"/>
    <cellStyle name="Title 2 2 2 2 2 2 2 4 2 2 2 56" xfId="42768"/>
    <cellStyle name="Title 2 2 2 2 2 2 2 4 2 2 2 57" xfId="42769"/>
    <cellStyle name="Title 2 2 2 2 2 2 2 4 2 2 2 58" xfId="42770"/>
    <cellStyle name="Title 2 2 2 2 2 2 2 4 2 2 2 59" xfId="42771"/>
    <cellStyle name="Title 2 2 2 2 2 2 2 4 2 2 2 6" xfId="42772"/>
    <cellStyle name="Title 2 2 2 2 2 2 2 4 2 2 2 60" xfId="42773"/>
    <cellStyle name="Title 2 2 2 2 2 2 2 4 2 2 2 61" xfId="42774"/>
    <cellStyle name="Title 2 2 2 2 2 2 2 4 2 2 2 62" xfId="42775"/>
    <cellStyle name="Title 2 2 2 2 2 2 2 4 2 2 2 63" xfId="42776"/>
    <cellStyle name="Title 2 2 2 2 2 2 2 4 2 2 2 64" xfId="42777"/>
    <cellStyle name="Title 2 2 2 2 2 2 2 4 2 2 2 65" xfId="42778"/>
    <cellStyle name="Title 2 2 2 2 2 2 2 4 2 2 2 66" xfId="42779"/>
    <cellStyle name="Title 2 2 2 2 2 2 2 4 2 2 2 67" xfId="42780"/>
    <cellStyle name="Title 2 2 2 2 2 2 2 4 2 2 2 68" xfId="42781"/>
    <cellStyle name="Title 2 2 2 2 2 2 2 4 2 2 2 69" xfId="42782"/>
    <cellStyle name="Title 2 2 2 2 2 2 2 4 2 2 2 7" xfId="42783"/>
    <cellStyle name="Title 2 2 2 2 2 2 2 4 2 2 2 70" xfId="42784"/>
    <cellStyle name="Title 2 2 2 2 2 2 2 4 2 2 2 71" xfId="42785"/>
    <cellStyle name="Title 2 2 2 2 2 2 2 4 2 2 2 72" xfId="42786"/>
    <cellStyle name="Title 2 2 2 2 2 2 2 4 2 2 2 73" xfId="42787"/>
    <cellStyle name="Title 2 2 2 2 2 2 2 4 2 2 2 74" xfId="42788"/>
    <cellStyle name="Title 2 2 2 2 2 2 2 4 2 2 2 8" xfId="42789"/>
    <cellStyle name="Title 2 2 2 2 2 2 2 4 2 2 2 9" xfId="42790"/>
    <cellStyle name="Title 2 2 2 2 2 2 2 4 2 2 20" xfId="42791"/>
    <cellStyle name="Title 2 2 2 2 2 2 2 4 2 2 21" xfId="42792"/>
    <cellStyle name="Title 2 2 2 2 2 2 2 4 2 2 22" xfId="42793"/>
    <cellStyle name="Title 2 2 2 2 2 2 2 4 2 2 23" xfId="42794"/>
    <cellStyle name="Title 2 2 2 2 2 2 2 4 2 2 24" xfId="42795"/>
    <cellStyle name="Title 2 2 2 2 2 2 2 4 2 2 25" xfId="42796"/>
    <cellStyle name="Title 2 2 2 2 2 2 2 4 2 2 26" xfId="42797"/>
    <cellStyle name="Title 2 2 2 2 2 2 2 4 2 2 27" xfId="42798"/>
    <cellStyle name="Title 2 2 2 2 2 2 2 4 2 2 28" xfId="42799"/>
    <cellStyle name="Title 2 2 2 2 2 2 2 4 2 2 29" xfId="42800"/>
    <cellStyle name="Title 2 2 2 2 2 2 2 4 2 2 3" xfId="42801"/>
    <cellStyle name="Title 2 2 2 2 2 2 2 4 2 2 3 2" xfId="42802"/>
    <cellStyle name="Title 2 2 2 2 2 2 2 4 2 2 30" xfId="42803"/>
    <cellStyle name="Title 2 2 2 2 2 2 2 4 2 2 31" xfId="42804"/>
    <cellStyle name="Title 2 2 2 2 2 2 2 4 2 2 32" xfId="42805"/>
    <cellStyle name="Title 2 2 2 2 2 2 2 4 2 2 33" xfId="42806"/>
    <cellStyle name="Title 2 2 2 2 2 2 2 4 2 2 34" xfId="42807"/>
    <cellStyle name="Title 2 2 2 2 2 2 2 4 2 2 35" xfId="42808"/>
    <cellStyle name="Title 2 2 2 2 2 2 2 4 2 2 36" xfId="42809"/>
    <cellStyle name="Title 2 2 2 2 2 2 2 4 2 2 37" xfId="42810"/>
    <cellStyle name="Title 2 2 2 2 2 2 2 4 2 2 38" xfId="42811"/>
    <cellStyle name="Title 2 2 2 2 2 2 2 4 2 2 39" xfId="42812"/>
    <cellStyle name="Title 2 2 2 2 2 2 2 4 2 2 4" xfId="42813"/>
    <cellStyle name="Title 2 2 2 2 2 2 2 4 2 2 40" xfId="42814"/>
    <cellStyle name="Title 2 2 2 2 2 2 2 4 2 2 41" xfId="42815"/>
    <cellStyle name="Title 2 2 2 2 2 2 2 4 2 2 42" xfId="42816"/>
    <cellStyle name="Title 2 2 2 2 2 2 2 4 2 2 43" xfId="42817"/>
    <cellStyle name="Title 2 2 2 2 2 2 2 4 2 2 44" xfId="42818"/>
    <cellStyle name="Title 2 2 2 2 2 2 2 4 2 2 45" xfId="42819"/>
    <cellStyle name="Title 2 2 2 2 2 2 2 4 2 2 46" xfId="42820"/>
    <cellStyle name="Title 2 2 2 2 2 2 2 4 2 2 47" xfId="42821"/>
    <cellStyle name="Title 2 2 2 2 2 2 2 4 2 2 48" xfId="42822"/>
    <cellStyle name="Title 2 2 2 2 2 2 2 4 2 2 49" xfId="42823"/>
    <cellStyle name="Title 2 2 2 2 2 2 2 4 2 2 5" xfId="42824"/>
    <cellStyle name="Title 2 2 2 2 2 2 2 4 2 2 50" xfId="42825"/>
    <cellStyle name="Title 2 2 2 2 2 2 2 4 2 2 51" xfId="42826"/>
    <cellStyle name="Title 2 2 2 2 2 2 2 4 2 2 52" xfId="42827"/>
    <cellStyle name="Title 2 2 2 2 2 2 2 4 2 2 53" xfId="42828"/>
    <cellStyle name="Title 2 2 2 2 2 2 2 4 2 2 54" xfId="42829"/>
    <cellStyle name="Title 2 2 2 2 2 2 2 4 2 2 55" xfId="42830"/>
    <cellStyle name="Title 2 2 2 2 2 2 2 4 2 2 56" xfId="42831"/>
    <cellStyle name="Title 2 2 2 2 2 2 2 4 2 2 57" xfId="42832"/>
    <cellStyle name="Title 2 2 2 2 2 2 2 4 2 2 58" xfId="42833"/>
    <cellStyle name="Title 2 2 2 2 2 2 2 4 2 2 59" xfId="42834"/>
    <cellStyle name="Title 2 2 2 2 2 2 2 4 2 2 6" xfId="42835"/>
    <cellStyle name="Title 2 2 2 2 2 2 2 4 2 2 60" xfId="42836"/>
    <cellStyle name="Title 2 2 2 2 2 2 2 4 2 2 61" xfId="42837"/>
    <cellStyle name="Title 2 2 2 2 2 2 2 4 2 2 62" xfId="42838"/>
    <cellStyle name="Title 2 2 2 2 2 2 2 4 2 2 63" xfId="42839"/>
    <cellStyle name="Title 2 2 2 2 2 2 2 4 2 2 64" xfId="42840"/>
    <cellStyle name="Title 2 2 2 2 2 2 2 4 2 2 65" xfId="42841"/>
    <cellStyle name="Title 2 2 2 2 2 2 2 4 2 2 66" xfId="42842"/>
    <cellStyle name="Title 2 2 2 2 2 2 2 4 2 2 67" xfId="42843"/>
    <cellStyle name="Title 2 2 2 2 2 2 2 4 2 2 68" xfId="42844"/>
    <cellStyle name="Title 2 2 2 2 2 2 2 4 2 2 69" xfId="42845"/>
    <cellStyle name="Title 2 2 2 2 2 2 2 4 2 2 7" xfId="42846"/>
    <cellStyle name="Title 2 2 2 2 2 2 2 4 2 2 70" xfId="42847"/>
    <cellStyle name="Title 2 2 2 2 2 2 2 4 2 2 71" xfId="42848"/>
    <cellStyle name="Title 2 2 2 2 2 2 2 4 2 2 72" xfId="42849"/>
    <cellStyle name="Title 2 2 2 2 2 2 2 4 2 2 73" xfId="42850"/>
    <cellStyle name="Title 2 2 2 2 2 2 2 4 2 2 74" xfId="42851"/>
    <cellStyle name="Title 2 2 2 2 2 2 2 4 2 2 75" xfId="42852"/>
    <cellStyle name="Title 2 2 2 2 2 2 2 4 2 2 76" xfId="42853"/>
    <cellStyle name="Title 2 2 2 2 2 2 2 4 2 2 77" xfId="42854"/>
    <cellStyle name="Title 2 2 2 2 2 2 2 4 2 2 78" xfId="42855"/>
    <cellStyle name="Title 2 2 2 2 2 2 2 4 2 2 79" xfId="42856"/>
    <cellStyle name="Title 2 2 2 2 2 2 2 4 2 2 8" xfId="42857"/>
    <cellStyle name="Title 2 2 2 2 2 2 2 4 2 2 80" xfId="42858"/>
    <cellStyle name="Title 2 2 2 2 2 2 2 4 2 2 81" xfId="42859"/>
    <cellStyle name="Title 2 2 2 2 2 2 2 4 2 2 82" xfId="42860"/>
    <cellStyle name="Title 2 2 2 2 2 2 2 4 2 2 83" xfId="42861"/>
    <cellStyle name="Title 2 2 2 2 2 2 2 4 2 2 84" xfId="42862"/>
    <cellStyle name="Title 2 2 2 2 2 2 2 4 2 2 85" xfId="42863"/>
    <cellStyle name="Title 2 2 2 2 2 2 2 4 2 2 86" xfId="42864"/>
    <cellStyle name="Title 2 2 2 2 2 2 2 4 2 2 87" xfId="42865"/>
    <cellStyle name="Title 2 2 2 2 2 2 2 4 2 2 88" xfId="42866"/>
    <cellStyle name="Title 2 2 2 2 2 2 2 4 2 2 9" xfId="42867"/>
    <cellStyle name="Title 2 2 2 2 2 2 2 4 2 20" xfId="42868"/>
    <cellStyle name="Title 2 2 2 2 2 2 2 4 2 21" xfId="42869"/>
    <cellStyle name="Title 2 2 2 2 2 2 2 4 2 22" xfId="42870"/>
    <cellStyle name="Title 2 2 2 2 2 2 2 4 2 23" xfId="42871"/>
    <cellStyle name="Title 2 2 2 2 2 2 2 4 2 24" xfId="42872"/>
    <cellStyle name="Title 2 2 2 2 2 2 2 4 2 25" xfId="42873"/>
    <cellStyle name="Title 2 2 2 2 2 2 2 4 2 26" xfId="42874"/>
    <cellStyle name="Title 2 2 2 2 2 2 2 4 2 27" xfId="42875"/>
    <cellStyle name="Title 2 2 2 2 2 2 2 4 2 28" xfId="42876"/>
    <cellStyle name="Title 2 2 2 2 2 2 2 4 2 29" xfId="42877"/>
    <cellStyle name="Title 2 2 2 2 2 2 2 4 2 3" xfId="42878"/>
    <cellStyle name="Title 2 2 2 2 2 2 2 4 2 3 2" xfId="42879"/>
    <cellStyle name="Title 2 2 2 2 2 2 2 4 2 30" xfId="42880"/>
    <cellStyle name="Title 2 2 2 2 2 2 2 4 2 31" xfId="42881"/>
    <cellStyle name="Title 2 2 2 2 2 2 2 4 2 32" xfId="42882"/>
    <cellStyle name="Title 2 2 2 2 2 2 2 4 2 33" xfId="42883"/>
    <cellStyle name="Title 2 2 2 2 2 2 2 4 2 34" xfId="42884"/>
    <cellStyle name="Title 2 2 2 2 2 2 2 4 2 35" xfId="42885"/>
    <cellStyle name="Title 2 2 2 2 2 2 2 4 2 36" xfId="42886"/>
    <cellStyle name="Title 2 2 2 2 2 2 2 4 2 37" xfId="42887"/>
    <cellStyle name="Title 2 2 2 2 2 2 2 4 2 38" xfId="42888"/>
    <cellStyle name="Title 2 2 2 2 2 2 2 4 2 39" xfId="42889"/>
    <cellStyle name="Title 2 2 2 2 2 2 2 4 2 4" xfId="42890"/>
    <cellStyle name="Title 2 2 2 2 2 2 2 4 2 40" xfId="42891"/>
    <cellStyle name="Title 2 2 2 2 2 2 2 4 2 41" xfId="42892"/>
    <cellStyle name="Title 2 2 2 2 2 2 2 4 2 42" xfId="42893"/>
    <cellStyle name="Title 2 2 2 2 2 2 2 4 2 43" xfId="42894"/>
    <cellStyle name="Title 2 2 2 2 2 2 2 4 2 44" xfId="42895"/>
    <cellStyle name="Title 2 2 2 2 2 2 2 4 2 45" xfId="42896"/>
    <cellStyle name="Title 2 2 2 2 2 2 2 4 2 46" xfId="42897"/>
    <cellStyle name="Title 2 2 2 2 2 2 2 4 2 47" xfId="42898"/>
    <cellStyle name="Title 2 2 2 2 2 2 2 4 2 48" xfId="42899"/>
    <cellStyle name="Title 2 2 2 2 2 2 2 4 2 49" xfId="42900"/>
    <cellStyle name="Title 2 2 2 2 2 2 2 4 2 5" xfId="42901"/>
    <cellStyle name="Title 2 2 2 2 2 2 2 4 2 50" xfId="42902"/>
    <cellStyle name="Title 2 2 2 2 2 2 2 4 2 51" xfId="42903"/>
    <cellStyle name="Title 2 2 2 2 2 2 2 4 2 52" xfId="42904"/>
    <cellStyle name="Title 2 2 2 2 2 2 2 4 2 53" xfId="42905"/>
    <cellStyle name="Title 2 2 2 2 2 2 2 4 2 54" xfId="42906"/>
    <cellStyle name="Title 2 2 2 2 2 2 2 4 2 55" xfId="42907"/>
    <cellStyle name="Title 2 2 2 2 2 2 2 4 2 56" xfId="42908"/>
    <cellStyle name="Title 2 2 2 2 2 2 2 4 2 57" xfId="42909"/>
    <cellStyle name="Title 2 2 2 2 2 2 2 4 2 58" xfId="42910"/>
    <cellStyle name="Title 2 2 2 2 2 2 2 4 2 59" xfId="42911"/>
    <cellStyle name="Title 2 2 2 2 2 2 2 4 2 6" xfId="42912"/>
    <cellStyle name="Title 2 2 2 2 2 2 2 4 2 60" xfId="42913"/>
    <cellStyle name="Title 2 2 2 2 2 2 2 4 2 61" xfId="42914"/>
    <cellStyle name="Title 2 2 2 2 2 2 2 4 2 62" xfId="42915"/>
    <cellStyle name="Title 2 2 2 2 2 2 2 4 2 63" xfId="42916"/>
    <cellStyle name="Title 2 2 2 2 2 2 2 4 2 64" xfId="42917"/>
    <cellStyle name="Title 2 2 2 2 2 2 2 4 2 65" xfId="42918"/>
    <cellStyle name="Title 2 2 2 2 2 2 2 4 2 66" xfId="42919"/>
    <cellStyle name="Title 2 2 2 2 2 2 2 4 2 67" xfId="42920"/>
    <cellStyle name="Title 2 2 2 2 2 2 2 4 2 68" xfId="42921"/>
    <cellStyle name="Title 2 2 2 2 2 2 2 4 2 69" xfId="42922"/>
    <cellStyle name="Title 2 2 2 2 2 2 2 4 2 7" xfId="42923"/>
    <cellStyle name="Title 2 2 2 2 2 2 2 4 2 70" xfId="42924"/>
    <cellStyle name="Title 2 2 2 2 2 2 2 4 2 71" xfId="42925"/>
    <cellStyle name="Title 2 2 2 2 2 2 2 4 2 72" xfId="42926"/>
    <cellStyle name="Title 2 2 2 2 2 2 2 4 2 73" xfId="42927"/>
    <cellStyle name="Title 2 2 2 2 2 2 2 4 2 74" xfId="42928"/>
    <cellStyle name="Title 2 2 2 2 2 2 2 4 2 75" xfId="42929"/>
    <cellStyle name="Title 2 2 2 2 2 2 2 4 2 76" xfId="42930"/>
    <cellStyle name="Title 2 2 2 2 2 2 2 4 2 77" xfId="42931"/>
    <cellStyle name="Title 2 2 2 2 2 2 2 4 2 78" xfId="42932"/>
    <cellStyle name="Title 2 2 2 2 2 2 2 4 2 79" xfId="42933"/>
    <cellStyle name="Title 2 2 2 2 2 2 2 4 2 8" xfId="42934"/>
    <cellStyle name="Title 2 2 2 2 2 2 2 4 2 80" xfId="42935"/>
    <cellStyle name="Title 2 2 2 2 2 2 2 4 2 81" xfId="42936"/>
    <cellStyle name="Title 2 2 2 2 2 2 2 4 2 82" xfId="42937"/>
    <cellStyle name="Title 2 2 2 2 2 2 2 4 2 83" xfId="42938"/>
    <cellStyle name="Title 2 2 2 2 2 2 2 4 2 84" xfId="42939"/>
    <cellStyle name="Title 2 2 2 2 2 2 2 4 2 85" xfId="42940"/>
    <cellStyle name="Title 2 2 2 2 2 2 2 4 2 86" xfId="42941"/>
    <cellStyle name="Title 2 2 2 2 2 2 2 4 2 87" xfId="42942"/>
    <cellStyle name="Title 2 2 2 2 2 2 2 4 2 88" xfId="42943"/>
    <cellStyle name="Title 2 2 2 2 2 2 2 4 2 9" xfId="42944"/>
    <cellStyle name="Title 2 2 2 2 2 2 2 4 20" xfId="42945"/>
    <cellStyle name="Title 2 2 2 2 2 2 2 4 20 2" xfId="42946"/>
    <cellStyle name="Title 2 2 2 2 2 2 2 4 21" xfId="42947"/>
    <cellStyle name="Title 2 2 2 2 2 2 2 4 21 2" xfId="42948"/>
    <cellStyle name="Title 2 2 2 2 2 2 2 4 22" xfId="42949"/>
    <cellStyle name="Title 2 2 2 2 2 2 2 4 22 2" xfId="42950"/>
    <cellStyle name="Title 2 2 2 2 2 2 2 4 23" xfId="42951"/>
    <cellStyle name="Title 2 2 2 2 2 2 2 4 23 2" xfId="42952"/>
    <cellStyle name="Title 2 2 2 2 2 2 2 4 24" xfId="42953"/>
    <cellStyle name="Title 2 2 2 2 2 2 2 4 24 2" xfId="42954"/>
    <cellStyle name="Title 2 2 2 2 2 2 2 4 25" xfId="42955"/>
    <cellStyle name="Title 2 2 2 2 2 2 2 4 25 2" xfId="42956"/>
    <cellStyle name="Title 2 2 2 2 2 2 2 4 26" xfId="42957"/>
    <cellStyle name="Title 2 2 2 2 2 2 2 4 26 2" xfId="42958"/>
    <cellStyle name="Title 2 2 2 2 2 2 2 4 27" xfId="42959"/>
    <cellStyle name="Title 2 2 2 2 2 2 2 4 27 2" xfId="42960"/>
    <cellStyle name="Title 2 2 2 2 2 2 2 4 28" xfId="42961"/>
    <cellStyle name="Title 2 2 2 2 2 2 2 4 28 2" xfId="42962"/>
    <cellStyle name="Title 2 2 2 2 2 2 2 4 29" xfId="42963"/>
    <cellStyle name="Title 2 2 2 2 2 2 2 4 29 2" xfId="42964"/>
    <cellStyle name="Title 2 2 2 2 2 2 2 4 3" xfId="42965"/>
    <cellStyle name="Title 2 2 2 2 2 2 2 4 3 2" xfId="42966"/>
    <cellStyle name="Title 2 2 2 2 2 2 2 4 30" xfId="42967"/>
    <cellStyle name="Title 2 2 2 2 2 2 2 4 30 2" xfId="42968"/>
    <cellStyle name="Title 2 2 2 2 2 2 2 4 31" xfId="42969"/>
    <cellStyle name="Title 2 2 2 2 2 2 2 4 31 2" xfId="42970"/>
    <cellStyle name="Title 2 2 2 2 2 2 2 4 32" xfId="42971"/>
    <cellStyle name="Title 2 2 2 2 2 2 2 4 32 2" xfId="42972"/>
    <cellStyle name="Title 2 2 2 2 2 2 2 4 33" xfId="42973"/>
    <cellStyle name="Title 2 2 2 2 2 2 2 4 33 2" xfId="42974"/>
    <cellStyle name="Title 2 2 2 2 2 2 2 4 34" xfId="42975"/>
    <cellStyle name="Title 2 2 2 2 2 2 2 4 34 2" xfId="42976"/>
    <cellStyle name="Title 2 2 2 2 2 2 2 4 35" xfId="42977"/>
    <cellStyle name="Title 2 2 2 2 2 2 2 4 35 2" xfId="42978"/>
    <cellStyle name="Title 2 2 2 2 2 2 2 4 36" xfId="42979"/>
    <cellStyle name="Title 2 2 2 2 2 2 2 4 36 2" xfId="42980"/>
    <cellStyle name="Title 2 2 2 2 2 2 2 4 37" xfId="42981"/>
    <cellStyle name="Title 2 2 2 2 2 2 2 4 37 2" xfId="42982"/>
    <cellStyle name="Title 2 2 2 2 2 2 2 4 38" xfId="42983"/>
    <cellStyle name="Title 2 2 2 2 2 2 2 4 38 2" xfId="42984"/>
    <cellStyle name="Title 2 2 2 2 2 2 2 4 39" xfId="42985"/>
    <cellStyle name="Title 2 2 2 2 2 2 2 4 39 2" xfId="42986"/>
    <cellStyle name="Title 2 2 2 2 2 2 2 4 4" xfId="42987"/>
    <cellStyle name="Title 2 2 2 2 2 2 2 4 4 2" xfId="42988"/>
    <cellStyle name="Title 2 2 2 2 2 2 2 4 40" xfId="42989"/>
    <cellStyle name="Title 2 2 2 2 2 2 2 4 40 2" xfId="42990"/>
    <cellStyle name="Title 2 2 2 2 2 2 2 4 41" xfId="42991"/>
    <cellStyle name="Title 2 2 2 2 2 2 2 4 41 2" xfId="42992"/>
    <cellStyle name="Title 2 2 2 2 2 2 2 4 42" xfId="42993"/>
    <cellStyle name="Title 2 2 2 2 2 2 2 4 42 2" xfId="42994"/>
    <cellStyle name="Title 2 2 2 2 2 2 2 4 43" xfId="42995"/>
    <cellStyle name="Title 2 2 2 2 2 2 2 4 43 2" xfId="42996"/>
    <cellStyle name="Title 2 2 2 2 2 2 2 4 44" xfId="42997"/>
    <cellStyle name="Title 2 2 2 2 2 2 2 4 44 2" xfId="42998"/>
    <cellStyle name="Title 2 2 2 2 2 2 2 4 45" xfId="42999"/>
    <cellStyle name="Title 2 2 2 2 2 2 2 4 46" xfId="43000"/>
    <cellStyle name="Title 2 2 2 2 2 2 2 4 47" xfId="43001"/>
    <cellStyle name="Title 2 2 2 2 2 2 2 4 48" xfId="43002"/>
    <cellStyle name="Title 2 2 2 2 2 2 2 4 49" xfId="43003"/>
    <cellStyle name="Title 2 2 2 2 2 2 2 4 5" xfId="43004"/>
    <cellStyle name="Title 2 2 2 2 2 2 2 4 5 2" xfId="43005"/>
    <cellStyle name="Title 2 2 2 2 2 2 2 4 50" xfId="43006"/>
    <cellStyle name="Title 2 2 2 2 2 2 2 4 51" xfId="43007"/>
    <cellStyle name="Title 2 2 2 2 2 2 2 4 52" xfId="43008"/>
    <cellStyle name="Title 2 2 2 2 2 2 2 4 53" xfId="43009"/>
    <cellStyle name="Title 2 2 2 2 2 2 2 4 54" xfId="43010"/>
    <cellStyle name="Title 2 2 2 2 2 2 2 4 55" xfId="43011"/>
    <cellStyle name="Title 2 2 2 2 2 2 2 4 56" xfId="43012"/>
    <cellStyle name="Title 2 2 2 2 2 2 2 4 57" xfId="43013"/>
    <cellStyle name="Title 2 2 2 2 2 2 2 4 58" xfId="43014"/>
    <cellStyle name="Title 2 2 2 2 2 2 2 4 59" xfId="43015"/>
    <cellStyle name="Title 2 2 2 2 2 2 2 4 6" xfId="43016"/>
    <cellStyle name="Title 2 2 2 2 2 2 2 4 6 2" xfId="43017"/>
    <cellStyle name="Title 2 2 2 2 2 2 2 4 60" xfId="43018"/>
    <cellStyle name="Title 2 2 2 2 2 2 2 4 61" xfId="43019"/>
    <cellStyle name="Title 2 2 2 2 2 2 2 4 62" xfId="43020"/>
    <cellStyle name="Title 2 2 2 2 2 2 2 4 63" xfId="43021"/>
    <cellStyle name="Title 2 2 2 2 2 2 2 4 64" xfId="43022"/>
    <cellStyle name="Title 2 2 2 2 2 2 2 4 65" xfId="43023"/>
    <cellStyle name="Title 2 2 2 2 2 2 2 4 66" xfId="43024"/>
    <cellStyle name="Title 2 2 2 2 2 2 2 4 67" xfId="43025"/>
    <cellStyle name="Title 2 2 2 2 2 2 2 4 68" xfId="43026"/>
    <cellStyle name="Title 2 2 2 2 2 2 2 4 69" xfId="43027"/>
    <cellStyle name="Title 2 2 2 2 2 2 2 4 7" xfId="43028"/>
    <cellStyle name="Title 2 2 2 2 2 2 2 4 7 2" xfId="43029"/>
    <cellStyle name="Title 2 2 2 2 2 2 2 4 70" xfId="43030"/>
    <cellStyle name="Title 2 2 2 2 2 2 2 4 71" xfId="43031"/>
    <cellStyle name="Title 2 2 2 2 2 2 2 4 72" xfId="43032"/>
    <cellStyle name="Title 2 2 2 2 2 2 2 4 73" xfId="43033"/>
    <cellStyle name="Title 2 2 2 2 2 2 2 4 74" xfId="43034"/>
    <cellStyle name="Title 2 2 2 2 2 2 2 4 75" xfId="43035"/>
    <cellStyle name="Title 2 2 2 2 2 2 2 4 76" xfId="43036"/>
    <cellStyle name="Title 2 2 2 2 2 2 2 4 77" xfId="43037"/>
    <cellStyle name="Title 2 2 2 2 2 2 2 4 78" xfId="43038"/>
    <cellStyle name="Title 2 2 2 2 2 2 2 4 79" xfId="43039"/>
    <cellStyle name="Title 2 2 2 2 2 2 2 4 8" xfId="43040"/>
    <cellStyle name="Title 2 2 2 2 2 2 2 4 8 2" xfId="43041"/>
    <cellStyle name="Title 2 2 2 2 2 2 2 4 80" xfId="43042"/>
    <cellStyle name="Title 2 2 2 2 2 2 2 4 81" xfId="43043"/>
    <cellStyle name="Title 2 2 2 2 2 2 2 4 82" xfId="43044"/>
    <cellStyle name="Title 2 2 2 2 2 2 2 4 83" xfId="43045"/>
    <cellStyle name="Title 2 2 2 2 2 2 2 4 84" xfId="43046"/>
    <cellStyle name="Title 2 2 2 2 2 2 2 4 85" xfId="43047"/>
    <cellStyle name="Title 2 2 2 2 2 2 2 4 86" xfId="43048"/>
    <cellStyle name="Title 2 2 2 2 2 2 2 4 87" xfId="43049"/>
    <cellStyle name="Title 2 2 2 2 2 2 2 4 88" xfId="43050"/>
    <cellStyle name="Title 2 2 2 2 2 2 2 4 89" xfId="43051"/>
    <cellStyle name="Title 2 2 2 2 2 2 2 4 9" xfId="43052"/>
    <cellStyle name="Title 2 2 2 2 2 2 2 4 9 2" xfId="43053"/>
    <cellStyle name="Title 2 2 2 2 2 2 2 4 90" xfId="43054"/>
    <cellStyle name="Title 2 2 2 2 2 2 2 4 91" xfId="43055"/>
    <cellStyle name="Title 2 2 2 2 2 2 2 4 92" xfId="43056"/>
    <cellStyle name="Title 2 2 2 2 2 2 2 4 93" xfId="43057"/>
    <cellStyle name="Title 2 2 2 2 2 2 2 4 94" xfId="43058"/>
    <cellStyle name="Title 2 2 2 2 2 2 2 4 95" xfId="43059"/>
    <cellStyle name="Title 2 2 2 2 2 2 2 4 96" xfId="43060"/>
    <cellStyle name="Title 2 2 2 2 2 2 2 4 97" xfId="43061"/>
    <cellStyle name="Title 2 2 2 2 2 2 2 4 98" xfId="43062"/>
    <cellStyle name="Title 2 2 2 2 2 2 2 4 99" xfId="43063"/>
    <cellStyle name="Title 2 2 2 2 2 2 2 40" xfId="43064"/>
    <cellStyle name="Title 2 2 2 2 2 2 2 40 2" xfId="43065"/>
    <cellStyle name="Title 2 2 2 2 2 2 2 41" xfId="43066"/>
    <cellStyle name="Title 2 2 2 2 2 2 2 41 2" xfId="43067"/>
    <cellStyle name="Title 2 2 2 2 2 2 2 42" xfId="43068"/>
    <cellStyle name="Title 2 2 2 2 2 2 2 42 2" xfId="43069"/>
    <cellStyle name="Title 2 2 2 2 2 2 2 43" xfId="43070"/>
    <cellStyle name="Title 2 2 2 2 2 2 2 43 2" xfId="43071"/>
    <cellStyle name="Title 2 2 2 2 2 2 2 44" xfId="43072"/>
    <cellStyle name="Title 2 2 2 2 2 2 2 44 2" xfId="43073"/>
    <cellStyle name="Title 2 2 2 2 2 2 2 45" xfId="43074"/>
    <cellStyle name="Title 2 2 2 2 2 2 2 45 2" xfId="43075"/>
    <cellStyle name="Title 2 2 2 2 2 2 2 46" xfId="43076"/>
    <cellStyle name="Title 2 2 2 2 2 2 2 46 2" xfId="43077"/>
    <cellStyle name="Title 2 2 2 2 2 2 2 47" xfId="43078"/>
    <cellStyle name="Title 2 2 2 2 2 2 2 47 2" xfId="43079"/>
    <cellStyle name="Title 2 2 2 2 2 2 2 48" xfId="43080"/>
    <cellStyle name="Title 2 2 2 2 2 2 2 48 2" xfId="43081"/>
    <cellStyle name="Title 2 2 2 2 2 2 2 49" xfId="43082"/>
    <cellStyle name="Title 2 2 2 2 2 2 2 49 2" xfId="43083"/>
    <cellStyle name="Title 2 2 2 2 2 2 2 5" xfId="43084"/>
    <cellStyle name="Title 2 2 2 2 2 2 2 5 2" xfId="43085"/>
    <cellStyle name="Title 2 2 2 2 2 2 2 50" xfId="43086"/>
    <cellStyle name="Title 2 2 2 2 2 2 2 50 2" xfId="43087"/>
    <cellStyle name="Title 2 2 2 2 2 2 2 51" xfId="43088"/>
    <cellStyle name="Title 2 2 2 2 2 2 2 51 2" xfId="43089"/>
    <cellStyle name="Title 2 2 2 2 2 2 2 52" xfId="43090"/>
    <cellStyle name="Title 2 2 2 2 2 2 2 52 2" xfId="43091"/>
    <cellStyle name="Title 2 2 2 2 2 2 2 53" xfId="43092"/>
    <cellStyle name="Title 2 2 2 2 2 2 2 53 2" xfId="43093"/>
    <cellStyle name="Title 2 2 2 2 2 2 2 54" xfId="43094"/>
    <cellStyle name="Title 2 2 2 2 2 2 2 54 2" xfId="43095"/>
    <cellStyle name="Title 2 2 2 2 2 2 2 55" xfId="43096"/>
    <cellStyle name="Title 2 2 2 2 2 2 2 55 2" xfId="43097"/>
    <cellStyle name="Title 2 2 2 2 2 2 2 56" xfId="43098"/>
    <cellStyle name="Title 2 2 2 2 2 2 2 56 2" xfId="43099"/>
    <cellStyle name="Title 2 2 2 2 2 2 2 57" xfId="43100"/>
    <cellStyle name="Title 2 2 2 2 2 2 2 57 2" xfId="43101"/>
    <cellStyle name="Title 2 2 2 2 2 2 2 58" xfId="43102"/>
    <cellStyle name="Title 2 2 2 2 2 2 2 58 2" xfId="43103"/>
    <cellStyle name="Title 2 2 2 2 2 2 2 59" xfId="43104"/>
    <cellStyle name="Title 2 2 2 2 2 2 2 59 2" xfId="43105"/>
    <cellStyle name="Title 2 2 2 2 2 2 2 6" xfId="43106"/>
    <cellStyle name="Title 2 2 2 2 2 2 2 6 2" xfId="43107"/>
    <cellStyle name="Title 2 2 2 2 2 2 2 60" xfId="43108"/>
    <cellStyle name="Title 2 2 2 2 2 2 2 60 2" xfId="43109"/>
    <cellStyle name="Title 2 2 2 2 2 2 2 61" xfId="43110"/>
    <cellStyle name="Title 2 2 2 2 2 2 2 61 2" xfId="43111"/>
    <cellStyle name="Title 2 2 2 2 2 2 2 62" xfId="43112"/>
    <cellStyle name="Title 2 2 2 2 2 2 2 62 2" xfId="43113"/>
    <cellStyle name="Title 2 2 2 2 2 2 2 63" xfId="43114"/>
    <cellStyle name="Title 2 2 2 2 2 2 2 63 2" xfId="43115"/>
    <cellStyle name="Title 2 2 2 2 2 2 2 64" xfId="43116"/>
    <cellStyle name="Title 2 2 2 2 2 2 2 64 2" xfId="43117"/>
    <cellStyle name="Title 2 2 2 2 2 2 2 65" xfId="43118"/>
    <cellStyle name="Title 2 2 2 2 2 2 2 65 2" xfId="43119"/>
    <cellStyle name="Title 2 2 2 2 2 2 2 66" xfId="43120"/>
    <cellStyle name="Title 2 2 2 2 2 2 2 66 2" xfId="43121"/>
    <cellStyle name="Title 2 2 2 2 2 2 2 67" xfId="43122"/>
    <cellStyle name="Title 2 2 2 2 2 2 2 67 2" xfId="43123"/>
    <cellStyle name="Title 2 2 2 2 2 2 2 68" xfId="43124"/>
    <cellStyle name="Title 2 2 2 2 2 2 2 68 2" xfId="43125"/>
    <cellStyle name="Title 2 2 2 2 2 2 2 69" xfId="43126"/>
    <cellStyle name="Title 2 2 2 2 2 2 2 69 2" xfId="43127"/>
    <cellStyle name="Title 2 2 2 2 2 2 2 7" xfId="43128"/>
    <cellStyle name="Title 2 2 2 2 2 2 2 7 2" xfId="43129"/>
    <cellStyle name="Title 2 2 2 2 2 2 2 70" xfId="43130"/>
    <cellStyle name="Title 2 2 2 2 2 2 2 70 2" xfId="43131"/>
    <cellStyle name="Title 2 2 2 2 2 2 2 71" xfId="43132"/>
    <cellStyle name="Title 2 2 2 2 2 2 2 71 2" xfId="43133"/>
    <cellStyle name="Title 2 2 2 2 2 2 2 72" xfId="43134"/>
    <cellStyle name="Title 2 2 2 2 2 2 2 73" xfId="43135"/>
    <cellStyle name="Title 2 2 2 2 2 2 2 74" xfId="43136"/>
    <cellStyle name="Title 2 2 2 2 2 2 2 75" xfId="43137"/>
    <cellStyle name="Title 2 2 2 2 2 2 2 76" xfId="43138"/>
    <cellStyle name="Title 2 2 2 2 2 2 2 77" xfId="43139"/>
    <cellStyle name="Title 2 2 2 2 2 2 2 78" xfId="43140"/>
    <cellStyle name="Title 2 2 2 2 2 2 2 79" xfId="43141"/>
    <cellStyle name="Title 2 2 2 2 2 2 2 8" xfId="43142"/>
    <cellStyle name="Title 2 2 2 2 2 2 2 8 2" xfId="43143"/>
    <cellStyle name="Title 2 2 2 2 2 2 2 80" xfId="43144"/>
    <cellStyle name="Title 2 2 2 2 2 2 2 81" xfId="43145"/>
    <cellStyle name="Title 2 2 2 2 2 2 2 82" xfId="43146"/>
    <cellStyle name="Title 2 2 2 2 2 2 2 83" xfId="43147"/>
    <cellStyle name="Title 2 2 2 2 2 2 2 84" xfId="43148"/>
    <cellStyle name="Title 2 2 2 2 2 2 2 85" xfId="43149"/>
    <cellStyle name="Title 2 2 2 2 2 2 2 86" xfId="43150"/>
    <cellStyle name="Title 2 2 2 2 2 2 2 87" xfId="43151"/>
    <cellStyle name="Title 2 2 2 2 2 2 2 88" xfId="43152"/>
    <cellStyle name="Title 2 2 2 2 2 2 2 89" xfId="43153"/>
    <cellStyle name="Title 2 2 2 2 2 2 2 9" xfId="43154"/>
    <cellStyle name="Title 2 2 2 2 2 2 2 9 2" xfId="43155"/>
    <cellStyle name="Title 2 2 2 2 2 2 2 90" xfId="43156"/>
    <cellStyle name="Title 2 2 2 2 2 2 2 91" xfId="43157"/>
    <cellStyle name="Title 2 2 2 2 2 2 2 92" xfId="43158"/>
    <cellStyle name="Title 2 2 2 2 2 2 2 93" xfId="43159"/>
    <cellStyle name="Title 2 2 2 2 2 2 2 94" xfId="43160"/>
    <cellStyle name="Title 2 2 2 2 2 2 2 95" xfId="43161"/>
    <cellStyle name="Title 2 2 2 2 2 2 2 96" xfId="43162"/>
    <cellStyle name="Title 2 2 2 2 2 2 2 97" xfId="43163"/>
    <cellStyle name="Title 2 2 2 2 2 2 2 98" xfId="43164"/>
    <cellStyle name="Title 2 2 2 2 2 2 2 99" xfId="43165"/>
    <cellStyle name="Title 2 2 2 2 2 2 20" xfId="43166"/>
    <cellStyle name="Title 2 2 2 2 2 2 20 2" xfId="43167"/>
    <cellStyle name="Title 2 2 2 2 2 2 21" xfId="43168"/>
    <cellStyle name="Title 2 2 2 2 2 2 21 2" xfId="43169"/>
    <cellStyle name="Title 2 2 2 2 2 2 22" xfId="43170"/>
    <cellStyle name="Title 2 2 2 2 2 2 22 2" xfId="43171"/>
    <cellStyle name="Title 2 2 2 2 2 2 23" xfId="43172"/>
    <cellStyle name="Title 2 2 2 2 2 2 23 2" xfId="43173"/>
    <cellStyle name="Title 2 2 2 2 2 2 24" xfId="43174"/>
    <cellStyle name="Title 2 2 2 2 2 2 24 2" xfId="43175"/>
    <cellStyle name="Title 2 2 2 2 2 2 25" xfId="43176"/>
    <cellStyle name="Title 2 2 2 2 2 2 25 2" xfId="43177"/>
    <cellStyle name="Title 2 2 2 2 2 2 26" xfId="43178"/>
    <cellStyle name="Title 2 2 2 2 2 2 26 2" xfId="43179"/>
    <cellStyle name="Title 2 2 2 2 2 2 27" xfId="43180"/>
    <cellStyle name="Title 2 2 2 2 2 2 27 2" xfId="43181"/>
    <cellStyle name="Title 2 2 2 2 2 2 28" xfId="43182"/>
    <cellStyle name="Title 2 2 2 2 2 2 28 2" xfId="43183"/>
    <cellStyle name="Title 2 2 2 2 2 2 29" xfId="43184"/>
    <cellStyle name="Title 2 2 2 2 2 2 29 2" xfId="43185"/>
    <cellStyle name="Title 2 2 2 2 2 2 3" xfId="43186"/>
    <cellStyle name="Title 2 2 2 2 2 2 3 2" xfId="43187"/>
    <cellStyle name="Title 2 2 2 2 2 2 30" xfId="43188"/>
    <cellStyle name="Title 2 2 2 2 2 2 30 10" xfId="43189"/>
    <cellStyle name="Title 2 2 2 2 2 2 30 11" xfId="43190"/>
    <cellStyle name="Title 2 2 2 2 2 2 30 12" xfId="43191"/>
    <cellStyle name="Title 2 2 2 2 2 2 30 13" xfId="43192"/>
    <cellStyle name="Title 2 2 2 2 2 2 30 14" xfId="43193"/>
    <cellStyle name="Title 2 2 2 2 2 2 30 15" xfId="43194"/>
    <cellStyle name="Title 2 2 2 2 2 2 30 16" xfId="43195"/>
    <cellStyle name="Title 2 2 2 2 2 2 30 17" xfId="43196"/>
    <cellStyle name="Title 2 2 2 2 2 2 30 18" xfId="43197"/>
    <cellStyle name="Title 2 2 2 2 2 2 30 19" xfId="43198"/>
    <cellStyle name="Title 2 2 2 2 2 2 30 2" xfId="43199"/>
    <cellStyle name="Title 2 2 2 2 2 2 30 2 10" xfId="43200"/>
    <cellStyle name="Title 2 2 2 2 2 2 30 2 11" xfId="43201"/>
    <cellStyle name="Title 2 2 2 2 2 2 30 2 12" xfId="43202"/>
    <cellStyle name="Title 2 2 2 2 2 2 30 2 13" xfId="43203"/>
    <cellStyle name="Title 2 2 2 2 2 2 30 2 14" xfId="43204"/>
    <cellStyle name="Title 2 2 2 2 2 2 30 2 15" xfId="43205"/>
    <cellStyle name="Title 2 2 2 2 2 2 30 2 16" xfId="43206"/>
    <cellStyle name="Title 2 2 2 2 2 2 30 2 17" xfId="43207"/>
    <cellStyle name="Title 2 2 2 2 2 2 30 2 18" xfId="43208"/>
    <cellStyle name="Title 2 2 2 2 2 2 30 2 19" xfId="43209"/>
    <cellStyle name="Title 2 2 2 2 2 2 30 2 2" xfId="43210"/>
    <cellStyle name="Title 2 2 2 2 2 2 30 2 2 2" xfId="43211"/>
    <cellStyle name="Title 2 2 2 2 2 2 30 2 20" xfId="43212"/>
    <cellStyle name="Title 2 2 2 2 2 2 30 2 21" xfId="43213"/>
    <cellStyle name="Title 2 2 2 2 2 2 30 2 22" xfId="43214"/>
    <cellStyle name="Title 2 2 2 2 2 2 30 2 23" xfId="43215"/>
    <cellStyle name="Title 2 2 2 2 2 2 30 2 24" xfId="43216"/>
    <cellStyle name="Title 2 2 2 2 2 2 30 2 25" xfId="43217"/>
    <cellStyle name="Title 2 2 2 2 2 2 30 2 26" xfId="43218"/>
    <cellStyle name="Title 2 2 2 2 2 2 30 2 27" xfId="43219"/>
    <cellStyle name="Title 2 2 2 2 2 2 30 2 28" xfId="43220"/>
    <cellStyle name="Title 2 2 2 2 2 2 30 2 29" xfId="43221"/>
    <cellStyle name="Title 2 2 2 2 2 2 30 2 3" xfId="43222"/>
    <cellStyle name="Title 2 2 2 2 2 2 30 2 30" xfId="43223"/>
    <cellStyle name="Title 2 2 2 2 2 2 30 2 31" xfId="43224"/>
    <cellStyle name="Title 2 2 2 2 2 2 30 2 32" xfId="43225"/>
    <cellStyle name="Title 2 2 2 2 2 2 30 2 33" xfId="43226"/>
    <cellStyle name="Title 2 2 2 2 2 2 30 2 34" xfId="43227"/>
    <cellStyle name="Title 2 2 2 2 2 2 30 2 35" xfId="43228"/>
    <cellStyle name="Title 2 2 2 2 2 2 30 2 36" xfId="43229"/>
    <cellStyle name="Title 2 2 2 2 2 2 30 2 37" xfId="43230"/>
    <cellStyle name="Title 2 2 2 2 2 2 30 2 38" xfId="43231"/>
    <cellStyle name="Title 2 2 2 2 2 2 30 2 39" xfId="43232"/>
    <cellStyle name="Title 2 2 2 2 2 2 30 2 4" xfId="43233"/>
    <cellStyle name="Title 2 2 2 2 2 2 30 2 40" xfId="43234"/>
    <cellStyle name="Title 2 2 2 2 2 2 30 2 41" xfId="43235"/>
    <cellStyle name="Title 2 2 2 2 2 2 30 2 42" xfId="43236"/>
    <cellStyle name="Title 2 2 2 2 2 2 30 2 43" xfId="43237"/>
    <cellStyle name="Title 2 2 2 2 2 2 30 2 44" xfId="43238"/>
    <cellStyle name="Title 2 2 2 2 2 2 30 2 45" xfId="43239"/>
    <cellStyle name="Title 2 2 2 2 2 2 30 2 46" xfId="43240"/>
    <cellStyle name="Title 2 2 2 2 2 2 30 2 47" xfId="43241"/>
    <cellStyle name="Title 2 2 2 2 2 2 30 2 48" xfId="43242"/>
    <cellStyle name="Title 2 2 2 2 2 2 30 2 49" xfId="43243"/>
    <cellStyle name="Title 2 2 2 2 2 2 30 2 5" xfId="43244"/>
    <cellStyle name="Title 2 2 2 2 2 2 30 2 50" xfId="43245"/>
    <cellStyle name="Title 2 2 2 2 2 2 30 2 51" xfId="43246"/>
    <cellStyle name="Title 2 2 2 2 2 2 30 2 52" xfId="43247"/>
    <cellStyle name="Title 2 2 2 2 2 2 30 2 53" xfId="43248"/>
    <cellStyle name="Title 2 2 2 2 2 2 30 2 54" xfId="43249"/>
    <cellStyle name="Title 2 2 2 2 2 2 30 2 55" xfId="43250"/>
    <cellStyle name="Title 2 2 2 2 2 2 30 2 56" xfId="43251"/>
    <cellStyle name="Title 2 2 2 2 2 2 30 2 57" xfId="43252"/>
    <cellStyle name="Title 2 2 2 2 2 2 30 2 58" xfId="43253"/>
    <cellStyle name="Title 2 2 2 2 2 2 30 2 59" xfId="43254"/>
    <cellStyle name="Title 2 2 2 2 2 2 30 2 6" xfId="43255"/>
    <cellStyle name="Title 2 2 2 2 2 2 30 2 60" xfId="43256"/>
    <cellStyle name="Title 2 2 2 2 2 2 30 2 61" xfId="43257"/>
    <cellStyle name="Title 2 2 2 2 2 2 30 2 62" xfId="43258"/>
    <cellStyle name="Title 2 2 2 2 2 2 30 2 63" xfId="43259"/>
    <cellStyle name="Title 2 2 2 2 2 2 30 2 64" xfId="43260"/>
    <cellStyle name="Title 2 2 2 2 2 2 30 2 65" xfId="43261"/>
    <cellStyle name="Title 2 2 2 2 2 2 30 2 66" xfId="43262"/>
    <cellStyle name="Title 2 2 2 2 2 2 30 2 67" xfId="43263"/>
    <cellStyle name="Title 2 2 2 2 2 2 30 2 68" xfId="43264"/>
    <cellStyle name="Title 2 2 2 2 2 2 30 2 69" xfId="43265"/>
    <cellStyle name="Title 2 2 2 2 2 2 30 2 7" xfId="43266"/>
    <cellStyle name="Title 2 2 2 2 2 2 30 2 70" xfId="43267"/>
    <cellStyle name="Title 2 2 2 2 2 2 30 2 71" xfId="43268"/>
    <cellStyle name="Title 2 2 2 2 2 2 30 2 72" xfId="43269"/>
    <cellStyle name="Title 2 2 2 2 2 2 30 2 73" xfId="43270"/>
    <cellStyle name="Title 2 2 2 2 2 2 30 2 74" xfId="43271"/>
    <cellStyle name="Title 2 2 2 2 2 2 30 2 8" xfId="43272"/>
    <cellStyle name="Title 2 2 2 2 2 2 30 2 9" xfId="43273"/>
    <cellStyle name="Title 2 2 2 2 2 2 30 20" xfId="43274"/>
    <cellStyle name="Title 2 2 2 2 2 2 30 21" xfId="43275"/>
    <cellStyle name="Title 2 2 2 2 2 2 30 22" xfId="43276"/>
    <cellStyle name="Title 2 2 2 2 2 2 30 23" xfId="43277"/>
    <cellStyle name="Title 2 2 2 2 2 2 30 24" xfId="43278"/>
    <cellStyle name="Title 2 2 2 2 2 2 30 25" xfId="43279"/>
    <cellStyle name="Title 2 2 2 2 2 2 30 26" xfId="43280"/>
    <cellStyle name="Title 2 2 2 2 2 2 30 27" xfId="43281"/>
    <cellStyle name="Title 2 2 2 2 2 2 30 28" xfId="43282"/>
    <cellStyle name="Title 2 2 2 2 2 2 30 29" xfId="43283"/>
    <cellStyle name="Title 2 2 2 2 2 2 30 3" xfId="43284"/>
    <cellStyle name="Title 2 2 2 2 2 2 30 3 2" xfId="43285"/>
    <cellStyle name="Title 2 2 2 2 2 2 30 30" xfId="43286"/>
    <cellStyle name="Title 2 2 2 2 2 2 30 31" xfId="43287"/>
    <cellStyle name="Title 2 2 2 2 2 2 30 32" xfId="43288"/>
    <cellStyle name="Title 2 2 2 2 2 2 30 33" xfId="43289"/>
    <cellStyle name="Title 2 2 2 2 2 2 30 34" xfId="43290"/>
    <cellStyle name="Title 2 2 2 2 2 2 30 35" xfId="43291"/>
    <cellStyle name="Title 2 2 2 2 2 2 30 36" xfId="43292"/>
    <cellStyle name="Title 2 2 2 2 2 2 30 37" xfId="43293"/>
    <cellStyle name="Title 2 2 2 2 2 2 30 38" xfId="43294"/>
    <cellStyle name="Title 2 2 2 2 2 2 30 39" xfId="43295"/>
    <cellStyle name="Title 2 2 2 2 2 2 30 4" xfId="43296"/>
    <cellStyle name="Title 2 2 2 2 2 2 30 40" xfId="43297"/>
    <cellStyle name="Title 2 2 2 2 2 2 30 41" xfId="43298"/>
    <cellStyle name="Title 2 2 2 2 2 2 30 42" xfId="43299"/>
    <cellStyle name="Title 2 2 2 2 2 2 30 43" xfId="43300"/>
    <cellStyle name="Title 2 2 2 2 2 2 30 44" xfId="43301"/>
    <cellStyle name="Title 2 2 2 2 2 2 30 45" xfId="43302"/>
    <cellStyle name="Title 2 2 2 2 2 2 30 46" xfId="43303"/>
    <cellStyle name="Title 2 2 2 2 2 2 30 47" xfId="43304"/>
    <cellStyle name="Title 2 2 2 2 2 2 30 48" xfId="43305"/>
    <cellStyle name="Title 2 2 2 2 2 2 30 49" xfId="43306"/>
    <cellStyle name="Title 2 2 2 2 2 2 30 5" xfId="43307"/>
    <cellStyle name="Title 2 2 2 2 2 2 30 50" xfId="43308"/>
    <cellStyle name="Title 2 2 2 2 2 2 30 51" xfId="43309"/>
    <cellStyle name="Title 2 2 2 2 2 2 30 52" xfId="43310"/>
    <cellStyle name="Title 2 2 2 2 2 2 30 53" xfId="43311"/>
    <cellStyle name="Title 2 2 2 2 2 2 30 54" xfId="43312"/>
    <cellStyle name="Title 2 2 2 2 2 2 30 55" xfId="43313"/>
    <cellStyle name="Title 2 2 2 2 2 2 30 56" xfId="43314"/>
    <cellStyle name="Title 2 2 2 2 2 2 30 57" xfId="43315"/>
    <cellStyle name="Title 2 2 2 2 2 2 30 58" xfId="43316"/>
    <cellStyle name="Title 2 2 2 2 2 2 30 59" xfId="43317"/>
    <cellStyle name="Title 2 2 2 2 2 2 30 6" xfId="43318"/>
    <cellStyle name="Title 2 2 2 2 2 2 30 60" xfId="43319"/>
    <cellStyle name="Title 2 2 2 2 2 2 30 61" xfId="43320"/>
    <cellStyle name="Title 2 2 2 2 2 2 30 62" xfId="43321"/>
    <cellStyle name="Title 2 2 2 2 2 2 30 63" xfId="43322"/>
    <cellStyle name="Title 2 2 2 2 2 2 30 64" xfId="43323"/>
    <cellStyle name="Title 2 2 2 2 2 2 30 65" xfId="43324"/>
    <cellStyle name="Title 2 2 2 2 2 2 30 66" xfId="43325"/>
    <cellStyle name="Title 2 2 2 2 2 2 30 67" xfId="43326"/>
    <cellStyle name="Title 2 2 2 2 2 2 30 68" xfId="43327"/>
    <cellStyle name="Title 2 2 2 2 2 2 30 69" xfId="43328"/>
    <cellStyle name="Title 2 2 2 2 2 2 30 7" xfId="43329"/>
    <cellStyle name="Title 2 2 2 2 2 2 30 70" xfId="43330"/>
    <cellStyle name="Title 2 2 2 2 2 2 30 71" xfId="43331"/>
    <cellStyle name="Title 2 2 2 2 2 2 30 72" xfId="43332"/>
    <cellStyle name="Title 2 2 2 2 2 2 30 73" xfId="43333"/>
    <cellStyle name="Title 2 2 2 2 2 2 30 74" xfId="43334"/>
    <cellStyle name="Title 2 2 2 2 2 2 30 8" xfId="43335"/>
    <cellStyle name="Title 2 2 2 2 2 2 30 9" xfId="43336"/>
    <cellStyle name="Title 2 2 2 2 2 2 31" xfId="43337"/>
    <cellStyle name="Title 2 2 2 2 2 2 31 2" xfId="43338"/>
    <cellStyle name="Title 2 2 2 2 2 2 32" xfId="43339"/>
    <cellStyle name="Title 2 2 2 2 2 2 32 2" xfId="43340"/>
    <cellStyle name="Title 2 2 2 2 2 2 33" xfId="43341"/>
    <cellStyle name="Title 2 2 2 2 2 2 33 2" xfId="43342"/>
    <cellStyle name="Title 2 2 2 2 2 2 34" xfId="43343"/>
    <cellStyle name="Title 2 2 2 2 2 2 34 2" xfId="43344"/>
    <cellStyle name="Title 2 2 2 2 2 2 35" xfId="43345"/>
    <cellStyle name="Title 2 2 2 2 2 2 35 2" xfId="43346"/>
    <cellStyle name="Title 2 2 2 2 2 2 36" xfId="43347"/>
    <cellStyle name="Title 2 2 2 2 2 2 36 2" xfId="43348"/>
    <cellStyle name="Title 2 2 2 2 2 2 37" xfId="43349"/>
    <cellStyle name="Title 2 2 2 2 2 2 37 2" xfId="43350"/>
    <cellStyle name="Title 2 2 2 2 2 2 38" xfId="43351"/>
    <cellStyle name="Title 2 2 2 2 2 2 38 2" xfId="43352"/>
    <cellStyle name="Title 2 2 2 2 2 2 39" xfId="43353"/>
    <cellStyle name="Title 2 2 2 2 2 2 39 2" xfId="43354"/>
    <cellStyle name="Title 2 2 2 2 2 2 4" xfId="43355"/>
    <cellStyle name="Title 2 2 2 2 2 2 4 10" xfId="43356"/>
    <cellStyle name="Title 2 2 2 2 2 2 4 100" xfId="43357"/>
    <cellStyle name="Title 2 2 2 2 2 2 4 101" xfId="43358"/>
    <cellStyle name="Title 2 2 2 2 2 2 4 102" xfId="43359"/>
    <cellStyle name="Title 2 2 2 2 2 2 4 103" xfId="43360"/>
    <cellStyle name="Title 2 2 2 2 2 2 4 104" xfId="43361"/>
    <cellStyle name="Title 2 2 2 2 2 2 4 105" xfId="43362"/>
    <cellStyle name="Title 2 2 2 2 2 2 4 106" xfId="43363"/>
    <cellStyle name="Title 2 2 2 2 2 2 4 107" xfId="43364"/>
    <cellStyle name="Title 2 2 2 2 2 2 4 108" xfId="43365"/>
    <cellStyle name="Title 2 2 2 2 2 2 4 109" xfId="43366"/>
    <cellStyle name="Title 2 2 2 2 2 2 4 11" xfId="43367"/>
    <cellStyle name="Title 2 2 2 2 2 2 4 110" xfId="43368"/>
    <cellStyle name="Title 2 2 2 2 2 2 4 12" xfId="43369"/>
    <cellStyle name="Title 2 2 2 2 2 2 4 13" xfId="43370"/>
    <cellStyle name="Title 2 2 2 2 2 2 4 14" xfId="43371"/>
    <cellStyle name="Title 2 2 2 2 2 2 4 15" xfId="43372"/>
    <cellStyle name="Title 2 2 2 2 2 2 4 16" xfId="43373"/>
    <cellStyle name="Title 2 2 2 2 2 2 4 17" xfId="43374"/>
    <cellStyle name="Title 2 2 2 2 2 2 4 18" xfId="43375"/>
    <cellStyle name="Title 2 2 2 2 2 2 4 19" xfId="43376"/>
    <cellStyle name="Title 2 2 2 2 2 2 4 2" xfId="43377"/>
    <cellStyle name="Title 2 2 2 2 2 2 4 2 10" xfId="43378"/>
    <cellStyle name="Title 2 2 2 2 2 2 4 2 11" xfId="43379"/>
    <cellStyle name="Title 2 2 2 2 2 2 4 2 12" xfId="43380"/>
    <cellStyle name="Title 2 2 2 2 2 2 4 2 13" xfId="43381"/>
    <cellStyle name="Title 2 2 2 2 2 2 4 2 13 2" xfId="43382"/>
    <cellStyle name="Title 2 2 2 2 2 2 4 2 14" xfId="43383"/>
    <cellStyle name="Title 2 2 2 2 2 2 4 2 15" xfId="43384"/>
    <cellStyle name="Title 2 2 2 2 2 2 4 2 16" xfId="43385"/>
    <cellStyle name="Title 2 2 2 2 2 2 4 2 17" xfId="43386"/>
    <cellStyle name="Title 2 2 2 2 2 2 4 2 18" xfId="43387"/>
    <cellStyle name="Title 2 2 2 2 2 2 4 2 19" xfId="43388"/>
    <cellStyle name="Title 2 2 2 2 2 2 4 2 2" xfId="43389"/>
    <cellStyle name="Title 2 2 2 2 2 2 4 2 2 10" xfId="43390"/>
    <cellStyle name="Title 2 2 2 2 2 2 4 2 2 11" xfId="43391"/>
    <cellStyle name="Title 2 2 2 2 2 2 4 2 2 12" xfId="43392"/>
    <cellStyle name="Title 2 2 2 2 2 2 4 2 2 13" xfId="43393"/>
    <cellStyle name="Title 2 2 2 2 2 2 4 2 2 14" xfId="43394"/>
    <cellStyle name="Title 2 2 2 2 2 2 4 2 2 15" xfId="43395"/>
    <cellStyle name="Title 2 2 2 2 2 2 4 2 2 16" xfId="43396"/>
    <cellStyle name="Title 2 2 2 2 2 2 4 2 2 17" xfId="43397"/>
    <cellStyle name="Title 2 2 2 2 2 2 4 2 2 18" xfId="43398"/>
    <cellStyle name="Title 2 2 2 2 2 2 4 2 2 19" xfId="43399"/>
    <cellStyle name="Title 2 2 2 2 2 2 4 2 2 2" xfId="43400"/>
    <cellStyle name="Title 2 2 2 2 2 2 4 2 2 2 10" xfId="43401"/>
    <cellStyle name="Title 2 2 2 2 2 2 4 2 2 2 11" xfId="43402"/>
    <cellStyle name="Title 2 2 2 2 2 2 4 2 2 2 12" xfId="43403"/>
    <cellStyle name="Title 2 2 2 2 2 2 4 2 2 2 13" xfId="43404"/>
    <cellStyle name="Title 2 2 2 2 2 2 4 2 2 2 14" xfId="43405"/>
    <cellStyle name="Title 2 2 2 2 2 2 4 2 2 2 15" xfId="43406"/>
    <cellStyle name="Title 2 2 2 2 2 2 4 2 2 2 16" xfId="43407"/>
    <cellStyle name="Title 2 2 2 2 2 2 4 2 2 2 17" xfId="43408"/>
    <cellStyle name="Title 2 2 2 2 2 2 4 2 2 2 18" xfId="43409"/>
    <cellStyle name="Title 2 2 2 2 2 2 4 2 2 2 19" xfId="43410"/>
    <cellStyle name="Title 2 2 2 2 2 2 4 2 2 2 2" xfId="43411"/>
    <cellStyle name="Title 2 2 2 2 2 2 4 2 2 2 2 10" xfId="43412"/>
    <cellStyle name="Title 2 2 2 2 2 2 4 2 2 2 2 11" xfId="43413"/>
    <cellStyle name="Title 2 2 2 2 2 2 4 2 2 2 2 12" xfId="43414"/>
    <cellStyle name="Title 2 2 2 2 2 2 4 2 2 2 2 13" xfId="43415"/>
    <cellStyle name="Title 2 2 2 2 2 2 4 2 2 2 2 14" xfId="43416"/>
    <cellStyle name="Title 2 2 2 2 2 2 4 2 2 2 2 15" xfId="43417"/>
    <cellStyle name="Title 2 2 2 2 2 2 4 2 2 2 2 16" xfId="43418"/>
    <cellStyle name="Title 2 2 2 2 2 2 4 2 2 2 2 17" xfId="43419"/>
    <cellStyle name="Title 2 2 2 2 2 2 4 2 2 2 2 18" xfId="43420"/>
    <cellStyle name="Title 2 2 2 2 2 2 4 2 2 2 2 19" xfId="43421"/>
    <cellStyle name="Title 2 2 2 2 2 2 4 2 2 2 2 2" xfId="43422"/>
    <cellStyle name="Title 2 2 2 2 2 2 4 2 2 2 2 2 10" xfId="43423"/>
    <cellStyle name="Title 2 2 2 2 2 2 4 2 2 2 2 2 11" xfId="43424"/>
    <cellStyle name="Title 2 2 2 2 2 2 4 2 2 2 2 2 12" xfId="43425"/>
    <cellStyle name="Title 2 2 2 2 2 2 4 2 2 2 2 2 13" xfId="43426"/>
    <cellStyle name="Title 2 2 2 2 2 2 4 2 2 2 2 2 14" xfId="43427"/>
    <cellStyle name="Title 2 2 2 2 2 2 4 2 2 2 2 2 15" xfId="43428"/>
    <cellStyle name="Title 2 2 2 2 2 2 4 2 2 2 2 2 16" xfId="43429"/>
    <cellStyle name="Title 2 2 2 2 2 2 4 2 2 2 2 2 17" xfId="43430"/>
    <cellStyle name="Title 2 2 2 2 2 2 4 2 2 2 2 2 18" xfId="43431"/>
    <cellStyle name="Title 2 2 2 2 2 2 4 2 2 2 2 2 19" xfId="43432"/>
    <cellStyle name="Title 2 2 2 2 2 2 4 2 2 2 2 2 2" xfId="43433"/>
    <cellStyle name="Title 2 2 2 2 2 2 4 2 2 2 2 2 2 2" xfId="43434"/>
    <cellStyle name="Title 2 2 2 2 2 2 4 2 2 2 2 2 20" xfId="43435"/>
    <cellStyle name="Title 2 2 2 2 2 2 4 2 2 2 2 2 21" xfId="43436"/>
    <cellStyle name="Title 2 2 2 2 2 2 4 2 2 2 2 2 22" xfId="43437"/>
    <cellStyle name="Title 2 2 2 2 2 2 4 2 2 2 2 2 23" xfId="43438"/>
    <cellStyle name="Title 2 2 2 2 2 2 4 2 2 2 2 2 24" xfId="43439"/>
    <cellStyle name="Title 2 2 2 2 2 2 4 2 2 2 2 2 25" xfId="43440"/>
    <cellStyle name="Title 2 2 2 2 2 2 4 2 2 2 2 2 26" xfId="43441"/>
    <cellStyle name="Title 2 2 2 2 2 2 4 2 2 2 2 2 27" xfId="43442"/>
    <cellStyle name="Title 2 2 2 2 2 2 4 2 2 2 2 2 28" xfId="43443"/>
    <cellStyle name="Title 2 2 2 2 2 2 4 2 2 2 2 2 29" xfId="43444"/>
    <cellStyle name="Title 2 2 2 2 2 2 4 2 2 2 2 2 3" xfId="43445"/>
    <cellStyle name="Title 2 2 2 2 2 2 4 2 2 2 2 2 30" xfId="43446"/>
    <cellStyle name="Title 2 2 2 2 2 2 4 2 2 2 2 2 31" xfId="43447"/>
    <cellStyle name="Title 2 2 2 2 2 2 4 2 2 2 2 2 32" xfId="43448"/>
    <cellStyle name="Title 2 2 2 2 2 2 4 2 2 2 2 2 33" xfId="43449"/>
    <cellStyle name="Title 2 2 2 2 2 2 4 2 2 2 2 2 34" xfId="43450"/>
    <cellStyle name="Title 2 2 2 2 2 2 4 2 2 2 2 2 35" xfId="43451"/>
    <cellStyle name="Title 2 2 2 2 2 2 4 2 2 2 2 2 36" xfId="43452"/>
    <cellStyle name="Title 2 2 2 2 2 2 4 2 2 2 2 2 37" xfId="43453"/>
    <cellStyle name="Title 2 2 2 2 2 2 4 2 2 2 2 2 38" xfId="43454"/>
    <cellStyle name="Title 2 2 2 2 2 2 4 2 2 2 2 2 39" xfId="43455"/>
    <cellStyle name="Title 2 2 2 2 2 2 4 2 2 2 2 2 4" xfId="43456"/>
    <cellStyle name="Title 2 2 2 2 2 2 4 2 2 2 2 2 40" xfId="43457"/>
    <cellStyle name="Title 2 2 2 2 2 2 4 2 2 2 2 2 41" xfId="43458"/>
    <cellStyle name="Title 2 2 2 2 2 2 4 2 2 2 2 2 42" xfId="43459"/>
    <cellStyle name="Title 2 2 2 2 2 2 4 2 2 2 2 2 43" xfId="43460"/>
    <cellStyle name="Title 2 2 2 2 2 2 4 2 2 2 2 2 44" xfId="43461"/>
    <cellStyle name="Title 2 2 2 2 2 2 4 2 2 2 2 2 45" xfId="43462"/>
    <cellStyle name="Title 2 2 2 2 2 2 4 2 2 2 2 2 46" xfId="43463"/>
    <cellStyle name="Title 2 2 2 2 2 2 4 2 2 2 2 2 47" xfId="43464"/>
    <cellStyle name="Title 2 2 2 2 2 2 4 2 2 2 2 2 48" xfId="43465"/>
    <cellStyle name="Title 2 2 2 2 2 2 4 2 2 2 2 2 49" xfId="43466"/>
    <cellStyle name="Title 2 2 2 2 2 2 4 2 2 2 2 2 5" xfId="43467"/>
    <cellStyle name="Title 2 2 2 2 2 2 4 2 2 2 2 2 50" xfId="43468"/>
    <cellStyle name="Title 2 2 2 2 2 2 4 2 2 2 2 2 51" xfId="43469"/>
    <cellStyle name="Title 2 2 2 2 2 2 4 2 2 2 2 2 52" xfId="43470"/>
    <cellStyle name="Title 2 2 2 2 2 2 4 2 2 2 2 2 53" xfId="43471"/>
    <cellStyle name="Title 2 2 2 2 2 2 4 2 2 2 2 2 54" xfId="43472"/>
    <cellStyle name="Title 2 2 2 2 2 2 4 2 2 2 2 2 55" xfId="43473"/>
    <cellStyle name="Title 2 2 2 2 2 2 4 2 2 2 2 2 56" xfId="43474"/>
    <cellStyle name="Title 2 2 2 2 2 2 4 2 2 2 2 2 57" xfId="43475"/>
    <cellStyle name="Title 2 2 2 2 2 2 4 2 2 2 2 2 58" xfId="43476"/>
    <cellStyle name="Title 2 2 2 2 2 2 4 2 2 2 2 2 59" xfId="43477"/>
    <cellStyle name="Title 2 2 2 2 2 2 4 2 2 2 2 2 6" xfId="43478"/>
    <cellStyle name="Title 2 2 2 2 2 2 4 2 2 2 2 2 60" xfId="43479"/>
    <cellStyle name="Title 2 2 2 2 2 2 4 2 2 2 2 2 61" xfId="43480"/>
    <cellStyle name="Title 2 2 2 2 2 2 4 2 2 2 2 2 62" xfId="43481"/>
    <cellStyle name="Title 2 2 2 2 2 2 4 2 2 2 2 2 63" xfId="43482"/>
    <cellStyle name="Title 2 2 2 2 2 2 4 2 2 2 2 2 64" xfId="43483"/>
    <cellStyle name="Title 2 2 2 2 2 2 4 2 2 2 2 2 65" xfId="43484"/>
    <cellStyle name="Title 2 2 2 2 2 2 4 2 2 2 2 2 66" xfId="43485"/>
    <cellStyle name="Title 2 2 2 2 2 2 4 2 2 2 2 2 67" xfId="43486"/>
    <cellStyle name="Title 2 2 2 2 2 2 4 2 2 2 2 2 68" xfId="43487"/>
    <cellStyle name="Title 2 2 2 2 2 2 4 2 2 2 2 2 69" xfId="43488"/>
    <cellStyle name="Title 2 2 2 2 2 2 4 2 2 2 2 2 7" xfId="43489"/>
    <cellStyle name="Title 2 2 2 2 2 2 4 2 2 2 2 2 70" xfId="43490"/>
    <cellStyle name="Title 2 2 2 2 2 2 4 2 2 2 2 2 71" xfId="43491"/>
    <cellStyle name="Title 2 2 2 2 2 2 4 2 2 2 2 2 72" xfId="43492"/>
    <cellStyle name="Title 2 2 2 2 2 2 4 2 2 2 2 2 73" xfId="43493"/>
    <cellStyle name="Title 2 2 2 2 2 2 4 2 2 2 2 2 74" xfId="43494"/>
    <cellStyle name="Title 2 2 2 2 2 2 4 2 2 2 2 2 8" xfId="43495"/>
    <cellStyle name="Title 2 2 2 2 2 2 4 2 2 2 2 2 9" xfId="43496"/>
    <cellStyle name="Title 2 2 2 2 2 2 4 2 2 2 2 20" xfId="43497"/>
    <cellStyle name="Title 2 2 2 2 2 2 4 2 2 2 2 21" xfId="43498"/>
    <cellStyle name="Title 2 2 2 2 2 2 4 2 2 2 2 22" xfId="43499"/>
    <cellStyle name="Title 2 2 2 2 2 2 4 2 2 2 2 23" xfId="43500"/>
    <cellStyle name="Title 2 2 2 2 2 2 4 2 2 2 2 24" xfId="43501"/>
    <cellStyle name="Title 2 2 2 2 2 2 4 2 2 2 2 25" xfId="43502"/>
    <cellStyle name="Title 2 2 2 2 2 2 4 2 2 2 2 26" xfId="43503"/>
    <cellStyle name="Title 2 2 2 2 2 2 4 2 2 2 2 27" xfId="43504"/>
    <cellStyle name="Title 2 2 2 2 2 2 4 2 2 2 2 28" xfId="43505"/>
    <cellStyle name="Title 2 2 2 2 2 2 4 2 2 2 2 29" xfId="43506"/>
    <cellStyle name="Title 2 2 2 2 2 2 4 2 2 2 2 3" xfId="43507"/>
    <cellStyle name="Title 2 2 2 2 2 2 4 2 2 2 2 3 2" xfId="43508"/>
    <cellStyle name="Title 2 2 2 2 2 2 4 2 2 2 2 30" xfId="43509"/>
    <cellStyle name="Title 2 2 2 2 2 2 4 2 2 2 2 31" xfId="43510"/>
    <cellStyle name="Title 2 2 2 2 2 2 4 2 2 2 2 32" xfId="43511"/>
    <cellStyle name="Title 2 2 2 2 2 2 4 2 2 2 2 33" xfId="43512"/>
    <cellStyle name="Title 2 2 2 2 2 2 4 2 2 2 2 34" xfId="43513"/>
    <cellStyle name="Title 2 2 2 2 2 2 4 2 2 2 2 35" xfId="43514"/>
    <cellStyle name="Title 2 2 2 2 2 2 4 2 2 2 2 36" xfId="43515"/>
    <cellStyle name="Title 2 2 2 2 2 2 4 2 2 2 2 37" xfId="43516"/>
    <cellStyle name="Title 2 2 2 2 2 2 4 2 2 2 2 38" xfId="43517"/>
    <cellStyle name="Title 2 2 2 2 2 2 4 2 2 2 2 39" xfId="43518"/>
    <cellStyle name="Title 2 2 2 2 2 2 4 2 2 2 2 4" xfId="43519"/>
    <cellStyle name="Title 2 2 2 2 2 2 4 2 2 2 2 40" xfId="43520"/>
    <cellStyle name="Title 2 2 2 2 2 2 4 2 2 2 2 41" xfId="43521"/>
    <cellStyle name="Title 2 2 2 2 2 2 4 2 2 2 2 42" xfId="43522"/>
    <cellStyle name="Title 2 2 2 2 2 2 4 2 2 2 2 43" xfId="43523"/>
    <cellStyle name="Title 2 2 2 2 2 2 4 2 2 2 2 44" xfId="43524"/>
    <cellStyle name="Title 2 2 2 2 2 2 4 2 2 2 2 45" xfId="43525"/>
    <cellStyle name="Title 2 2 2 2 2 2 4 2 2 2 2 46" xfId="43526"/>
    <cellStyle name="Title 2 2 2 2 2 2 4 2 2 2 2 47" xfId="43527"/>
    <cellStyle name="Title 2 2 2 2 2 2 4 2 2 2 2 48" xfId="43528"/>
    <cellStyle name="Title 2 2 2 2 2 2 4 2 2 2 2 49" xfId="43529"/>
    <cellStyle name="Title 2 2 2 2 2 2 4 2 2 2 2 5" xfId="43530"/>
    <cellStyle name="Title 2 2 2 2 2 2 4 2 2 2 2 50" xfId="43531"/>
    <cellStyle name="Title 2 2 2 2 2 2 4 2 2 2 2 51" xfId="43532"/>
    <cellStyle name="Title 2 2 2 2 2 2 4 2 2 2 2 52" xfId="43533"/>
    <cellStyle name="Title 2 2 2 2 2 2 4 2 2 2 2 53" xfId="43534"/>
    <cellStyle name="Title 2 2 2 2 2 2 4 2 2 2 2 54" xfId="43535"/>
    <cellStyle name="Title 2 2 2 2 2 2 4 2 2 2 2 55" xfId="43536"/>
    <cellStyle name="Title 2 2 2 2 2 2 4 2 2 2 2 56" xfId="43537"/>
    <cellStyle name="Title 2 2 2 2 2 2 4 2 2 2 2 57" xfId="43538"/>
    <cellStyle name="Title 2 2 2 2 2 2 4 2 2 2 2 58" xfId="43539"/>
    <cellStyle name="Title 2 2 2 2 2 2 4 2 2 2 2 59" xfId="43540"/>
    <cellStyle name="Title 2 2 2 2 2 2 4 2 2 2 2 6" xfId="43541"/>
    <cellStyle name="Title 2 2 2 2 2 2 4 2 2 2 2 60" xfId="43542"/>
    <cellStyle name="Title 2 2 2 2 2 2 4 2 2 2 2 61" xfId="43543"/>
    <cellStyle name="Title 2 2 2 2 2 2 4 2 2 2 2 62" xfId="43544"/>
    <cellStyle name="Title 2 2 2 2 2 2 4 2 2 2 2 63" xfId="43545"/>
    <cellStyle name="Title 2 2 2 2 2 2 4 2 2 2 2 64" xfId="43546"/>
    <cellStyle name="Title 2 2 2 2 2 2 4 2 2 2 2 65" xfId="43547"/>
    <cellStyle name="Title 2 2 2 2 2 2 4 2 2 2 2 66" xfId="43548"/>
    <cellStyle name="Title 2 2 2 2 2 2 4 2 2 2 2 67" xfId="43549"/>
    <cellStyle name="Title 2 2 2 2 2 2 4 2 2 2 2 68" xfId="43550"/>
    <cellStyle name="Title 2 2 2 2 2 2 4 2 2 2 2 69" xfId="43551"/>
    <cellStyle name="Title 2 2 2 2 2 2 4 2 2 2 2 7" xfId="43552"/>
    <cellStyle name="Title 2 2 2 2 2 2 4 2 2 2 2 70" xfId="43553"/>
    <cellStyle name="Title 2 2 2 2 2 2 4 2 2 2 2 71" xfId="43554"/>
    <cellStyle name="Title 2 2 2 2 2 2 4 2 2 2 2 72" xfId="43555"/>
    <cellStyle name="Title 2 2 2 2 2 2 4 2 2 2 2 73" xfId="43556"/>
    <cellStyle name="Title 2 2 2 2 2 2 4 2 2 2 2 74" xfId="43557"/>
    <cellStyle name="Title 2 2 2 2 2 2 4 2 2 2 2 8" xfId="43558"/>
    <cellStyle name="Title 2 2 2 2 2 2 4 2 2 2 2 9" xfId="43559"/>
    <cellStyle name="Title 2 2 2 2 2 2 4 2 2 2 20" xfId="43560"/>
    <cellStyle name="Title 2 2 2 2 2 2 4 2 2 2 21" xfId="43561"/>
    <cellStyle name="Title 2 2 2 2 2 2 4 2 2 2 22" xfId="43562"/>
    <cellStyle name="Title 2 2 2 2 2 2 4 2 2 2 23" xfId="43563"/>
    <cellStyle name="Title 2 2 2 2 2 2 4 2 2 2 24" xfId="43564"/>
    <cellStyle name="Title 2 2 2 2 2 2 4 2 2 2 25" xfId="43565"/>
    <cellStyle name="Title 2 2 2 2 2 2 4 2 2 2 26" xfId="43566"/>
    <cellStyle name="Title 2 2 2 2 2 2 4 2 2 2 27" xfId="43567"/>
    <cellStyle name="Title 2 2 2 2 2 2 4 2 2 2 28" xfId="43568"/>
    <cellStyle name="Title 2 2 2 2 2 2 4 2 2 2 29" xfId="43569"/>
    <cellStyle name="Title 2 2 2 2 2 2 4 2 2 2 3" xfId="43570"/>
    <cellStyle name="Title 2 2 2 2 2 2 4 2 2 2 3 2" xfId="43571"/>
    <cellStyle name="Title 2 2 2 2 2 2 4 2 2 2 30" xfId="43572"/>
    <cellStyle name="Title 2 2 2 2 2 2 4 2 2 2 31" xfId="43573"/>
    <cellStyle name="Title 2 2 2 2 2 2 4 2 2 2 32" xfId="43574"/>
    <cellStyle name="Title 2 2 2 2 2 2 4 2 2 2 33" xfId="43575"/>
    <cellStyle name="Title 2 2 2 2 2 2 4 2 2 2 34" xfId="43576"/>
    <cellStyle name="Title 2 2 2 2 2 2 4 2 2 2 35" xfId="43577"/>
    <cellStyle name="Title 2 2 2 2 2 2 4 2 2 2 36" xfId="43578"/>
    <cellStyle name="Title 2 2 2 2 2 2 4 2 2 2 37" xfId="43579"/>
    <cellStyle name="Title 2 2 2 2 2 2 4 2 2 2 38" xfId="43580"/>
    <cellStyle name="Title 2 2 2 2 2 2 4 2 2 2 39" xfId="43581"/>
    <cellStyle name="Title 2 2 2 2 2 2 4 2 2 2 4" xfId="43582"/>
    <cellStyle name="Title 2 2 2 2 2 2 4 2 2 2 40" xfId="43583"/>
    <cellStyle name="Title 2 2 2 2 2 2 4 2 2 2 41" xfId="43584"/>
    <cellStyle name="Title 2 2 2 2 2 2 4 2 2 2 42" xfId="43585"/>
    <cellStyle name="Title 2 2 2 2 2 2 4 2 2 2 43" xfId="43586"/>
    <cellStyle name="Title 2 2 2 2 2 2 4 2 2 2 44" xfId="43587"/>
    <cellStyle name="Title 2 2 2 2 2 2 4 2 2 2 45" xfId="43588"/>
    <cellStyle name="Title 2 2 2 2 2 2 4 2 2 2 46" xfId="43589"/>
    <cellStyle name="Title 2 2 2 2 2 2 4 2 2 2 47" xfId="43590"/>
    <cellStyle name="Title 2 2 2 2 2 2 4 2 2 2 48" xfId="43591"/>
    <cellStyle name="Title 2 2 2 2 2 2 4 2 2 2 49" xfId="43592"/>
    <cellStyle name="Title 2 2 2 2 2 2 4 2 2 2 5" xfId="43593"/>
    <cellStyle name="Title 2 2 2 2 2 2 4 2 2 2 50" xfId="43594"/>
    <cellStyle name="Title 2 2 2 2 2 2 4 2 2 2 51" xfId="43595"/>
    <cellStyle name="Title 2 2 2 2 2 2 4 2 2 2 52" xfId="43596"/>
    <cellStyle name="Title 2 2 2 2 2 2 4 2 2 2 53" xfId="43597"/>
    <cellStyle name="Title 2 2 2 2 2 2 4 2 2 2 54" xfId="43598"/>
    <cellStyle name="Title 2 2 2 2 2 2 4 2 2 2 55" xfId="43599"/>
    <cellStyle name="Title 2 2 2 2 2 2 4 2 2 2 56" xfId="43600"/>
    <cellStyle name="Title 2 2 2 2 2 2 4 2 2 2 57" xfId="43601"/>
    <cellStyle name="Title 2 2 2 2 2 2 4 2 2 2 58" xfId="43602"/>
    <cellStyle name="Title 2 2 2 2 2 2 4 2 2 2 59" xfId="43603"/>
    <cellStyle name="Title 2 2 2 2 2 2 4 2 2 2 6" xfId="43604"/>
    <cellStyle name="Title 2 2 2 2 2 2 4 2 2 2 60" xfId="43605"/>
    <cellStyle name="Title 2 2 2 2 2 2 4 2 2 2 61" xfId="43606"/>
    <cellStyle name="Title 2 2 2 2 2 2 4 2 2 2 62" xfId="43607"/>
    <cellStyle name="Title 2 2 2 2 2 2 4 2 2 2 63" xfId="43608"/>
    <cellStyle name="Title 2 2 2 2 2 2 4 2 2 2 64" xfId="43609"/>
    <cellStyle name="Title 2 2 2 2 2 2 4 2 2 2 65" xfId="43610"/>
    <cellStyle name="Title 2 2 2 2 2 2 4 2 2 2 66" xfId="43611"/>
    <cellStyle name="Title 2 2 2 2 2 2 4 2 2 2 67" xfId="43612"/>
    <cellStyle name="Title 2 2 2 2 2 2 4 2 2 2 68" xfId="43613"/>
    <cellStyle name="Title 2 2 2 2 2 2 4 2 2 2 69" xfId="43614"/>
    <cellStyle name="Title 2 2 2 2 2 2 4 2 2 2 7" xfId="43615"/>
    <cellStyle name="Title 2 2 2 2 2 2 4 2 2 2 70" xfId="43616"/>
    <cellStyle name="Title 2 2 2 2 2 2 4 2 2 2 71" xfId="43617"/>
    <cellStyle name="Title 2 2 2 2 2 2 4 2 2 2 72" xfId="43618"/>
    <cellStyle name="Title 2 2 2 2 2 2 4 2 2 2 73" xfId="43619"/>
    <cellStyle name="Title 2 2 2 2 2 2 4 2 2 2 74" xfId="43620"/>
    <cellStyle name="Title 2 2 2 2 2 2 4 2 2 2 75" xfId="43621"/>
    <cellStyle name="Title 2 2 2 2 2 2 4 2 2 2 76" xfId="43622"/>
    <cellStyle name="Title 2 2 2 2 2 2 4 2 2 2 77" xfId="43623"/>
    <cellStyle name="Title 2 2 2 2 2 2 4 2 2 2 78" xfId="43624"/>
    <cellStyle name="Title 2 2 2 2 2 2 4 2 2 2 79" xfId="43625"/>
    <cellStyle name="Title 2 2 2 2 2 2 4 2 2 2 8" xfId="43626"/>
    <cellStyle name="Title 2 2 2 2 2 2 4 2 2 2 80" xfId="43627"/>
    <cellStyle name="Title 2 2 2 2 2 2 4 2 2 2 81" xfId="43628"/>
    <cellStyle name="Title 2 2 2 2 2 2 4 2 2 2 82" xfId="43629"/>
    <cellStyle name="Title 2 2 2 2 2 2 4 2 2 2 83" xfId="43630"/>
    <cellStyle name="Title 2 2 2 2 2 2 4 2 2 2 84" xfId="43631"/>
    <cellStyle name="Title 2 2 2 2 2 2 4 2 2 2 85" xfId="43632"/>
    <cellStyle name="Title 2 2 2 2 2 2 4 2 2 2 86" xfId="43633"/>
    <cellStyle name="Title 2 2 2 2 2 2 4 2 2 2 87" xfId="43634"/>
    <cellStyle name="Title 2 2 2 2 2 2 4 2 2 2 88" xfId="43635"/>
    <cellStyle name="Title 2 2 2 2 2 2 4 2 2 2 9" xfId="43636"/>
    <cellStyle name="Title 2 2 2 2 2 2 4 2 2 20" xfId="43637"/>
    <cellStyle name="Title 2 2 2 2 2 2 4 2 2 21" xfId="43638"/>
    <cellStyle name="Title 2 2 2 2 2 2 4 2 2 22" xfId="43639"/>
    <cellStyle name="Title 2 2 2 2 2 2 4 2 2 23" xfId="43640"/>
    <cellStyle name="Title 2 2 2 2 2 2 4 2 2 24" xfId="43641"/>
    <cellStyle name="Title 2 2 2 2 2 2 4 2 2 25" xfId="43642"/>
    <cellStyle name="Title 2 2 2 2 2 2 4 2 2 26" xfId="43643"/>
    <cellStyle name="Title 2 2 2 2 2 2 4 2 2 27" xfId="43644"/>
    <cellStyle name="Title 2 2 2 2 2 2 4 2 2 28" xfId="43645"/>
    <cellStyle name="Title 2 2 2 2 2 2 4 2 2 29" xfId="43646"/>
    <cellStyle name="Title 2 2 2 2 2 2 4 2 2 3" xfId="43647"/>
    <cellStyle name="Title 2 2 2 2 2 2 4 2 2 3 2" xfId="43648"/>
    <cellStyle name="Title 2 2 2 2 2 2 4 2 2 30" xfId="43649"/>
    <cellStyle name="Title 2 2 2 2 2 2 4 2 2 31" xfId="43650"/>
    <cellStyle name="Title 2 2 2 2 2 2 4 2 2 32" xfId="43651"/>
    <cellStyle name="Title 2 2 2 2 2 2 4 2 2 33" xfId="43652"/>
    <cellStyle name="Title 2 2 2 2 2 2 4 2 2 34" xfId="43653"/>
    <cellStyle name="Title 2 2 2 2 2 2 4 2 2 35" xfId="43654"/>
    <cellStyle name="Title 2 2 2 2 2 2 4 2 2 36" xfId="43655"/>
    <cellStyle name="Title 2 2 2 2 2 2 4 2 2 37" xfId="43656"/>
    <cellStyle name="Title 2 2 2 2 2 2 4 2 2 38" xfId="43657"/>
    <cellStyle name="Title 2 2 2 2 2 2 4 2 2 39" xfId="43658"/>
    <cellStyle name="Title 2 2 2 2 2 2 4 2 2 4" xfId="43659"/>
    <cellStyle name="Title 2 2 2 2 2 2 4 2 2 40" xfId="43660"/>
    <cellStyle name="Title 2 2 2 2 2 2 4 2 2 41" xfId="43661"/>
    <cellStyle name="Title 2 2 2 2 2 2 4 2 2 42" xfId="43662"/>
    <cellStyle name="Title 2 2 2 2 2 2 4 2 2 43" xfId="43663"/>
    <cellStyle name="Title 2 2 2 2 2 2 4 2 2 44" xfId="43664"/>
    <cellStyle name="Title 2 2 2 2 2 2 4 2 2 45" xfId="43665"/>
    <cellStyle name="Title 2 2 2 2 2 2 4 2 2 46" xfId="43666"/>
    <cellStyle name="Title 2 2 2 2 2 2 4 2 2 47" xfId="43667"/>
    <cellStyle name="Title 2 2 2 2 2 2 4 2 2 48" xfId="43668"/>
    <cellStyle name="Title 2 2 2 2 2 2 4 2 2 49" xfId="43669"/>
    <cellStyle name="Title 2 2 2 2 2 2 4 2 2 5" xfId="43670"/>
    <cellStyle name="Title 2 2 2 2 2 2 4 2 2 50" xfId="43671"/>
    <cellStyle name="Title 2 2 2 2 2 2 4 2 2 51" xfId="43672"/>
    <cellStyle name="Title 2 2 2 2 2 2 4 2 2 52" xfId="43673"/>
    <cellStyle name="Title 2 2 2 2 2 2 4 2 2 53" xfId="43674"/>
    <cellStyle name="Title 2 2 2 2 2 2 4 2 2 54" xfId="43675"/>
    <cellStyle name="Title 2 2 2 2 2 2 4 2 2 55" xfId="43676"/>
    <cellStyle name="Title 2 2 2 2 2 2 4 2 2 56" xfId="43677"/>
    <cellStyle name="Title 2 2 2 2 2 2 4 2 2 57" xfId="43678"/>
    <cellStyle name="Title 2 2 2 2 2 2 4 2 2 58" xfId="43679"/>
    <cellStyle name="Title 2 2 2 2 2 2 4 2 2 59" xfId="43680"/>
    <cellStyle name="Title 2 2 2 2 2 2 4 2 2 6" xfId="43681"/>
    <cellStyle name="Title 2 2 2 2 2 2 4 2 2 60" xfId="43682"/>
    <cellStyle name="Title 2 2 2 2 2 2 4 2 2 61" xfId="43683"/>
    <cellStyle name="Title 2 2 2 2 2 2 4 2 2 62" xfId="43684"/>
    <cellStyle name="Title 2 2 2 2 2 2 4 2 2 63" xfId="43685"/>
    <cellStyle name="Title 2 2 2 2 2 2 4 2 2 64" xfId="43686"/>
    <cellStyle name="Title 2 2 2 2 2 2 4 2 2 65" xfId="43687"/>
    <cellStyle name="Title 2 2 2 2 2 2 4 2 2 66" xfId="43688"/>
    <cellStyle name="Title 2 2 2 2 2 2 4 2 2 67" xfId="43689"/>
    <cellStyle name="Title 2 2 2 2 2 2 4 2 2 68" xfId="43690"/>
    <cellStyle name="Title 2 2 2 2 2 2 4 2 2 69" xfId="43691"/>
    <cellStyle name="Title 2 2 2 2 2 2 4 2 2 7" xfId="43692"/>
    <cellStyle name="Title 2 2 2 2 2 2 4 2 2 70" xfId="43693"/>
    <cellStyle name="Title 2 2 2 2 2 2 4 2 2 71" xfId="43694"/>
    <cellStyle name="Title 2 2 2 2 2 2 4 2 2 72" xfId="43695"/>
    <cellStyle name="Title 2 2 2 2 2 2 4 2 2 73" xfId="43696"/>
    <cellStyle name="Title 2 2 2 2 2 2 4 2 2 74" xfId="43697"/>
    <cellStyle name="Title 2 2 2 2 2 2 4 2 2 75" xfId="43698"/>
    <cellStyle name="Title 2 2 2 2 2 2 4 2 2 76" xfId="43699"/>
    <cellStyle name="Title 2 2 2 2 2 2 4 2 2 77" xfId="43700"/>
    <cellStyle name="Title 2 2 2 2 2 2 4 2 2 78" xfId="43701"/>
    <cellStyle name="Title 2 2 2 2 2 2 4 2 2 79" xfId="43702"/>
    <cellStyle name="Title 2 2 2 2 2 2 4 2 2 8" xfId="43703"/>
    <cellStyle name="Title 2 2 2 2 2 2 4 2 2 80" xfId="43704"/>
    <cellStyle name="Title 2 2 2 2 2 2 4 2 2 81" xfId="43705"/>
    <cellStyle name="Title 2 2 2 2 2 2 4 2 2 82" xfId="43706"/>
    <cellStyle name="Title 2 2 2 2 2 2 4 2 2 83" xfId="43707"/>
    <cellStyle name="Title 2 2 2 2 2 2 4 2 2 84" xfId="43708"/>
    <cellStyle name="Title 2 2 2 2 2 2 4 2 2 85" xfId="43709"/>
    <cellStyle name="Title 2 2 2 2 2 2 4 2 2 86" xfId="43710"/>
    <cellStyle name="Title 2 2 2 2 2 2 4 2 2 87" xfId="43711"/>
    <cellStyle name="Title 2 2 2 2 2 2 4 2 2 88" xfId="43712"/>
    <cellStyle name="Title 2 2 2 2 2 2 4 2 2 9" xfId="43713"/>
    <cellStyle name="Title 2 2 2 2 2 2 4 2 20" xfId="43714"/>
    <cellStyle name="Title 2 2 2 2 2 2 4 2 21" xfId="43715"/>
    <cellStyle name="Title 2 2 2 2 2 2 4 2 22" xfId="43716"/>
    <cellStyle name="Title 2 2 2 2 2 2 4 2 23" xfId="43717"/>
    <cellStyle name="Title 2 2 2 2 2 2 4 2 24" xfId="43718"/>
    <cellStyle name="Title 2 2 2 2 2 2 4 2 25" xfId="43719"/>
    <cellStyle name="Title 2 2 2 2 2 2 4 2 26" xfId="43720"/>
    <cellStyle name="Title 2 2 2 2 2 2 4 2 27" xfId="43721"/>
    <cellStyle name="Title 2 2 2 2 2 2 4 2 28" xfId="43722"/>
    <cellStyle name="Title 2 2 2 2 2 2 4 2 29" xfId="43723"/>
    <cellStyle name="Title 2 2 2 2 2 2 4 2 3" xfId="43724"/>
    <cellStyle name="Title 2 2 2 2 2 2 4 2 30" xfId="43725"/>
    <cellStyle name="Title 2 2 2 2 2 2 4 2 31" xfId="43726"/>
    <cellStyle name="Title 2 2 2 2 2 2 4 2 32" xfId="43727"/>
    <cellStyle name="Title 2 2 2 2 2 2 4 2 33" xfId="43728"/>
    <cellStyle name="Title 2 2 2 2 2 2 4 2 34" xfId="43729"/>
    <cellStyle name="Title 2 2 2 2 2 2 4 2 35" xfId="43730"/>
    <cellStyle name="Title 2 2 2 2 2 2 4 2 36" xfId="43731"/>
    <cellStyle name="Title 2 2 2 2 2 2 4 2 37" xfId="43732"/>
    <cellStyle name="Title 2 2 2 2 2 2 4 2 38" xfId="43733"/>
    <cellStyle name="Title 2 2 2 2 2 2 4 2 39" xfId="43734"/>
    <cellStyle name="Title 2 2 2 2 2 2 4 2 4" xfId="43735"/>
    <cellStyle name="Title 2 2 2 2 2 2 4 2 40" xfId="43736"/>
    <cellStyle name="Title 2 2 2 2 2 2 4 2 41" xfId="43737"/>
    <cellStyle name="Title 2 2 2 2 2 2 4 2 42" xfId="43738"/>
    <cellStyle name="Title 2 2 2 2 2 2 4 2 43" xfId="43739"/>
    <cellStyle name="Title 2 2 2 2 2 2 4 2 44" xfId="43740"/>
    <cellStyle name="Title 2 2 2 2 2 2 4 2 45" xfId="43741"/>
    <cellStyle name="Title 2 2 2 2 2 2 4 2 46" xfId="43742"/>
    <cellStyle name="Title 2 2 2 2 2 2 4 2 47" xfId="43743"/>
    <cellStyle name="Title 2 2 2 2 2 2 4 2 48" xfId="43744"/>
    <cellStyle name="Title 2 2 2 2 2 2 4 2 49" xfId="43745"/>
    <cellStyle name="Title 2 2 2 2 2 2 4 2 5" xfId="43746"/>
    <cellStyle name="Title 2 2 2 2 2 2 4 2 50" xfId="43747"/>
    <cellStyle name="Title 2 2 2 2 2 2 4 2 51" xfId="43748"/>
    <cellStyle name="Title 2 2 2 2 2 2 4 2 52" xfId="43749"/>
    <cellStyle name="Title 2 2 2 2 2 2 4 2 53" xfId="43750"/>
    <cellStyle name="Title 2 2 2 2 2 2 4 2 54" xfId="43751"/>
    <cellStyle name="Title 2 2 2 2 2 2 4 2 55" xfId="43752"/>
    <cellStyle name="Title 2 2 2 2 2 2 4 2 56" xfId="43753"/>
    <cellStyle name="Title 2 2 2 2 2 2 4 2 57" xfId="43754"/>
    <cellStyle name="Title 2 2 2 2 2 2 4 2 58" xfId="43755"/>
    <cellStyle name="Title 2 2 2 2 2 2 4 2 59" xfId="43756"/>
    <cellStyle name="Title 2 2 2 2 2 2 4 2 6" xfId="43757"/>
    <cellStyle name="Title 2 2 2 2 2 2 4 2 60" xfId="43758"/>
    <cellStyle name="Title 2 2 2 2 2 2 4 2 61" xfId="43759"/>
    <cellStyle name="Title 2 2 2 2 2 2 4 2 62" xfId="43760"/>
    <cellStyle name="Title 2 2 2 2 2 2 4 2 63" xfId="43761"/>
    <cellStyle name="Title 2 2 2 2 2 2 4 2 64" xfId="43762"/>
    <cellStyle name="Title 2 2 2 2 2 2 4 2 65" xfId="43763"/>
    <cellStyle name="Title 2 2 2 2 2 2 4 2 66" xfId="43764"/>
    <cellStyle name="Title 2 2 2 2 2 2 4 2 67" xfId="43765"/>
    <cellStyle name="Title 2 2 2 2 2 2 4 2 68" xfId="43766"/>
    <cellStyle name="Title 2 2 2 2 2 2 4 2 69" xfId="43767"/>
    <cellStyle name="Title 2 2 2 2 2 2 4 2 7" xfId="43768"/>
    <cellStyle name="Title 2 2 2 2 2 2 4 2 70" xfId="43769"/>
    <cellStyle name="Title 2 2 2 2 2 2 4 2 71" xfId="43770"/>
    <cellStyle name="Title 2 2 2 2 2 2 4 2 72" xfId="43771"/>
    <cellStyle name="Title 2 2 2 2 2 2 4 2 73" xfId="43772"/>
    <cellStyle name="Title 2 2 2 2 2 2 4 2 74" xfId="43773"/>
    <cellStyle name="Title 2 2 2 2 2 2 4 2 75" xfId="43774"/>
    <cellStyle name="Title 2 2 2 2 2 2 4 2 76" xfId="43775"/>
    <cellStyle name="Title 2 2 2 2 2 2 4 2 77" xfId="43776"/>
    <cellStyle name="Title 2 2 2 2 2 2 4 2 78" xfId="43777"/>
    <cellStyle name="Title 2 2 2 2 2 2 4 2 79" xfId="43778"/>
    <cellStyle name="Title 2 2 2 2 2 2 4 2 8" xfId="43779"/>
    <cellStyle name="Title 2 2 2 2 2 2 4 2 80" xfId="43780"/>
    <cellStyle name="Title 2 2 2 2 2 2 4 2 81" xfId="43781"/>
    <cellStyle name="Title 2 2 2 2 2 2 4 2 82" xfId="43782"/>
    <cellStyle name="Title 2 2 2 2 2 2 4 2 83" xfId="43783"/>
    <cellStyle name="Title 2 2 2 2 2 2 4 2 84" xfId="43784"/>
    <cellStyle name="Title 2 2 2 2 2 2 4 2 85" xfId="43785"/>
    <cellStyle name="Title 2 2 2 2 2 2 4 2 86" xfId="43786"/>
    <cellStyle name="Title 2 2 2 2 2 2 4 2 87" xfId="43787"/>
    <cellStyle name="Title 2 2 2 2 2 2 4 2 88" xfId="43788"/>
    <cellStyle name="Title 2 2 2 2 2 2 4 2 89" xfId="43789"/>
    <cellStyle name="Title 2 2 2 2 2 2 4 2 9" xfId="43790"/>
    <cellStyle name="Title 2 2 2 2 2 2 4 2 90" xfId="43791"/>
    <cellStyle name="Title 2 2 2 2 2 2 4 2 91" xfId="43792"/>
    <cellStyle name="Title 2 2 2 2 2 2 4 2 92" xfId="43793"/>
    <cellStyle name="Title 2 2 2 2 2 2 4 2 93" xfId="43794"/>
    <cellStyle name="Title 2 2 2 2 2 2 4 2 94" xfId="43795"/>
    <cellStyle name="Title 2 2 2 2 2 2 4 2 95" xfId="43796"/>
    <cellStyle name="Title 2 2 2 2 2 2 4 2 96" xfId="43797"/>
    <cellStyle name="Title 2 2 2 2 2 2 4 2 97" xfId="43798"/>
    <cellStyle name="Title 2 2 2 2 2 2 4 2 98" xfId="43799"/>
    <cellStyle name="Title 2 2 2 2 2 2 4 20" xfId="43800"/>
    <cellStyle name="Title 2 2 2 2 2 2 4 21" xfId="43801"/>
    <cellStyle name="Title 2 2 2 2 2 2 4 22" xfId="43802"/>
    <cellStyle name="Title 2 2 2 2 2 2 4 23" xfId="43803"/>
    <cellStyle name="Title 2 2 2 2 2 2 4 24" xfId="43804"/>
    <cellStyle name="Title 2 2 2 2 2 2 4 25" xfId="43805"/>
    <cellStyle name="Title 2 2 2 2 2 2 4 25 2" xfId="43806"/>
    <cellStyle name="Title 2 2 2 2 2 2 4 26" xfId="43807"/>
    <cellStyle name="Title 2 2 2 2 2 2 4 27" xfId="43808"/>
    <cellStyle name="Title 2 2 2 2 2 2 4 28" xfId="43809"/>
    <cellStyle name="Title 2 2 2 2 2 2 4 29" xfId="43810"/>
    <cellStyle name="Title 2 2 2 2 2 2 4 3" xfId="43811"/>
    <cellStyle name="Title 2 2 2 2 2 2 4 30" xfId="43812"/>
    <cellStyle name="Title 2 2 2 2 2 2 4 31" xfId="43813"/>
    <cellStyle name="Title 2 2 2 2 2 2 4 32" xfId="43814"/>
    <cellStyle name="Title 2 2 2 2 2 2 4 33" xfId="43815"/>
    <cellStyle name="Title 2 2 2 2 2 2 4 34" xfId="43816"/>
    <cellStyle name="Title 2 2 2 2 2 2 4 35" xfId="43817"/>
    <cellStyle name="Title 2 2 2 2 2 2 4 36" xfId="43818"/>
    <cellStyle name="Title 2 2 2 2 2 2 4 37" xfId="43819"/>
    <cellStyle name="Title 2 2 2 2 2 2 4 38" xfId="43820"/>
    <cellStyle name="Title 2 2 2 2 2 2 4 39" xfId="43821"/>
    <cellStyle name="Title 2 2 2 2 2 2 4 4" xfId="43822"/>
    <cellStyle name="Title 2 2 2 2 2 2 4 4 10" xfId="43823"/>
    <cellStyle name="Title 2 2 2 2 2 2 4 4 11" xfId="43824"/>
    <cellStyle name="Title 2 2 2 2 2 2 4 4 12" xfId="43825"/>
    <cellStyle name="Title 2 2 2 2 2 2 4 4 13" xfId="43826"/>
    <cellStyle name="Title 2 2 2 2 2 2 4 4 14" xfId="43827"/>
    <cellStyle name="Title 2 2 2 2 2 2 4 4 15" xfId="43828"/>
    <cellStyle name="Title 2 2 2 2 2 2 4 4 16" xfId="43829"/>
    <cellStyle name="Title 2 2 2 2 2 2 4 4 17" xfId="43830"/>
    <cellStyle name="Title 2 2 2 2 2 2 4 4 18" xfId="43831"/>
    <cellStyle name="Title 2 2 2 2 2 2 4 4 19" xfId="43832"/>
    <cellStyle name="Title 2 2 2 2 2 2 4 4 2" xfId="43833"/>
    <cellStyle name="Title 2 2 2 2 2 2 4 4 2 10" xfId="43834"/>
    <cellStyle name="Title 2 2 2 2 2 2 4 4 2 11" xfId="43835"/>
    <cellStyle name="Title 2 2 2 2 2 2 4 4 2 12" xfId="43836"/>
    <cellStyle name="Title 2 2 2 2 2 2 4 4 2 13" xfId="43837"/>
    <cellStyle name="Title 2 2 2 2 2 2 4 4 2 14" xfId="43838"/>
    <cellStyle name="Title 2 2 2 2 2 2 4 4 2 15" xfId="43839"/>
    <cellStyle name="Title 2 2 2 2 2 2 4 4 2 16" xfId="43840"/>
    <cellStyle name="Title 2 2 2 2 2 2 4 4 2 17" xfId="43841"/>
    <cellStyle name="Title 2 2 2 2 2 2 4 4 2 18" xfId="43842"/>
    <cellStyle name="Title 2 2 2 2 2 2 4 4 2 19" xfId="43843"/>
    <cellStyle name="Title 2 2 2 2 2 2 4 4 2 2" xfId="43844"/>
    <cellStyle name="Title 2 2 2 2 2 2 4 4 2 2 2" xfId="43845"/>
    <cellStyle name="Title 2 2 2 2 2 2 4 4 2 20" xfId="43846"/>
    <cellStyle name="Title 2 2 2 2 2 2 4 4 2 21" xfId="43847"/>
    <cellStyle name="Title 2 2 2 2 2 2 4 4 2 22" xfId="43848"/>
    <cellStyle name="Title 2 2 2 2 2 2 4 4 2 23" xfId="43849"/>
    <cellStyle name="Title 2 2 2 2 2 2 4 4 2 24" xfId="43850"/>
    <cellStyle name="Title 2 2 2 2 2 2 4 4 2 25" xfId="43851"/>
    <cellStyle name="Title 2 2 2 2 2 2 4 4 2 26" xfId="43852"/>
    <cellStyle name="Title 2 2 2 2 2 2 4 4 2 27" xfId="43853"/>
    <cellStyle name="Title 2 2 2 2 2 2 4 4 2 28" xfId="43854"/>
    <cellStyle name="Title 2 2 2 2 2 2 4 4 2 29" xfId="43855"/>
    <cellStyle name="Title 2 2 2 2 2 2 4 4 2 3" xfId="43856"/>
    <cellStyle name="Title 2 2 2 2 2 2 4 4 2 30" xfId="43857"/>
    <cellStyle name="Title 2 2 2 2 2 2 4 4 2 31" xfId="43858"/>
    <cellStyle name="Title 2 2 2 2 2 2 4 4 2 32" xfId="43859"/>
    <cellStyle name="Title 2 2 2 2 2 2 4 4 2 33" xfId="43860"/>
    <cellStyle name="Title 2 2 2 2 2 2 4 4 2 34" xfId="43861"/>
    <cellStyle name="Title 2 2 2 2 2 2 4 4 2 35" xfId="43862"/>
    <cellStyle name="Title 2 2 2 2 2 2 4 4 2 36" xfId="43863"/>
    <cellStyle name="Title 2 2 2 2 2 2 4 4 2 37" xfId="43864"/>
    <cellStyle name="Title 2 2 2 2 2 2 4 4 2 38" xfId="43865"/>
    <cellStyle name="Title 2 2 2 2 2 2 4 4 2 39" xfId="43866"/>
    <cellStyle name="Title 2 2 2 2 2 2 4 4 2 4" xfId="43867"/>
    <cellStyle name="Title 2 2 2 2 2 2 4 4 2 40" xfId="43868"/>
    <cellStyle name="Title 2 2 2 2 2 2 4 4 2 41" xfId="43869"/>
    <cellStyle name="Title 2 2 2 2 2 2 4 4 2 42" xfId="43870"/>
    <cellStyle name="Title 2 2 2 2 2 2 4 4 2 43" xfId="43871"/>
    <cellStyle name="Title 2 2 2 2 2 2 4 4 2 44" xfId="43872"/>
    <cellStyle name="Title 2 2 2 2 2 2 4 4 2 45" xfId="43873"/>
    <cellStyle name="Title 2 2 2 2 2 2 4 4 2 46" xfId="43874"/>
    <cellStyle name="Title 2 2 2 2 2 2 4 4 2 47" xfId="43875"/>
    <cellStyle name="Title 2 2 2 2 2 2 4 4 2 48" xfId="43876"/>
    <cellStyle name="Title 2 2 2 2 2 2 4 4 2 49" xfId="43877"/>
    <cellStyle name="Title 2 2 2 2 2 2 4 4 2 5" xfId="43878"/>
    <cellStyle name="Title 2 2 2 2 2 2 4 4 2 50" xfId="43879"/>
    <cellStyle name="Title 2 2 2 2 2 2 4 4 2 51" xfId="43880"/>
    <cellStyle name="Title 2 2 2 2 2 2 4 4 2 52" xfId="43881"/>
    <cellStyle name="Title 2 2 2 2 2 2 4 4 2 53" xfId="43882"/>
    <cellStyle name="Title 2 2 2 2 2 2 4 4 2 54" xfId="43883"/>
    <cellStyle name="Title 2 2 2 2 2 2 4 4 2 55" xfId="43884"/>
    <cellStyle name="Title 2 2 2 2 2 2 4 4 2 56" xfId="43885"/>
    <cellStyle name="Title 2 2 2 2 2 2 4 4 2 57" xfId="43886"/>
    <cellStyle name="Title 2 2 2 2 2 2 4 4 2 58" xfId="43887"/>
    <cellStyle name="Title 2 2 2 2 2 2 4 4 2 59" xfId="43888"/>
    <cellStyle name="Title 2 2 2 2 2 2 4 4 2 6" xfId="43889"/>
    <cellStyle name="Title 2 2 2 2 2 2 4 4 2 60" xfId="43890"/>
    <cellStyle name="Title 2 2 2 2 2 2 4 4 2 61" xfId="43891"/>
    <cellStyle name="Title 2 2 2 2 2 2 4 4 2 62" xfId="43892"/>
    <cellStyle name="Title 2 2 2 2 2 2 4 4 2 63" xfId="43893"/>
    <cellStyle name="Title 2 2 2 2 2 2 4 4 2 64" xfId="43894"/>
    <cellStyle name="Title 2 2 2 2 2 2 4 4 2 65" xfId="43895"/>
    <cellStyle name="Title 2 2 2 2 2 2 4 4 2 66" xfId="43896"/>
    <cellStyle name="Title 2 2 2 2 2 2 4 4 2 67" xfId="43897"/>
    <cellStyle name="Title 2 2 2 2 2 2 4 4 2 68" xfId="43898"/>
    <cellStyle name="Title 2 2 2 2 2 2 4 4 2 69" xfId="43899"/>
    <cellStyle name="Title 2 2 2 2 2 2 4 4 2 7" xfId="43900"/>
    <cellStyle name="Title 2 2 2 2 2 2 4 4 2 70" xfId="43901"/>
    <cellStyle name="Title 2 2 2 2 2 2 4 4 2 71" xfId="43902"/>
    <cellStyle name="Title 2 2 2 2 2 2 4 4 2 72" xfId="43903"/>
    <cellStyle name="Title 2 2 2 2 2 2 4 4 2 73" xfId="43904"/>
    <cellStyle name="Title 2 2 2 2 2 2 4 4 2 74" xfId="43905"/>
    <cellStyle name="Title 2 2 2 2 2 2 4 4 2 8" xfId="43906"/>
    <cellStyle name="Title 2 2 2 2 2 2 4 4 2 9" xfId="43907"/>
    <cellStyle name="Title 2 2 2 2 2 2 4 4 20" xfId="43908"/>
    <cellStyle name="Title 2 2 2 2 2 2 4 4 21" xfId="43909"/>
    <cellStyle name="Title 2 2 2 2 2 2 4 4 22" xfId="43910"/>
    <cellStyle name="Title 2 2 2 2 2 2 4 4 23" xfId="43911"/>
    <cellStyle name="Title 2 2 2 2 2 2 4 4 24" xfId="43912"/>
    <cellStyle name="Title 2 2 2 2 2 2 4 4 25" xfId="43913"/>
    <cellStyle name="Title 2 2 2 2 2 2 4 4 26" xfId="43914"/>
    <cellStyle name="Title 2 2 2 2 2 2 4 4 27" xfId="43915"/>
    <cellStyle name="Title 2 2 2 2 2 2 4 4 28" xfId="43916"/>
    <cellStyle name="Title 2 2 2 2 2 2 4 4 29" xfId="43917"/>
    <cellStyle name="Title 2 2 2 2 2 2 4 4 3" xfId="43918"/>
    <cellStyle name="Title 2 2 2 2 2 2 4 4 3 2" xfId="43919"/>
    <cellStyle name="Title 2 2 2 2 2 2 4 4 30" xfId="43920"/>
    <cellStyle name="Title 2 2 2 2 2 2 4 4 31" xfId="43921"/>
    <cellStyle name="Title 2 2 2 2 2 2 4 4 32" xfId="43922"/>
    <cellStyle name="Title 2 2 2 2 2 2 4 4 33" xfId="43923"/>
    <cellStyle name="Title 2 2 2 2 2 2 4 4 34" xfId="43924"/>
    <cellStyle name="Title 2 2 2 2 2 2 4 4 35" xfId="43925"/>
    <cellStyle name="Title 2 2 2 2 2 2 4 4 36" xfId="43926"/>
    <cellStyle name="Title 2 2 2 2 2 2 4 4 37" xfId="43927"/>
    <cellStyle name="Title 2 2 2 2 2 2 4 4 38" xfId="43928"/>
    <cellStyle name="Title 2 2 2 2 2 2 4 4 39" xfId="43929"/>
    <cellStyle name="Title 2 2 2 2 2 2 4 4 4" xfId="43930"/>
    <cellStyle name="Title 2 2 2 2 2 2 4 4 40" xfId="43931"/>
    <cellStyle name="Title 2 2 2 2 2 2 4 4 41" xfId="43932"/>
    <cellStyle name="Title 2 2 2 2 2 2 4 4 42" xfId="43933"/>
    <cellStyle name="Title 2 2 2 2 2 2 4 4 43" xfId="43934"/>
    <cellStyle name="Title 2 2 2 2 2 2 4 4 44" xfId="43935"/>
    <cellStyle name="Title 2 2 2 2 2 2 4 4 45" xfId="43936"/>
    <cellStyle name="Title 2 2 2 2 2 2 4 4 46" xfId="43937"/>
    <cellStyle name="Title 2 2 2 2 2 2 4 4 47" xfId="43938"/>
    <cellStyle name="Title 2 2 2 2 2 2 4 4 48" xfId="43939"/>
    <cellStyle name="Title 2 2 2 2 2 2 4 4 49" xfId="43940"/>
    <cellStyle name="Title 2 2 2 2 2 2 4 4 5" xfId="43941"/>
    <cellStyle name="Title 2 2 2 2 2 2 4 4 50" xfId="43942"/>
    <cellStyle name="Title 2 2 2 2 2 2 4 4 51" xfId="43943"/>
    <cellStyle name="Title 2 2 2 2 2 2 4 4 52" xfId="43944"/>
    <cellStyle name="Title 2 2 2 2 2 2 4 4 53" xfId="43945"/>
    <cellStyle name="Title 2 2 2 2 2 2 4 4 54" xfId="43946"/>
    <cellStyle name="Title 2 2 2 2 2 2 4 4 55" xfId="43947"/>
    <cellStyle name="Title 2 2 2 2 2 2 4 4 56" xfId="43948"/>
    <cellStyle name="Title 2 2 2 2 2 2 4 4 57" xfId="43949"/>
    <cellStyle name="Title 2 2 2 2 2 2 4 4 58" xfId="43950"/>
    <cellStyle name="Title 2 2 2 2 2 2 4 4 59" xfId="43951"/>
    <cellStyle name="Title 2 2 2 2 2 2 4 4 6" xfId="43952"/>
    <cellStyle name="Title 2 2 2 2 2 2 4 4 60" xfId="43953"/>
    <cellStyle name="Title 2 2 2 2 2 2 4 4 61" xfId="43954"/>
    <cellStyle name="Title 2 2 2 2 2 2 4 4 62" xfId="43955"/>
    <cellStyle name="Title 2 2 2 2 2 2 4 4 63" xfId="43956"/>
    <cellStyle name="Title 2 2 2 2 2 2 4 4 64" xfId="43957"/>
    <cellStyle name="Title 2 2 2 2 2 2 4 4 65" xfId="43958"/>
    <cellStyle name="Title 2 2 2 2 2 2 4 4 66" xfId="43959"/>
    <cellStyle name="Title 2 2 2 2 2 2 4 4 67" xfId="43960"/>
    <cellStyle name="Title 2 2 2 2 2 2 4 4 68" xfId="43961"/>
    <cellStyle name="Title 2 2 2 2 2 2 4 4 69" xfId="43962"/>
    <cellStyle name="Title 2 2 2 2 2 2 4 4 7" xfId="43963"/>
    <cellStyle name="Title 2 2 2 2 2 2 4 4 70" xfId="43964"/>
    <cellStyle name="Title 2 2 2 2 2 2 4 4 71" xfId="43965"/>
    <cellStyle name="Title 2 2 2 2 2 2 4 4 72" xfId="43966"/>
    <cellStyle name="Title 2 2 2 2 2 2 4 4 73" xfId="43967"/>
    <cellStyle name="Title 2 2 2 2 2 2 4 4 74" xfId="43968"/>
    <cellStyle name="Title 2 2 2 2 2 2 4 4 8" xfId="43969"/>
    <cellStyle name="Title 2 2 2 2 2 2 4 4 9" xfId="43970"/>
    <cellStyle name="Title 2 2 2 2 2 2 4 40" xfId="43971"/>
    <cellStyle name="Title 2 2 2 2 2 2 4 41" xfId="43972"/>
    <cellStyle name="Title 2 2 2 2 2 2 4 42" xfId="43973"/>
    <cellStyle name="Title 2 2 2 2 2 2 4 43" xfId="43974"/>
    <cellStyle name="Title 2 2 2 2 2 2 4 44" xfId="43975"/>
    <cellStyle name="Title 2 2 2 2 2 2 4 45" xfId="43976"/>
    <cellStyle name="Title 2 2 2 2 2 2 4 46" xfId="43977"/>
    <cellStyle name="Title 2 2 2 2 2 2 4 47" xfId="43978"/>
    <cellStyle name="Title 2 2 2 2 2 2 4 48" xfId="43979"/>
    <cellStyle name="Title 2 2 2 2 2 2 4 49" xfId="43980"/>
    <cellStyle name="Title 2 2 2 2 2 2 4 5" xfId="43981"/>
    <cellStyle name="Title 2 2 2 2 2 2 4 50" xfId="43982"/>
    <cellStyle name="Title 2 2 2 2 2 2 4 51" xfId="43983"/>
    <cellStyle name="Title 2 2 2 2 2 2 4 52" xfId="43984"/>
    <cellStyle name="Title 2 2 2 2 2 2 4 53" xfId="43985"/>
    <cellStyle name="Title 2 2 2 2 2 2 4 54" xfId="43986"/>
    <cellStyle name="Title 2 2 2 2 2 2 4 55" xfId="43987"/>
    <cellStyle name="Title 2 2 2 2 2 2 4 56" xfId="43988"/>
    <cellStyle name="Title 2 2 2 2 2 2 4 57" xfId="43989"/>
    <cellStyle name="Title 2 2 2 2 2 2 4 58" xfId="43990"/>
    <cellStyle name="Title 2 2 2 2 2 2 4 59" xfId="43991"/>
    <cellStyle name="Title 2 2 2 2 2 2 4 6" xfId="43992"/>
    <cellStyle name="Title 2 2 2 2 2 2 4 60" xfId="43993"/>
    <cellStyle name="Title 2 2 2 2 2 2 4 61" xfId="43994"/>
    <cellStyle name="Title 2 2 2 2 2 2 4 62" xfId="43995"/>
    <cellStyle name="Title 2 2 2 2 2 2 4 63" xfId="43996"/>
    <cellStyle name="Title 2 2 2 2 2 2 4 64" xfId="43997"/>
    <cellStyle name="Title 2 2 2 2 2 2 4 65" xfId="43998"/>
    <cellStyle name="Title 2 2 2 2 2 2 4 66" xfId="43999"/>
    <cellStyle name="Title 2 2 2 2 2 2 4 67" xfId="44000"/>
    <cellStyle name="Title 2 2 2 2 2 2 4 68" xfId="44001"/>
    <cellStyle name="Title 2 2 2 2 2 2 4 69" xfId="44002"/>
    <cellStyle name="Title 2 2 2 2 2 2 4 7" xfId="44003"/>
    <cellStyle name="Title 2 2 2 2 2 2 4 70" xfId="44004"/>
    <cellStyle name="Title 2 2 2 2 2 2 4 71" xfId="44005"/>
    <cellStyle name="Title 2 2 2 2 2 2 4 72" xfId="44006"/>
    <cellStyle name="Title 2 2 2 2 2 2 4 73" xfId="44007"/>
    <cellStyle name="Title 2 2 2 2 2 2 4 74" xfId="44008"/>
    <cellStyle name="Title 2 2 2 2 2 2 4 75" xfId="44009"/>
    <cellStyle name="Title 2 2 2 2 2 2 4 76" xfId="44010"/>
    <cellStyle name="Title 2 2 2 2 2 2 4 77" xfId="44011"/>
    <cellStyle name="Title 2 2 2 2 2 2 4 78" xfId="44012"/>
    <cellStyle name="Title 2 2 2 2 2 2 4 79" xfId="44013"/>
    <cellStyle name="Title 2 2 2 2 2 2 4 8" xfId="44014"/>
    <cellStyle name="Title 2 2 2 2 2 2 4 80" xfId="44015"/>
    <cellStyle name="Title 2 2 2 2 2 2 4 81" xfId="44016"/>
    <cellStyle name="Title 2 2 2 2 2 2 4 82" xfId="44017"/>
    <cellStyle name="Title 2 2 2 2 2 2 4 83" xfId="44018"/>
    <cellStyle name="Title 2 2 2 2 2 2 4 84" xfId="44019"/>
    <cellStyle name="Title 2 2 2 2 2 2 4 85" xfId="44020"/>
    <cellStyle name="Title 2 2 2 2 2 2 4 86" xfId="44021"/>
    <cellStyle name="Title 2 2 2 2 2 2 4 87" xfId="44022"/>
    <cellStyle name="Title 2 2 2 2 2 2 4 88" xfId="44023"/>
    <cellStyle name="Title 2 2 2 2 2 2 4 89" xfId="44024"/>
    <cellStyle name="Title 2 2 2 2 2 2 4 9" xfId="44025"/>
    <cellStyle name="Title 2 2 2 2 2 2 4 90" xfId="44026"/>
    <cellStyle name="Title 2 2 2 2 2 2 4 91" xfId="44027"/>
    <cellStyle name="Title 2 2 2 2 2 2 4 92" xfId="44028"/>
    <cellStyle name="Title 2 2 2 2 2 2 4 93" xfId="44029"/>
    <cellStyle name="Title 2 2 2 2 2 2 4 94" xfId="44030"/>
    <cellStyle name="Title 2 2 2 2 2 2 4 95" xfId="44031"/>
    <cellStyle name="Title 2 2 2 2 2 2 4 96" xfId="44032"/>
    <cellStyle name="Title 2 2 2 2 2 2 4 97" xfId="44033"/>
    <cellStyle name="Title 2 2 2 2 2 2 4 98" xfId="44034"/>
    <cellStyle name="Title 2 2 2 2 2 2 4 99" xfId="44035"/>
    <cellStyle name="Title 2 2 2 2 2 2 40" xfId="44036"/>
    <cellStyle name="Title 2 2 2 2 2 2 40 2" xfId="44037"/>
    <cellStyle name="Title 2 2 2 2 2 2 41" xfId="44038"/>
    <cellStyle name="Title 2 2 2 2 2 2 41 2" xfId="44039"/>
    <cellStyle name="Title 2 2 2 2 2 2 42" xfId="44040"/>
    <cellStyle name="Title 2 2 2 2 2 2 42 2" xfId="44041"/>
    <cellStyle name="Title 2 2 2 2 2 2 43" xfId="44042"/>
    <cellStyle name="Title 2 2 2 2 2 2 43 2" xfId="44043"/>
    <cellStyle name="Title 2 2 2 2 2 2 44" xfId="44044"/>
    <cellStyle name="Title 2 2 2 2 2 2 44 2" xfId="44045"/>
    <cellStyle name="Title 2 2 2 2 2 2 45" xfId="44046"/>
    <cellStyle name="Title 2 2 2 2 2 2 45 2" xfId="44047"/>
    <cellStyle name="Title 2 2 2 2 2 2 46" xfId="44048"/>
    <cellStyle name="Title 2 2 2 2 2 2 46 2" xfId="44049"/>
    <cellStyle name="Title 2 2 2 2 2 2 47" xfId="44050"/>
    <cellStyle name="Title 2 2 2 2 2 2 47 2" xfId="44051"/>
    <cellStyle name="Title 2 2 2 2 2 2 48" xfId="44052"/>
    <cellStyle name="Title 2 2 2 2 2 2 48 2" xfId="44053"/>
    <cellStyle name="Title 2 2 2 2 2 2 49" xfId="44054"/>
    <cellStyle name="Title 2 2 2 2 2 2 49 2" xfId="44055"/>
    <cellStyle name="Title 2 2 2 2 2 2 5" xfId="44056"/>
    <cellStyle name="Title 2 2 2 2 2 2 5 10" xfId="44057"/>
    <cellStyle name="Title 2 2 2 2 2 2 5 100" xfId="44058"/>
    <cellStyle name="Title 2 2 2 2 2 2 5 101" xfId="44059"/>
    <cellStyle name="Title 2 2 2 2 2 2 5 102" xfId="44060"/>
    <cellStyle name="Title 2 2 2 2 2 2 5 103" xfId="44061"/>
    <cellStyle name="Title 2 2 2 2 2 2 5 104" xfId="44062"/>
    <cellStyle name="Title 2 2 2 2 2 2 5 105" xfId="44063"/>
    <cellStyle name="Title 2 2 2 2 2 2 5 106" xfId="44064"/>
    <cellStyle name="Title 2 2 2 2 2 2 5 107" xfId="44065"/>
    <cellStyle name="Title 2 2 2 2 2 2 5 108" xfId="44066"/>
    <cellStyle name="Title 2 2 2 2 2 2 5 109" xfId="44067"/>
    <cellStyle name="Title 2 2 2 2 2 2 5 11" xfId="44068"/>
    <cellStyle name="Title 2 2 2 2 2 2 5 110" xfId="44069"/>
    <cellStyle name="Title 2 2 2 2 2 2 5 12" xfId="44070"/>
    <cellStyle name="Title 2 2 2 2 2 2 5 13" xfId="44071"/>
    <cellStyle name="Title 2 2 2 2 2 2 5 14" xfId="44072"/>
    <cellStyle name="Title 2 2 2 2 2 2 5 15" xfId="44073"/>
    <cellStyle name="Title 2 2 2 2 2 2 5 16" xfId="44074"/>
    <cellStyle name="Title 2 2 2 2 2 2 5 17" xfId="44075"/>
    <cellStyle name="Title 2 2 2 2 2 2 5 18" xfId="44076"/>
    <cellStyle name="Title 2 2 2 2 2 2 5 19" xfId="44077"/>
    <cellStyle name="Title 2 2 2 2 2 2 5 2" xfId="44078"/>
    <cellStyle name="Title 2 2 2 2 2 2 5 2 10" xfId="44079"/>
    <cellStyle name="Title 2 2 2 2 2 2 5 2 11" xfId="44080"/>
    <cellStyle name="Title 2 2 2 2 2 2 5 2 12" xfId="44081"/>
    <cellStyle name="Title 2 2 2 2 2 2 5 2 13" xfId="44082"/>
    <cellStyle name="Title 2 2 2 2 2 2 5 2 13 2" xfId="44083"/>
    <cellStyle name="Title 2 2 2 2 2 2 5 2 14" xfId="44084"/>
    <cellStyle name="Title 2 2 2 2 2 2 5 2 15" xfId="44085"/>
    <cellStyle name="Title 2 2 2 2 2 2 5 2 16" xfId="44086"/>
    <cellStyle name="Title 2 2 2 2 2 2 5 2 17" xfId="44087"/>
    <cellStyle name="Title 2 2 2 2 2 2 5 2 18" xfId="44088"/>
    <cellStyle name="Title 2 2 2 2 2 2 5 2 19" xfId="44089"/>
    <cellStyle name="Title 2 2 2 2 2 2 5 2 2" xfId="44090"/>
    <cellStyle name="Title 2 2 2 2 2 2 5 2 2 10" xfId="44091"/>
    <cellStyle name="Title 2 2 2 2 2 2 5 2 2 11" xfId="44092"/>
    <cellStyle name="Title 2 2 2 2 2 2 5 2 2 12" xfId="44093"/>
    <cellStyle name="Title 2 2 2 2 2 2 5 2 2 13" xfId="44094"/>
    <cellStyle name="Title 2 2 2 2 2 2 5 2 2 14" xfId="44095"/>
    <cellStyle name="Title 2 2 2 2 2 2 5 2 2 15" xfId="44096"/>
    <cellStyle name="Title 2 2 2 2 2 2 5 2 2 16" xfId="44097"/>
    <cellStyle name="Title 2 2 2 2 2 2 5 2 2 17" xfId="44098"/>
    <cellStyle name="Title 2 2 2 2 2 2 5 2 2 18" xfId="44099"/>
    <cellStyle name="Title 2 2 2 2 2 2 5 2 2 19" xfId="44100"/>
    <cellStyle name="Title 2 2 2 2 2 2 5 2 2 2" xfId="44101"/>
    <cellStyle name="Title 2 2 2 2 2 2 5 2 2 2 10" xfId="44102"/>
    <cellStyle name="Title 2 2 2 2 2 2 5 2 2 2 11" xfId="44103"/>
    <cellStyle name="Title 2 2 2 2 2 2 5 2 2 2 12" xfId="44104"/>
    <cellStyle name="Title 2 2 2 2 2 2 5 2 2 2 13" xfId="44105"/>
    <cellStyle name="Title 2 2 2 2 2 2 5 2 2 2 14" xfId="44106"/>
    <cellStyle name="Title 2 2 2 2 2 2 5 2 2 2 15" xfId="44107"/>
    <cellStyle name="Title 2 2 2 2 2 2 5 2 2 2 16" xfId="44108"/>
    <cellStyle name="Title 2 2 2 2 2 2 5 2 2 2 17" xfId="44109"/>
    <cellStyle name="Title 2 2 2 2 2 2 5 2 2 2 18" xfId="44110"/>
    <cellStyle name="Title 2 2 2 2 2 2 5 2 2 2 19" xfId="44111"/>
    <cellStyle name="Title 2 2 2 2 2 2 5 2 2 2 2" xfId="44112"/>
    <cellStyle name="Title 2 2 2 2 2 2 5 2 2 2 2 10" xfId="44113"/>
    <cellStyle name="Title 2 2 2 2 2 2 5 2 2 2 2 11" xfId="44114"/>
    <cellStyle name="Title 2 2 2 2 2 2 5 2 2 2 2 12" xfId="44115"/>
    <cellStyle name="Title 2 2 2 2 2 2 5 2 2 2 2 13" xfId="44116"/>
    <cellStyle name="Title 2 2 2 2 2 2 5 2 2 2 2 14" xfId="44117"/>
    <cellStyle name="Title 2 2 2 2 2 2 5 2 2 2 2 15" xfId="44118"/>
    <cellStyle name="Title 2 2 2 2 2 2 5 2 2 2 2 16" xfId="44119"/>
    <cellStyle name="Title 2 2 2 2 2 2 5 2 2 2 2 17" xfId="44120"/>
    <cellStyle name="Title 2 2 2 2 2 2 5 2 2 2 2 18" xfId="44121"/>
    <cellStyle name="Title 2 2 2 2 2 2 5 2 2 2 2 19" xfId="44122"/>
    <cellStyle name="Title 2 2 2 2 2 2 5 2 2 2 2 2" xfId="44123"/>
    <cellStyle name="Title 2 2 2 2 2 2 5 2 2 2 2 2 10" xfId="44124"/>
    <cellStyle name="Title 2 2 2 2 2 2 5 2 2 2 2 2 11" xfId="44125"/>
    <cellStyle name="Title 2 2 2 2 2 2 5 2 2 2 2 2 12" xfId="44126"/>
    <cellStyle name="Title 2 2 2 2 2 2 5 2 2 2 2 2 13" xfId="44127"/>
    <cellStyle name="Title 2 2 2 2 2 2 5 2 2 2 2 2 14" xfId="44128"/>
    <cellStyle name="Title 2 2 2 2 2 2 5 2 2 2 2 2 15" xfId="44129"/>
    <cellStyle name="Title 2 2 2 2 2 2 5 2 2 2 2 2 16" xfId="44130"/>
    <cellStyle name="Title 2 2 2 2 2 2 5 2 2 2 2 2 17" xfId="44131"/>
    <cellStyle name="Title 2 2 2 2 2 2 5 2 2 2 2 2 18" xfId="44132"/>
    <cellStyle name="Title 2 2 2 2 2 2 5 2 2 2 2 2 19" xfId="44133"/>
    <cellStyle name="Title 2 2 2 2 2 2 5 2 2 2 2 2 2" xfId="44134"/>
    <cellStyle name="Title 2 2 2 2 2 2 5 2 2 2 2 2 2 2" xfId="44135"/>
    <cellStyle name="Title 2 2 2 2 2 2 5 2 2 2 2 2 20" xfId="44136"/>
    <cellStyle name="Title 2 2 2 2 2 2 5 2 2 2 2 2 21" xfId="44137"/>
    <cellStyle name="Title 2 2 2 2 2 2 5 2 2 2 2 2 22" xfId="44138"/>
    <cellStyle name="Title 2 2 2 2 2 2 5 2 2 2 2 2 23" xfId="44139"/>
    <cellStyle name="Title 2 2 2 2 2 2 5 2 2 2 2 2 24" xfId="44140"/>
    <cellStyle name="Title 2 2 2 2 2 2 5 2 2 2 2 2 25" xfId="44141"/>
    <cellStyle name="Title 2 2 2 2 2 2 5 2 2 2 2 2 26" xfId="44142"/>
    <cellStyle name="Title 2 2 2 2 2 2 5 2 2 2 2 2 27" xfId="44143"/>
    <cellStyle name="Title 2 2 2 2 2 2 5 2 2 2 2 2 28" xfId="44144"/>
    <cellStyle name="Title 2 2 2 2 2 2 5 2 2 2 2 2 29" xfId="44145"/>
    <cellStyle name="Title 2 2 2 2 2 2 5 2 2 2 2 2 3" xfId="44146"/>
    <cellStyle name="Title 2 2 2 2 2 2 5 2 2 2 2 2 30" xfId="44147"/>
    <cellStyle name="Title 2 2 2 2 2 2 5 2 2 2 2 2 31" xfId="44148"/>
    <cellStyle name="Title 2 2 2 2 2 2 5 2 2 2 2 2 32" xfId="44149"/>
    <cellStyle name="Title 2 2 2 2 2 2 5 2 2 2 2 2 33" xfId="44150"/>
    <cellStyle name="Title 2 2 2 2 2 2 5 2 2 2 2 2 34" xfId="44151"/>
    <cellStyle name="Title 2 2 2 2 2 2 5 2 2 2 2 2 35" xfId="44152"/>
    <cellStyle name="Title 2 2 2 2 2 2 5 2 2 2 2 2 36" xfId="44153"/>
    <cellStyle name="Title 2 2 2 2 2 2 5 2 2 2 2 2 37" xfId="44154"/>
    <cellStyle name="Title 2 2 2 2 2 2 5 2 2 2 2 2 38" xfId="44155"/>
    <cellStyle name="Title 2 2 2 2 2 2 5 2 2 2 2 2 39" xfId="44156"/>
    <cellStyle name="Title 2 2 2 2 2 2 5 2 2 2 2 2 4" xfId="44157"/>
    <cellStyle name="Title 2 2 2 2 2 2 5 2 2 2 2 2 40" xfId="44158"/>
    <cellStyle name="Title 2 2 2 2 2 2 5 2 2 2 2 2 41" xfId="44159"/>
    <cellStyle name="Title 2 2 2 2 2 2 5 2 2 2 2 2 42" xfId="44160"/>
    <cellStyle name="Title 2 2 2 2 2 2 5 2 2 2 2 2 43" xfId="44161"/>
    <cellStyle name="Title 2 2 2 2 2 2 5 2 2 2 2 2 44" xfId="44162"/>
    <cellStyle name="Title 2 2 2 2 2 2 5 2 2 2 2 2 45" xfId="44163"/>
    <cellStyle name="Title 2 2 2 2 2 2 5 2 2 2 2 2 46" xfId="44164"/>
    <cellStyle name="Title 2 2 2 2 2 2 5 2 2 2 2 2 47" xfId="44165"/>
    <cellStyle name="Title 2 2 2 2 2 2 5 2 2 2 2 2 48" xfId="44166"/>
    <cellStyle name="Title 2 2 2 2 2 2 5 2 2 2 2 2 49" xfId="44167"/>
    <cellStyle name="Title 2 2 2 2 2 2 5 2 2 2 2 2 5" xfId="44168"/>
    <cellStyle name="Title 2 2 2 2 2 2 5 2 2 2 2 2 50" xfId="44169"/>
    <cellStyle name="Title 2 2 2 2 2 2 5 2 2 2 2 2 51" xfId="44170"/>
    <cellStyle name="Title 2 2 2 2 2 2 5 2 2 2 2 2 52" xfId="44171"/>
    <cellStyle name="Title 2 2 2 2 2 2 5 2 2 2 2 2 53" xfId="44172"/>
    <cellStyle name="Title 2 2 2 2 2 2 5 2 2 2 2 2 54" xfId="44173"/>
    <cellStyle name="Title 2 2 2 2 2 2 5 2 2 2 2 2 55" xfId="44174"/>
    <cellStyle name="Title 2 2 2 2 2 2 5 2 2 2 2 2 56" xfId="44175"/>
    <cellStyle name="Title 2 2 2 2 2 2 5 2 2 2 2 2 57" xfId="44176"/>
    <cellStyle name="Title 2 2 2 2 2 2 5 2 2 2 2 2 58" xfId="44177"/>
    <cellStyle name="Title 2 2 2 2 2 2 5 2 2 2 2 2 59" xfId="44178"/>
    <cellStyle name="Title 2 2 2 2 2 2 5 2 2 2 2 2 6" xfId="44179"/>
    <cellStyle name="Title 2 2 2 2 2 2 5 2 2 2 2 2 60" xfId="44180"/>
    <cellStyle name="Title 2 2 2 2 2 2 5 2 2 2 2 2 61" xfId="44181"/>
    <cellStyle name="Title 2 2 2 2 2 2 5 2 2 2 2 2 62" xfId="44182"/>
    <cellStyle name="Title 2 2 2 2 2 2 5 2 2 2 2 2 63" xfId="44183"/>
    <cellStyle name="Title 2 2 2 2 2 2 5 2 2 2 2 2 64" xfId="44184"/>
    <cellStyle name="Title 2 2 2 2 2 2 5 2 2 2 2 2 65" xfId="44185"/>
    <cellStyle name="Title 2 2 2 2 2 2 5 2 2 2 2 2 66" xfId="44186"/>
    <cellStyle name="Title 2 2 2 2 2 2 5 2 2 2 2 2 67" xfId="44187"/>
    <cellStyle name="Title 2 2 2 2 2 2 5 2 2 2 2 2 68" xfId="44188"/>
    <cellStyle name="Title 2 2 2 2 2 2 5 2 2 2 2 2 69" xfId="44189"/>
    <cellStyle name="Title 2 2 2 2 2 2 5 2 2 2 2 2 7" xfId="44190"/>
    <cellStyle name="Title 2 2 2 2 2 2 5 2 2 2 2 2 70" xfId="44191"/>
    <cellStyle name="Title 2 2 2 2 2 2 5 2 2 2 2 2 71" xfId="44192"/>
    <cellStyle name="Title 2 2 2 2 2 2 5 2 2 2 2 2 72" xfId="44193"/>
    <cellStyle name="Title 2 2 2 2 2 2 5 2 2 2 2 2 73" xfId="44194"/>
    <cellStyle name="Title 2 2 2 2 2 2 5 2 2 2 2 2 74" xfId="44195"/>
    <cellStyle name="Title 2 2 2 2 2 2 5 2 2 2 2 2 8" xfId="44196"/>
    <cellStyle name="Title 2 2 2 2 2 2 5 2 2 2 2 2 9" xfId="44197"/>
    <cellStyle name="Title 2 2 2 2 2 2 5 2 2 2 2 20" xfId="44198"/>
    <cellStyle name="Title 2 2 2 2 2 2 5 2 2 2 2 21" xfId="44199"/>
    <cellStyle name="Title 2 2 2 2 2 2 5 2 2 2 2 22" xfId="44200"/>
    <cellStyle name="Title 2 2 2 2 2 2 5 2 2 2 2 23" xfId="44201"/>
    <cellStyle name="Title 2 2 2 2 2 2 5 2 2 2 2 24" xfId="44202"/>
    <cellStyle name="Title 2 2 2 2 2 2 5 2 2 2 2 25" xfId="44203"/>
    <cellStyle name="Title 2 2 2 2 2 2 5 2 2 2 2 26" xfId="44204"/>
    <cellStyle name="Title 2 2 2 2 2 2 5 2 2 2 2 27" xfId="44205"/>
    <cellStyle name="Title 2 2 2 2 2 2 5 2 2 2 2 28" xfId="44206"/>
    <cellStyle name="Title 2 2 2 2 2 2 5 2 2 2 2 29" xfId="44207"/>
    <cellStyle name="Title 2 2 2 2 2 2 5 2 2 2 2 3" xfId="44208"/>
    <cellStyle name="Title 2 2 2 2 2 2 5 2 2 2 2 3 2" xfId="44209"/>
    <cellStyle name="Title 2 2 2 2 2 2 5 2 2 2 2 30" xfId="44210"/>
    <cellStyle name="Title 2 2 2 2 2 2 5 2 2 2 2 31" xfId="44211"/>
    <cellStyle name="Title 2 2 2 2 2 2 5 2 2 2 2 32" xfId="44212"/>
    <cellStyle name="Title 2 2 2 2 2 2 5 2 2 2 2 33" xfId="44213"/>
    <cellStyle name="Title 2 2 2 2 2 2 5 2 2 2 2 34" xfId="44214"/>
    <cellStyle name="Title 2 2 2 2 2 2 5 2 2 2 2 35" xfId="44215"/>
    <cellStyle name="Title 2 2 2 2 2 2 5 2 2 2 2 36" xfId="44216"/>
    <cellStyle name="Title 2 2 2 2 2 2 5 2 2 2 2 37" xfId="44217"/>
    <cellStyle name="Title 2 2 2 2 2 2 5 2 2 2 2 38" xfId="44218"/>
    <cellStyle name="Title 2 2 2 2 2 2 5 2 2 2 2 39" xfId="44219"/>
    <cellStyle name="Title 2 2 2 2 2 2 5 2 2 2 2 4" xfId="44220"/>
    <cellStyle name="Title 2 2 2 2 2 2 5 2 2 2 2 40" xfId="44221"/>
    <cellStyle name="Title 2 2 2 2 2 2 5 2 2 2 2 41" xfId="44222"/>
    <cellStyle name="Title 2 2 2 2 2 2 5 2 2 2 2 42" xfId="44223"/>
    <cellStyle name="Title 2 2 2 2 2 2 5 2 2 2 2 43" xfId="44224"/>
    <cellStyle name="Title 2 2 2 2 2 2 5 2 2 2 2 44" xfId="44225"/>
    <cellStyle name="Title 2 2 2 2 2 2 5 2 2 2 2 45" xfId="44226"/>
    <cellStyle name="Title 2 2 2 2 2 2 5 2 2 2 2 46" xfId="44227"/>
    <cellStyle name="Title 2 2 2 2 2 2 5 2 2 2 2 47" xfId="44228"/>
    <cellStyle name="Title 2 2 2 2 2 2 5 2 2 2 2 48" xfId="44229"/>
    <cellStyle name="Title 2 2 2 2 2 2 5 2 2 2 2 49" xfId="44230"/>
    <cellStyle name="Title 2 2 2 2 2 2 5 2 2 2 2 5" xfId="44231"/>
    <cellStyle name="Title 2 2 2 2 2 2 5 2 2 2 2 50" xfId="44232"/>
    <cellStyle name="Title 2 2 2 2 2 2 5 2 2 2 2 51" xfId="44233"/>
    <cellStyle name="Title 2 2 2 2 2 2 5 2 2 2 2 52" xfId="44234"/>
    <cellStyle name="Title 2 2 2 2 2 2 5 2 2 2 2 53" xfId="44235"/>
    <cellStyle name="Title 2 2 2 2 2 2 5 2 2 2 2 54" xfId="44236"/>
    <cellStyle name="Title 2 2 2 2 2 2 5 2 2 2 2 55" xfId="44237"/>
    <cellStyle name="Title 2 2 2 2 2 2 5 2 2 2 2 56" xfId="44238"/>
    <cellStyle name="Title 2 2 2 2 2 2 5 2 2 2 2 57" xfId="44239"/>
    <cellStyle name="Title 2 2 2 2 2 2 5 2 2 2 2 58" xfId="44240"/>
    <cellStyle name="Title 2 2 2 2 2 2 5 2 2 2 2 59" xfId="44241"/>
    <cellStyle name="Title 2 2 2 2 2 2 5 2 2 2 2 6" xfId="44242"/>
    <cellStyle name="Title 2 2 2 2 2 2 5 2 2 2 2 60" xfId="44243"/>
    <cellStyle name="Title 2 2 2 2 2 2 5 2 2 2 2 61" xfId="44244"/>
    <cellStyle name="Title 2 2 2 2 2 2 5 2 2 2 2 62" xfId="44245"/>
    <cellStyle name="Title 2 2 2 2 2 2 5 2 2 2 2 63" xfId="44246"/>
    <cellStyle name="Title 2 2 2 2 2 2 5 2 2 2 2 64" xfId="44247"/>
    <cellStyle name="Title 2 2 2 2 2 2 5 2 2 2 2 65" xfId="44248"/>
    <cellStyle name="Title 2 2 2 2 2 2 5 2 2 2 2 66" xfId="44249"/>
    <cellStyle name="Title 2 2 2 2 2 2 5 2 2 2 2 67" xfId="44250"/>
    <cellStyle name="Title 2 2 2 2 2 2 5 2 2 2 2 68" xfId="44251"/>
    <cellStyle name="Title 2 2 2 2 2 2 5 2 2 2 2 69" xfId="44252"/>
    <cellStyle name="Title 2 2 2 2 2 2 5 2 2 2 2 7" xfId="44253"/>
    <cellStyle name="Title 2 2 2 2 2 2 5 2 2 2 2 70" xfId="44254"/>
    <cellStyle name="Title 2 2 2 2 2 2 5 2 2 2 2 71" xfId="44255"/>
    <cellStyle name="Title 2 2 2 2 2 2 5 2 2 2 2 72" xfId="44256"/>
    <cellStyle name="Title 2 2 2 2 2 2 5 2 2 2 2 73" xfId="44257"/>
    <cellStyle name="Title 2 2 2 2 2 2 5 2 2 2 2 74" xfId="44258"/>
    <cellStyle name="Title 2 2 2 2 2 2 5 2 2 2 2 8" xfId="44259"/>
    <cellStyle name="Title 2 2 2 2 2 2 5 2 2 2 2 9" xfId="44260"/>
    <cellStyle name="Title 2 2 2 2 2 2 5 2 2 2 20" xfId="44261"/>
    <cellStyle name="Title 2 2 2 2 2 2 5 2 2 2 21" xfId="44262"/>
    <cellStyle name="Title 2 2 2 2 2 2 5 2 2 2 22" xfId="44263"/>
    <cellStyle name="Title 2 2 2 2 2 2 5 2 2 2 23" xfId="44264"/>
    <cellStyle name="Title 2 2 2 2 2 2 5 2 2 2 24" xfId="44265"/>
    <cellStyle name="Title 2 2 2 2 2 2 5 2 2 2 25" xfId="44266"/>
    <cellStyle name="Title 2 2 2 2 2 2 5 2 2 2 26" xfId="44267"/>
    <cellStyle name="Title 2 2 2 2 2 2 5 2 2 2 27" xfId="44268"/>
    <cellStyle name="Title 2 2 2 2 2 2 5 2 2 2 28" xfId="44269"/>
    <cellStyle name="Title 2 2 2 2 2 2 5 2 2 2 29" xfId="44270"/>
    <cellStyle name="Title 2 2 2 2 2 2 5 2 2 2 3" xfId="44271"/>
    <cellStyle name="Title 2 2 2 2 2 2 5 2 2 2 3 2" xfId="44272"/>
    <cellStyle name="Title 2 2 2 2 2 2 5 2 2 2 30" xfId="44273"/>
    <cellStyle name="Title 2 2 2 2 2 2 5 2 2 2 31" xfId="44274"/>
    <cellStyle name="Title 2 2 2 2 2 2 5 2 2 2 32" xfId="44275"/>
    <cellStyle name="Title 2 2 2 2 2 2 5 2 2 2 33" xfId="44276"/>
    <cellStyle name="Title 2 2 2 2 2 2 5 2 2 2 34" xfId="44277"/>
    <cellStyle name="Title 2 2 2 2 2 2 5 2 2 2 35" xfId="44278"/>
    <cellStyle name="Title 2 2 2 2 2 2 5 2 2 2 36" xfId="44279"/>
    <cellStyle name="Title 2 2 2 2 2 2 5 2 2 2 37" xfId="44280"/>
    <cellStyle name="Title 2 2 2 2 2 2 5 2 2 2 38" xfId="44281"/>
    <cellStyle name="Title 2 2 2 2 2 2 5 2 2 2 39" xfId="44282"/>
    <cellStyle name="Title 2 2 2 2 2 2 5 2 2 2 4" xfId="44283"/>
    <cellStyle name="Title 2 2 2 2 2 2 5 2 2 2 40" xfId="44284"/>
    <cellStyle name="Title 2 2 2 2 2 2 5 2 2 2 41" xfId="44285"/>
    <cellStyle name="Title 2 2 2 2 2 2 5 2 2 2 42" xfId="44286"/>
    <cellStyle name="Title 2 2 2 2 2 2 5 2 2 2 43" xfId="44287"/>
    <cellStyle name="Title 2 2 2 2 2 2 5 2 2 2 44" xfId="44288"/>
    <cellStyle name="Title 2 2 2 2 2 2 5 2 2 2 45" xfId="44289"/>
    <cellStyle name="Title 2 2 2 2 2 2 5 2 2 2 46" xfId="44290"/>
    <cellStyle name="Title 2 2 2 2 2 2 5 2 2 2 47" xfId="44291"/>
    <cellStyle name="Title 2 2 2 2 2 2 5 2 2 2 48" xfId="44292"/>
    <cellStyle name="Title 2 2 2 2 2 2 5 2 2 2 49" xfId="44293"/>
    <cellStyle name="Title 2 2 2 2 2 2 5 2 2 2 5" xfId="44294"/>
    <cellStyle name="Title 2 2 2 2 2 2 5 2 2 2 50" xfId="44295"/>
    <cellStyle name="Title 2 2 2 2 2 2 5 2 2 2 51" xfId="44296"/>
    <cellStyle name="Title 2 2 2 2 2 2 5 2 2 2 52" xfId="44297"/>
    <cellStyle name="Title 2 2 2 2 2 2 5 2 2 2 53" xfId="44298"/>
    <cellStyle name="Title 2 2 2 2 2 2 5 2 2 2 54" xfId="44299"/>
    <cellStyle name="Title 2 2 2 2 2 2 5 2 2 2 55" xfId="44300"/>
    <cellStyle name="Title 2 2 2 2 2 2 5 2 2 2 56" xfId="44301"/>
    <cellStyle name="Title 2 2 2 2 2 2 5 2 2 2 57" xfId="44302"/>
    <cellStyle name="Title 2 2 2 2 2 2 5 2 2 2 58" xfId="44303"/>
    <cellStyle name="Title 2 2 2 2 2 2 5 2 2 2 59" xfId="44304"/>
    <cellStyle name="Title 2 2 2 2 2 2 5 2 2 2 6" xfId="44305"/>
    <cellStyle name="Title 2 2 2 2 2 2 5 2 2 2 60" xfId="44306"/>
    <cellStyle name="Title 2 2 2 2 2 2 5 2 2 2 61" xfId="44307"/>
    <cellStyle name="Title 2 2 2 2 2 2 5 2 2 2 62" xfId="44308"/>
    <cellStyle name="Title 2 2 2 2 2 2 5 2 2 2 63" xfId="44309"/>
    <cellStyle name="Title 2 2 2 2 2 2 5 2 2 2 64" xfId="44310"/>
    <cellStyle name="Title 2 2 2 2 2 2 5 2 2 2 65" xfId="44311"/>
    <cellStyle name="Title 2 2 2 2 2 2 5 2 2 2 66" xfId="44312"/>
    <cellStyle name="Title 2 2 2 2 2 2 5 2 2 2 67" xfId="44313"/>
    <cellStyle name="Title 2 2 2 2 2 2 5 2 2 2 68" xfId="44314"/>
    <cellStyle name="Title 2 2 2 2 2 2 5 2 2 2 69" xfId="44315"/>
    <cellStyle name="Title 2 2 2 2 2 2 5 2 2 2 7" xfId="44316"/>
    <cellStyle name="Title 2 2 2 2 2 2 5 2 2 2 70" xfId="44317"/>
    <cellStyle name="Title 2 2 2 2 2 2 5 2 2 2 71" xfId="44318"/>
    <cellStyle name="Title 2 2 2 2 2 2 5 2 2 2 72" xfId="44319"/>
    <cellStyle name="Title 2 2 2 2 2 2 5 2 2 2 73" xfId="44320"/>
    <cellStyle name="Title 2 2 2 2 2 2 5 2 2 2 74" xfId="44321"/>
    <cellStyle name="Title 2 2 2 2 2 2 5 2 2 2 75" xfId="44322"/>
    <cellStyle name="Title 2 2 2 2 2 2 5 2 2 2 76" xfId="44323"/>
    <cellStyle name="Title 2 2 2 2 2 2 5 2 2 2 77" xfId="44324"/>
    <cellStyle name="Title 2 2 2 2 2 2 5 2 2 2 78" xfId="44325"/>
    <cellStyle name="Title 2 2 2 2 2 2 5 2 2 2 79" xfId="44326"/>
    <cellStyle name="Title 2 2 2 2 2 2 5 2 2 2 8" xfId="44327"/>
    <cellStyle name="Title 2 2 2 2 2 2 5 2 2 2 80" xfId="44328"/>
    <cellStyle name="Title 2 2 2 2 2 2 5 2 2 2 81" xfId="44329"/>
    <cellStyle name="Title 2 2 2 2 2 2 5 2 2 2 82" xfId="44330"/>
    <cellStyle name="Title 2 2 2 2 2 2 5 2 2 2 83" xfId="44331"/>
    <cellStyle name="Title 2 2 2 2 2 2 5 2 2 2 84" xfId="44332"/>
    <cellStyle name="Title 2 2 2 2 2 2 5 2 2 2 85" xfId="44333"/>
    <cellStyle name="Title 2 2 2 2 2 2 5 2 2 2 86" xfId="44334"/>
    <cellStyle name="Title 2 2 2 2 2 2 5 2 2 2 87" xfId="44335"/>
    <cellStyle name="Title 2 2 2 2 2 2 5 2 2 2 88" xfId="44336"/>
    <cellStyle name="Title 2 2 2 2 2 2 5 2 2 2 9" xfId="44337"/>
    <cellStyle name="Title 2 2 2 2 2 2 5 2 2 20" xfId="44338"/>
    <cellStyle name="Title 2 2 2 2 2 2 5 2 2 21" xfId="44339"/>
    <cellStyle name="Title 2 2 2 2 2 2 5 2 2 22" xfId="44340"/>
    <cellStyle name="Title 2 2 2 2 2 2 5 2 2 23" xfId="44341"/>
    <cellStyle name="Title 2 2 2 2 2 2 5 2 2 24" xfId="44342"/>
    <cellStyle name="Title 2 2 2 2 2 2 5 2 2 25" xfId="44343"/>
    <cellStyle name="Title 2 2 2 2 2 2 5 2 2 26" xfId="44344"/>
    <cellStyle name="Title 2 2 2 2 2 2 5 2 2 27" xfId="44345"/>
    <cellStyle name="Title 2 2 2 2 2 2 5 2 2 28" xfId="44346"/>
    <cellStyle name="Title 2 2 2 2 2 2 5 2 2 29" xfId="44347"/>
    <cellStyle name="Title 2 2 2 2 2 2 5 2 2 3" xfId="44348"/>
    <cellStyle name="Title 2 2 2 2 2 2 5 2 2 3 2" xfId="44349"/>
    <cellStyle name="Title 2 2 2 2 2 2 5 2 2 30" xfId="44350"/>
    <cellStyle name="Title 2 2 2 2 2 2 5 2 2 31" xfId="44351"/>
    <cellStyle name="Title 2 2 2 2 2 2 5 2 2 32" xfId="44352"/>
    <cellStyle name="Title 2 2 2 2 2 2 5 2 2 33" xfId="44353"/>
    <cellStyle name="Title 2 2 2 2 2 2 5 2 2 34" xfId="44354"/>
    <cellStyle name="Title 2 2 2 2 2 2 5 2 2 35" xfId="44355"/>
    <cellStyle name="Title 2 2 2 2 2 2 5 2 2 36" xfId="44356"/>
    <cellStyle name="Title 2 2 2 2 2 2 5 2 2 37" xfId="44357"/>
    <cellStyle name="Title 2 2 2 2 2 2 5 2 2 38" xfId="44358"/>
    <cellStyle name="Title 2 2 2 2 2 2 5 2 2 39" xfId="44359"/>
    <cellStyle name="Title 2 2 2 2 2 2 5 2 2 4" xfId="44360"/>
    <cellStyle name="Title 2 2 2 2 2 2 5 2 2 40" xfId="44361"/>
    <cellStyle name="Title 2 2 2 2 2 2 5 2 2 41" xfId="44362"/>
    <cellStyle name="Title 2 2 2 2 2 2 5 2 2 42" xfId="44363"/>
    <cellStyle name="Title 2 2 2 2 2 2 5 2 2 43" xfId="44364"/>
    <cellStyle name="Title 2 2 2 2 2 2 5 2 2 44" xfId="44365"/>
    <cellStyle name="Title 2 2 2 2 2 2 5 2 2 45" xfId="44366"/>
    <cellStyle name="Title 2 2 2 2 2 2 5 2 2 46" xfId="44367"/>
    <cellStyle name="Title 2 2 2 2 2 2 5 2 2 47" xfId="44368"/>
    <cellStyle name="Title 2 2 2 2 2 2 5 2 2 48" xfId="44369"/>
    <cellStyle name="Title 2 2 2 2 2 2 5 2 2 49" xfId="44370"/>
    <cellStyle name="Title 2 2 2 2 2 2 5 2 2 5" xfId="44371"/>
    <cellStyle name="Title 2 2 2 2 2 2 5 2 2 50" xfId="44372"/>
    <cellStyle name="Title 2 2 2 2 2 2 5 2 2 51" xfId="44373"/>
    <cellStyle name="Title 2 2 2 2 2 2 5 2 2 52" xfId="44374"/>
    <cellStyle name="Title 2 2 2 2 2 2 5 2 2 53" xfId="44375"/>
    <cellStyle name="Title 2 2 2 2 2 2 5 2 2 54" xfId="44376"/>
    <cellStyle name="Title 2 2 2 2 2 2 5 2 2 55" xfId="44377"/>
    <cellStyle name="Title 2 2 2 2 2 2 5 2 2 56" xfId="44378"/>
    <cellStyle name="Title 2 2 2 2 2 2 5 2 2 57" xfId="44379"/>
    <cellStyle name="Title 2 2 2 2 2 2 5 2 2 58" xfId="44380"/>
    <cellStyle name="Title 2 2 2 2 2 2 5 2 2 59" xfId="44381"/>
    <cellStyle name="Title 2 2 2 2 2 2 5 2 2 6" xfId="44382"/>
    <cellStyle name="Title 2 2 2 2 2 2 5 2 2 60" xfId="44383"/>
    <cellStyle name="Title 2 2 2 2 2 2 5 2 2 61" xfId="44384"/>
    <cellStyle name="Title 2 2 2 2 2 2 5 2 2 62" xfId="44385"/>
    <cellStyle name="Title 2 2 2 2 2 2 5 2 2 63" xfId="44386"/>
    <cellStyle name="Title 2 2 2 2 2 2 5 2 2 64" xfId="44387"/>
    <cellStyle name="Title 2 2 2 2 2 2 5 2 2 65" xfId="44388"/>
    <cellStyle name="Title 2 2 2 2 2 2 5 2 2 66" xfId="44389"/>
    <cellStyle name="Title 2 2 2 2 2 2 5 2 2 67" xfId="44390"/>
    <cellStyle name="Title 2 2 2 2 2 2 5 2 2 68" xfId="44391"/>
    <cellStyle name="Title 2 2 2 2 2 2 5 2 2 69" xfId="44392"/>
    <cellStyle name="Title 2 2 2 2 2 2 5 2 2 7" xfId="44393"/>
    <cellStyle name="Title 2 2 2 2 2 2 5 2 2 70" xfId="44394"/>
    <cellStyle name="Title 2 2 2 2 2 2 5 2 2 71" xfId="44395"/>
    <cellStyle name="Title 2 2 2 2 2 2 5 2 2 72" xfId="44396"/>
    <cellStyle name="Title 2 2 2 2 2 2 5 2 2 73" xfId="44397"/>
    <cellStyle name="Title 2 2 2 2 2 2 5 2 2 74" xfId="44398"/>
    <cellStyle name="Title 2 2 2 2 2 2 5 2 2 75" xfId="44399"/>
    <cellStyle name="Title 2 2 2 2 2 2 5 2 2 76" xfId="44400"/>
    <cellStyle name="Title 2 2 2 2 2 2 5 2 2 77" xfId="44401"/>
    <cellStyle name="Title 2 2 2 2 2 2 5 2 2 78" xfId="44402"/>
    <cellStyle name="Title 2 2 2 2 2 2 5 2 2 79" xfId="44403"/>
    <cellStyle name="Title 2 2 2 2 2 2 5 2 2 8" xfId="44404"/>
    <cellStyle name="Title 2 2 2 2 2 2 5 2 2 80" xfId="44405"/>
    <cellStyle name="Title 2 2 2 2 2 2 5 2 2 81" xfId="44406"/>
    <cellStyle name="Title 2 2 2 2 2 2 5 2 2 82" xfId="44407"/>
    <cellStyle name="Title 2 2 2 2 2 2 5 2 2 83" xfId="44408"/>
    <cellStyle name="Title 2 2 2 2 2 2 5 2 2 84" xfId="44409"/>
    <cellStyle name="Title 2 2 2 2 2 2 5 2 2 85" xfId="44410"/>
    <cellStyle name="Title 2 2 2 2 2 2 5 2 2 86" xfId="44411"/>
    <cellStyle name="Title 2 2 2 2 2 2 5 2 2 87" xfId="44412"/>
    <cellStyle name="Title 2 2 2 2 2 2 5 2 2 88" xfId="44413"/>
    <cellStyle name="Title 2 2 2 2 2 2 5 2 2 9" xfId="44414"/>
    <cellStyle name="Title 2 2 2 2 2 2 5 2 20" xfId="44415"/>
    <cellStyle name="Title 2 2 2 2 2 2 5 2 21" xfId="44416"/>
    <cellStyle name="Title 2 2 2 2 2 2 5 2 22" xfId="44417"/>
    <cellStyle name="Title 2 2 2 2 2 2 5 2 23" xfId="44418"/>
    <cellStyle name="Title 2 2 2 2 2 2 5 2 24" xfId="44419"/>
    <cellStyle name="Title 2 2 2 2 2 2 5 2 25" xfId="44420"/>
    <cellStyle name="Title 2 2 2 2 2 2 5 2 26" xfId="44421"/>
    <cellStyle name="Title 2 2 2 2 2 2 5 2 27" xfId="44422"/>
    <cellStyle name="Title 2 2 2 2 2 2 5 2 28" xfId="44423"/>
    <cellStyle name="Title 2 2 2 2 2 2 5 2 29" xfId="44424"/>
    <cellStyle name="Title 2 2 2 2 2 2 5 2 3" xfId="44425"/>
    <cellStyle name="Title 2 2 2 2 2 2 5 2 30" xfId="44426"/>
    <cellStyle name="Title 2 2 2 2 2 2 5 2 31" xfId="44427"/>
    <cellStyle name="Title 2 2 2 2 2 2 5 2 32" xfId="44428"/>
    <cellStyle name="Title 2 2 2 2 2 2 5 2 33" xfId="44429"/>
    <cellStyle name="Title 2 2 2 2 2 2 5 2 34" xfId="44430"/>
    <cellStyle name="Title 2 2 2 2 2 2 5 2 35" xfId="44431"/>
    <cellStyle name="Title 2 2 2 2 2 2 5 2 36" xfId="44432"/>
    <cellStyle name="Title 2 2 2 2 2 2 5 2 37" xfId="44433"/>
    <cellStyle name="Title 2 2 2 2 2 2 5 2 38" xfId="44434"/>
    <cellStyle name="Title 2 2 2 2 2 2 5 2 39" xfId="44435"/>
    <cellStyle name="Title 2 2 2 2 2 2 5 2 4" xfId="44436"/>
    <cellStyle name="Title 2 2 2 2 2 2 5 2 40" xfId="44437"/>
    <cellStyle name="Title 2 2 2 2 2 2 5 2 41" xfId="44438"/>
    <cellStyle name="Title 2 2 2 2 2 2 5 2 42" xfId="44439"/>
    <cellStyle name="Title 2 2 2 2 2 2 5 2 43" xfId="44440"/>
    <cellStyle name="Title 2 2 2 2 2 2 5 2 44" xfId="44441"/>
    <cellStyle name="Title 2 2 2 2 2 2 5 2 45" xfId="44442"/>
    <cellStyle name="Title 2 2 2 2 2 2 5 2 46" xfId="44443"/>
    <cellStyle name="Title 2 2 2 2 2 2 5 2 47" xfId="44444"/>
    <cellStyle name="Title 2 2 2 2 2 2 5 2 48" xfId="44445"/>
    <cellStyle name="Title 2 2 2 2 2 2 5 2 49" xfId="44446"/>
    <cellStyle name="Title 2 2 2 2 2 2 5 2 5" xfId="44447"/>
    <cellStyle name="Title 2 2 2 2 2 2 5 2 50" xfId="44448"/>
    <cellStyle name="Title 2 2 2 2 2 2 5 2 51" xfId="44449"/>
    <cellStyle name="Title 2 2 2 2 2 2 5 2 52" xfId="44450"/>
    <cellStyle name="Title 2 2 2 2 2 2 5 2 53" xfId="44451"/>
    <cellStyle name="Title 2 2 2 2 2 2 5 2 54" xfId="44452"/>
    <cellStyle name="Title 2 2 2 2 2 2 5 2 55" xfId="44453"/>
    <cellStyle name="Title 2 2 2 2 2 2 5 2 56" xfId="44454"/>
    <cellStyle name="Title 2 2 2 2 2 2 5 2 57" xfId="44455"/>
    <cellStyle name="Title 2 2 2 2 2 2 5 2 58" xfId="44456"/>
    <cellStyle name="Title 2 2 2 2 2 2 5 2 59" xfId="44457"/>
    <cellStyle name="Title 2 2 2 2 2 2 5 2 6" xfId="44458"/>
    <cellStyle name="Title 2 2 2 2 2 2 5 2 60" xfId="44459"/>
    <cellStyle name="Title 2 2 2 2 2 2 5 2 61" xfId="44460"/>
    <cellStyle name="Title 2 2 2 2 2 2 5 2 62" xfId="44461"/>
    <cellStyle name="Title 2 2 2 2 2 2 5 2 63" xfId="44462"/>
    <cellStyle name="Title 2 2 2 2 2 2 5 2 64" xfId="44463"/>
    <cellStyle name="Title 2 2 2 2 2 2 5 2 65" xfId="44464"/>
    <cellStyle name="Title 2 2 2 2 2 2 5 2 66" xfId="44465"/>
    <cellStyle name="Title 2 2 2 2 2 2 5 2 67" xfId="44466"/>
    <cellStyle name="Title 2 2 2 2 2 2 5 2 68" xfId="44467"/>
    <cellStyle name="Title 2 2 2 2 2 2 5 2 69" xfId="44468"/>
    <cellStyle name="Title 2 2 2 2 2 2 5 2 7" xfId="44469"/>
    <cellStyle name="Title 2 2 2 2 2 2 5 2 70" xfId="44470"/>
    <cellStyle name="Title 2 2 2 2 2 2 5 2 71" xfId="44471"/>
    <cellStyle name="Title 2 2 2 2 2 2 5 2 72" xfId="44472"/>
    <cellStyle name="Title 2 2 2 2 2 2 5 2 73" xfId="44473"/>
    <cellStyle name="Title 2 2 2 2 2 2 5 2 74" xfId="44474"/>
    <cellStyle name="Title 2 2 2 2 2 2 5 2 75" xfId="44475"/>
    <cellStyle name="Title 2 2 2 2 2 2 5 2 76" xfId="44476"/>
    <cellStyle name="Title 2 2 2 2 2 2 5 2 77" xfId="44477"/>
    <cellStyle name="Title 2 2 2 2 2 2 5 2 78" xfId="44478"/>
    <cellStyle name="Title 2 2 2 2 2 2 5 2 79" xfId="44479"/>
    <cellStyle name="Title 2 2 2 2 2 2 5 2 8" xfId="44480"/>
    <cellStyle name="Title 2 2 2 2 2 2 5 2 80" xfId="44481"/>
    <cellStyle name="Title 2 2 2 2 2 2 5 2 81" xfId="44482"/>
    <cellStyle name="Title 2 2 2 2 2 2 5 2 82" xfId="44483"/>
    <cellStyle name="Title 2 2 2 2 2 2 5 2 83" xfId="44484"/>
    <cellStyle name="Title 2 2 2 2 2 2 5 2 84" xfId="44485"/>
    <cellStyle name="Title 2 2 2 2 2 2 5 2 85" xfId="44486"/>
    <cellStyle name="Title 2 2 2 2 2 2 5 2 86" xfId="44487"/>
    <cellStyle name="Title 2 2 2 2 2 2 5 2 87" xfId="44488"/>
    <cellStyle name="Title 2 2 2 2 2 2 5 2 88" xfId="44489"/>
    <cellStyle name="Title 2 2 2 2 2 2 5 2 89" xfId="44490"/>
    <cellStyle name="Title 2 2 2 2 2 2 5 2 9" xfId="44491"/>
    <cellStyle name="Title 2 2 2 2 2 2 5 2 90" xfId="44492"/>
    <cellStyle name="Title 2 2 2 2 2 2 5 2 91" xfId="44493"/>
    <cellStyle name="Title 2 2 2 2 2 2 5 2 92" xfId="44494"/>
    <cellStyle name="Title 2 2 2 2 2 2 5 2 93" xfId="44495"/>
    <cellStyle name="Title 2 2 2 2 2 2 5 2 94" xfId="44496"/>
    <cellStyle name="Title 2 2 2 2 2 2 5 2 95" xfId="44497"/>
    <cellStyle name="Title 2 2 2 2 2 2 5 2 96" xfId="44498"/>
    <cellStyle name="Title 2 2 2 2 2 2 5 2 97" xfId="44499"/>
    <cellStyle name="Title 2 2 2 2 2 2 5 2 98" xfId="44500"/>
    <cellStyle name="Title 2 2 2 2 2 2 5 20" xfId="44501"/>
    <cellStyle name="Title 2 2 2 2 2 2 5 21" xfId="44502"/>
    <cellStyle name="Title 2 2 2 2 2 2 5 22" xfId="44503"/>
    <cellStyle name="Title 2 2 2 2 2 2 5 23" xfId="44504"/>
    <cellStyle name="Title 2 2 2 2 2 2 5 24" xfId="44505"/>
    <cellStyle name="Title 2 2 2 2 2 2 5 25" xfId="44506"/>
    <cellStyle name="Title 2 2 2 2 2 2 5 25 2" xfId="44507"/>
    <cellStyle name="Title 2 2 2 2 2 2 5 26" xfId="44508"/>
    <cellStyle name="Title 2 2 2 2 2 2 5 27" xfId="44509"/>
    <cellStyle name="Title 2 2 2 2 2 2 5 28" xfId="44510"/>
    <cellStyle name="Title 2 2 2 2 2 2 5 29" xfId="44511"/>
    <cellStyle name="Title 2 2 2 2 2 2 5 3" xfId="44512"/>
    <cellStyle name="Title 2 2 2 2 2 2 5 30" xfId="44513"/>
    <cellStyle name="Title 2 2 2 2 2 2 5 31" xfId="44514"/>
    <cellStyle name="Title 2 2 2 2 2 2 5 32" xfId="44515"/>
    <cellStyle name="Title 2 2 2 2 2 2 5 33" xfId="44516"/>
    <cellStyle name="Title 2 2 2 2 2 2 5 34" xfId="44517"/>
    <cellStyle name="Title 2 2 2 2 2 2 5 35" xfId="44518"/>
    <cellStyle name="Title 2 2 2 2 2 2 5 36" xfId="44519"/>
    <cellStyle name="Title 2 2 2 2 2 2 5 37" xfId="44520"/>
    <cellStyle name="Title 2 2 2 2 2 2 5 38" xfId="44521"/>
    <cellStyle name="Title 2 2 2 2 2 2 5 39" xfId="44522"/>
    <cellStyle name="Title 2 2 2 2 2 2 5 4" xfId="44523"/>
    <cellStyle name="Title 2 2 2 2 2 2 5 4 10" xfId="44524"/>
    <cellStyle name="Title 2 2 2 2 2 2 5 4 11" xfId="44525"/>
    <cellStyle name="Title 2 2 2 2 2 2 5 4 12" xfId="44526"/>
    <cellStyle name="Title 2 2 2 2 2 2 5 4 13" xfId="44527"/>
    <cellStyle name="Title 2 2 2 2 2 2 5 4 14" xfId="44528"/>
    <cellStyle name="Title 2 2 2 2 2 2 5 4 15" xfId="44529"/>
    <cellStyle name="Title 2 2 2 2 2 2 5 4 16" xfId="44530"/>
    <cellStyle name="Title 2 2 2 2 2 2 5 4 17" xfId="44531"/>
    <cellStyle name="Title 2 2 2 2 2 2 5 4 18" xfId="44532"/>
    <cellStyle name="Title 2 2 2 2 2 2 5 4 19" xfId="44533"/>
    <cellStyle name="Title 2 2 2 2 2 2 5 4 2" xfId="44534"/>
    <cellStyle name="Title 2 2 2 2 2 2 5 4 2 10" xfId="44535"/>
    <cellStyle name="Title 2 2 2 2 2 2 5 4 2 11" xfId="44536"/>
    <cellStyle name="Title 2 2 2 2 2 2 5 4 2 12" xfId="44537"/>
    <cellStyle name="Title 2 2 2 2 2 2 5 4 2 13" xfId="44538"/>
    <cellStyle name="Title 2 2 2 2 2 2 5 4 2 14" xfId="44539"/>
    <cellStyle name="Title 2 2 2 2 2 2 5 4 2 15" xfId="44540"/>
    <cellStyle name="Title 2 2 2 2 2 2 5 4 2 16" xfId="44541"/>
    <cellStyle name="Title 2 2 2 2 2 2 5 4 2 17" xfId="44542"/>
    <cellStyle name="Title 2 2 2 2 2 2 5 4 2 18" xfId="44543"/>
    <cellStyle name="Title 2 2 2 2 2 2 5 4 2 19" xfId="44544"/>
    <cellStyle name="Title 2 2 2 2 2 2 5 4 2 2" xfId="44545"/>
    <cellStyle name="Title 2 2 2 2 2 2 5 4 2 2 2" xfId="44546"/>
    <cellStyle name="Title 2 2 2 2 2 2 5 4 2 20" xfId="44547"/>
    <cellStyle name="Title 2 2 2 2 2 2 5 4 2 21" xfId="44548"/>
    <cellStyle name="Title 2 2 2 2 2 2 5 4 2 22" xfId="44549"/>
    <cellStyle name="Title 2 2 2 2 2 2 5 4 2 23" xfId="44550"/>
    <cellStyle name="Title 2 2 2 2 2 2 5 4 2 24" xfId="44551"/>
    <cellStyle name="Title 2 2 2 2 2 2 5 4 2 25" xfId="44552"/>
    <cellStyle name="Title 2 2 2 2 2 2 5 4 2 26" xfId="44553"/>
    <cellStyle name="Title 2 2 2 2 2 2 5 4 2 27" xfId="44554"/>
    <cellStyle name="Title 2 2 2 2 2 2 5 4 2 28" xfId="44555"/>
    <cellStyle name="Title 2 2 2 2 2 2 5 4 2 29" xfId="44556"/>
    <cellStyle name="Title 2 2 2 2 2 2 5 4 2 3" xfId="44557"/>
    <cellStyle name="Title 2 2 2 2 2 2 5 4 2 30" xfId="44558"/>
    <cellStyle name="Title 2 2 2 2 2 2 5 4 2 31" xfId="44559"/>
    <cellStyle name="Title 2 2 2 2 2 2 5 4 2 32" xfId="44560"/>
    <cellStyle name="Title 2 2 2 2 2 2 5 4 2 33" xfId="44561"/>
    <cellStyle name="Title 2 2 2 2 2 2 5 4 2 34" xfId="44562"/>
    <cellStyle name="Title 2 2 2 2 2 2 5 4 2 35" xfId="44563"/>
    <cellStyle name="Title 2 2 2 2 2 2 5 4 2 36" xfId="44564"/>
    <cellStyle name="Title 2 2 2 2 2 2 5 4 2 37" xfId="44565"/>
    <cellStyle name="Title 2 2 2 2 2 2 5 4 2 38" xfId="44566"/>
    <cellStyle name="Title 2 2 2 2 2 2 5 4 2 39" xfId="44567"/>
    <cellStyle name="Title 2 2 2 2 2 2 5 4 2 4" xfId="44568"/>
    <cellStyle name="Title 2 2 2 2 2 2 5 4 2 40" xfId="44569"/>
    <cellStyle name="Title 2 2 2 2 2 2 5 4 2 41" xfId="44570"/>
    <cellStyle name="Title 2 2 2 2 2 2 5 4 2 42" xfId="44571"/>
    <cellStyle name="Title 2 2 2 2 2 2 5 4 2 43" xfId="44572"/>
    <cellStyle name="Title 2 2 2 2 2 2 5 4 2 44" xfId="44573"/>
    <cellStyle name="Title 2 2 2 2 2 2 5 4 2 45" xfId="44574"/>
    <cellStyle name="Title 2 2 2 2 2 2 5 4 2 46" xfId="44575"/>
    <cellStyle name="Title 2 2 2 2 2 2 5 4 2 47" xfId="44576"/>
    <cellStyle name="Title 2 2 2 2 2 2 5 4 2 48" xfId="44577"/>
    <cellStyle name="Title 2 2 2 2 2 2 5 4 2 49" xfId="44578"/>
    <cellStyle name="Title 2 2 2 2 2 2 5 4 2 5" xfId="44579"/>
    <cellStyle name="Title 2 2 2 2 2 2 5 4 2 50" xfId="44580"/>
    <cellStyle name="Title 2 2 2 2 2 2 5 4 2 51" xfId="44581"/>
    <cellStyle name="Title 2 2 2 2 2 2 5 4 2 52" xfId="44582"/>
    <cellStyle name="Title 2 2 2 2 2 2 5 4 2 53" xfId="44583"/>
    <cellStyle name="Title 2 2 2 2 2 2 5 4 2 54" xfId="44584"/>
    <cellStyle name="Title 2 2 2 2 2 2 5 4 2 55" xfId="44585"/>
    <cellStyle name="Title 2 2 2 2 2 2 5 4 2 56" xfId="44586"/>
    <cellStyle name="Title 2 2 2 2 2 2 5 4 2 57" xfId="44587"/>
    <cellStyle name="Title 2 2 2 2 2 2 5 4 2 58" xfId="44588"/>
    <cellStyle name="Title 2 2 2 2 2 2 5 4 2 59" xfId="44589"/>
    <cellStyle name="Title 2 2 2 2 2 2 5 4 2 6" xfId="44590"/>
    <cellStyle name="Title 2 2 2 2 2 2 5 4 2 60" xfId="44591"/>
    <cellStyle name="Title 2 2 2 2 2 2 5 4 2 61" xfId="44592"/>
    <cellStyle name="Title 2 2 2 2 2 2 5 4 2 62" xfId="44593"/>
    <cellStyle name="Title 2 2 2 2 2 2 5 4 2 63" xfId="44594"/>
    <cellStyle name="Title 2 2 2 2 2 2 5 4 2 64" xfId="44595"/>
    <cellStyle name="Title 2 2 2 2 2 2 5 4 2 65" xfId="44596"/>
    <cellStyle name="Title 2 2 2 2 2 2 5 4 2 66" xfId="44597"/>
    <cellStyle name="Title 2 2 2 2 2 2 5 4 2 67" xfId="44598"/>
    <cellStyle name="Title 2 2 2 2 2 2 5 4 2 68" xfId="44599"/>
    <cellStyle name="Title 2 2 2 2 2 2 5 4 2 69" xfId="44600"/>
    <cellStyle name="Title 2 2 2 2 2 2 5 4 2 7" xfId="44601"/>
    <cellStyle name="Title 2 2 2 2 2 2 5 4 2 70" xfId="44602"/>
    <cellStyle name="Title 2 2 2 2 2 2 5 4 2 71" xfId="44603"/>
    <cellStyle name="Title 2 2 2 2 2 2 5 4 2 72" xfId="44604"/>
    <cellStyle name="Title 2 2 2 2 2 2 5 4 2 73" xfId="44605"/>
    <cellStyle name="Title 2 2 2 2 2 2 5 4 2 74" xfId="44606"/>
    <cellStyle name="Title 2 2 2 2 2 2 5 4 2 8" xfId="44607"/>
    <cellStyle name="Title 2 2 2 2 2 2 5 4 2 9" xfId="44608"/>
    <cellStyle name="Title 2 2 2 2 2 2 5 4 20" xfId="44609"/>
    <cellStyle name="Title 2 2 2 2 2 2 5 4 21" xfId="44610"/>
    <cellStyle name="Title 2 2 2 2 2 2 5 4 22" xfId="44611"/>
    <cellStyle name="Title 2 2 2 2 2 2 5 4 23" xfId="44612"/>
    <cellStyle name="Title 2 2 2 2 2 2 5 4 24" xfId="44613"/>
    <cellStyle name="Title 2 2 2 2 2 2 5 4 25" xfId="44614"/>
    <cellStyle name="Title 2 2 2 2 2 2 5 4 26" xfId="44615"/>
    <cellStyle name="Title 2 2 2 2 2 2 5 4 27" xfId="44616"/>
    <cellStyle name="Title 2 2 2 2 2 2 5 4 28" xfId="44617"/>
    <cellStyle name="Title 2 2 2 2 2 2 5 4 29" xfId="44618"/>
    <cellStyle name="Title 2 2 2 2 2 2 5 4 3" xfId="44619"/>
    <cellStyle name="Title 2 2 2 2 2 2 5 4 3 2" xfId="44620"/>
    <cellStyle name="Title 2 2 2 2 2 2 5 4 30" xfId="44621"/>
    <cellStyle name="Title 2 2 2 2 2 2 5 4 31" xfId="44622"/>
    <cellStyle name="Title 2 2 2 2 2 2 5 4 32" xfId="44623"/>
    <cellStyle name="Title 2 2 2 2 2 2 5 4 33" xfId="44624"/>
    <cellStyle name="Title 2 2 2 2 2 2 5 4 34" xfId="44625"/>
    <cellStyle name="Title 2 2 2 2 2 2 5 4 35" xfId="44626"/>
    <cellStyle name="Title 2 2 2 2 2 2 5 4 36" xfId="44627"/>
    <cellStyle name="Title 2 2 2 2 2 2 5 4 37" xfId="44628"/>
    <cellStyle name="Title 2 2 2 2 2 2 5 4 38" xfId="44629"/>
    <cellStyle name="Title 2 2 2 2 2 2 5 4 39" xfId="44630"/>
    <cellStyle name="Title 2 2 2 2 2 2 5 4 4" xfId="44631"/>
    <cellStyle name="Title 2 2 2 2 2 2 5 4 40" xfId="44632"/>
    <cellStyle name="Title 2 2 2 2 2 2 5 4 41" xfId="44633"/>
    <cellStyle name="Title 2 2 2 2 2 2 5 4 42" xfId="44634"/>
    <cellStyle name="Title 2 2 2 2 2 2 5 4 43" xfId="44635"/>
    <cellStyle name="Title 2 2 2 2 2 2 5 4 44" xfId="44636"/>
    <cellStyle name="Title 2 2 2 2 2 2 5 4 45" xfId="44637"/>
    <cellStyle name="Title 2 2 2 2 2 2 5 4 46" xfId="44638"/>
    <cellStyle name="Title 2 2 2 2 2 2 5 4 47" xfId="44639"/>
    <cellStyle name="Title 2 2 2 2 2 2 5 4 48" xfId="44640"/>
    <cellStyle name="Title 2 2 2 2 2 2 5 4 49" xfId="44641"/>
    <cellStyle name="Title 2 2 2 2 2 2 5 4 5" xfId="44642"/>
    <cellStyle name="Title 2 2 2 2 2 2 5 4 50" xfId="44643"/>
    <cellStyle name="Title 2 2 2 2 2 2 5 4 51" xfId="44644"/>
    <cellStyle name="Title 2 2 2 2 2 2 5 4 52" xfId="44645"/>
    <cellStyle name="Title 2 2 2 2 2 2 5 4 53" xfId="44646"/>
    <cellStyle name="Title 2 2 2 2 2 2 5 4 54" xfId="44647"/>
    <cellStyle name="Title 2 2 2 2 2 2 5 4 55" xfId="44648"/>
    <cellStyle name="Title 2 2 2 2 2 2 5 4 56" xfId="44649"/>
    <cellStyle name="Title 2 2 2 2 2 2 5 4 57" xfId="44650"/>
    <cellStyle name="Title 2 2 2 2 2 2 5 4 58" xfId="44651"/>
    <cellStyle name="Title 2 2 2 2 2 2 5 4 59" xfId="44652"/>
    <cellStyle name="Title 2 2 2 2 2 2 5 4 6" xfId="44653"/>
    <cellStyle name="Title 2 2 2 2 2 2 5 4 60" xfId="44654"/>
    <cellStyle name="Title 2 2 2 2 2 2 5 4 61" xfId="44655"/>
    <cellStyle name="Title 2 2 2 2 2 2 5 4 62" xfId="44656"/>
    <cellStyle name="Title 2 2 2 2 2 2 5 4 63" xfId="44657"/>
    <cellStyle name="Title 2 2 2 2 2 2 5 4 64" xfId="44658"/>
    <cellStyle name="Title 2 2 2 2 2 2 5 4 65" xfId="44659"/>
    <cellStyle name="Title 2 2 2 2 2 2 5 4 66" xfId="44660"/>
    <cellStyle name="Title 2 2 2 2 2 2 5 4 67" xfId="44661"/>
    <cellStyle name="Title 2 2 2 2 2 2 5 4 68" xfId="44662"/>
    <cellStyle name="Title 2 2 2 2 2 2 5 4 69" xfId="44663"/>
    <cellStyle name="Title 2 2 2 2 2 2 5 4 7" xfId="44664"/>
    <cellStyle name="Title 2 2 2 2 2 2 5 4 70" xfId="44665"/>
    <cellStyle name="Title 2 2 2 2 2 2 5 4 71" xfId="44666"/>
    <cellStyle name="Title 2 2 2 2 2 2 5 4 72" xfId="44667"/>
    <cellStyle name="Title 2 2 2 2 2 2 5 4 73" xfId="44668"/>
    <cellStyle name="Title 2 2 2 2 2 2 5 4 74" xfId="44669"/>
    <cellStyle name="Title 2 2 2 2 2 2 5 4 8" xfId="44670"/>
    <cellStyle name="Title 2 2 2 2 2 2 5 4 9" xfId="44671"/>
    <cellStyle name="Title 2 2 2 2 2 2 5 40" xfId="44672"/>
    <cellStyle name="Title 2 2 2 2 2 2 5 41" xfId="44673"/>
    <cellStyle name="Title 2 2 2 2 2 2 5 42" xfId="44674"/>
    <cellStyle name="Title 2 2 2 2 2 2 5 43" xfId="44675"/>
    <cellStyle name="Title 2 2 2 2 2 2 5 44" xfId="44676"/>
    <cellStyle name="Title 2 2 2 2 2 2 5 45" xfId="44677"/>
    <cellStyle name="Title 2 2 2 2 2 2 5 46" xfId="44678"/>
    <cellStyle name="Title 2 2 2 2 2 2 5 47" xfId="44679"/>
    <cellStyle name="Title 2 2 2 2 2 2 5 48" xfId="44680"/>
    <cellStyle name="Title 2 2 2 2 2 2 5 49" xfId="44681"/>
    <cellStyle name="Title 2 2 2 2 2 2 5 5" xfId="44682"/>
    <cellStyle name="Title 2 2 2 2 2 2 5 50" xfId="44683"/>
    <cellStyle name="Title 2 2 2 2 2 2 5 51" xfId="44684"/>
    <cellStyle name="Title 2 2 2 2 2 2 5 52" xfId="44685"/>
    <cellStyle name="Title 2 2 2 2 2 2 5 53" xfId="44686"/>
    <cellStyle name="Title 2 2 2 2 2 2 5 54" xfId="44687"/>
    <cellStyle name="Title 2 2 2 2 2 2 5 55" xfId="44688"/>
    <cellStyle name="Title 2 2 2 2 2 2 5 56" xfId="44689"/>
    <cellStyle name="Title 2 2 2 2 2 2 5 57" xfId="44690"/>
    <cellStyle name="Title 2 2 2 2 2 2 5 58" xfId="44691"/>
    <cellStyle name="Title 2 2 2 2 2 2 5 59" xfId="44692"/>
    <cellStyle name="Title 2 2 2 2 2 2 5 6" xfId="44693"/>
    <cellStyle name="Title 2 2 2 2 2 2 5 60" xfId="44694"/>
    <cellStyle name="Title 2 2 2 2 2 2 5 61" xfId="44695"/>
    <cellStyle name="Title 2 2 2 2 2 2 5 62" xfId="44696"/>
    <cellStyle name="Title 2 2 2 2 2 2 5 63" xfId="44697"/>
    <cellStyle name="Title 2 2 2 2 2 2 5 64" xfId="44698"/>
    <cellStyle name="Title 2 2 2 2 2 2 5 65" xfId="44699"/>
    <cellStyle name="Title 2 2 2 2 2 2 5 66" xfId="44700"/>
    <cellStyle name="Title 2 2 2 2 2 2 5 67" xfId="44701"/>
    <cellStyle name="Title 2 2 2 2 2 2 5 68" xfId="44702"/>
    <cellStyle name="Title 2 2 2 2 2 2 5 69" xfId="44703"/>
    <cellStyle name="Title 2 2 2 2 2 2 5 7" xfId="44704"/>
    <cellStyle name="Title 2 2 2 2 2 2 5 70" xfId="44705"/>
    <cellStyle name="Title 2 2 2 2 2 2 5 71" xfId="44706"/>
    <cellStyle name="Title 2 2 2 2 2 2 5 72" xfId="44707"/>
    <cellStyle name="Title 2 2 2 2 2 2 5 73" xfId="44708"/>
    <cellStyle name="Title 2 2 2 2 2 2 5 74" xfId="44709"/>
    <cellStyle name="Title 2 2 2 2 2 2 5 75" xfId="44710"/>
    <cellStyle name="Title 2 2 2 2 2 2 5 76" xfId="44711"/>
    <cellStyle name="Title 2 2 2 2 2 2 5 77" xfId="44712"/>
    <cellStyle name="Title 2 2 2 2 2 2 5 78" xfId="44713"/>
    <cellStyle name="Title 2 2 2 2 2 2 5 79" xfId="44714"/>
    <cellStyle name="Title 2 2 2 2 2 2 5 8" xfId="44715"/>
    <cellStyle name="Title 2 2 2 2 2 2 5 80" xfId="44716"/>
    <cellStyle name="Title 2 2 2 2 2 2 5 81" xfId="44717"/>
    <cellStyle name="Title 2 2 2 2 2 2 5 82" xfId="44718"/>
    <cellStyle name="Title 2 2 2 2 2 2 5 83" xfId="44719"/>
    <cellStyle name="Title 2 2 2 2 2 2 5 84" xfId="44720"/>
    <cellStyle name="Title 2 2 2 2 2 2 5 85" xfId="44721"/>
    <cellStyle name="Title 2 2 2 2 2 2 5 86" xfId="44722"/>
    <cellStyle name="Title 2 2 2 2 2 2 5 87" xfId="44723"/>
    <cellStyle name="Title 2 2 2 2 2 2 5 88" xfId="44724"/>
    <cellStyle name="Title 2 2 2 2 2 2 5 89" xfId="44725"/>
    <cellStyle name="Title 2 2 2 2 2 2 5 9" xfId="44726"/>
    <cellStyle name="Title 2 2 2 2 2 2 5 90" xfId="44727"/>
    <cellStyle name="Title 2 2 2 2 2 2 5 91" xfId="44728"/>
    <cellStyle name="Title 2 2 2 2 2 2 5 92" xfId="44729"/>
    <cellStyle name="Title 2 2 2 2 2 2 5 93" xfId="44730"/>
    <cellStyle name="Title 2 2 2 2 2 2 5 94" xfId="44731"/>
    <cellStyle name="Title 2 2 2 2 2 2 5 95" xfId="44732"/>
    <cellStyle name="Title 2 2 2 2 2 2 5 96" xfId="44733"/>
    <cellStyle name="Title 2 2 2 2 2 2 5 97" xfId="44734"/>
    <cellStyle name="Title 2 2 2 2 2 2 5 98" xfId="44735"/>
    <cellStyle name="Title 2 2 2 2 2 2 5 99" xfId="44736"/>
    <cellStyle name="Title 2 2 2 2 2 2 50" xfId="44737"/>
    <cellStyle name="Title 2 2 2 2 2 2 50 2" xfId="44738"/>
    <cellStyle name="Title 2 2 2 2 2 2 51" xfId="44739"/>
    <cellStyle name="Title 2 2 2 2 2 2 51 2" xfId="44740"/>
    <cellStyle name="Title 2 2 2 2 2 2 52" xfId="44741"/>
    <cellStyle name="Title 2 2 2 2 2 2 52 2" xfId="44742"/>
    <cellStyle name="Title 2 2 2 2 2 2 53" xfId="44743"/>
    <cellStyle name="Title 2 2 2 2 2 2 53 2" xfId="44744"/>
    <cellStyle name="Title 2 2 2 2 2 2 54" xfId="44745"/>
    <cellStyle name="Title 2 2 2 2 2 2 54 2" xfId="44746"/>
    <cellStyle name="Title 2 2 2 2 2 2 55" xfId="44747"/>
    <cellStyle name="Title 2 2 2 2 2 2 55 2" xfId="44748"/>
    <cellStyle name="Title 2 2 2 2 2 2 56" xfId="44749"/>
    <cellStyle name="Title 2 2 2 2 2 2 56 2" xfId="44750"/>
    <cellStyle name="Title 2 2 2 2 2 2 57" xfId="44751"/>
    <cellStyle name="Title 2 2 2 2 2 2 57 2" xfId="44752"/>
    <cellStyle name="Title 2 2 2 2 2 2 58" xfId="44753"/>
    <cellStyle name="Title 2 2 2 2 2 2 58 2" xfId="44754"/>
    <cellStyle name="Title 2 2 2 2 2 2 59" xfId="44755"/>
    <cellStyle name="Title 2 2 2 2 2 2 59 2" xfId="44756"/>
    <cellStyle name="Title 2 2 2 2 2 2 6" xfId="44757"/>
    <cellStyle name="Title 2 2 2 2 2 2 6 10" xfId="44758"/>
    <cellStyle name="Title 2 2 2 2 2 2 6 10 2" xfId="44759"/>
    <cellStyle name="Title 2 2 2 2 2 2 6 100" xfId="44760"/>
    <cellStyle name="Title 2 2 2 2 2 2 6 101" xfId="44761"/>
    <cellStyle name="Title 2 2 2 2 2 2 6 102" xfId="44762"/>
    <cellStyle name="Title 2 2 2 2 2 2 6 103" xfId="44763"/>
    <cellStyle name="Title 2 2 2 2 2 2 6 104" xfId="44764"/>
    <cellStyle name="Title 2 2 2 2 2 2 6 105" xfId="44765"/>
    <cellStyle name="Title 2 2 2 2 2 2 6 106" xfId="44766"/>
    <cellStyle name="Title 2 2 2 2 2 2 6 107" xfId="44767"/>
    <cellStyle name="Title 2 2 2 2 2 2 6 108" xfId="44768"/>
    <cellStyle name="Title 2 2 2 2 2 2 6 109" xfId="44769"/>
    <cellStyle name="Title 2 2 2 2 2 2 6 11" xfId="44770"/>
    <cellStyle name="Title 2 2 2 2 2 2 6 11 2" xfId="44771"/>
    <cellStyle name="Title 2 2 2 2 2 2 6 12" xfId="44772"/>
    <cellStyle name="Title 2 2 2 2 2 2 6 12 2" xfId="44773"/>
    <cellStyle name="Title 2 2 2 2 2 2 6 13" xfId="44774"/>
    <cellStyle name="Title 2 2 2 2 2 2 6 13 2" xfId="44775"/>
    <cellStyle name="Title 2 2 2 2 2 2 6 14" xfId="44776"/>
    <cellStyle name="Title 2 2 2 2 2 2 6 14 2" xfId="44777"/>
    <cellStyle name="Title 2 2 2 2 2 2 6 15" xfId="44778"/>
    <cellStyle name="Title 2 2 2 2 2 2 6 15 2" xfId="44779"/>
    <cellStyle name="Title 2 2 2 2 2 2 6 16" xfId="44780"/>
    <cellStyle name="Title 2 2 2 2 2 2 6 16 2" xfId="44781"/>
    <cellStyle name="Title 2 2 2 2 2 2 6 17" xfId="44782"/>
    <cellStyle name="Title 2 2 2 2 2 2 6 17 2" xfId="44783"/>
    <cellStyle name="Title 2 2 2 2 2 2 6 18" xfId="44784"/>
    <cellStyle name="Title 2 2 2 2 2 2 6 18 2" xfId="44785"/>
    <cellStyle name="Title 2 2 2 2 2 2 6 19" xfId="44786"/>
    <cellStyle name="Title 2 2 2 2 2 2 6 19 2" xfId="44787"/>
    <cellStyle name="Title 2 2 2 2 2 2 6 2" xfId="44788"/>
    <cellStyle name="Title 2 2 2 2 2 2 6 2 10" xfId="44789"/>
    <cellStyle name="Title 2 2 2 2 2 2 6 2 11" xfId="44790"/>
    <cellStyle name="Title 2 2 2 2 2 2 6 2 12" xfId="44791"/>
    <cellStyle name="Title 2 2 2 2 2 2 6 2 13" xfId="44792"/>
    <cellStyle name="Title 2 2 2 2 2 2 6 2 14" xfId="44793"/>
    <cellStyle name="Title 2 2 2 2 2 2 6 2 15" xfId="44794"/>
    <cellStyle name="Title 2 2 2 2 2 2 6 2 16" xfId="44795"/>
    <cellStyle name="Title 2 2 2 2 2 2 6 2 17" xfId="44796"/>
    <cellStyle name="Title 2 2 2 2 2 2 6 2 18" xfId="44797"/>
    <cellStyle name="Title 2 2 2 2 2 2 6 2 19" xfId="44798"/>
    <cellStyle name="Title 2 2 2 2 2 2 6 2 2" xfId="44799"/>
    <cellStyle name="Title 2 2 2 2 2 2 6 2 2 10" xfId="44800"/>
    <cellStyle name="Title 2 2 2 2 2 2 6 2 2 11" xfId="44801"/>
    <cellStyle name="Title 2 2 2 2 2 2 6 2 2 12" xfId="44802"/>
    <cellStyle name="Title 2 2 2 2 2 2 6 2 2 13" xfId="44803"/>
    <cellStyle name="Title 2 2 2 2 2 2 6 2 2 14" xfId="44804"/>
    <cellStyle name="Title 2 2 2 2 2 2 6 2 2 15" xfId="44805"/>
    <cellStyle name="Title 2 2 2 2 2 2 6 2 2 16" xfId="44806"/>
    <cellStyle name="Title 2 2 2 2 2 2 6 2 2 17" xfId="44807"/>
    <cellStyle name="Title 2 2 2 2 2 2 6 2 2 18" xfId="44808"/>
    <cellStyle name="Title 2 2 2 2 2 2 6 2 2 19" xfId="44809"/>
    <cellStyle name="Title 2 2 2 2 2 2 6 2 2 2" xfId="44810"/>
    <cellStyle name="Title 2 2 2 2 2 2 6 2 2 2 10" xfId="44811"/>
    <cellStyle name="Title 2 2 2 2 2 2 6 2 2 2 11" xfId="44812"/>
    <cellStyle name="Title 2 2 2 2 2 2 6 2 2 2 12" xfId="44813"/>
    <cellStyle name="Title 2 2 2 2 2 2 6 2 2 2 13" xfId="44814"/>
    <cellStyle name="Title 2 2 2 2 2 2 6 2 2 2 14" xfId="44815"/>
    <cellStyle name="Title 2 2 2 2 2 2 6 2 2 2 15" xfId="44816"/>
    <cellStyle name="Title 2 2 2 2 2 2 6 2 2 2 16" xfId="44817"/>
    <cellStyle name="Title 2 2 2 2 2 2 6 2 2 2 17" xfId="44818"/>
    <cellStyle name="Title 2 2 2 2 2 2 6 2 2 2 18" xfId="44819"/>
    <cellStyle name="Title 2 2 2 2 2 2 6 2 2 2 19" xfId="44820"/>
    <cellStyle name="Title 2 2 2 2 2 2 6 2 2 2 2" xfId="44821"/>
    <cellStyle name="Title 2 2 2 2 2 2 6 2 2 2 2 10" xfId="44822"/>
    <cellStyle name="Title 2 2 2 2 2 2 6 2 2 2 2 11" xfId="44823"/>
    <cellStyle name="Title 2 2 2 2 2 2 6 2 2 2 2 12" xfId="44824"/>
    <cellStyle name="Title 2 2 2 2 2 2 6 2 2 2 2 13" xfId="44825"/>
    <cellStyle name="Title 2 2 2 2 2 2 6 2 2 2 2 14" xfId="44826"/>
    <cellStyle name="Title 2 2 2 2 2 2 6 2 2 2 2 15" xfId="44827"/>
    <cellStyle name="Title 2 2 2 2 2 2 6 2 2 2 2 16" xfId="44828"/>
    <cellStyle name="Title 2 2 2 2 2 2 6 2 2 2 2 17" xfId="44829"/>
    <cellStyle name="Title 2 2 2 2 2 2 6 2 2 2 2 18" xfId="44830"/>
    <cellStyle name="Title 2 2 2 2 2 2 6 2 2 2 2 19" xfId="44831"/>
    <cellStyle name="Title 2 2 2 2 2 2 6 2 2 2 2 2" xfId="44832"/>
    <cellStyle name="Title 2 2 2 2 2 2 6 2 2 2 2 2 2" xfId="44833"/>
    <cellStyle name="Title 2 2 2 2 2 2 6 2 2 2 2 20" xfId="44834"/>
    <cellStyle name="Title 2 2 2 2 2 2 6 2 2 2 2 21" xfId="44835"/>
    <cellStyle name="Title 2 2 2 2 2 2 6 2 2 2 2 22" xfId="44836"/>
    <cellStyle name="Title 2 2 2 2 2 2 6 2 2 2 2 23" xfId="44837"/>
    <cellStyle name="Title 2 2 2 2 2 2 6 2 2 2 2 24" xfId="44838"/>
    <cellStyle name="Title 2 2 2 2 2 2 6 2 2 2 2 25" xfId="44839"/>
    <cellStyle name="Title 2 2 2 2 2 2 6 2 2 2 2 26" xfId="44840"/>
    <cellStyle name="Title 2 2 2 2 2 2 6 2 2 2 2 27" xfId="44841"/>
    <cellStyle name="Title 2 2 2 2 2 2 6 2 2 2 2 28" xfId="44842"/>
    <cellStyle name="Title 2 2 2 2 2 2 6 2 2 2 2 29" xfId="44843"/>
    <cellStyle name="Title 2 2 2 2 2 2 6 2 2 2 2 3" xfId="44844"/>
    <cellStyle name="Title 2 2 2 2 2 2 6 2 2 2 2 30" xfId="44845"/>
    <cellStyle name="Title 2 2 2 2 2 2 6 2 2 2 2 31" xfId="44846"/>
    <cellStyle name="Title 2 2 2 2 2 2 6 2 2 2 2 32" xfId="44847"/>
    <cellStyle name="Title 2 2 2 2 2 2 6 2 2 2 2 33" xfId="44848"/>
    <cellStyle name="Title 2 2 2 2 2 2 6 2 2 2 2 34" xfId="44849"/>
    <cellStyle name="Title 2 2 2 2 2 2 6 2 2 2 2 35" xfId="44850"/>
    <cellStyle name="Title 2 2 2 2 2 2 6 2 2 2 2 36" xfId="44851"/>
    <cellStyle name="Title 2 2 2 2 2 2 6 2 2 2 2 37" xfId="44852"/>
    <cellStyle name="Title 2 2 2 2 2 2 6 2 2 2 2 38" xfId="44853"/>
    <cellStyle name="Title 2 2 2 2 2 2 6 2 2 2 2 39" xfId="44854"/>
    <cellStyle name="Title 2 2 2 2 2 2 6 2 2 2 2 4" xfId="44855"/>
    <cellStyle name="Title 2 2 2 2 2 2 6 2 2 2 2 40" xfId="44856"/>
    <cellStyle name="Title 2 2 2 2 2 2 6 2 2 2 2 41" xfId="44857"/>
    <cellStyle name="Title 2 2 2 2 2 2 6 2 2 2 2 42" xfId="44858"/>
    <cellStyle name="Title 2 2 2 2 2 2 6 2 2 2 2 43" xfId="44859"/>
    <cellStyle name="Title 2 2 2 2 2 2 6 2 2 2 2 44" xfId="44860"/>
    <cellStyle name="Title 2 2 2 2 2 2 6 2 2 2 2 45" xfId="44861"/>
    <cellStyle name="Title 2 2 2 2 2 2 6 2 2 2 2 46" xfId="44862"/>
    <cellStyle name="Title 2 2 2 2 2 2 6 2 2 2 2 47" xfId="44863"/>
    <cellStyle name="Title 2 2 2 2 2 2 6 2 2 2 2 48" xfId="44864"/>
    <cellStyle name="Title 2 2 2 2 2 2 6 2 2 2 2 49" xfId="44865"/>
    <cellStyle name="Title 2 2 2 2 2 2 6 2 2 2 2 5" xfId="44866"/>
    <cellStyle name="Title 2 2 2 2 2 2 6 2 2 2 2 50" xfId="44867"/>
    <cellStyle name="Title 2 2 2 2 2 2 6 2 2 2 2 51" xfId="44868"/>
    <cellStyle name="Title 2 2 2 2 2 2 6 2 2 2 2 52" xfId="44869"/>
    <cellStyle name="Title 2 2 2 2 2 2 6 2 2 2 2 53" xfId="44870"/>
    <cellStyle name="Title 2 2 2 2 2 2 6 2 2 2 2 54" xfId="44871"/>
    <cellStyle name="Title 2 2 2 2 2 2 6 2 2 2 2 55" xfId="44872"/>
    <cellStyle name="Title 2 2 2 2 2 2 6 2 2 2 2 56" xfId="44873"/>
    <cellStyle name="Title 2 2 2 2 2 2 6 2 2 2 2 57" xfId="44874"/>
    <cellStyle name="Title 2 2 2 2 2 2 6 2 2 2 2 58" xfId="44875"/>
    <cellStyle name="Title 2 2 2 2 2 2 6 2 2 2 2 59" xfId="44876"/>
    <cellStyle name="Title 2 2 2 2 2 2 6 2 2 2 2 6" xfId="44877"/>
    <cellStyle name="Title 2 2 2 2 2 2 6 2 2 2 2 60" xfId="44878"/>
    <cellStyle name="Title 2 2 2 2 2 2 6 2 2 2 2 61" xfId="44879"/>
    <cellStyle name="Title 2 2 2 2 2 2 6 2 2 2 2 62" xfId="44880"/>
    <cellStyle name="Title 2 2 2 2 2 2 6 2 2 2 2 63" xfId="44881"/>
    <cellStyle name="Title 2 2 2 2 2 2 6 2 2 2 2 64" xfId="44882"/>
    <cellStyle name="Title 2 2 2 2 2 2 6 2 2 2 2 65" xfId="44883"/>
    <cellStyle name="Title 2 2 2 2 2 2 6 2 2 2 2 66" xfId="44884"/>
    <cellStyle name="Title 2 2 2 2 2 2 6 2 2 2 2 67" xfId="44885"/>
    <cellStyle name="Title 2 2 2 2 2 2 6 2 2 2 2 68" xfId="44886"/>
    <cellStyle name="Title 2 2 2 2 2 2 6 2 2 2 2 69" xfId="44887"/>
    <cellStyle name="Title 2 2 2 2 2 2 6 2 2 2 2 7" xfId="44888"/>
    <cellStyle name="Title 2 2 2 2 2 2 6 2 2 2 2 70" xfId="44889"/>
    <cellStyle name="Title 2 2 2 2 2 2 6 2 2 2 2 71" xfId="44890"/>
    <cellStyle name="Title 2 2 2 2 2 2 6 2 2 2 2 72" xfId="44891"/>
    <cellStyle name="Title 2 2 2 2 2 2 6 2 2 2 2 73" xfId="44892"/>
    <cellStyle name="Title 2 2 2 2 2 2 6 2 2 2 2 74" xfId="44893"/>
    <cellStyle name="Title 2 2 2 2 2 2 6 2 2 2 2 8" xfId="44894"/>
    <cellStyle name="Title 2 2 2 2 2 2 6 2 2 2 2 9" xfId="44895"/>
    <cellStyle name="Title 2 2 2 2 2 2 6 2 2 2 20" xfId="44896"/>
    <cellStyle name="Title 2 2 2 2 2 2 6 2 2 2 21" xfId="44897"/>
    <cellStyle name="Title 2 2 2 2 2 2 6 2 2 2 22" xfId="44898"/>
    <cellStyle name="Title 2 2 2 2 2 2 6 2 2 2 23" xfId="44899"/>
    <cellStyle name="Title 2 2 2 2 2 2 6 2 2 2 24" xfId="44900"/>
    <cellStyle name="Title 2 2 2 2 2 2 6 2 2 2 25" xfId="44901"/>
    <cellStyle name="Title 2 2 2 2 2 2 6 2 2 2 26" xfId="44902"/>
    <cellStyle name="Title 2 2 2 2 2 2 6 2 2 2 27" xfId="44903"/>
    <cellStyle name="Title 2 2 2 2 2 2 6 2 2 2 28" xfId="44904"/>
    <cellStyle name="Title 2 2 2 2 2 2 6 2 2 2 29" xfId="44905"/>
    <cellStyle name="Title 2 2 2 2 2 2 6 2 2 2 3" xfId="44906"/>
    <cellStyle name="Title 2 2 2 2 2 2 6 2 2 2 3 2" xfId="44907"/>
    <cellStyle name="Title 2 2 2 2 2 2 6 2 2 2 30" xfId="44908"/>
    <cellStyle name="Title 2 2 2 2 2 2 6 2 2 2 31" xfId="44909"/>
    <cellStyle name="Title 2 2 2 2 2 2 6 2 2 2 32" xfId="44910"/>
    <cellStyle name="Title 2 2 2 2 2 2 6 2 2 2 33" xfId="44911"/>
    <cellStyle name="Title 2 2 2 2 2 2 6 2 2 2 34" xfId="44912"/>
    <cellStyle name="Title 2 2 2 2 2 2 6 2 2 2 35" xfId="44913"/>
    <cellStyle name="Title 2 2 2 2 2 2 6 2 2 2 36" xfId="44914"/>
    <cellStyle name="Title 2 2 2 2 2 2 6 2 2 2 37" xfId="44915"/>
    <cellStyle name="Title 2 2 2 2 2 2 6 2 2 2 38" xfId="44916"/>
    <cellStyle name="Title 2 2 2 2 2 2 6 2 2 2 39" xfId="44917"/>
    <cellStyle name="Title 2 2 2 2 2 2 6 2 2 2 4" xfId="44918"/>
    <cellStyle name="Title 2 2 2 2 2 2 6 2 2 2 40" xfId="44919"/>
    <cellStyle name="Title 2 2 2 2 2 2 6 2 2 2 41" xfId="44920"/>
    <cellStyle name="Title 2 2 2 2 2 2 6 2 2 2 42" xfId="44921"/>
    <cellStyle name="Title 2 2 2 2 2 2 6 2 2 2 43" xfId="44922"/>
    <cellStyle name="Title 2 2 2 2 2 2 6 2 2 2 44" xfId="44923"/>
    <cellStyle name="Title 2 2 2 2 2 2 6 2 2 2 45" xfId="44924"/>
    <cellStyle name="Title 2 2 2 2 2 2 6 2 2 2 46" xfId="44925"/>
    <cellStyle name="Title 2 2 2 2 2 2 6 2 2 2 47" xfId="44926"/>
    <cellStyle name="Title 2 2 2 2 2 2 6 2 2 2 48" xfId="44927"/>
    <cellStyle name="Title 2 2 2 2 2 2 6 2 2 2 49" xfId="44928"/>
    <cellStyle name="Title 2 2 2 2 2 2 6 2 2 2 5" xfId="44929"/>
    <cellStyle name="Title 2 2 2 2 2 2 6 2 2 2 50" xfId="44930"/>
    <cellStyle name="Title 2 2 2 2 2 2 6 2 2 2 51" xfId="44931"/>
    <cellStyle name="Title 2 2 2 2 2 2 6 2 2 2 52" xfId="44932"/>
    <cellStyle name="Title 2 2 2 2 2 2 6 2 2 2 53" xfId="44933"/>
    <cellStyle name="Title 2 2 2 2 2 2 6 2 2 2 54" xfId="44934"/>
    <cellStyle name="Title 2 2 2 2 2 2 6 2 2 2 55" xfId="44935"/>
    <cellStyle name="Title 2 2 2 2 2 2 6 2 2 2 56" xfId="44936"/>
    <cellStyle name="Title 2 2 2 2 2 2 6 2 2 2 57" xfId="44937"/>
    <cellStyle name="Title 2 2 2 2 2 2 6 2 2 2 58" xfId="44938"/>
    <cellStyle name="Title 2 2 2 2 2 2 6 2 2 2 59" xfId="44939"/>
    <cellStyle name="Title 2 2 2 2 2 2 6 2 2 2 6" xfId="44940"/>
    <cellStyle name="Title 2 2 2 2 2 2 6 2 2 2 60" xfId="44941"/>
    <cellStyle name="Title 2 2 2 2 2 2 6 2 2 2 61" xfId="44942"/>
    <cellStyle name="Title 2 2 2 2 2 2 6 2 2 2 62" xfId="44943"/>
    <cellStyle name="Title 2 2 2 2 2 2 6 2 2 2 63" xfId="44944"/>
    <cellStyle name="Title 2 2 2 2 2 2 6 2 2 2 64" xfId="44945"/>
    <cellStyle name="Title 2 2 2 2 2 2 6 2 2 2 65" xfId="44946"/>
    <cellStyle name="Title 2 2 2 2 2 2 6 2 2 2 66" xfId="44947"/>
    <cellStyle name="Title 2 2 2 2 2 2 6 2 2 2 67" xfId="44948"/>
    <cellStyle name="Title 2 2 2 2 2 2 6 2 2 2 68" xfId="44949"/>
    <cellStyle name="Title 2 2 2 2 2 2 6 2 2 2 69" xfId="44950"/>
    <cellStyle name="Title 2 2 2 2 2 2 6 2 2 2 7" xfId="44951"/>
    <cellStyle name="Title 2 2 2 2 2 2 6 2 2 2 70" xfId="44952"/>
    <cellStyle name="Title 2 2 2 2 2 2 6 2 2 2 71" xfId="44953"/>
    <cellStyle name="Title 2 2 2 2 2 2 6 2 2 2 72" xfId="44954"/>
    <cellStyle name="Title 2 2 2 2 2 2 6 2 2 2 73" xfId="44955"/>
    <cellStyle name="Title 2 2 2 2 2 2 6 2 2 2 74" xfId="44956"/>
    <cellStyle name="Title 2 2 2 2 2 2 6 2 2 2 8" xfId="44957"/>
    <cellStyle name="Title 2 2 2 2 2 2 6 2 2 2 9" xfId="44958"/>
    <cellStyle name="Title 2 2 2 2 2 2 6 2 2 20" xfId="44959"/>
    <cellStyle name="Title 2 2 2 2 2 2 6 2 2 21" xfId="44960"/>
    <cellStyle name="Title 2 2 2 2 2 2 6 2 2 22" xfId="44961"/>
    <cellStyle name="Title 2 2 2 2 2 2 6 2 2 23" xfId="44962"/>
    <cellStyle name="Title 2 2 2 2 2 2 6 2 2 24" xfId="44963"/>
    <cellStyle name="Title 2 2 2 2 2 2 6 2 2 25" xfId="44964"/>
    <cellStyle name="Title 2 2 2 2 2 2 6 2 2 26" xfId="44965"/>
    <cellStyle name="Title 2 2 2 2 2 2 6 2 2 27" xfId="44966"/>
    <cellStyle name="Title 2 2 2 2 2 2 6 2 2 28" xfId="44967"/>
    <cellStyle name="Title 2 2 2 2 2 2 6 2 2 29" xfId="44968"/>
    <cellStyle name="Title 2 2 2 2 2 2 6 2 2 3" xfId="44969"/>
    <cellStyle name="Title 2 2 2 2 2 2 6 2 2 3 2" xfId="44970"/>
    <cellStyle name="Title 2 2 2 2 2 2 6 2 2 30" xfId="44971"/>
    <cellStyle name="Title 2 2 2 2 2 2 6 2 2 31" xfId="44972"/>
    <cellStyle name="Title 2 2 2 2 2 2 6 2 2 32" xfId="44973"/>
    <cellStyle name="Title 2 2 2 2 2 2 6 2 2 33" xfId="44974"/>
    <cellStyle name="Title 2 2 2 2 2 2 6 2 2 34" xfId="44975"/>
    <cellStyle name="Title 2 2 2 2 2 2 6 2 2 35" xfId="44976"/>
    <cellStyle name="Title 2 2 2 2 2 2 6 2 2 36" xfId="44977"/>
    <cellStyle name="Title 2 2 2 2 2 2 6 2 2 37" xfId="44978"/>
    <cellStyle name="Title 2 2 2 2 2 2 6 2 2 38" xfId="44979"/>
    <cellStyle name="Title 2 2 2 2 2 2 6 2 2 39" xfId="44980"/>
    <cellStyle name="Title 2 2 2 2 2 2 6 2 2 4" xfId="44981"/>
    <cellStyle name="Title 2 2 2 2 2 2 6 2 2 40" xfId="44982"/>
    <cellStyle name="Title 2 2 2 2 2 2 6 2 2 41" xfId="44983"/>
    <cellStyle name="Title 2 2 2 2 2 2 6 2 2 42" xfId="44984"/>
    <cellStyle name="Title 2 2 2 2 2 2 6 2 2 43" xfId="44985"/>
    <cellStyle name="Title 2 2 2 2 2 2 6 2 2 44" xfId="44986"/>
    <cellStyle name="Title 2 2 2 2 2 2 6 2 2 45" xfId="44987"/>
    <cellStyle name="Title 2 2 2 2 2 2 6 2 2 46" xfId="44988"/>
    <cellStyle name="Title 2 2 2 2 2 2 6 2 2 47" xfId="44989"/>
    <cellStyle name="Title 2 2 2 2 2 2 6 2 2 48" xfId="44990"/>
    <cellStyle name="Title 2 2 2 2 2 2 6 2 2 49" xfId="44991"/>
    <cellStyle name="Title 2 2 2 2 2 2 6 2 2 5" xfId="44992"/>
    <cellStyle name="Title 2 2 2 2 2 2 6 2 2 50" xfId="44993"/>
    <cellStyle name="Title 2 2 2 2 2 2 6 2 2 51" xfId="44994"/>
    <cellStyle name="Title 2 2 2 2 2 2 6 2 2 52" xfId="44995"/>
    <cellStyle name="Title 2 2 2 2 2 2 6 2 2 53" xfId="44996"/>
    <cellStyle name="Title 2 2 2 2 2 2 6 2 2 54" xfId="44997"/>
    <cellStyle name="Title 2 2 2 2 2 2 6 2 2 55" xfId="44998"/>
    <cellStyle name="Title 2 2 2 2 2 2 6 2 2 56" xfId="44999"/>
    <cellStyle name="Title 2 2 2 2 2 2 6 2 2 57" xfId="45000"/>
    <cellStyle name="Title 2 2 2 2 2 2 6 2 2 58" xfId="45001"/>
    <cellStyle name="Title 2 2 2 2 2 2 6 2 2 59" xfId="45002"/>
    <cellStyle name="Title 2 2 2 2 2 2 6 2 2 6" xfId="45003"/>
    <cellStyle name="Title 2 2 2 2 2 2 6 2 2 60" xfId="45004"/>
    <cellStyle name="Title 2 2 2 2 2 2 6 2 2 61" xfId="45005"/>
    <cellStyle name="Title 2 2 2 2 2 2 6 2 2 62" xfId="45006"/>
    <cellStyle name="Title 2 2 2 2 2 2 6 2 2 63" xfId="45007"/>
    <cellStyle name="Title 2 2 2 2 2 2 6 2 2 64" xfId="45008"/>
    <cellStyle name="Title 2 2 2 2 2 2 6 2 2 65" xfId="45009"/>
    <cellStyle name="Title 2 2 2 2 2 2 6 2 2 66" xfId="45010"/>
    <cellStyle name="Title 2 2 2 2 2 2 6 2 2 67" xfId="45011"/>
    <cellStyle name="Title 2 2 2 2 2 2 6 2 2 68" xfId="45012"/>
    <cellStyle name="Title 2 2 2 2 2 2 6 2 2 69" xfId="45013"/>
    <cellStyle name="Title 2 2 2 2 2 2 6 2 2 7" xfId="45014"/>
    <cellStyle name="Title 2 2 2 2 2 2 6 2 2 70" xfId="45015"/>
    <cellStyle name="Title 2 2 2 2 2 2 6 2 2 71" xfId="45016"/>
    <cellStyle name="Title 2 2 2 2 2 2 6 2 2 72" xfId="45017"/>
    <cellStyle name="Title 2 2 2 2 2 2 6 2 2 73" xfId="45018"/>
    <cellStyle name="Title 2 2 2 2 2 2 6 2 2 74" xfId="45019"/>
    <cellStyle name="Title 2 2 2 2 2 2 6 2 2 75" xfId="45020"/>
    <cellStyle name="Title 2 2 2 2 2 2 6 2 2 76" xfId="45021"/>
    <cellStyle name="Title 2 2 2 2 2 2 6 2 2 77" xfId="45022"/>
    <cellStyle name="Title 2 2 2 2 2 2 6 2 2 78" xfId="45023"/>
    <cellStyle name="Title 2 2 2 2 2 2 6 2 2 79" xfId="45024"/>
    <cellStyle name="Title 2 2 2 2 2 2 6 2 2 8" xfId="45025"/>
    <cellStyle name="Title 2 2 2 2 2 2 6 2 2 80" xfId="45026"/>
    <cellStyle name="Title 2 2 2 2 2 2 6 2 2 81" xfId="45027"/>
    <cellStyle name="Title 2 2 2 2 2 2 6 2 2 82" xfId="45028"/>
    <cellStyle name="Title 2 2 2 2 2 2 6 2 2 83" xfId="45029"/>
    <cellStyle name="Title 2 2 2 2 2 2 6 2 2 84" xfId="45030"/>
    <cellStyle name="Title 2 2 2 2 2 2 6 2 2 85" xfId="45031"/>
    <cellStyle name="Title 2 2 2 2 2 2 6 2 2 86" xfId="45032"/>
    <cellStyle name="Title 2 2 2 2 2 2 6 2 2 87" xfId="45033"/>
    <cellStyle name="Title 2 2 2 2 2 2 6 2 2 88" xfId="45034"/>
    <cellStyle name="Title 2 2 2 2 2 2 6 2 2 9" xfId="45035"/>
    <cellStyle name="Title 2 2 2 2 2 2 6 2 20" xfId="45036"/>
    <cellStyle name="Title 2 2 2 2 2 2 6 2 21" xfId="45037"/>
    <cellStyle name="Title 2 2 2 2 2 2 6 2 22" xfId="45038"/>
    <cellStyle name="Title 2 2 2 2 2 2 6 2 23" xfId="45039"/>
    <cellStyle name="Title 2 2 2 2 2 2 6 2 24" xfId="45040"/>
    <cellStyle name="Title 2 2 2 2 2 2 6 2 25" xfId="45041"/>
    <cellStyle name="Title 2 2 2 2 2 2 6 2 26" xfId="45042"/>
    <cellStyle name="Title 2 2 2 2 2 2 6 2 27" xfId="45043"/>
    <cellStyle name="Title 2 2 2 2 2 2 6 2 28" xfId="45044"/>
    <cellStyle name="Title 2 2 2 2 2 2 6 2 29" xfId="45045"/>
    <cellStyle name="Title 2 2 2 2 2 2 6 2 3" xfId="45046"/>
    <cellStyle name="Title 2 2 2 2 2 2 6 2 3 2" xfId="45047"/>
    <cellStyle name="Title 2 2 2 2 2 2 6 2 30" xfId="45048"/>
    <cellStyle name="Title 2 2 2 2 2 2 6 2 31" xfId="45049"/>
    <cellStyle name="Title 2 2 2 2 2 2 6 2 32" xfId="45050"/>
    <cellStyle name="Title 2 2 2 2 2 2 6 2 33" xfId="45051"/>
    <cellStyle name="Title 2 2 2 2 2 2 6 2 34" xfId="45052"/>
    <cellStyle name="Title 2 2 2 2 2 2 6 2 35" xfId="45053"/>
    <cellStyle name="Title 2 2 2 2 2 2 6 2 36" xfId="45054"/>
    <cellStyle name="Title 2 2 2 2 2 2 6 2 37" xfId="45055"/>
    <cellStyle name="Title 2 2 2 2 2 2 6 2 38" xfId="45056"/>
    <cellStyle name="Title 2 2 2 2 2 2 6 2 39" xfId="45057"/>
    <cellStyle name="Title 2 2 2 2 2 2 6 2 4" xfId="45058"/>
    <cellStyle name="Title 2 2 2 2 2 2 6 2 40" xfId="45059"/>
    <cellStyle name="Title 2 2 2 2 2 2 6 2 41" xfId="45060"/>
    <cellStyle name="Title 2 2 2 2 2 2 6 2 42" xfId="45061"/>
    <cellStyle name="Title 2 2 2 2 2 2 6 2 43" xfId="45062"/>
    <cellStyle name="Title 2 2 2 2 2 2 6 2 44" xfId="45063"/>
    <cellStyle name="Title 2 2 2 2 2 2 6 2 45" xfId="45064"/>
    <cellStyle name="Title 2 2 2 2 2 2 6 2 46" xfId="45065"/>
    <cellStyle name="Title 2 2 2 2 2 2 6 2 47" xfId="45066"/>
    <cellStyle name="Title 2 2 2 2 2 2 6 2 48" xfId="45067"/>
    <cellStyle name="Title 2 2 2 2 2 2 6 2 49" xfId="45068"/>
    <cellStyle name="Title 2 2 2 2 2 2 6 2 5" xfId="45069"/>
    <cellStyle name="Title 2 2 2 2 2 2 6 2 50" xfId="45070"/>
    <cellStyle name="Title 2 2 2 2 2 2 6 2 51" xfId="45071"/>
    <cellStyle name="Title 2 2 2 2 2 2 6 2 52" xfId="45072"/>
    <cellStyle name="Title 2 2 2 2 2 2 6 2 53" xfId="45073"/>
    <cellStyle name="Title 2 2 2 2 2 2 6 2 54" xfId="45074"/>
    <cellStyle name="Title 2 2 2 2 2 2 6 2 55" xfId="45075"/>
    <cellStyle name="Title 2 2 2 2 2 2 6 2 56" xfId="45076"/>
    <cellStyle name="Title 2 2 2 2 2 2 6 2 57" xfId="45077"/>
    <cellStyle name="Title 2 2 2 2 2 2 6 2 58" xfId="45078"/>
    <cellStyle name="Title 2 2 2 2 2 2 6 2 59" xfId="45079"/>
    <cellStyle name="Title 2 2 2 2 2 2 6 2 6" xfId="45080"/>
    <cellStyle name="Title 2 2 2 2 2 2 6 2 60" xfId="45081"/>
    <cellStyle name="Title 2 2 2 2 2 2 6 2 61" xfId="45082"/>
    <cellStyle name="Title 2 2 2 2 2 2 6 2 62" xfId="45083"/>
    <cellStyle name="Title 2 2 2 2 2 2 6 2 63" xfId="45084"/>
    <cellStyle name="Title 2 2 2 2 2 2 6 2 64" xfId="45085"/>
    <cellStyle name="Title 2 2 2 2 2 2 6 2 65" xfId="45086"/>
    <cellStyle name="Title 2 2 2 2 2 2 6 2 66" xfId="45087"/>
    <cellStyle name="Title 2 2 2 2 2 2 6 2 67" xfId="45088"/>
    <cellStyle name="Title 2 2 2 2 2 2 6 2 68" xfId="45089"/>
    <cellStyle name="Title 2 2 2 2 2 2 6 2 69" xfId="45090"/>
    <cellStyle name="Title 2 2 2 2 2 2 6 2 7" xfId="45091"/>
    <cellStyle name="Title 2 2 2 2 2 2 6 2 70" xfId="45092"/>
    <cellStyle name="Title 2 2 2 2 2 2 6 2 71" xfId="45093"/>
    <cellStyle name="Title 2 2 2 2 2 2 6 2 72" xfId="45094"/>
    <cellStyle name="Title 2 2 2 2 2 2 6 2 73" xfId="45095"/>
    <cellStyle name="Title 2 2 2 2 2 2 6 2 74" xfId="45096"/>
    <cellStyle name="Title 2 2 2 2 2 2 6 2 75" xfId="45097"/>
    <cellStyle name="Title 2 2 2 2 2 2 6 2 76" xfId="45098"/>
    <cellStyle name="Title 2 2 2 2 2 2 6 2 77" xfId="45099"/>
    <cellStyle name="Title 2 2 2 2 2 2 6 2 78" xfId="45100"/>
    <cellStyle name="Title 2 2 2 2 2 2 6 2 79" xfId="45101"/>
    <cellStyle name="Title 2 2 2 2 2 2 6 2 8" xfId="45102"/>
    <cellStyle name="Title 2 2 2 2 2 2 6 2 80" xfId="45103"/>
    <cellStyle name="Title 2 2 2 2 2 2 6 2 81" xfId="45104"/>
    <cellStyle name="Title 2 2 2 2 2 2 6 2 82" xfId="45105"/>
    <cellStyle name="Title 2 2 2 2 2 2 6 2 83" xfId="45106"/>
    <cellStyle name="Title 2 2 2 2 2 2 6 2 84" xfId="45107"/>
    <cellStyle name="Title 2 2 2 2 2 2 6 2 85" xfId="45108"/>
    <cellStyle name="Title 2 2 2 2 2 2 6 2 86" xfId="45109"/>
    <cellStyle name="Title 2 2 2 2 2 2 6 2 87" xfId="45110"/>
    <cellStyle name="Title 2 2 2 2 2 2 6 2 88" xfId="45111"/>
    <cellStyle name="Title 2 2 2 2 2 2 6 2 9" xfId="45112"/>
    <cellStyle name="Title 2 2 2 2 2 2 6 20" xfId="45113"/>
    <cellStyle name="Title 2 2 2 2 2 2 6 20 2" xfId="45114"/>
    <cellStyle name="Title 2 2 2 2 2 2 6 21" xfId="45115"/>
    <cellStyle name="Title 2 2 2 2 2 2 6 21 2" xfId="45116"/>
    <cellStyle name="Title 2 2 2 2 2 2 6 22" xfId="45117"/>
    <cellStyle name="Title 2 2 2 2 2 2 6 22 2" xfId="45118"/>
    <cellStyle name="Title 2 2 2 2 2 2 6 23" xfId="45119"/>
    <cellStyle name="Title 2 2 2 2 2 2 6 23 2" xfId="45120"/>
    <cellStyle name="Title 2 2 2 2 2 2 6 24" xfId="45121"/>
    <cellStyle name="Title 2 2 2 2 2 2 6 24 2" xfId="45122"/>
    <cellStyle name="Title 2 2 2 2 2 2 6 25" xfId="45123"/>
    <cellStyle name="Title 2 2 2 2 2 2 6 25 2" xfId="45124"/>
    <cellStyle name="Title 2 2 2 2 2 2 6 26" xfId="45125"/>
    <cellStyle name="Title 2 2 2 2 2 2 6 26 2" xfId="45126"/>
    <cellStyle name="Title 2 2 2 2 2 2 6 27" xfId="45127"/>
    <cellStyle name="Title 2 2 2 2 2 2 6 27 2" xfId="45128"/>
    <cellStyle name="Title 2 2 2 2 2 2 6 28" xfId="45129"/>
    <cellStyle name="Title 2 2 2 2 2 2 6 28 2" xfId="45130"/>
    <cellStyle name="Title 2 2 2 2 2 2 6 29" xfId="45131"/>
    <cellStyle name="Title 2 2 2 2 2 2 6 29 2" xfId="45132"/>
    <cellStyle name="Title 2 2 2 2 2 2 6 3" xfId="45133"/>
    <cellStyle name="Title 2 2 2 2 2 2 6 3 2" xfId="45134"/>
    <cellStyle name="Title 2 2 2 2 2 2 6 30" xfId="45135"/>
    <cellStyle name="Title 2 2 2 2 2 2 6 30 2" xfId="45136"/>
    <cellStyle name="Title 2 2 2 2 2 2 6 31" xfId="45137"/>
    <cellStyle name="Title 2 2 2 2 2 2 6 31 2" xfId="45138"/>
    <cellStyle name="Title 2 2 2 2 2 2 6 32" xfId="45139"/>
    <cellStyle name="Title 2 2 2 2 2 2 6 32 2" xfId="45140"/>
    <cellStyle name="Title 2 2 2 2 2 2 6 33" xfId="45141"/>
    <cellStyle name="Title 2 2 2 2 2 2 6 33 2" xfId="45142"/>
    <cellStyle name="Title 2 2 2 2 2 2 6 34" xfId="45143"/>
    <cellStyle name="Title 2 2 2 2 2 2 6 34 2" xfId="45144"/>
    <cellStyle name="Title 2 2 2 2 2 2 6 35" xfId="45145"/>
    <cellStyle name="Title 2 2 2 2 2 2 6 35 2" xfId="45146"/>
    <cellStyle name="Title 2 2 2 2 2 2 6 36" xfId="45147"/>
    <cellStyle name="Title 2 2 2 2 2 2 6 36 2" xfId="45148"/>
    <cellStyle name="Title 2 2 2 2 2 2 6 37" xfId="45149"/>
    <cellStyle name="Title 2 2 2 2 2 2 6 37 2" xfId="45150"/>
    <cellStyle name="Title 2 2 2 2 2 2 6 38" xfId="45151"/>
    <cellStyle name="Title 2 2 2 2 2 2 6 38 2" xfId="45152"/>
    <cellStyle name="Title 2 2 2 2 2 2 6 39" xfId="45153"/>
    <cellStyle name="Title 2 2 2 2 2 2 6 39 2" xfId="45154"/>
    <cellStyle name="Title 2 2 2 2 2 2 6 4" xfId="45155"/>
    <cellStyle name="Title 2 2 2 2 2 2 6 4 2" xfId="45156"/>
    <cellStyle name="Title 2 2 2 2 2 2 6 40" xfId="45157"/>
    <cellStyle name="Title 2 2 2 2 2 2 6 40 2" xfId="45158"/>
    <cellStyle name="Title 2 2 2 2 2 2 6 41" xfId="45159"/>
    <cellStyle name="Title 2 2 2 2 2 2 6 41 2" xfId="45160"/>
    <cellStyle name="Title 2 2 2 2 2 2 6 42" xfId="45161"/>
    <cellStyle name="Title 2 2 2 2 2 2 6 42 2" xfId="45162"/>
    <cellStyle name="Title 2 2 2 2 2 2 6 43" xfId="45163"/>
    <cellStyle name="Title 2 2 2 2 2 2 6 43 2" xfId="45164"/>
    <cellStyle name="Title 2 2 2 2 2 2 6 44" xfId="45165"/>
    <cellStyle name="Title 2 2 2 2 2 2 6 44 2" xfId="45166"/>
    <cellStyle name="Title 2 2 2 2 2 2 6 45" xfId="45167"/>
    <cellStyle name="Title 2 2 2 2 2 2 6 46" xfId="45168"/>
    <cellStyle name="Title 2 2 2 2 2 2 6 47" xfId="45169"/>
    <cellStyle name="Title 2 2 2 2 2 2 6 48" xfId="45170"/>
    <cellStyle name="Title 2 2 2 2 2 2 6 49" xfId="45171"/>
    <cellStyle name="Title 2 2 2 2 2 2 6 5" xfId="45172"/>
    <cellStyle name="Title 2 2 2 2 2 2 6 5 2" xfId="45173"/>
    <cellStyle name="Title 2 2 2 2 2 2 6 50" xfId="45174"/>
    <cellStyle name="Title 2 2 2 2 2 2 6 51" xfId="45175"/>
    <cellStyle name="Title 2 2 2 2 2 2 6 52" xfId="45176"/>
    <cellStyle name="Title 2 2 2 2 2 2 6 53" xfId="45177"/>
    <cellStyle name="Title 2 2 2 2 2 2 6 54" xfId="45178"/>
    <cellStyle name="Title 2 2 2 2 2 2 6 55" xfId="45179"/>
    <cellStyle name="Title 2 2 2 2 2 2 6 56" xfId="45180"/>
    <cellStyle name="Title 2 2 2 2 2 2 6 57" xfId="45181"/>
    <cellStyle name="Title 2 2 2 2 2 2 6 58" xfId="45182"/>
    <cellStyle name="Title 2 2 2 2 2 2 6 59" xfId="45183"/>
    <cellStyle name="Title 2 2 2 2 2 2 6 6" xfId="45184"/>
    <cellStyle name="Title 2 2 2 2 2 2 6 6 2" xfId="45185"/>
    <cellStyle name="Title 2 2 2 2 2 2 6 60" xfId="45186"/>
    <cellStyle name="Title 2 2 2 2 2 2 6 61" xfId="45187"/>
    <cellStyle name="Title 2 2 2 2 2 2 6 62" xfId="45188"/>
    <cellStyle name="Title 2 2 2 2 2 2 6 63" xfId="45189"/>
    <cellStyle name="Title 2 2 2 2 2 2 6 64" xfId="45190"/>
    <cellStyle name="Title 2 2 2 2 2 2 6 65" xfId="45191"/>
    <cellStyle name="Title 2 2 2 2 2 2 6 66" xfId="45192"/>
    <cellStyle name="Title 2 2 2 2 2 2 6 67" xfId="45193"/>
    <cellStyle name="Title 2 2 2 2 2 2 6 68" xfId="45194"/>
    <cellStyle name="Title 2 2 2 2 2 2 6 69" xfId="45195"/>
    <cellStyle name="Title 2 2 2 2 2 2 6 7" xfId="45196"/>
    <cellStyle name="Title 2 2 2 2 2 2 6 7 2" xfId="45197"/>
    <cellStyle name="Title 2 2 2 2 2 2 6 70" xfId="45198"/>
    <cellStyle name="Title 2 2 2 2 2 2 6 71" xfId="45199"/>
    <cellStyle name="Title 2 2 2 2 2 2 6 72" xfId="45200"/>
    <cellStyle name="Title 2 2 2 2 2 2 6 73" xfId="45201"/>
    <cellStyle name="Title 2 2 2 2 2 2 6 74" xfId="45202"/>
    <cellStyle name="Title 2 2 2 2 2 2 6 75" xfId="45203"/>
    <cellStyle name="Title 2 2 2 2 2 2 6 76" xfId="45204"/>
    <cellStyle name="Title 2 2 2 2 2 2 6 77" xfId="45205"/>
    <cellStyle name="Title 2 2 2 2 2 2 6 78" xfId="45206"/>
    <cellStyle name="Title 2 2 2 2 2 2 6 79" xfId="45207"/>
    <cellStyle name="Title 2 2 2 2 2 2 6 8" xfId="45208"/>
    <cellStyle name="Title 2 2 2 2 2 2 6 8 2" xfId="45209"/>
    <cellStyle name="Title 2 2 2 2 2 2 6 80" xfId="45210"/>
    <cellStyle name="Title 2 2 2 2 2 2 6 81" xfId="45211"/>
    <cellStyle name="Title 2 2 2 2 2 2 6 82" xfId="45212"/>
    <cellStyle name="Title 2 2 2 2 2 2 6 83" xfId="45213"/>
    <cellStyle name="Title 2 2 2 2 2 2 6 84" xfId="45214"/>
    <cellStyle name="Title 2 2 2 2 2 2 6 85" xfId="45215"/>
    <cellStyle name="Title 2 2 2 2 2 2 6 86" xfId="45216"/>
    <cellStyle name="Title 2 2 2 2 2 2 6 87" xfId="45217"/>
    <cellStyle name="Title 2 2 2 2 2 2 6 88" xfId="45218"/>
    <cellStyle name="Title 2 2 2 2 2 2 6 89" xfId="45219"/>
    <cellStyle name="Title 2 2 2 2 2 2 6 9" xfId="45220"/>
    <cellStyle name="Title 2 2 2 2 2 2 6 9 2" xfId="45221"/>
    <cellStyle name="Title 2 2 2 2 2 2 6 90" xfId="45222"/>
    <cellStyle name="Title 2 2 2 2 2 2 6 91" xfId="45223"/>
    <cellStyle name="Title 2 2 2 2 2 2 6 92" xfId="45224"/>
    <cellStyle name="Title 2 2 2 2 2 2 6 93" xfId="45225"/>
    <cellStyle name="Title 2 2 2 2 2 2 6 94" xfId="45226"/>
    <cellStyle name="Title 2 2 2 2 2 2 6 95" xfId="45227"/>
    <cellStyle name="Title 2 2 2 2 2 2 6 96" xfId="45228"/>
    <cellStyle name="Title 2 2 2 2 2 2 6 97" xfId="45229"/>
    <cellStyle name="Title 2 2 2 2 2 2 6 98" xfId="45230"/>
    <cellStyle name="Title 2 2 2 2 2 2 6 99" xfId="45231"/>
    <cellStyle name="Title 2 2 2 2 2 2 60" xfId="45232"/>
    <cellStyle name="Title 2 2 2 2 2 2 60 2" xfId="45233"/>
    <cellStyle name="Title 2 2 2 2 2 2 61" xfId="45234"/>
    <cellStyle name="Title 2 2 2 2 2 2 61 2" xfId="45235"/>
    <cellStyle name="Title 2 2 2 2 2 2 62" xfId="45236"/>
    <cellStyle name="Title 2 2 2 2 2 2 62 2" xfId="45237"/>
    <cellStyle name="Title 2 2 2 2 2 2 63" xfId="45238"/>
    <cellStyle name="Title 2 2 2 2 2 2 63 2" xfId="45239"/>
    <cellStyle name="Title 2 2 2 2 2 2 64" xfId="45240"/>
    <cellStyle name="Title 2 2 2 2 2 2 64 2" xfId="45241"/>
    <cellStyle name="Title 2 2 2 2 2 2 65" xfId="45242"/>
    <cellStyle name="Title 2 2 2 2 2 2 65 2" xfId="45243"/>
    <cellStyle name="Title 2 2 2 2 2 2 66" xfId="45244"/>
    <cellStyle name="Title 2 2 2 2 2 2 66 2" xfId="45245"/>
    <cellStyle name="Title 2 2 2 2 2 2 67" xfId="45246"/>
    <cellStyle name="Title 2 2 2 2 2 2 67 2" xfId="45247"/>
    <cellStyle name="Title 2 2 2 2 2 2 68" xfId="45248"/>
    <cellStyle name="Title 2 2 2 2 2 2 68 2" xfId="45249"/>
    <cellStyle name="Title 2 2 2 2 2 2 69" xfId="45250"/>
    <cellStyle name="Title 2 2 2 2 2 2 69 2" xfId="45251"/>
    <cellStyle name="Title 2 2 2 2 2 2 7" xfId="45252"/>
    <cellStyle name="Title 2 2 2 2 2 2 7 2" xfId="45253"/>
    <cellStyle name="Title 2 2 2 2 2 2 70" xfId="45254"/>
    <cellStyle name="Title 2 2 2 2 2 2 70 2" xfId="45255"/>
    <cellStyle name="Title 2 2 2 2 2 2 71" xfId="45256"/>
    <cellStyle name="Title 2 2 2 2 2 2 71 2" xfId="45257"/>
    <cellStyle name="Title 2 2 2 2 2 2 72" xfId="45258"/>
    <cellStyle name="Title 2 2 2 2 2 2 72 2" xfId="45259"/>
    <cellStyle name="Title 2 2 2 2 2 2 73" xfId="45260"/>
    <cellStyle name="Title 2 2 2 2 2 2 73 2" xfId="45261"/>
    <cellStyle name="Title 2 2 2 2 2 2 74" xfId="45262"/>
    <cellStyle name="Title 2 2 2 2 2 2 75" xfId="45263"/>
    <cellStyle name="Title 2 2 2 2 2 2 76" xfId="45264"/>
    <cellStyle name="Title 2 2 2 2 2 2 77" xfId="45265"/>
    <cellStyle name="Title 2 2 2 2 2 2 78" xfId="45266"/>
    <cellStyle name="Title 2 2 2 2 2 2 79" xfId="45267"/>
    <cellStyle name="Title 2 2 2 2 2 2 8" xfId="45268"/>
    <cellStyle name="Title 2 2 2 2 2 2 8 2" xfId="45269"/>
    <cellStyle name="Title 2 2 2 2 2 2 80" xfId="45270"/>
    <cellStyle name="Title 2 2 2 2 2 2 81" xfId="45271"/>
    <cellStyle name="Title 2 2 2 2 2 2 82" xfId="45272"/>
    <cellStyle name="Title 2 2 2 2 2 2 83" xfId="45273"/>
    <cellStyle name="Title 2 2 2 2 2 2 84" xfId="45274"/>
    <cellStyle name="Title 2 2 2 2 2 2 85" xfId="45275"/>
    <cellStyle name="Title 2 2 2 2 2 2 86" xfId="45276"/>
    <cellStyle name="Title 2 2 2 2 2 2 87" xfId="45277"/>
    <cellStyle name="Title 2 2 2 2 2 2 88" xfId="45278"/>
    <cellStyle name="Title 2 2 2 2 2 2 89" xfId="45279"/>
    <cellStyle name="Title 2 2 2 2 2 2 9" xfId="45280"/>
    <cellStyle name="Title 2 2 2 2 2 2 9 2" xfId="45281"/>
    <cellStyle name="Title 2 2 2 2 2 2 90" xfId="45282"/>
    <cellStyle name="Title 2 2 2 2 2 2 91" xfId="45283"/>
    <cellStyle name="Title 2 2 2 2 2 2 92" xfId="45284"/>
    <cellStyle name="Title 2 2 2 2 2 2 93" xfId="45285"/>
    <cellStyle name="Title 2 2 2 2 2 2 94" xfId="45286"/>
    <cellStyle name="Title 2 2 2 2 2 2 95" xfId="45287"/>
    <cellStyle name="Title 2 2 2 2 2 2 96" xfId="45288"/>
    <cellStyle name="Title 2 2 2 2 2 2 97" xfId="45289"/>
    <cellStyle name="Title 2 2 2 2 2 2 98" xfId="45290"/>
    <cellStyle name="Title 2 2 2 2 2 2 99" xfId="45291"/>
    <cellStyle name="Title 2 2 2 2 2 20" xfId="45292"/>
    <cellStyle name="Title 2 2 2 2 2 20 2" xfId="45293"/>
    <cellStyle name="Title 2 2 2 2 2 21" xfId="45294"/>
    <cellStyle name="Title 2 2 2 2 2 21 2" xfId="45295"/>
    <cellStyle name="Title 2 2 2 2 2 22" xfId="45296"/>
    <cellStyle name="Title 2 2 2 2 2 22 2" xfId="45297"/>
    <cellStyle name="Title 2 2 2 2 2 23" xfId="45298"/>
    <cellStyle name="Title 2 2 2 2 2 23 2" xfId="45299"/>
    <cellStyle name="Title 2 2 2 2 2 24" xfId="45300"/>
    <cellStyle name="Title 2 2 2 2 2 24 2" xfId="45301"/>
    <cellStyle name="Title 2 2 2 2 2 25" xfId="45302"/>
    <cellStyle name="Title 2 2 2 2 2 25 2" xfId="45303"/>
    <cellStyle name="Title 2 2 2 2 2 26" xfId="45304"/>
    <cellStyle name="Title 2 2 2 2 2 26 2" xfId="45305"/>
    <cellStyle name="Title 2 2 2 2 2 27" xfId="45306"/>
    <cellStyle name="Title 2 2 2 2 2 27 2" xfId="45307"/>
    <cellStyle name="Title 2 2 2 2 2 28" xfId="45308"/>
    <cellStyle name="Title 2 2 2 2 2 28 2" xfId="45309"/>
    <cellStyle name="Title 2 2 2 2 2 29" xfId="45310"/>
    <cellStyle name="Title 2 2 2 2 2 29 2" xfId="45311"/>
    <cellStyle name="Title 2 2 2 2 2 3" xfId="45312"/>
    <cellStyle name="Title 2 2 2 2 2 3 2" xfId="45313"/>
    <cellStyle name="Title 2 2 2 2 2 30" xfId="45314"/>
    <cellStyle name="Title 2 2 2 2 2 30 10" xfId="45315"/>
    <cellStyle name="Title 2 2 2 2 2 30 11" xfId="45316"/>
    <cellStyle name="Title 2 2 2 2 2 30 12" xfId="45317"/>
    <cellStyle name="Title 2 2 2 2 2 30 13" xfId="45318"/>
    <cellStyle name="Title 2 2 2 2 2 30 14" xfId="45319"/>
    <cellStyle name="Title 2 2 2 2 2 30 15" xfId="45320"/>
    <cellStyle name="Title 2 2 2 2 2 30 16" xfId="45321"/>
    <cellStyle name="Title 2 2 2 2 2 30 17" xfId="45322"/>
    <cellStyle name="Title 2 2 2 2 2 30 18" xfId="45323"/>
    <cellStyle name="Title 2 2 2 2 2 30 19" xfId="45324"/>
    <cellStyle name="Title 2 2 2 2 2 30 2" xfId="45325"/>
    <cellStyle name="Title 2 2 2 2 2 30 2 10" xfId="45326"/>
    <cellStyle name="Title 2 2 2 2 2 30 2 11" xfId="45327"/>
    <cellStyle name="Title 2 2 2 2 2 30 2 12" xfId="45328"/>
    <cellStyle name="Title 2 2 2 2 2 30 2 13" xfId="45329"/>
    <cellStyle name="Title 2 2 2 2 2 30 2 14" xfId="45330"/>
    <cellStyle name="Title 2 2 2 2 2 30 2 15" xfId="45331"/>
    <cellStyle name="Title 2 2 2 2 2 30 2 16" xfId="45332"/>
    <cellStyle name="Title 2 2 2 2 2 30 2 17" xfId="45333"/>
    <cellStyle name="Title 2 2 2 2 2 30 2 18" xfId="45334"/>
    <cellStyle name="Title 2 2 2 2 2 30 2 19" xfId="45335"/>
    <cellStyle name="Title 2 2 2 2 2 30 2 2" xfId="45336"/>
    <cellStyle name="Title 2 2 2 2 2 30 2 2 2" xfId="45337"/>
    <cellStyle name="Title 2 2 2 2 2 30 2 20" xfId="45338"/>
    <cellStyle name="Title 2 2 2 2 2 30 2 21" xfId="45339"/>
    <cellStyle name="Title 2 2 2 2 2 30 2 22" xfId="45340"/>
    <cellStyle name="Title 2 2 2 2 2 30 2 23" xfId="45341"/>
    <cellStyle name="Title 2 2 2 2 2 30 2 24" xfId="45342"/>
    <cellStyle name="Title 2 2 2 2 2 30 2 25" xfId="45343"/>
    <cellStyle name="Title 2 2 2 2 2 30 2 26" xfId="45344"/>
    <cellStyle name="Title 2 2 2 2 2 30 2 27" xfId="45345"/>
    <cellStyle name="Title 2 2 2 2 2 30 2 28" xfId="45346"/>
    <cellStyle name="Title 2 2 2 2 2 30 2 29" xfId="45347"/>
    <cellStyle name="Title 2 2 2 2 2 30 2 3" xfId="45348"/>
    <cellStyle name="Title 2 2 2 2 2 30 2 30" xfId="45349"/>
    <cellStyle name="Title 2 2 2 2 2 30 2 31" xfId="45350"/>
    <cellStyle name="Title 2 2 2 2 2 30 2 32" xfId="45351"/>
    <cellStyle name="Title 2 2 2 2 2 30 2 33" xfId="45352"/>
    <cellStyle name="Title 2 2 2 2 2 30 2 34" xfId="45353"/>
    <cellStyle name="Title 2 2 2 2 2 30 2 35" xfId="45354"/>
    <cellStyle name="Title 2 2 2 2 2 30 2 36" xfId="45355"/>
    <cellStyle name="Title 2 2 2 2 2 30 2 37" xfId="45356"/>
    <cellStyle name="Title 2 2 2 2 2 30 2 38" xfId="45357"/>
    <cellStyle name="Title 2 2 2 2 2 30 2 39" xfId="45358"/>
    <cellStyle name="Title 2 2 2 2 2 30 2 4" xfId="45359"/>
    <cellStyle name="Title 2 2 2 2 2 30 2 40" xfId="45360"/>
    <cellStyle name="Title 2 2 2 2 2 30 2 41" xfId="45361"/>
    <cellStyle name="Title 2 2 2 2 2 30 2 42" xfId="45362"/>
    <cellStyle name="Title 2 2 2 2 2 30 2 43" xfId="45363"/>
    <cellStyle name="Title 2 2 2 2 2 30 2 44" xfId="45364"/>
    <cellStyle name="Title 2 2 2 2 2 30 2 45" xfId="45365"/>
    <cellStyle name="Title 2 2 2 2 2 30 2 46" xfId="45366"/>
    <cellStyle name="Title 2 2 2 2 2 30 2 47" xfId="45367"/>
    <cellStyle name="Title 2 2 2 2 2 30 2 48" xfId="45368"/>
    <cellStyle name="Title 2 2 2 2 2 30 2 49" xfId="45369"/>
    <cellStyle name="Title 2 2 2 2 2 30 2 5" xfId="45370"/>
    <cellStyle name="Title 2 2 2 2 2 30 2 50" xfId="45371"/>
    <cellStyle name="Title 2 2 2 2 2 30 2 51" xfId="45372"/>
    <cellStyle name="Title 2 2 2 2 2 30 2 52" xfId="45373"/>
    <cellStyle name="Title 2 2 2 2 2 30 2 53" xfId="45374"/>
    <cellStyle name="Title 2 2 2 2 2 30 2 54" xfId="45375"/>
    <cellStyle name="Title 2 2 2 2 2 30 2 55" xfId="45376"/>
    <cellStyle name="Title 2 2 2 2 2 30 2 56" xfId="45377"/>
    <cellStyle name="Title 2 2 2 2 2 30 2 57" xfId="45378"/>
    <cellStyle name="Title 2 2 2 2 2 30 2 58" xfId="45379"/>
    <cellStyle name="Title 2 2 2 2 2 30 2 59" xfId="45380"/>
    <cellStyle name="Title 2 2 2 2 2 30 2 6" xfId="45381"/>
    <cellStyle name="Title 2 2 2 2 2 30 2 60" xfId="45382"/>
    <cellStyle name="Title 2 2 2 2 2 30 2 61" xfId="45383"/>
    <cellStyle name="Title 2 2 2 2 2 30 2 62" xfId="45384"/>
    <cellStyle name="Title 2 2 2 2 2 30 2 63" xfId="45385"/>
    <cellStyle name="Title 2 2 2 2 2 30 2 64" xfId="45386"/>
    <cellStyle name="Title 2 2 2 2 2 30 2 65" xfId="45387"/>
    <cellStyle name="Title 2 2 2 2 2 30 2 66" xfId="45388"/>
    <cellStyle name="Title 2 2 2 2 2 30 2 67" xfId="45389"/>
    <cellStyle name="Title 2 2 2 2 2 30 2 68" xfId="45390"/>
    <cellStyle name="Title 2 2 2 2 2 30 2 69" xfId="45391"/>
    <cellStyle name="Title 2 2 2 2 2 30 2 7" xfId="45392"/>
    <cellStyle name="Title 2 2 2 2 2 30 2 70" xfId="45393"/>
    <cellStyle name="Title 2 2 2 2 2 30 2 71" xfId="45394"/>
    <cellStyle name="Title 2 2 2 2 2 30 2 72" xfId="45395"/>
    <cellStyle name="Title 2 2 2 2 2 30 2 73" xfId="45396"/>
    <cellStyle name="Title 2 2 2 2 2 30 2 74" xfId="45397"/>
    <cellStyle name="Title 2 2 2 2 2 30 2 8" xfId="45398"/>
    <cellStyle name="Title 2 2 2 2 2 30 2 9" xfId="45399"/>
    <cellStyle name="Title 2 2 2 2 2 30 20" xfId="45400"/>
    <cellStyle name="Title 2 2 2 2 2 30 21" xfId="45401"/>
    <cellStyle name="Title 2 2 2 2 2 30 22" xfId="45402"/>
    <cellStyle name="Title 2 2 2 2 2 30 23" xfId="45403"/>
    <cellStyle name="Title 2 2 2 2 2 30 24" xfId="45404"/>
    <cellStyle name="Title 2 2 2 2 2 30 25" xfId="45405"/>
    <cellStyle name="Title 2 2 2 2 2 30 26" xfId="45406"/>
    <cellStyle name="Title 2 2 2 2 2 30 27" xfId="45407"/>
    <cellStyle name="Title 2 2 2 2 2 30 28" xfId="45408"/>
    <cellStyle name="Title 2 2 2 2 2 30 29" xfId="45409"/>
    <cellStyle name="Title 2 2 2 2 2 30 3" xfId="45410"/>
    <cellStyle name="Title 2 2 2 2 2 30 3 2" xfId="45411"/>
    <cellStyle name="Title 2 2 2 2 2 30 30" xfId="45412"/>
    <cellStyle name="Title 2 2 2 2 2 30 31" xfId="45413"/>
    <cellStyle name="Title 2 2 2 2 2 30 32" xfId="45414"/>
    <cellStyle name="Title 2 2 2 2 2 30 33" xfId="45415"/>
    <cellStyle name="Title 2 2 2 2 2 30 34" xfId="45416"/>
    <cellStyle name="Title 2 2 2 2 2 30 35" xfId="45417"/>
    <cellStyle name="Title 2 2 2 2 2 30 36" xfId="45418"/>
    <cellStyle name="Title 2 2 2 2 2 30 37" xfId="45419"/>
    <cellStyle name="Title 2 2 2 2 2 30 38" xfId="45420"/>
    <cellStyle name="Title 2 2 2 2 2 30 39" xfId="45421"/>
    <cellStyle name="Title 2 2 2 2 2 30 4" xfId="45422"/>
    <cellStyle name="Title 2 2 2 2 2 30 40" xfId="45423"/>
    <cellStyle name="Title 2 2 2 2 2 30 41" xfId="45424"/>
    <cellStyle name="Title 2 2 2 2 2 30 42" xfId="45425"/>
    <cellStyle name="Title 2 2 2 2 2 30 43" xfId="45426"/>
    <cellStyle name="Title 2 2 2 2 2 30 44" xfId="45427"/>
    <cellStyle name="Title 2 2 2 2 2 30 45" xfId="45428"/>
    <cellStyle name="Title 2 2 2 2 2 30 46" xfId="45429"/>
    <cellStyle name="Title 2 2 2 2 2 30 47" xfId="45430"/>
    <cellStyle name="Title 2 2 2 2 2 30 48" xfId="45431"/>
    <cellStyle name="Title 2 2 2 2 2 30 49" xfId="45432"/>
    <cellStyle name="Title 2 2 2 2 2 30 5" xfId="45433"/>
    <cellStyle name="Title 2 2 2 2 2 30 50" xfId="45434"/>
    <cellStyle name="Title 2 2 2 2 2 30 51" xfId="45435"/>
    <cellStyle name="Title 2 2 2 2 2 30 52" xfId="45436"/>
    <cellStyle name="Title 2 2 2 2 2 30 53" xfId="45437"/>
    <cellStyle name="Title 2 2 2 2 2 30 54" xfId="45438"/>
    <cellStyle name="Title 2 2 2 2 2 30 55" xfId="45439"/>
    <cellStyle name="Title 2 2 2 2 2 30 56" xfId="45440"/>
    <cellStyle name="Title 2 2 2 2 2 30 57" xfId="45441"/>
    <cellStyle name="Title 2 2 2 2 2 30 58" xfId="45442"/>
    <cellStyle name="Title 2 2 2 2 2 30 59" xfId="45443"/>
    <cellStyle name="Title 2 2 2 2 2 30 6" xfId="45444"/>
    <cellStyle name="Title 2 2 2 2 2 30 60" xfId="45445"/>
    <cellStyle name="Title 2 2 2 2 2 30 61" xfId="45446"/>
    <cellStyle name="Title 2 2 2 2 2 30 62" xfId="45447"/>
    <cellStyle name="Title 2 2 2 2 2 30 63" xfId="45448"/>
    <cellStyle name="Title 2 2 2 2 2 30 64" xfId="45449"/>
    <cellStyle name="Title 2 2 2 2 2 30 65" xfId="45450"/>
    <cellStyle name="Title 2 2 2 2 2 30 66" xfId="45451"/>
    <cellStyle name="Title 2 2 2 2 2 30 67" xfId="45452"/>
    <cellStyle name="Title 2 2 2 2 2 30 68" xfId="45453"/>
    <cellStyle name="Title 2 2 2 2 2 30 69" xfId="45454"/>
    <cellStyle name="Title 2 2 2 2 2 30 7" xfId="45455"/>
    <cellStyle name="Title 2 2 2 2 2 30 70" xfId="45456"/>
    <cellStyle name="Title 2 2 2 2 2 30 71" xfId="45457"/>
    <cellStyle name="Title 2 2 2 2 2 30 72" xfId="45458"/>
    <cellStyle name="Title 2 2 2 2 2 30 73" xfId="45459"/>
    <cellStyle name="Title 2 2 2 2 2 30 74" xfId="45460"/>
    <cellStyle name="Title 2 2 2 2 2 30 8" xfId="45461"/>
    <cellStyle name="Title 2 2 2 2 2 30 9" xfId="45462"/>
    <cellStyle name="Title 2 2 2 2 2 31" xfId="45463"/>
    <cellStyle name="Title 2 2 2 2 2 31 2" xfId="45464"/>
    <cellStyle name="Title 2 2 2 2 2 32" xfId="45465"/>
    <cellStyle name="Title 2 2 2 2 2 32 2" xfId="45466"/>
    <cellStyle name="Title 2 2 2 2 2 33" xfId="45467"/>
    <cellStyle name="Title 2 2 2 2 2 33 2" xfId="45468"/>
    <cellStyle name="Title 2 2 2 2 2 34" xfId="45469"/>
    <cellStyle name="Title 2 2 2 2 2 34 2" xfId="45470"/>
    <cellStyle name="Title 2 2 2 2 2 35" xfId="45471"/>
    <cellStyle name="Title 2 2 2 2 2 35 2" xfId="45472"/>
    <cellStyle name="Title 2 2 2 2 2 36" xfId="45473"/>
    <cellStyle name="Title 2 2 2 2 2 36 2" xfId="45474"/>
    <cellStyle name="Title 2 2 2 2 2 37" xfId="45475"/>
    <cellStyle name="Title 2 2 2 2 2 37 2" xfId="45476"/>
    <cellStyle name="Title 2 2 2 2 2 38" xfId="45477"/>
    <cellStyle name="Title 2 2 2 2 2 38 2" xfId="45478"/>
    <cellStyle name="Title 2 2 2 2 2 39" xfId="45479"/>
    <cellStyle name="Title 2 2 2 2 2 39 2" xfId="45480"/>
    <cellStyle name="Title 2 2 2 2 2 4" xfId="45481"/>
    <cellStyle name="Title 2 2 2 2 2 4 10" xfId="45482"/>
    <cellStyle name="Title 2 2 2 2 2 4 100" xfId="45483"/>
    <cellStyle name="Title 2 2 2 2 2 4 101" xfId="45484"/>
    <cellStyle name="Title 2 2 2 2 2 4 102" xfId="45485"/>
    <cellStyle name="Title 2 2 2 2 2 4 103" xfId="45486"/>
    <cellStyle name="Title 2 2 2 2 2 4 104" xfId="45487"/>
    <cellStyle name="Title 2 2 2 2 2 4 105" xfId="45488"/>
    <cellStyle name="Title 2 2 2 2 2 4 106" xfId="45489"/>
    <cellStyle name="Title 2 2 2 2 2 4 107" xfId="45490"/>
    <cellStyle name="Title 2 2 2 2 2 4 108" xfId="45491"/>
    <cellStyle name="Title 2 2 2 2 2 4 109" xfId="45492"/>
    <cellStyle name="Title 2 2 2 2 2 4 11" xfId="45493"/>
    <cellStyle name="Title 2 2 2 2 2 4 110" xfId="45494"/>
    <cellStyle name="Title 2 2 2 2 2 4 12" xfId="45495"/>
    <cellStyle name="Title 2 2 2 2 2 4 13" xfId="45496"/>
    <cellStyle name="Title 2 2 2 2 2 4 14" xfId="45497"/>
    <cellStyle name="Title 2 2 2 2 2 4 15" xfId="45498"/>
    <cellStyle name="Title 2 2 2 2 2 4 16" xfId="45499"/>
    <cellStyle name="Title 2 2 2 2 2 4 17" xfId="45500"/>
    <cellStyle name="Title 2 2 2 2 2 4 18" xfId="45501"/>
    <cellStyle name="Title 2 2 2 2 2 4 19" xfId="45502"/>
    <cellStyle name="Title 2 2 2 2 2 4 2" xfId="45503"/>
    <cellStyle name="Title 2 2 2 2 2 4 2 10" xfId="45504"/>
    <cellStyle name="Title 2 2 2 2 2 4 2 11" xfId="45505"/>
    <cellStyle name="Title 2 2 2 2 2 4 2 12" xfId="45506"/>
    <cellStyle name="Title 2 2 2 2 2 4 2 13" xfId="45507"/>
    <cellStyle name="Title 2 2 2 2 2 4 2 13 2" xfId="45508"/>
    <cellStyle name="Title 2 2 2 2 2 4 2 14" xfId="45509"/>
    <cellStyle name="Title 2 2 2 2 2 4 2 15" xfId="45510"/>
    <cellStyle name="Title 2 2 2 2 2 4 2 16" xfId="45511"/>
    <cellStyle name="Title 2 2 2 2 2 4 2 17" xfId="45512"/>
    <cellStyle name="Title 2 2 2 2 2 4 2 18" xfId="45513"/>
    <cellStyle name="Title 2 2 2 2 2 4 2 19" xfId="45514"/>
    <cellStyle name="Title 2 2 2 2 2 4 2 2" xfId="45515"/>
    <cellStyle name="Title 2 2 2 2 2 4 2 2 10" xfId="45516"/>
    <cellStyle name="Title 2 2 2 2 2 4 2 2 11" xfId="45517"/>
    <cellStyle name="Title 2 2 2 2 2 4 2 2 12" xfId="45518"/>
    <cellStyle name="Title 2 2 2 2 2 4 2 2 13" xfId="45519"/>
    <cellStyle name="Title 2 2 2 2 2 4 2 2 14" xfId="45520"/>
    <cellStyle name="Title 2 2 2 2 2 4 2 2 15" xfId="45521"/>
    <cellStyle name="Title 2 2 2 2 2 4 2 2 16" xfId="45522"/>
    <cellStyle name="Title 2 2 2 2 2 4 2 2 17" xfId="45523"/>
    <cellStyle name="Title 2 2 2 2 2 4 2 2 18" xfId="45524"/>
    <cellStyle name="Title 2 2 2 2 2 4 2 2 19" xfId="45525"/>
    <cellStyle name="Title 2 2 2 2 2 4 2 2 2" xfId="45526"/>
    <cellStyle name="Title 2 2 2 2 2 4 2 2 2 10" xfId="45527"/>
    <cellStyle name="Title 2 2 2 2 2 4 2 2 2 11" xfId="45528"/>
    <cellStyle name="Title 2 2 2 2 2 4 2 2 2 12" xfId="45529"/>
    <cellStyle name="Title 2 2 2 2 2 4 2 2 2 13" xfId="45530"/>
    <cellStyle name="Title 2 2 2 2 2 4 2 2 2 14" xfId="45531"/>
    <cellStyle name="Title 2 2 2 2 2 4 2 2 2 15" xfId="45532"/>
    <cellStyle name="Title 2 2 2 2 2 4 2 2 2 16" xfId="45533"/>
    <cellStyle name="Title 2 2 2 2 2 4 2 2 2 17" xfId="45534"/>
    <cellStyle name="Title 2 2 2 2 2 4 2 2 2 18" xfId="45535"/>
    <cellStyle name="Title 2 2 2 2 2 4 2 2 2 19" xfId="45536"/>
    <cellStyle name="Title 2 2 2 2 2 4 2 2 2 2" xfId="45537"/>
    <cellStyle name="Title 2 2 2 2 2 4 2 2 2 2 10" xfId="45538"/>
    <cellStyle name="Title 2 2 2 2 2 4 2 2 2 2 11" xfId="45539"/>
    <cellStyle name="Title 2 2 2 2 2 4 2 2 2 2 12" xfId="45540"/>
    <cellStyle name="Title 2 2 2 2 2 4 2 2 2 2 13" xfId="45541"/>
    <cellStyle name="Title 2 2 2 2 2 4 2 2 2 2 14" xfId="45542"/>
    <cellStyle name="Title 2 2 2 2 2 4 2 2 2 2 15" xfId="45543"/>
    <cellStyle name="Title 2 2 2 2 2 4 2 2 2 2 16" xfId="45544"/>
    <cellStyle name="Title 2 2 2 2 2 4 2 2 2 2 17" xfId="45545"/>
    <cellStyle name="Title 2 2 2 2 2 4 2 2 2 2 18" xfId="45546"/>
    <cellStyle name="Title 2 2 2 2 2 4 2 2 2 2 19" xfId="45547"/>
    <cellStyle name="Title 2 2 2 2 2 4 2 2 2 2 2" xfId="45548"/>
    <cellStyle name="Title 2 2 2 2 2 4 2 2 2 2 2 10" xfId="45549"/>
    <cellStyle name="Title 2 2 2 2 2 4 2 2 2 2 2 11" xfId="45550"/>
    <cellStyle name="Title 2 2 2 2 2 4 2 2 2 2 2 12" xfId="45551"/>
    <cellStyle name="Title 2 2 2 2 2 4 2 2 2 2 2 13" xfId="45552"/>
    <cellStyle name="Title 2 2 2 2 2 4 2 2 2 2 2 14" xfId="45553"/>
    <cellStyle name="Title 2 2 2 2 2 4 2 2 2 2 2 15" xfId="45554"/>
    <cellStyle name="Title 2 2 2 2 2 4 2 2 2 2 2 16" xfId="45555"/>
    <cellStyle name="Title 2 2 2 2 2 4 2 2 2 2 2 17" xfId="45556"/>
    <cellStyle name="Title 2 2 2 2 2 4 2 2 2 2 2 18" xfId="45557"/>
    <cellStyle name="Title 2 2 2 2 2 4 2 2 2 2 2 19" xfId="45558"/>
    <cellStyle name="Title 2 2 2 2 2 4 2 2 2 2 2 2" xfId="45559"/>
    <cellStyle name="Title 2 2 2 2 2 4 2 2 2 2 2 2 2" xfId="45560"/>
    <cellStyle name="Title 2 2 2 2 2 4 2 2 2 2 2 20" xfId="45561"/>
    <cellStyle name="Title 2 2 2 2 2 4 2 2 2 2 2 21" xfId="45562"/>
    <cellStyle name="Title 2 2 2 2 2 4 2 2 2 2 2 22" xfId="45563"/>
    <cellStyle name="Title 2 2 2 2 2 4 2 2 2 2 2 23" xfId="45564"/>
    <cellStyle name="Title 2 2 2 2 2 4 2 2 2 2 2 24" xfId="45565"/>
    <cellStyle name="Title 2 2 2 2 2 4 2 2 2 2 2 25" xfId="45566"/>
    <cellStyle name="Title 2 2 2 2 2 4 2 2 2 2 2 26" xfId="45567"/>
    <cellStyle name="Title 2 2 2 2 2 4 2 2 2 2 2 27" xfId="45568"/>
    <cellStyle name="Title 2 2 2 2 2 4 2 2 2 2 2 28" xfId="45569"/>
    <cellStyle name="Title 2 2 2 2 2 4 2 2 2 2 2 29" xfId="45570"/>
    <cellStyle name="Title 2 2 2 2 2 4 2 2 2 2 2 3" xfId="45571"/>
    <cellStyle name="Title 2 2 2 2 2 4 2 2 2 2 2 30" xfId="45572"/>
    <cellStyle name="Title 2 2 2 2 2 4 2 2 2 2 2 31" xfId="45573"/>
    <cellStyle name="Title 2 2 2 2 2 4 2 2 2 2 2 32" xfId="45574"/>
    <cellStyle name="Title 2 2 2 2 2 4 2 2 2 2 2 33" xfId="45575"/>
    <cellStyle name="Title 2 2 2 2 2 4 2 2 2 2 2 34" xfId="45576"/>
    <cellStyle name="Title 2 2 2 2 2 4 2 2 2 2 2 35" xfId="45577"/>
    <cellStyle name="Title 2 2 2 2 2 4 2 2 2 2 2 36" xfId="45578"/>
    <cellStyle name="Title 2 2 2 2 2 4 2 2 2 2 2 37" xfId="45579"/>
    <cellStyle name="Title 2 2 2 2 2 4 2 2 2 2 2 38" xfId="45580"/>
    <cellStyle name="Title 2 2 2 2 2 4 2 2 2 2 2 39" xfId="45581"/>
    <cellStyle name="Title 2 2 2 2 2 4 2 2 2 2 2 4" xfId="45582"/>
    <cellStyle name="Title 2 2 2 2 2 4 2 2 2 2 2 40" xfId="45583"/>
    <cellStyle name="Title 2 2 2 2 2 4 2 2 2 2 2 41" xfId="45584"/>
    <cellStyle name="Title 2 2 2 2 2 4 2 2 2 2 2 42" xfId="45585"/>
    <cellStyle name="Title 2 2 2 2 2 4 2 2 2 2 2 43" xfId="45586"/>
    <cellStyle name="Title 2 2 2 2 2 4 2 2 2 2 2 44" xfId="45587"/>
    <cellStyle name="Title 2 2 2 2 2 4 2 2 2 2 2 45" xfId="45588"/>
    <cellStyle name="Title 2 2 2 2 2 4 2 2 2 2 2 46" xfId="45589"/>
    <cellStyle name="Title 2 2 2 2 2 4 2 2 2 2 2 47" xfId="45590"/>
    <cellStyle name="Title 2 2 2 2 2 4 2 2 2 2 2 48" xfId="45591"/>
    <cellStyle name="Title 2 2 2 2 2 4 2 2 2 2 2 49" xfId="45592"/>
    <cellStyle name="Title 2 2 2 2 2 4 2 2 2 2 2 5" xfId="45593"/>
    <cellStyle name="Title 2 2 2 2 2 4 2 2 2 2 2 50" xfId="45594"/>
    <cellStyle name="Title 2 2 2 2 2 4 2 2 2 2 2 51" xfId="45595"/>
    <cellStyle name="Title 2 2 2 2 2 4 2 2 2 2 2 52" xfId="45596"/>
    <cellStyle name="Title 2 2 2 2 2 4 2 2 2 2 2 53" xfId="45597"/>
    <cellStyle name="Title 2 2 2 2 2 4 2 2 2 2 2 54" xfId="45598"/>
    <cellStyle name="Title 2 2 2 2 2 4 2 2 2 2 2 55" xfId="45599"/>
    <cellStyle name="Title 2 2 2 2 2 4 2 2 2 2 2 56" xfId="45600"/>
    <cellStyle name="Title 2 2 2 2 2 4 2 2 2 2 2 57" xfId="45601"/>
    <cellStyle name="Title 2 2 2 2 2 4 2 2 2 2 2 58" xfId="45602"/>
    <cellStyle name="Title 2 2 2 2 2 4 2 2 2 2 2 59" xfId="45603"/>
    <cellStyle name="Title 2 2 2 2 2 4 2 2 2 2 2 6" xfId="45604"/>
    <cellStyle name="Title 2 2 2 2 2 4 2 2 2 2 2 60" xfId="45605"/>
    <cellStyle name="Title 2 2 2 2 2 4 2 2 2 2 2 61" xfId="45606"/>
    <cellStyle name="Title 2 2 2 2 2 4 2 2 2 2 2 62" xfId="45607"/>
    <cellStyle name="Title 2 2 2 2 2 4 2 2 2 2 2 63" xfId="45608"/>
    <cellStyle name="Title 2 2 2 2 2 4 2 2 2 2 2 64" xfId="45609"/>
    <cellStyle name="Title 2 2 2 2 2 4 2 2 2 2 2 65" xfId="45610"/>
    <cellStyle name="Title 2 2 2 2 2 4 2 2 2 2 2 66" xfId="45611"/>
    <cellStyle name="Title 2 2 2 2 2 4 2 2 2 2 2 67" xfId="45612"/>
    <cellStyle name="Title 2 2 2 2 2 4 2 2 2 2 2 68" xfId="45613"/>
    <cellStyle name="Title 2 2 2 2 2 4 2 2 2 2 2 69" xfId="45614"/>
    <cellStyle name="Title 2 2 2 2 2 4 2 2 2 2 2 7" xfId="45615"/>
    <cellStyle name="Title 2 2 2 2 2 4 2 2 2 2 2 70" xfId="45616"/>
    <cellStyle name="Title 2 2 2 2 2 4 2 2 2 2 2 71" xfId="45617"/>
    <cellStyle name="Title 2 2 2 2 2 4 2 2 2 2 2 72" xfId="45618"/>
    <cellStyle name="Title 2 2 2 2 2 4 2 2 2 2 2 73" xfId="45619"/>
    <cellStyle name="Title 2 2 2 2 2 4 2 2 2 2 2 74" xfId="45620"/>
    <cellStyle name="Title 2 2 2 2 2 4 2 2 2 2 2 8" xfId="45621"/>
    <cellStyle name="Title 2 2 2 2 2 4 2 2 2 2 2 9" xfId="45622"/>
    <cellStyle name="Title 2 2 2 2 2 4 2 2 2 2 20" xfId="45623"/>
    <cellStyle name="Title 2 2 2 2 2 4 2 2 2 2 21" xfId="45624"/>
    <cellStyle name="Title 2 2 2 2 2 4 2 2 2 2 22" xfId="45625"/>
    <cellStyle name="Title 2 2 2 2 2 4 2 2 2 2 23" xfId="45626"/>
    <cellStyle name="Title 2 2 2 2 2 4 2 2 2 2 24" xfId="45627"/>
    <cellStyle name="Title 2 2 2 2 2 4 2 2 2 2 25" xfId="45628"/>
    <cellStyle name="Title 2 2 2 2 2 4 2 2 2 2 26" xfId="45629"/>
    <cellStyle name="Title 2 2 2 2 2 4 2 2 2 2 27" xfId="45630"/>
    <cellStyle name="Title 2 2 2 2 2 4 2 2 2 2 28" xfId="45631"/>
    <cellStyle name="Title 2 2 2 2 2 4 2 2 2 2 29" xfId="45632"/>
    <cellStyle name="Title 2 2 2 2 2 4 2 2 2 2 3" xfId="45633"/>
    <cellStyle name="Title 2 2 2 2 2 4 2 2 2 2 3 2" xfId="45634"/>
    <cellStyle name="Title 2 2 2 2 2 4 2 2 2 2 30" xfId="45635"/>
    <cellStyle name="Title 2 2 2 2 2 4 2 2 2 2 31" xfId="45636"/>
    <cellStyle name="Title 2 2 2 2 2 4 2 2 2 2 32" xfId="45637"/>
    <cellStyle name="Title 2 2 2 2 2 4 2 2 2 2 33" xfId="45638"/>
    <cellStyle name="Title 2 2 2 2 2 4 2 2 2 2 34" xfId="45639"/>
    <cellStyle name="Title 2 2 2 2 2 4 2 2 2 2 35" xfId="45640"/>
    <cellStyle name="Title 2 2 2 2 2 4 2 2 2 2 36" xfId="45641"/>
    <cellStyle name="Title 2 2 2 2 2 4 2 2 2 2 37" xfId="45642"/>
    <cellStyle name="Title 2 2 2 2 2 4 2 2 2 2 38" xfId="45643"/>
    <cellStyle name="Title 2 2 2 2 2 4 2 2 2 2 39" xfId="45644"/>
    <cellStyle name="Title 2 2 2 2 2 4 2 2 2 2 4" xfId="45645"/>
    <cellStyle name="Title 2 2 2 2 2 4 2 2 2 2 40" xfId="45646"/>
    <cellStyle name="Title 2 2 2 2 2 4 2 2 2 2 41" xfId="45647"/>
    <cellStyle name="Title 2 2 2 2 2 4 2 2 2 2 42" xfId="45648"/>
    <cellStyle name="Title 2 2 2 2 2 4 2 2 2 2 43" xfId="45649"/>
    <cellStyle name="Title 2 2 2 2 2 4 2 2 2 2 44" xfId="45650"/>
    <cellStyle name="Title 2 2 2 2 2 4 2 2 2 2 45" xfId="45651"/>
    <cellStyle name="Title 2 2 2 2 2 4 2 2 2 2 46" xfId="45652"/>
    <cellStyle name="Title 2 2 2 2 2 4 2 2 2 2 47" xfId="45653"/>
    <cellStyle name="Title 2 2 2 2 2 4 2 2 2 2 48" xfId="45654"/>
    <cellStyle name="Title 2 2 2 2 2 4 2 2 2 2 49" xfId="45655"/>
    <cellStyle name="Title 2 2 2 2 2 4 2 2 2 2 5" xfId="45656"/>
    <cellStyle name="Title 2 2 2 2 2 4 2 2 2 2 50" xfId="45657"/>
    <cellStyle name="Title 2 2 2 2 2 4 2 2 2 2 51" xfId="45658"/>
    <cellStyle name="Title 2 2 2 2 2 4 2 2 2 2 52" xfId="45659"/>
    <cellStyle name="Title 2 2 2 2 2 4 2 2 2 2 53" xfId="45660"/>
    <cellStyle name="Title 2 2 2 2 2 4 2 2 2 2 54" xfId="45661"/>
    <cellStyle name="Title 2 2 2 2 2 4 2 2 2 2 55" xfId="45662"/>
    <cellStyle name="Title 2 2 2 2 2 4 2 2 2 2 56" xfId="45663"/>
    <cellStyle name="Title 2 2 2 2 2 4 2 2 2 2 57" xfId="45664"/>
    <cellStyle name="Title 2 2 2 2 2 4 2 2 2 2 58" xfId="45665"/>
    <cellStyle name="Title 2 2 2 2 2 4 2 2 2 2 59" xfId="45666"/>
    <cellStyle name="Title 2 2 2 2 2 4 2 2 2 2 6" xfId="45667"/>
    <cellStyle name="Title 2 2 2 2 2 4 2 2 2 2 60" xfId="45668"/>
    <cellStyle name="Title 2 2 2 2 2 4 2 2 2 2 61" xfId="45669"/>
    <cellStyle name="Title 2 2 2 2 2 4 2 2 2 2 62" xfId="45670"/>
    <cellStyle name="Title 2 2 2 2 2 4 2 2 2 2 63" xfId="45671"/>
    <cellStyle name="Title 2 2 2 2 2 4 2 2 2 2 64" xfId="45672"/>
    <cellStyle name="Title 2 2 2 2 2 4 2 2 2 2 65" xfId="45673"/>
    <cellStyle name="Title 2 2 2 2 2 4 2 2 2 2 66" xfId="45674"/>
    <cellStyle name="Title 2 2 2 2 2 4 2 2 2 2 67" xfId="45675"/>
    <cellStyle name="Title 2 2 2 2 2 4 2 2 2 2 68" xfId="45676"/>
    <cellStyle name="Title 2 2 2 2 2 4 2 2 2 2 69" xfId="45677"/>
    <cellStyle name="Title 2 2 2 2 2 4 2 2 2 2 7" xfId="45678"/>
    <cellStyle name="Title 2 2 2 2 2 4 2 2 2 2 70" xfId="45679"/>
    <cellStyle name="Title 2 2 2 2 2 4 2 2 2 2 71" xfId="45680"/>
    <cellStyle name="Title 2 2 2 2 2 4 2 2 2 2 72" xfId="45681"/>
    <cellStyle name="Title 2 2 2 2 2 4 2 2 2 2 73" xfId="45682"/>
    <cellStyle name="Title 2 2 2 2 2 4 2 2 2 2 74" xfId="45683"/>
    <cellStyle name="Title 2 2 2 2 2 4 2 2 2 2 8" xfId="45684"/>
    <cellStyle name="Title 2 2 2 2 2 4 2 2 2 2 9" xfId="45685"/>
    <cellStyle name="Title 2 2 2 2 2 4 2 2 2 20" xfId="45686"/>
    <cellStyle name="Title 2 2 2 2 2 4 2 2 2 21" xfId="45687"/>
    <cellStyle name="Title 2 2 2 2 2 4 2 2 2 22" xfId="45688"/>
    <cellStyle name="Title 2 2 2 2 2 4 2 2 2 23" xfId="45689"/>
    <cellStyle name="Title 2 2 2 2 2 4 2 2 2 24" xfId="45690"/>
    <cellStyle name="Title 2 2 2 2 2 4 2 2 2 25" xfId="45691"/>
    <cellStyle name="Title 2 2 2 2 2 4 2 2 2 26" xfId="45692"/>
    <cellStyle name="Title 2 2 2 2 2 4 2 2 2 27" xfId="45693"/>
    <cellStyle name="Title 2 2 2 2 2 4 2 2 2 28" xfId="45694"/>
    <cellStyle name="Title 2 2 2 2 2 4 2 2 2 29" xfId="45695"/>
    <cellStyle name="Title 2 2 2 2 2 4 2 2 2 3" xfId="45696"/>
    <cellStyle name="Title 2 2 2 2 2 4 2 2 2 3 2" xfId="45697"/>
    <cellStyle name="Title 2 2 2 2 2 4 2 2 2 30" xfId="45698"/>
    <cellStyle name="Title 2 2 2 2 2 4 2 2 2 31" xfId="45699"/>
    <cellStyle name="Title 2 2 2 2 2 4 2 2 2 32" xfId="45700"/>
    <cellStyle name="Title 2 2 2 2 2 4 2 2 2 33" xfId="45701"/>
    <cellStyle name="Title 2 2 2 2 2 4 2 2 2 34" xfId="45702"/>
    <cellStyle name="Title 2 2 2 2 2 4 2 2 2 35" xfId="45703"/>
    <cellStyle name="Title 2 2 2 2 2 4 2 2 2 36" xfId="45704"/>
    <cellStyle name="Title 2 2 2 2 2 4 2 2 2 37" xfId="45705"/>
    <cellStyle name="Title 2 2 2 2 2 4 2 2 2 38" xfId="45706"/>
    <cellStyle name="Title 2 2 2 2 2 4 2 2 2 39" xfId="45707"/>
    <cellStyle name="Title 2 2 2 2 2 4 2 2 2 4" xfId="45708"/>
    <cellStyle name="Title 2 2 2 2 2 4 2 2 2 40" xfId="45709"/>
    <cellStyle name="Title 2 2 2 2 2 4 2 2 2 41" xfId="45710"/>
    <cellStyle name="Title 2 2 2 2 2 4 2 2 2 42" xfId="45711"/>
    <cellStyle name="Title 2 2 2 2 2 4 2 2 2 43" xfId="45712"/>
    <cellStyle name="Title 2 2 2 2 2 4 2 2 2 44" xfId="45713"/>
    <cellStyle name="Title 2 2 2 2 2 4 2 2 2 45" xfId="45714"/>
    <cellStyle name="Title 2 2 2 2 2 4 2 2 2 46" xfId="45715"/>
    <cellStyle name="Title 2 2 2 2 2 4 2 2 2 47" xfId="45716"/>
    <cellStyle name="Title 2 2 2 2 2 4 2 2 2 48" xfId="45717"/>
    <cellStyle name="Title 2 2 2 2 2 4 2 2 2 49" xfId="45718"/>
    <cellStyle name="Title 2 2 2 2 2 4 2 2 2 5" xfId="45719"/>
    <cellStyle name="Title 2 2 2 2 2 4 2 2 2 50" xfId="45720"/>
    <cellStyle name="Title 2 2 2 2 2 4 2 2 2 51" xfId="45721"/>
    <cellStyle name="Title 2 2 2 2 2 4 2 2 2 52" xfId="45722"/>
    <cellStyle name="Title 2 2 2 2 2 4 2 2 2 53" xfId="45723"/>
    <cellStyle name="Title 2 2 2 2 2 4 2 2 2 54" xfId="45724"/>
    <cellStyle name="Title 2 2 2 2 2 4 2 2 2 55" xfId="45725"/>
    <cellStyle name="Title 2 2 2 2 2 4 2 2 2 56" xfId="45726"/>
    <cellStyle name="Title 2 2 2 2 2 4 2 2 2 57" xfId="45727"/>
    <cellStyle name="Title 2 2 2 2 2 4 2 2 2 58" xfId="45728"/>
    <cellStyle name="Title 2 2 2 2 2 4 2 2 2 59" xfId="45729"/>
    <cellStyle name="Title 2 2 2 2 2 4 2 2 2 6" xfId="45730"/>
    <cellStyle name="Title 2 2 2 2 2 4 2 2 2 60" xfId="45731"/>
    <cellStyle name="Title 2 2 2 2 2 4 2 2 2 61" xfId="45732"/>
    <cellStyle name="Title 2 2 2 2 2 4 2 2 2 62" xfId="45733"/>
    <cellStyle name="Title 2 2 2 2 2 4 2 2 2 63" xfId="45734"/>
    <cellStyle name="Title 2 2 2 2 2 4 2 2 2 64" xfId="45735"/>
    <cellStyle name="Title 2 2 2 2 2 4 2 2 2 65" xfId="45736"/>
    <cellStyle name="Title 2 2 2 2 2 4 2 2 2 66" xfId="45737"/>
    <cellStyle name="Title 2 2 2 2 2 4 2 2 2 67" xfId="45738"/>
    <cellStyle name="Title 2 2 2 2 2 4 2 2 2 68" xfId="45739"/>
    <cellStyle name="Title 2 2 2 2 2 4 2 2 2 69" xfId="45740"/>
    <cellStyle name="Title 2 2 2 2 2 4 2 2 2 7" xfId="45741"/>
    <cellStyle name="Title 2 2 2 2 2 4 2 2 2 70" xfId="45742"/>
    <cellStyle name="Title 2 2 2 2 2 4 2 2 2 71" xfId="45743"/>
    <cellStyle name="Title 2 2 2 2 2 4 2 2 2 72" xfId="45744"/>
    <cellStyle name="Title 2 2 2 2 2 4 2 2 2 73" xfId="45745"/>
    <cellStyle name="Title 2 2 2 2 2 4 2 2 2 74" xfId="45746"/>
    <cellStyle name="Title 2 2 2 2 2 4 2 2 2 75" xfId="45747"/>
    <cellStyle name="Title 2 2 2 2 2 4 2 2 2 76" xfId="45748"/>
    <cellStyle name="Title 2 2 2 2 2 4 2 2 2 77" xfId="45749"/>
    <cellStyle name="Title 2 2 2 2 2 4 2 2 2 78" xfId="45750"/>
    <cellStyle name="Title 2 2 2 2 2 4 2 2 2 79" xfId="45751"/>
    <cellStyle name="Title 2 2 2 2 2 4 2 2 2 8" xfId="45752"/>
    <cellStyle name="Title 2 2 2 2 2 4 2 2 2 80" xfId="45753"/>
    <cellStyle name="Title 2 2 2 2 2 4 2 2 2 81" xfId="45754"/>
    <cellStyle name="Title 2 2 2 2 2 4 2 2 2 82" xfId="45755"/>
    <cellStyle name="Title 2 2 2 2 2 4 2 2 2 83" xfId="45756"/>
    <cellStyle name="Title 2 2 2 2 2 4 2 2 2 84" xfId="45757"/>
    <cellStyle name="Title 2 2 2 2 2 4 2 2 2 85" xfId="45758"/>
    <cellStyle name="Title 2 2 2 2 2 4 2 2 2 86" xfId="45759"/>
    <cellStyle name="Title 2 2 2 2 2 4 2 2 2 87" xfId="45760"/>
    <cellStyle name="Title 2 2 2 2 2 4 2 2 2 88" xfId="45761"/>
    <cellStyle name="Title 2 2 2 2 2 4 2 2 2 9" xfId="45762"/>
    <cellStyle name="Title 2 2 2 2 2 4 2 2 20" xfId="45763"/>
    <cellStyle name="Title 2 2 2 2 2 4 2 2 21" xfId="45764"/>
    <cellStyle name="Title 2 2 2 2 2 4 2 2 22" xfId="45765"/>
    <cellStyle name="Title 2 2 2 2 2 4 2 2 23" xfId="45766"/>
    <cellStyle name="Title 2 2 2 2 2 4 2 2 24" xfId="45767"/>
    <cellStyle name="Title 2 2 2 2 2 4 2 2 25" xfId="45768"/>
    <cellStyle name="Title 2 2 2 2 2 4 2 2 26" xfId="45769"/>
    <cellStyle name="Title 2 2 2 2 2 4 2 2 27" xfId="45770"/>
    <cellStyle name="Title 2 2 2 2 2 4 2 2 28" xfId="45771"/>
    <cellStyle name="Title 2 2 2 2 2 4 2 2 29" xfId="45772"/>
    <cellStyle name="Title 2 2 2 2 2 4 2 2 3" xfId="45773"/>
    <cellStyle name="Title 2 2 2 2 2 4 2 2 3 2" xfId="45774"/>
    <cellStyle name="Title 2 2 2 2 2 4 2 2 30" xfId="45775"/>
    <cellStyle name="Title 2 2 2 2 2 4 2 2 31" xfId="45776"/>
    <cellStyle name="Title 2 2 2 2 2 4 2 2 32" xfId="45777"/>
    <cellStyle name="Title 2 2 2 2 2 4 2 2 33" xfId="45778"/>
    <cellStyle name="Title 2 2 2 2 2 4 2 2 34" xfId="45779"/>
    <cellStyle name="Title 2 2 2 2 2 4 2 2 35" xfId="45780"/>
    <cellStyle name="Title 2 2 2 2 2 4 2 2 36" xfId="45781"/>
    <cellStyle name="Title 2 2 2 2 2 4 2 2 37" xfId="45782"/>
    <cellStyle name="Title 2 2 2 2 2 4 2 2 38" xfId="45783"/>
    <cellStyle name="Title 2 2 2 2 2 4 2 2 39" xfId="45784"/>
    <cellStyle name="Title 2 2 2 2 2 4 2 2 4" xfId="45785"/>
    <cellStyle name="Title 2 2 2 2 2 4 2 2 40" xfId="45786"/>
    <cellStyle name="Title 2 2 2 2 2 4 2 2 41" xfId="45787"/>
    <cellStyle name="Title 2 2 2 2 2 4 2 2 42" xfId="45788"/>
    <cellStyle name="Title 2 2 2 2 2 4 2 2 43" xfId="45789"/>
    <cellStyle name="Title 2 2 2 2 2 4 2 2 44" xfId="45790"/>
    <cellStyle name="Title 2 2 2 2 2 4 2 2 45" xfId="45791"/>
    <cellStyle name="Title 2 2 2 2 2 4 2 2 46" xfId="45792"/>
    <cellStyle name="Title 2 2 2 2 2 4 2 2 47" xfId="45793"/>
    <cellStyle name="Title 2 2 2 2 2 4 2 2 48" xfId="45794"/>
    <cellStyle name="Title 2 2 2 2 2 4 2 2 49" xfId="45795"/>
    <cellStyle name="Title 2 2 2 2 2 4 2 2 5" xfId="45796"/>
    <cellStyle name="Title 2 2 2 2 2 4 2 2 50" xfId="45797"/>
    <cellStyle name="Title 2 2 2 2 2 4 2 2 51" xfId="45798"/>
    <cellStyle name="Title 2 2 2 2 2 4 2 2 52" xfId="45799"/>
    <cellStyle name="Title 2 2 2 2 2 4 2 2 53" xfId="45800"/>
    <cellStyle name="Title 2 2 2 2 2 4 2 2 54" xfId="45801"/>
    <cellStyle name="Title 2 2 2 2 2 4 2 2 55" xfId="45802"/>
    <cellStyle name="Title 2 2 2 2 2 4 2 2 56" xfId="45803"/>
    <cellStyle name="Title 2 2 2 2 2 4 2 2 57" xfId="45804"/>
    <cellStyle name="Title 2 2 2 2 2 4 2 2 58" xfId="45805"/>
    <cellStyle name="Title 2 2 2 2 2 4 2 2 59" xfId="45806"/>
    <cellStyle name="Title 2 2 2 2 2 4 2 2 6" xfId="45807"/>
    <cellStyle name="Title 2 2 2 2 2 4 2 2 60" xfId="45808"/>
    <cellStyle name="Title 2 2 2 2 2 4 2 2 61" xfId="45809"/>
    <cellStyle name="Title 2 2 2 2 2 4 2 2 62" xfId="45810"/>
    <cellStyle name="Title 2 2 2 2 2 4 2 2 63" xfId="45811"/>
    <cellStyle name="Title 2 2 2 2 2 4 2 2 64" xfId="45812"/>
    <cellStyle name="Title 2 2 2 2 2 4 2 2 65" xfId="45813"/>
    <cellStyle name="Title 2 2 2 2 2 4 2 2 66" xfId="45814"/>
    <cellStyle name="Title 2 2 2 2 2 4 2 2 67" xfId="45815"/>
    <cellStyle name="Title 2 2 2 2 2 4 2 2 68" xfId="45816"/>
    <cellStyle name="Title 2 2 2 2 2 4 2 2 69" xfId="45817"/>
    <cellStyle name="Title 2 2 2 2 2 4 2 2 7" xfId="45818"/>
    <cellStyle name="Title 2 2 2 2 2 4 2 2 70" xfId="45819"/>
    <cellStyle name="Title 2 2 2 2 2 4 2 2 71" xfId="45820"/>
    <cellStyle name="Title 2 2 2 2 2 4 2 2 72" xfId="45821"/>
    <cellStyle name="Title 2 2 2 2 2 4 2 2 73" xfId="45822"/>
    <cellStyle name="Title 2 2 2 2 2 4 2 2 74" xfId="45823"/>
    <cellStyle name="Title 2 2 2 2 2 4 2 2 75" xfId="45824"/>
    <cellStyle name="Title 2 2 2 2 2 4 2 2 76" xfId="45825"/>
    <cellStyle name="Title 2 2 2 2 2 4 2 2 77" xfId="45826"/>
    <cellStyle name="Title 2 2 2 2 2 4 2 2 78" xfId="45827"/>
    <cellStyle name="Title 2 2 2 2 2 4 2 2 79" xfId="45828"/>
    <cellStyle name="Title 2 2 2 2 2 4 2 2 8" xfId="45829"/>
    <cellStyle name="Title 2 2 2 2 2 4 2 2 80" xfId="45830"/>
    <cellStyle name="Title 2 2 2 2 2 4 2 2 81" xfId="45831"/>
    <cellStyle name="Title 2 2 2 2 2 4 2 2 82" xfId="45832"/>
    <cellStyle name="Title 2 2 2 2 2 4 2 2 83" xfId="45833"/>
    <cellStyle name="Title 2 2 2 2 2 4 2 2 84" xfId="45834"/>
    <cellStyle name="Title 2 2 2 2 2 4 2 2 85" xfId="45835"/>
    <cellStyle name="Title 2 2 2 2 2 4 2 2 86" xfId="45836"/>
    <cellStyle name="Title 2 2 2 2 2 4 2 2 87" xfId="45837"/>
    <cellStyle name="Title 2 2 2 2 2 4 2 2 88" xfId="45838"/>
    <cellStyle name="Title 2 2 2 2 2 4 2 2 9" xfId="45839"/>
    <cellStyle name="Title 2 2 2 2 2 4 2 20" xfId="45840"/>
    <cellStyle name="Title 2 2 2 2 2 4 2 21" xfId="45841"/>
    <cellStyle name="Title 2 2 2 2 2 4 2 22" xfId="45842"/>
    <cellStyle name="Title 2 2 2 2 2 4 2 23" xfId="45843"/>
    <cellStyle name="Title 2 2 2 2 2 4 2 24" xfId="45844"/>
    <cellStyle name="Title 2 2 2 2 2 4 2 25" xfId="45845"/>
    <cellStyle name="Title 2 2 2 2 2 4 2 26" xfId="45846"/>
    <cellStyle name="Title 2 2 2 2 2 4 2 27" xfId="45847"/>
    <cellStyle name="Title 2 2 2 2 2 4 2 28" xfId="45848"/>
    <cellStyle name="Title 2 2 2 2 2 4 2 29" xfId="45849"/>
    <cellStyle name="Title 2 2 2 2 2 4 2 3" xfId="45850"/>
    <cellStyle name="Title 2 2 2 2 2 4 2 30" xfId="45851"/>
    <cellStyle name="Title 2 2 2 2 2 4 2 31" xfId="45852"/>
    <cellStyle name="Title 2 2 2 2 2 4 2 32" xfId="45853"/>
    <cellStyle name="Title 2 2 2 2 2 4 2 33" xfId="45854"/>
    <cellStyle name="Title 2 2 2 2 2 4 2 34" xfId="45855"/>
    <cellStyle name="Title 2 2 2 2 2 4 2 35" xfId="45856"/>
    <cellStyle name="Title 2 2 2 2 2 4 2 36" xfId="45857"/>
    <cellStyle name="Title 2 2 2 2 2 4 2 37" xfId="45858"/>
    <cellStyle name="Title 2 2 2 2 2 4 2 38" xfId="45859"/>
    <cellStyle name="Title 2 2 2 2 2 4 2 39" xfId="45860"/>
    <cellStyle name="Title 2 2 2 2 2 4 2 4" xfId="45861"/>
    <cellStyle name="Title 2 2 2 2 2 4 2 40" xfId="45862"/>
    <cellStyle name="Title 2 2 2 2 2 4 2 41" xfId="45863"/>
    <cellStyle name="Title 2 2 2 2 2 4 2 42" xfId="45864"/>
    <cellStyle name="Title 2 2 2 2 2 4 2 43" xfId="45865"/>
    <cellStyle name="Title 2 2 2 2 2 4 2 44" xfId="45866"/>
    <cellStyle name="Title 2 2 2 2 2 4 2 45" xfId="45867"/>
    <cellStyle name="Title 2 2 2 2 2 4 2 46" xfId="45868"/>
    <cellStyle name="Title 2 2 2 2 2 4 2 47" xfId="45869"/>
    <cellStyle name="Title 2 2 2 2 2 4 2 48" xfId="45870"/>
    <cellStyle name="Title 2 2 2 2 2 4 2 49" xfId="45871"/>
    <cellStyle name="Title 2 2 2 2 2 4 2 5" xfId="45872"/>
    <cellStyle name="Title 2 2 2 2 2 4 2 50" xfId="45873"/>
    <cellStyle name="Title 2 2 2 2 2 4 2 51" xfId="45874"/>
    <cellStyle name="Title 2 2 2 2 2 4 2 52" xfId="45875"/>
    <cellStyle name="Title 2 2 2 2 2 4 2 53" xfId="45876"/>
    <cellStyle name="Title 2 2 2 2 2 4 2 54" xfId="45877"/>
    <cellStyle name="Title 2 2 2 2 2 4 2 55" xfId="45878"/>
    <cellStyle name="Title 2 2 2 2 2 4 2 56" xfId="45879"/>
    <cellStyle name="Title 2 2 2 2 2 4 2 57" xfId="45880"/>
    <cellStyle name="Title 2 2 2 2 2 4 2 58" xfId="45881"/>
    <cellStyle name="Title 2 2 2 2 2 4 2 59" xfId="45882"/>
    <cellStyle name="Title 2 2 2 2 2 4 2 6" xfId="45883"/>
    <cellStyle name="Title 2 2 2 2 2 4 2 60" xfId="45884"/>
    <cellStyle name="Title 2 2 2 2 2 4 2 61" xfId="45885"/>
    <cellStyle name="Title 2 2 2 2 2 4 2 62" xfId="45886"/>
    <cellStyle name="Title 2 2 2 2 2 4 2 63" xfId="45887"/>
    <cellStyle name="Title 2 2 2 2 2 4 2 64" xfId="45888"/>
    <cellStyle name="Title 2 2 2 2 2 4 2 65" xfId="45889"/>
    <cellStyle name="Title 2 2 2 2 2 4 2 66" xfId="45890"/>
    <cellStyle name="Title 2 2 2 2 2 4 2 67" xfId="45891"/>
    <cellStyle name="Title 2 2 2 2 2 4 2 68" xfId="45892"/>
    <cellStyle name="Title 2 2 2 2 2 4 2 69" xfId="45893"/>
    <cellStyle name="Title 2 2 2 2 2 4 2 7" xfId="45894"/>
    <cellStyle name="Title 2 2 2 2 2 4 2 70" xfId="45895"/>
    <cellStyle name="Title 2 2 2 2 2 4 2 71" xfId="45896"/>
    <cellStyle name="Title 2 2 2 2 2 4 2 72" xfId="45897"/>
    <cellStyle name="Title 2 2 2 2 2 4 2 73" xfId="45898"/>
    <cellStyle name="Title 2 2 2 2 2 4 2 74" xfId="45899"/>
    <cellStyle name="Title 2 2 2 2 2 4 2 75" xfId="45900"/>
    <cellStyle name="Title 2 2 2 2 2 4 2 76" xfId="45901"/>
    <cellStyle name="Title 2 2 2 2 2 4 2 77" xfId="45902"/>
    <cellStyle name="Title 2 2 2 2 2 4 2 78" xfId="45903"/>
    <cellStyle name="Title 2 2 2 2 2 4 2 79" xfId="45904"/>
    <cellStyle name="Title 2 2 2 2 2 4 2 8" xfId="45905"/>
    <cellStyle name="Title 2 2 2 2 2 4 2 80" xfId="45906"/>
    <cellStyle name="Title 2 2 2 2 2 4 2 81" xfId="45907"/>
    <cellStyle name="Title 2 2 2 2 2 4 2 82" xfId="45908"/>
    <cellStyle name="Title 2 2 2 2 2 4 2 83" xfId="45909"/>
    <cellStyle name="Title 2 2 2 2 2 4 2 84" xfId="45910"/>
    <cellStyle name="Title 2 2 2 2 2 4 2 85" xfId="45911"/>
    <cellStyle name="Title 2 2 2 2 2 4 2 86" xfId="45912"/>
    <cellStyle name="Title 2 2 2 2 2 4 2 87" xfId="45913"/>
    <cellStyle name="Title 2 2 2 2 2 4 2 88" xfId="45914"/>
    <cellStyle name="Title 2 2 2 2 2 4 2 89" xfId="45915"/>
    <cellStyle name="Title 2 2 2 2 2 4 2 9" xfId="45916"/>
    <cellStyle name="Title 2 2 2 2 2 4 2 90" xfId="45917"/>
    <cellStyle name="Title 2 2 2 2 2 4 2 91" xfId="45918"/>
    <cellStyle name="Title 2 2 2 2 2 4 2 92" xfId="45919"/>
    <cellStyle name="Title 2 2 2 2 2 4 2 93" xfId="45920"/>
    <cellStyle name="Title 2 2 2 2 2 4 2 94" xfId="45921"/>
    <cellStyle name="Title 2 2 2 2 2 4 2 95" xfId="45922"/>
    <cellStyle name="Title 2 2 2 2 2 4 2 96" xfId="45923"/>
    <cellStyle name="Title 2 2 2 2 2 4 2 97" xfId="45924"/>
    <cellStyle name="Title 2 2 2 2 2 4 2 98" xfId="45925"/>
    <cellStyle name="Title 2 2 2 2 2 4 20" xfId="45926"/>
    <cellStyle name="Title 2 2 2 2 2 4 21" xfId="45927"/>
    <cellStyle name="Title 2 2 2 2 2 4 22" xfId="45928"/>
    <cellStyle name="Title 2 2 2 2 2 4 23" xfId="45929"/>
    <cellStyle name="Title 2 2 2 2 2 4 24" xfId="45930"/>
    <cellStyle name="Title 2 2 2 2 2 4 25" xfId="45931"/>
    <cellStyle name="Title 2 2 2 2 2 4 25 2" xfId="45932"/>
    <cellStyle name="Title 2 2 2 2 2 4 26" xfId="45933"/>
    <cellStyle name="Title 2 2 2 2 2 4 27" xfId="45934"/>
    <cellStyle name="Title 2 2 2 2 2 4 28" xfId="45935"/>
    <cellStyle name="Title 2 2 2 2 2 4 29" xfId="45936"/>
    <cellStyle name="Title 2 2 2 2 2 4 3" xfId="45937"/>
    <cellStyle name="Title 2 2 2 2 2 4 30" xfId="45938"/>
    <cellStyle name="Title 2 2 2 2 2 4 31" xfId="45939"/>
    <cellStyle name="Title 2 2 2 2 2 4 32" xfId="45940"/>
    <cellStyle name="Title 2 2 2 2 2 4 33" xfId="45941"/>
    <cellStyle name="Title 2 2 2 2 2 4 34" xfId="45942"/>
    <cellStyle name="Title 2 2 2 2 2 4 35" xfId="45943"/>
    <cellStyle name="Title 2 2 2 2 2 4 36" xfId="45944"/>
    <cellStyle name="Title 2 2 2 2 2 4 37" xfId="45945"/>
    <cellStyle name="Title 2 2 2 2 2 4 38" xfId="45946"/>
    <cellStyle name="Title 2 2 2 2 2 4 39" xfId="45947"/>
    <cellStyle name="Title 2 2 2 2 2 4 4" xfId="45948"/>
    <cellStyle name="Title 2 2 2 2 2 4 4 10" xfId="45949"/>
    <cellStyle name="Title 2 2 2 2 2 4 4 11" xfId="45950"/>
    <cellStyle name="Title 2 2 2 2 2 4 4 12" xfId="45951"/>
    <cellStyle name="Title 2 2 2 2 2 4 4 13" xfId="45952"/>
    <cellStyle name="Title 2 2 2 2 2 4 4 14" xfId="45953"/>
    <cellStyle name="Title 2 2 2 2 2 4 4 15" xfId="45954"/>
    <cellStyle name="Title 2 2 2 2 2 4 4 16" xfId="45955"/>
    <cellStyle name="Title 2 2 2 2 2 4 4 17" xfId="45956"/>
    <cellStyle name="Title 2 2 2 2 2 4 4 18" xfId="45957"/>
    <cellStyle name="Title 2 2 2 2 2 4 4 19" xfId="45958"/>
    <cellStyle name="Title 2 2 2 2 2 4 4 2" xfId="45959"/>
    <cellStyle name="Title 2 2 2 2 2 4 4 2 10" xfId="45960"/>
    <cellStyle name="Title 2 2 2 2 2 4 4 2 11" xfId="45961"/>
    <cellStyle name="Title 2 2 2 2 2 4 4 2 12" xfId="45962"/>
    <cellStyle name="Title 2 2 2 2 2 4 4 2 13" xfId="45963"/>
    <cellStyle name="Title 2 2 2 2 2 4 4 2 14" xfId="45964"/>
    <cellStyle name="Title 2 2 2 2 2 4 4 2 15" xfId="45965"/>
    <cellStyle name="Title 2 2 2 2 2 4 4 2 16" xfId="45966"/>
    <cellStyle name="Title 2 2 2 2 2 4 4 2 17" xfId="45967"/>
    <cellStyle name="Title 2 2 2 2 2 4 4 2 18" xfId="45968"/>
    <cellStyle name="Title 2 2 2 2 2 4 4 2 19" xfId="45969"/>
    <cellStyle name="Title 2 2 2 2 2 4 4 2 2" xfId="45970"/>
    <cellStyle name="Title 2 2 2 2 2 4 4 2 2 2" xfId="45971"/>
    <cellStyle name="Title 2 2 2 2 2 4 4 2 20" xfId="45972"/>
    <cellStyle name="Title 2 2 2 2 2 4 4 2 21" xfId="45973"/>
    <cellStyle name="Title 2 2 2 2 2 4 4 2 22" xfId="45974"/>
    <cellStyle name="Title 2 2 2 2 2 4 4 2 23" xfId="45975"/>
    <cellStyle name="Title 2 2 2 2 2 4 4 2 24" xfId="45976"/>
    <cellStyle name="Title 2 2 2 2 2 4 4 2 25" xfId="45977"/>
    <cellStyle name="Title 2 2 2 2 2 4 4 2 26" xfId="45978"/>
    <cellStyle name="Title 2 2 2 2 2 4 4 2 27" xfId="45979"/>
    <cellStyle name="Title 2 2 2 2 2 4 4 2 28" xfId="45980"/>
    <cellStyle name="Title 2 2 2 2 2 4 4 2 29" xfId="45981"/>
    <cellStyle name="Title 2 2 2 2 2 4 4 2 3" xfId="45982"/>
    <cellStyle name="Title 2 2 2 2 2 4 4 2 30" xfId="45983"/>
    <cellStyle name="Title 2 2 2 2 2 4 4 2 31" xfId="45984"/>
    <cellStyle name="Title 2 2 2 2 2 4 4 2 32" xfId="45985"/>
    <cellStyle name="Title 2 2 2 2 2 4 4 2 33" xfId="45986"/>
    <cellStyle name="Title 2 2 2 2 2 4 4 2 34" xfId="45987"/>
    <cellStyle name="Title 2 2 2 2 2 4 4 2 35" xfId="45988"/>
    <cellStyle name="Title 2 2 2 2 2 4 4 2 36" xfId="45989"/>
    <cellStyle name="Title 2 2 2 2 2 4 4 2 37" xfId="45990"/>
    <cellStyle name="Title 2 2 2 2 2 4 4 2 38" xfId="45991"/>
    <cellStyle name="Title 2 2 2 2 2 4 4 2 39" xfId="45992"/>
    <cellStyle name="Title 2 2 2 2 2 4 4 2 4" xfId="45993"/>
    <cellStyle name="Title 2 2 2 2 2 4 4 2 40" xfId="45994"/>
    <cellStyle name="Title 2 2 2 2 2 4 4 2 41" xfId="45995"/>
    <cellStyle name="Title 2 2 2 2 2 4 4 2 42" xfId="45996"/>
    <cellStyle name="Title 2 2 2 2 2 4 4 2 43" xfId="45997"/>
    <cellStyle name="Title 2 2 2 2 2 4 4 2 44" xfId="45998"/>
    <cellStyle name="Title 2 2 2 2 2 4 4 2 45" xfId="45999"/>
    <cellStyle name="Title 2 2 2 2 2 4 4 2 46" xfId="46000"/>
    <cellStyle name="Title 2 2 2 2 2 4 4 2 47" xfId="46001"/>
    <cellStyle name="Title 2 2 2 2 2 4 4 2 48" xfId="46002"/>
    <cellStyle name="Title 2 2 2 2 2 4 4 2 49" xfId="46003"/>
    <cellStyle name="Title 2 2 2 2 2 4 4 2 5" xfId="46004"/>
    <cellStyle name="Title 2 2 2 2 2 4 4 2 50" xfId="46005"/>
    <cellStyle name="Title 2 2 2 2 2 4 4 2 51" xfId="46006"/>
    <cellStyle name="Title 2 2 2 2 2 4 4 2 52" xfId="46007"/>
    <cellStyle name="Title 2 2 2 2 2 4 4 2 53" xfId="46008"/>
    <cellStyle name="Title 2 2 2 2 2 4 4 2 54" xfId="46009"/>
    <cellStyle name="Title 2 2 2 2 2 4 4 2 55" xfId="46010"/>
    <cellStyle name="Title 2 2 2 2 2 4 4 2 56" xfId="46011"/>
    <cellStyle name="Title 2 2 2 2 2 4 4 2 57" xfId="46012"/>
    <cellStyle name="Title 2 2 2 2 2 4 4 2 58" xfId="46013"/>
    <cellStyle name="Title 2 2 2 2 2 4 4 2 59" xfId="46014"/>
    <cellStyle name="Title 2 2 2 2 2 4 4 2 6" xfId="46015"/>
    <cellStyle name="Title 2 2 2 2 2 4 4 2 60" xfId="46016"/>
    <cellStyle name="Title 2 2 2 2 2 4 4 2 61" xfId="46017"/>
    <cellStyle name="Title 2 2 2 2 2 4 4 2 62" xfId="46018"/>
    <cellStyle name="Title 2 2 2 2 2 4 4 2 63" xfId="46019"/>
    <cellStyle name="Title 2 2 2 2 2 4 4 2 64" xfId="46020"/>
    <cellStyle name="Title 2 2 2 2 2 4 4 2 65" xfId="46021"/>
    <cellStyle name="Title 2 2 2 2 2 4 4 2 66" xfId="46022"/>
    <cellStyle name="Title 2 2 2 2 2 4 4 2 67" xfId="46023"/>
    <cellStyle name="Title 2 2 2 2 2 4 4 2 68" xfId="46024"/>
    <cellStyle name="Title 2 2 2 2 2 4 4 2 69" xfId="46025"/>
    <cellStyle name="Title 2 2 2 2 2 4 4 2 7" xfId="46026"/>
    <cellStyle name="Title 2 2 2 2 2 4 4 2 70" xfId="46027"/>
    <cellStyle name="Title 2 2 2 2 2 4 4 2 71" xfId="46028"/>
    <cellStyle name="Title 2 2 2 2 2 4 4 2 72" xfId="46029"/>
    <cellStyle name="Title 2 2 2 2 2 4 4 2 73" xfId="46030"/>
    <cellStyle name="Title 2 2 2 2 2 4 4 2 74" xfId="46031"/>
    <cellStyle name="Title 2 2 2 2 2 4 4 2 8" xfId="46032"/>
    <cellStyle name="Title 2 2 2 2 2 4 4 2 9" xfId="46033"/>
    <cellStyle name="Title 2 2 2 2 2 4 4 20" xfId="46034"/>
    <cellStyle name="Title 2 2 2 2 2 4 4 21" xfId="46035"/>
    <cellStyle name="Title 2 2 2 2 2 4 4 22" xfId="46036"/>
    <cellStyle name="Title 2 2 2 2 2 4 4 23" xfId="46037"/>
    <cellStyle name="Title 2 2 2 2 2 4 4 24" xfId="46038"/>
    <cellStyle name="Title 2 2 2 2 2 4 4 25" xfId="46039"/>
    <cellStyle name="Title 2 2 2 2 2 4 4 26" xfId="46040"/>
    <cellStyle name="Title 2 2 2 2 2 4 4 27" xfId="46041"/>
    <cellStyle name="Title 2 2 2 2 2 4 4 28" xfId="46042"/>
    <cellStyle name="Title 2 2 2 2 2 4 4 29" xfId="46043"/>
    <cellStyle name="Title 2 2 2 2 2 4 4 3" xfId="46044"/>
    <cellStyle name="Title 2 2 2 2 2 4 4 3 2" xfId="46045"/>
    <cellStyle name="Title 2 2 2 2 2 4 4 30" xfId="46046"/>
    <cellStyle name="Title 2 2 2 2 2 4 4 31" xfId="46047"/>
    <cellStyle name="Title 2 2 2 2 2 4 4 32" xfId="46048"/>
    <cellStyle name="Title 2 2 2 2 2 4 4 33" xfId="46049"/>
    <cellStyle name="Title 2 2 2 2 2 4 4 34" xfId="46050"/>
    <cellStyle name="Title 2 2 2 2 2 4 4 35" xfId="46051"/>
    <cellStyle name="Title 2 2 2 2 2 4 4 36" xfId="46052"/>
    <cellStyle name="Title 2 2 2 2 2 4 4 37" xfId="46053"/>
    <cellStyle name="Title 2 2 2 2 2 4 4 38" xfId="46054"/>
    <cellStyle name="Title 2 2 2 2 2 4 4 39" xfId="46055"/>
    <cellStyle name="Title 2 2 2 2 2 4 4 4" xfId="46056"/>
    <cellStyle name="Title 2 2 2 2 2 4 4 40" xfId="46057"/>
    <cellStyle name="Title 2 2 2 2 2 4 4 41" xfId="46058"/>
    <cellStyle name="Title 2 2 2 2 2 4 4 42" xfId="46059"/>
    <cellStyle name="Title 2 2 2 2 2 4 4 43" xfId="46060"/>
    <cellStyle name="Title 2 2 2 2 2 4 4 44" xfId="46061"/>
    <cellStyle name="Title 2 2 2 2 2 4 4 45" xfId="46062"/>
    <cellStyle name="Title 2 2 2 2 2 4 4 46" xfId="46063"/>
    <cellStyle name="Title 2 2 2 2 2 4 4 47" xfId="46064"/>
    <cellStyle name="Title 2 2 2 2 2 4 4 48" xfId="46065"/>
    <cellStyle name="Title 2 2 2 2 2 4 4 49" xfId="46066"/>
    <cellStyle name="Title 2 2 2 2 2 4 4 5" xfId="46067"/>
    <cellStyle name="Title 2 2 2 2 2 4 4 50" xfId="46068"/>
    <cellStyle name="Title 2 2 2 2 2 4 4 51" xfId="46069"/>
    <cellStyle name="Title 2 2 2 2 2 4 4 52" xfId="46070"/>
    <cellStyle name="Title 2 2 2 2 2 4 4 53" xfId="46071"/>
    <cellStyle name="Title 2 2 2 2 2 4 4 54" xfId="46072"/>
    <cellStyle name="Title 2 2 2 2 2 4 4 55" xfId="46073"/>
    <cellStyle name="Title 2 2 2 2 2 4 4 56" xfId="46074"/>
    <cellStyle name="Title 2 2 2 2 2 4 4 57" xfId="46075"/>
    <cellStyle name="Title 2 2 2 2 2 4 4 58" xfId="46076"/>
    <cellStyle name="Title 2 2 2 2 2 4 4 59" xfId="46077"/>
    <cellStyle name="Title 2 2 2 2 2 4 4 6" xfId="46078"/>
    <cellStyle name="Title 2 2 2 2 2 4 4 60" xfId="46079"/>
    <cellStyle name="Title 2 2 2 2 2 4 4 61" xfId="46080"/>
    <cellStyle name="Title 2 2 2 2 2 4 4 62" xfId="46081"/>
    <cellStyle name="Title 2 2 2 2 2 4 4 63" xfId="46082"/>
    <cellStyle name="Title 2 2 2 2 2 4 4 64" xfId="46083"/>
    <cellStyle name="Title 2 2 2 2 2 4 4 65" xfId="46084"/>
    <cellStyle name="Title 2 2 2 2 2 4 4 66" xfId="46085"/>
    <cellStyle name="Title 2 2 2 2 2 4 4 67" xfId="46086"/>
    <cellStyle name="Title 2 2 2 2 2 4 4 68" xfId="46087"/>
    <cellStyle name="Title 2 2 2 2 2 4 4 69" xfId="46088"/>
    <cellStyle name="Title 2 2 2 2 2 4 4 7" xfId="46089"/>
    <cellStyle name="Title 2 2 2 2 2 4 4 70" xfId="46090"/>
    <cellStyle name="Title 2 2 2 2 2 4 4 71" xfId="46091"/>
    <cellStyle name="Title 2 2 2 2 2 4 4 72" xfId="46092"/>
    <cellStyle name="Title 2 2 2 2 2 4 4 73" xfId="46093"/>
    <cellStyle name="Title 2 2 2 2 2 4 4 74" xfId="46094"/>
    <cellStyle name="Title 2 2 2 2 2 4 4 8" xfId="46095"/>
    <cellStyle name="Title 2 2 2 2 2 4 4 9" xfId="46096"/>
    <cellStyle name="Title 2 2 2 2 2 4 40" xfId="46097"/>
    <cellStyle name="Title 2 2 2 2 2 4 41" xfId="46098"/>
    <cellStyle name="Title 2 2 2 2 2 4 42" xfId="46099"/>
    <cellStyle name="Title 2 2 2 2 2 4 43" xfId="46100"/>
    <cellStyle name="Title 2 2 2 2 2 4 44" xfId="46101"/>
    <cellStyle name="Title 2 2 2 2 2 4 45" xfId="46102"/>
    <cellStyle name="Title 2 2 2 2 2 4 46" xfId="46103"/>
    <cellStyle name="Title 2 2 2 2 2 4 47" xfId="46104"/>
    <cellStyle name="Title 2 2 2 2 2 4 48" xfId="46105"/>
    <cellStyle name="Title 2 2 2 2 2 4 49" xfId="46106"/>
    <cellStyle name="Title 2 2 2 2 2 4 5" xfId="46107"/>
    <cellStyle name="Title 2 2 2 2 2 4 50" xfId="46108"/>
    <cellStyle name="Title 2 2 2 2 2 4 51" xfId="46109"/>
    <cellStyle name="Title 2 2 2 2 2 4 52" xfId="46110"/>
    <cellStyle name="Title 2 2 2 2 2 4 53" xfId="46111"/>
    <cellStyle name="Title 2 2 2 2 2 4 54" xfId="46112"/>
    <cellStyle name="Title 2 2 2 2 2 4 55" xfId="46113"/>
    <cellStyle name="Title 2 2 2 2 2 4 56" xfId="46114"/>
    <cellStyle name="Title 2 2 2 2 2 4 57" xfId="46115"/>
    <cellStyle name="Title 2 2 2 2 2 4 58" xfId="46116"/>
    <cellStyle name="Title 2 2 2 2 2 4 59" xfId="46117"/>
    <cellStyle name="Title 2 2 2 2 2 4 6" xfId="46118"/>
    <cellStyle name="Title 2 2 2 2 2 4 60" xfId="46119"/>
    <cellStyle name="Title 2 2 2 2 2 4 61" xfId="46120"/>
    <cellStyle name="Title 2 2 2 2 2 4 62" xfId="46121"/>
    <cellStyle name="Title 2 2 2 2 2 4 63" xfId="46122"/>
    <cellStyle name="Title 2 2 2 2 2 4 64" xfId="46123"/>
    <cellStyle name="Title 2 2 2 2 2 4 65" xfId="46124"/>
    <cellStyle name="Title 2 2 2 2 2 4 66" xfId="46125"/>
    <cellStyle name="Title 2 2 2 2 2 4 67" xfId="46126"/>
    <cellStyle name="Title 2 2 2 2 2 4 68" xfId="46127"/>
    <cellStyle name="Title 2 2 2 2 2 4 69" xfId="46128"/>
    <cellStyle name="Title 2 2 2 2 2 4 7" xfId="46129"/>
    <cellStyle name="Title 2 2 2 2 2 4 70" xfId="46130"/>
    <cellStyle name="Title 2 2 2 2 2 4 71" xfId="46131"/>
    <cellStyle name="Title 2 2 2 2 2 4 72" xfId="46132"/>
    <cellStyle name="Title 2 2 2 2 2 4 73" xfId="46133"/>
    <cellStyle name="Title 2 2 2 2 2 4 74" xfId="46134"/>
    <cellStyle name="Title 2 2 2 2 2 4 75" xfId="46135"/>
    <cellStyle name="Title 2 2 2 2 2 4 76" xfId="46136"/>
    <cellStyle name="Title 2 2 2 2 2 4 77" xfId="46137"/>
    <cellStyle name="Title 2 2 2 2 2 4 78" xfId="46138"/>
    <cellStyle name="Title 2 2 2 2 2 4 79" xfId="46139"/>
    <cellStyle name="Title 2 2 2 2 2 4 8" xfId="46140"/>
    <cellStyle name="Title 2 2 2 2 2 4 80" xfId="46141"/>
    <cellStyle name="Title 2 2 2 2 2 4 81" xfId="46142"/>
    <cellStyle name="Title 2 2 2 2 2 4 82" xfId="46143"/>
    <cellStyle name="Title 2 2 2 2 2 4 83" xfId="46144"/>
    <cellStyle name="Title 2 2 2 2 2 4 84" xfId="46145"/>
    <cellStyle name="Title 2 2 2 2 2 4 85" xfId="46146"/>
    <cellStyle name="Title 2 2 2 2 2 4 86" xfId="46147"/>
    <cellStyle name="Title 2 2 2 2 2 4 87" xfId="46148"/>
    <cellStyle name="Title 2 2 2 2 2 4 88" xfId="46149"/>
    <cellStyle name="Title 2 2 2 2 2 4 89" xfId="46150"/>
    <cellStyle name="Title 2 2 2 2 2 4 9" xfId="46151"/>
    <cellStyle name="Title 2 2 2 2 2 4 90" xfId="46152"/>
    <cellStyle name="Title 2 2 2 2 2 4 91" xfId="46153"/>
    <cellStyle name="Title 2 2 2 2 2 4 92" xfId="46154"/>
    <cellStyle name="Title 2 2 2 2 2 4 93" xfId="46155"/>
    <cellStyle name="Title 2 2 2 2 2 4 94" xfId="46156"/>
    <cellStyle name="Title 2 2 2 2 2 4 95" xfId="46157"/>
    <cellStyle name="Title 2 2 2 2 2 4 96" xfId="46158"/>
    <cellStyle name="Title 2 2 2 2 2 4 97" xfId="46159"/>
    <cellStyle name="Title 2 2 2 2 2 4 98" xfId="46160"/>
    <cellStyle name="Title 2 2 2 2 2 4 99" xfId="46161"/>
    <cellStyle name="Title 2 2 2 2 2 40" xfId="46162"/>
    <cellStyle name="Title 2 2 2 2 2 40 2" xfId="46163"/>
    <cellStyle name="Title 2 2 2 2 2 41" xfId="46164"/>
    <cellStyle name="Title 2 2 2 2 2 41 2" xfId="46165"/>
    <cellStyle name="Title 2 2 2 2 2 42" xfId="46166"/>
    <cellStyle name="Title 2 2 2 2 2 42 2" xfId="46167"/>
    <cellStyle name="Title 2 2 2 2 2 43" xfId="46168"/>
    <cellStyle name="Title 2 2 2 2 2 43 2" xfId="46169"/>
    <cellStyle name="Title 2 2 2 2 2 44" xfId="46170"/>
    <cellStyle name="Title 2 2 2 2 2 44 2" xfId="46171"/>
    <cellStyle name="Title 2 2 2 2 2 45" xfId="46172"/>
    <cellStyle name="Title 2 2 2 2 2 45 2" xfId="46173"/>
    <cellStyle name="Title 2 2 2 2 2 46" xfId="46174"/>
    <cellStyle name="Title 2 2 2 2 2 46 2" xfId="46175"/>
    <cellStyle name="Title 2 2 2 2 2 47" xfId="46176"/>
    <cellStyle name="Title 2 2 2 2 2 47 2" xfId="46177"/>
    <cellStyle name="Title 2 2 2 2 2 48" xfId="46178"/>
    <cellStyle name="Title 2 2 2 2 2 48 2" xfId="46179"/>
    <cellStyle name="Title 2 2 2 2 2 49" xfId="46180"/>
    <cellStyle name="Title 2 2 2 2 2 49 2" xfId="46181"/>
    <cellStyle name="Title 2 2 2 2 2 5" xfId="46182"/>
    <cellStyle name="Title 2 2 2 2 2 5 10" xfId="46183"/>
    <cellStyle name="Title 2 2 2 2 2 5 100" xfId="46184"/>
    <cellStyle name="Title 2 2 2 2 2 5 101" xfId="46185"/>
    <cellStyle name="Title 2 2 2 2 2 5 102" xfId="46186"/>
    <cellStyle name="Title 2 2 2 2 2 5 103" xfId="46187"/>
    <cellStyle name="Title 2 2 2 2 2 5 104" xfId="46188"/>
    <cellStyle name="Title 2 2 2 2 2 5 105" xfId="46189"/>
    <cellStyle name="Title 2 2 2 2 2 5 106" xfId="46190"/>
    <cellStyle name="Title 2 2 2 2 2 5 107" xfId="46191"/>
    <cellStyle name="Title 2 2 2 2 2 5 108" xfId="46192"/>
    <cellStyle name="Title 2 2 2 2 2 5 109" xfId="46193"/>
    <cellStyle name="Title 2 2 2 2 2 5 11" xfId="46194"/>
    <cellStyle name="Title 2 2 2 2 2 5 110" xfId="46195"/>
    <cellStyle name="Title 2 2 2 2 2 5 12" xfId="46196"/>
    <cellStyle name="Title 2 2 2 2 2 5 13" xfId="46197"/>
    <cellStyle name="Title 2 2 2 2 2 5 14" xfId="46198"/>
    <cellStyle name="Title 2 2 2 2 2 5 15" xfId="46199"/>
    <cellStyle name="Title 2 2 2 2 2 5 16" xfId="46200"/>
    <cellStyle name="Title 2 2 2 2 2 5 17" xfId="46201"/>
    <cellStyle name="Title 2 2 2 2 2 5 18" xfId="46202"/>
    <cellStyle name="Title 2 2 2 2 2 5 19" xfId="46203"/>
    <cellStyle name="Title 2 2 2 2 2 5 2" xfId="46204"/>
    <cellStyle name="Title 2 2 2 2 2 5 2 10" xfId="46205"/>
    <cellStyle name="Title 2 2 2 2 2 5 2 11" xfId="46206"/>
    <cellStyle name="Title 2 2 2 2 2 5 2 12" xfId="46207"/>
    <cellStyle name="Title 2 2 2 2 2 5 2 13" xfId="46208"/>
    <cellStyle name="Title 2 2 2 2 2 5 2 13 2" xfId="46209"/>
    <cellStyle name="Title 2 2 2 2 2 5 2 14" xfId="46210"/>
    <cellStyle name="Title 2 2 2 2 2 5 2 15" xfId="46211"/>
    <cellStyle name="Title 2 2 2 2 2 5 2 16" xfId="46212"/>
    <cellStyle name="Title 2 2 2 2 2 5 2 17" xfId="46213"/>
    <cellStyle name="Title 2 2 2 2 2 5 2 18" xfId="46214"/>
    <cellStyle name="Title 2 2 2 2 2 5 2 19" xfId="46215"/>
    <cellStyle name="Title 2 2 2 2 2 5 2 2" xfId="46216"/>
    <cellStyle name="Title 2 2 2 2 2 5 2 2 10" xfId="46217"/>
    <cellStyle name="Title 2 2 2 2 2 5 2 2 11" xfId="46218"/>
    <cellStyle name="Title 2 2 2 2 2 5 2 2 12" xfId="46219"/>
    <cellStyle name="Title 2 2 2 2 2 5 2 2 13" xfId="46220"/>
    <cellStyle name="Title 2 2 2 2 2 5 2 2 14" xfId="46221"/>
    <cellStyle name="Title 2 2 2 2 2 5 2 2 15" xfId="46222"/>
    <cellStyle name="Title 2 2 2 2 2 5 2 2 16" xfId="46223"/>
    <cellStyle name="Title 2 2 2 2 2 5 2 2 17" xfId="46224"/>
    <cellStyle name="Title 2 2 2 2 2 5 2 2 18" xfId="46225"/>
    <cellStyle name="Title 2 2 2 2 2 5 2 2 19" xfId="46226"/>
    <cellStyle name="Title 2 2 2 2 2 5 2 2 2" xfId="46227"/>
    <cellStyle name="Title 2 2 2 2 2 5 2 2 2 10" xfId="46228"/>
    <cellStyle name="Title 2 2 2 2 2 5 2 2 2 11" xfId="46229"/>
    <cellStyle name="Title 2 2 2 2 2 5 2 2 2 12" xfId="46230"/>
    <cellStyle name="Title 2 2 2 2 2 5 2 2 2 13" xfId="46231"/>
    <cellStyle name="Title 2 2 2 2 2 5 2 2 2 14" xfId="46232"/>
    <cellStyle name="Title 2 2 2 2 2 5 2 2 2 15" xfId="46233"/>
    <cellStyle name="Title 2 2 2 2 2 5 2 2 2 16" xfId="46234"/>
    <cellStyle name="Title 2 2 2 2 2 5 2 2 2 17" xfId="46235"/>
    <cellStyle name="Title 2 2 2 2 2 5 2 2 2 18" xfId="46236"/>
    <cellStyle name="Title 2 2 2 2 2 5 2 2 2 19" xfId="46237"/>
    <cellStyle name="Title 2 2 2 2 2 5 2 2 2 2" xfId="46238"/>
    <cellStyle name="Title 2 2 2 2 2 5 2 2 2 2 10" xfId="46239"/>
    <cellStyle name="Title 2 2 2 2 2 5 2 2 2 2 11" xfId="46240"/>
    <cellStyle name="Title 2 2 2 2 2 5 2 2 2 2 12" xfId="46241"/>
    <cellStyle name="Title 2 2 2 2 2 5 2 2 2 2 13" xfId="46242"/>
    <cellStyle name="Title 2 2 2 2 2 5 2 2 2 2 14" xfId="46243"/>
    <cellStyle name="Title 2 2 2 2 2 5 2 2 2 2 15" xfId="46244"/>
    <cellStyle name="Title 2 2 2 2 2 5 2 2 2 2 16" xfId="46245"/>
    <cellStyle name="Title 2 2 2 2 2 5 2 2 2 2 17" xfId="46246"/>
    <cellStyle name="Title 2 2 2 2 2 5 2 2 2 2 18" xfId="46247"/>
    <cellStyle name="Title 2 2 2 2 2 5 2 2 2 2 19" xfId="46248"/>
    <cellStyle name="Title 2 2 2 2 2 5 2 2 2 2 2" xfId="46249"/>
    <cellStyle name="Title 2 2 2 2 2 5 2 2 2 2 2 10" xfId="46250"/>
    <cellStyle name="Title 2 2 2 2 2 5 2 2 2 2 2 11" xfId="46251"/>
    <cellStyle name="Title 2 2 2 2 2 5 2 2 2 2 2 12" xfId="46252"/>
    <cellStyle name="Title 2 2 2 2 2 5 2 2 2 2 2 13" xfId="46253"/>
    <cellStyle name="Title 2 2 2 2 2 5 2 2 2 2 2 14" xfId="46254"/>
    <cellStyle name="Title 2 2 2 2 2 5 2 2 2 2 2 15" xfId="46255"/>
    <cellStyle name="Title 2 2 2 2 2 5 2 2 2 2 2 16" xfId="46256"/>
    <cellStyle name="Title 2 2 2 2 2 5 2 2 2 2 2 17" xfId="46257"/>
    <cellStyle name="Title 2 2 2 2 2 5 2 2 2 2 2 18" xfId="46258"/>
    <cellStyle name="Title 2 2 2 2 2 5 2 2 2 2 2 19" xfId="46259"/>
    <cellStyle name="Title 2 2 2 2 2 5 2 2 2 2 2 2" xfId="46260"/>
    <cellStyle name="Title 2 2 2 2 2 5 2 2 2 2 2 2 2" xfId="46261"/>
    <cellStyle name="Title 2 2 2 2 2 5 2 2 2 2 2 20" xfId="46262"/>
    <cellStyle name="Title 2 2 2 2 2 5 2 2 2 2 2 21" xfId="46263"/>
    <cellStyle name="Title 2 2 2 2 2 5 2 2 2 2 2 22" xfId="46264"/>
    <cellStyle name="Title 2 2 2 2 2 5 2 2 2 2 2 23" xfId="46265"/>
    <cellStyle name="Title 2 2 2 2 2 5 2 2 2 2 2 24" xfId="46266"/>
    <cellStyle name="Title 2 2 2 2 2 5 2 2 2 2 2 25" xfId="46267"/>
    <cellStyle name="Title 2 2 2 2 2 5 2 2 2 2 2 26" xfId="46268"/>
    <cellStyle name="Title 2 2 2 2 2 5 2 2 2 2 2 27" xfId="46269"/>
    <cellStyle name="Title 2 2 2 2 2 5 2 2 2 2 2 28" xfId="46270"/>
    <cellStyle name="Title 2 2 2 2 2 5 2 2 2 2 2 29" xfId="46271"/>
    <cellStyle name="Title 2 2 2 2 2 5 2 2 2 2 2 3" xfId="46272"/>
    <cellStyle name="Title 2 2 2 2 2 5 2 2 2 2 2 30" xfId="46273"/>
    <cellStyle name="Title 2 2 2 2 2 5 2 2 2 2 2 31" xfId="46274"/>
    <cellStyle name="Title 2 2 2 2 2 5 2 2 2 2 2 32" xfId="46275"/>
    <cellStyle name="Title 2 2 2 2 2 5 2 2 2 2 2 33" xfId="46276"/>
    <cellStyle name="Title 2 2 2 2 2 5 2 2 2 2 2 34" xfId="46277"/>
    <cellStyle name="Title 2 2 2 2 2 5 2 2 2 2 2 35" xfId="46278"/>
    <cellStyle name="Title 2 2 2 2 2 5 2 2 2 2 2 36" xfId="46279"/>
    <cellStyle name="Title 2 2 2 2 2 5 2 2 2 2 2 37" xfId="46280"/>
    <cellStyle name="Title 2 2 2 2 2 5 2 2 2 2 2 38" xfId="46281"/>
    <cellStyle name="Title 2 2 2 2 2 5 2 2 2 2 2 39" xfId="46282"/>
    <cellStyle name="Title 2 2 2 2 2 5 2 2 2 2 2 4" xfId="46283"/>
    <cellStyle name="Title 2 2 2 2 2 5 2 2 2 2 2 40" xfId="46284"/>
    <cellStyle name="Title 2 2 2 2 2 5 2 2 2 2 2 41" xfId="46285"/>
    <cellStyle name="Title 2 2 2 2 2 5 2 2 2 2 2 42" xfId="46286"/>
    <cellStyle name="Title 2 2 2 2 2 5 2 2 2 2 2 43" xfId="46287"/>
    <cellStyle name="Title 2 2 2 2 2 5 2 2 2 2 2 44" xfId="46288"/>
    <cellStyle name="Title 2 2 2 2 2 5 2 2 2 2 2 45" xfId="46289"/>
    <cellStyle name="Title 2 2 2 2 2 5 2 2 2 2 2 46" xfId="46290"/>
    <cellStyle name="Title 2 2 2 2 2 5 2 2 2 2 2 47" xfId="46291"/>
    <cellStyle name="Title 2 2 2 2 2 5 2 2 2 2 2 48" xfId="46292"/>
    <cellStyle name="Title 2 2 2 2 2 5 2 2 2 2 2 49" xfId="46293"/>
    <cellStyle name="Title 2 2 2 2 2 5 2 2 2 2 2 5" xfId="46294"/>
    <cellStyle name="Title 2 2 2 2 2 5 2 2 2 2 2 50" xfId="46295"/>
    <cellStyle name="Title 2 2 2 2 2 5 2 2 2 2 2 51" xfId="46296"/>
    <cellStyle name="Title 2 2 2 2 2 5 2 2 2 2 2 52" xfId="46297"/>
    <cellStyle name="Title 2 2 2 2 2 5 2 2 2 2 2 53" xfId="46298"/>
    <cellStyle name="Title 2 2 2 2 2 5 2 2 2 2 2 54" xfId="46299"/>
    <cellStyle name="Title 2 2 2 2 2 5 2 2 2 2 2 55" xfId="46300"/>
    <cellStyle name="Title 2 2 2 2 2 5 2 2 2 2 2 56" xfId="46301"/>
    <cellStyle name="Title 2 2 2 2 2 5 2 2 2 2 2 57" xfId="46302"/>
    <cellStyle name="Title 2 2 2 2 2 5 2 2 2 2 2 58" xfId="46303"/>
    <cellStyle name="Title 2 2 2 2 2 5 2 2 2 2 2 59" xfId="46304"/>
    <cellStyle name="Title 2 2 2 2 2 5 2 2 2 2 2 6" xfId="46305"/>
    <cellStyle name="Title 2 2 2 2 2 5 2 2 2 2 2 60" xfId="46306"/>
    <cellStyle name="Title 2 2 2 2 2 5 2 2 2 2 2 61" xfId="46307"/>
    <cellStyle name="Title 2 2 2 2 2 5 2 2 2 2 2 62" xfId="46308"/>
    <cellStyle name="Title 2 2 2 2 2 5 2 2 2 2 2 63" xfId="46309"/>
    <cellStyle name="Title 2 2 2 2 2 5 2 2 2 2 2 64" xfId="46310"/>
    <cellStyle name="Title 2 2 2 2 2 5 2 2 2 2 2 65" xfId="46311"/>
    <cellStyle name="Title 2 2 2 2 2 5 2 2 2 2 2 66" xfId="46312"/>
    <cellStyle name="Title 2 2 2 2 2 5 2 2 2 2 2 67" xfId="46313"/>
    <cellStyle name="Title 2 2 2 2 2 5 2 2 2 2 2 68" xfId="46314"/>
    <cellStyle name="Title 2 2 2 2 2 5 2 2 2 2 2 69" xfId="46315"/>
    <cellStyle name="Title 2 2 2 2 2 5 2 2 2 2 2 7" xfId="46316"/>
    <cellStyle name="Title 2 2 2 2 2 5 2 2 2 2 2 70" xfId="46317"/>
    <cellStyle name="Title 2 2 2 2 2 5 2 2 2 2 2 71" xfId="46318"/>
    <cellStyle name="Title 2 2 2 2 2 5 2 2 2 2 2 72" xfId="46319"/>
    <cellStyle name="Title 2 2 2 2 2 5 2 2 2 2 2 73" xfId="46320"/>
    <cellStyle name="Title 2 2 2 2 2 5 2 2 2 2 2 74" xfId="46321"/>
    <cellStyle name="Title 2 2 2 2 2 5 2 2 2 2 2 8" xfId="46322"/>
    <cellStyle name="Title 2 2 2 2 2 5 2 2 2 2 2 9" xfId="46323"/>
    <cellStyle name="Title 2 2 2 2 2 5 2 2 2 2 20" xfId="46324"/>
    <cellStyle name="Title 2 2 2 2 2 5 2 2 2 2 21" xfId="46325"/>
    <cellStyle name="Title 2 2 2 2 2 5 2 2 2 2 22" xfId="46326"/>
    <cellStyle name="Title 2 2 2 2 2 5 2 2 2 2 23" xfId="46327"/>
    <cellStyle name="Title 2 2 2 2 2 5 2 2 2 2 24" xfId="46328"/>
    <cellStyle name="Title 2 2 2 2 2 5 2 2 2 2 25" xfId="46329"/>
    <cellStyle name="Title 2 2 2 2 2 5 2 2 2 2 26" xfId="46330"/>
    <cellStyle name="Title 2 2 2 2 2 5 2 2 2 2 27" xfId="46331"/>
    <cellStyle name="Title 2 2 2 2 2 5 2 2 2 2 28" xfId="46332"/>
    <cellStyle name="Title 2 2 2 2 2 5 2 2 2 2 29" xfId="46333"/>
    <cellStyle name="Title 2 2 2 2 2 5 2 2 2 2 3" xfId="46334"/>
    <cellStyle name="Title 2 2 2 2 2 5 2 2 2 2 3 2" xfId="46335"/>
    <cellStyle name="Title 2 2 2 2 2 5 2 2 2 2 30" xfId="46336"/>
    <cellStyle name="Title 2 2 2 2 2 5 2 2 2 2 31" xfId="46337"/>
    <cellStyle name="Title 2 2 2 2 2 5 2 2 2 2 32" xfId="46338"/>
    <cellStyle name="Title 2 2 2 2 2 5 2 2 2 2 33" xfId="46339"/>
    <cellStyle name="Title 2 2 2 2 2 5 2 2 2 2 34" xfId="46340"/>
    <cellStyle name="Title 2 2 2 2 2 5 2 2 2 2 35" xfId="46341"/>
    <cellStyle name="Title 2 2 2 2 2 5 2 2 2 2 36" xfId="46342"/>
    <cellStyle name="Title 2 2 2 2 2 5 2 2 2 2 37" xfId="46343"/>
    <cellStyle name="Title 2 2 2 2 2 5 2 2 2 2 38" xfId="46344"/>
    <cellStyle name="Title 2 2 2 2 2 5 2 2 2 2 39" xfId="46345"/>
    <cellStyle name="Title 2 2 2 2 2 5 2 2 2 2 4" xfId="46346"/>
    <cellStyle name="Title 2 2 2 2 2 5 2 2 2 2 40" xfId="46347"/>
    <cellStyle name="Title 2 2 2 2 2 5 2 2 2 2 41" xfId="46348"/>
    <cellStyle name="Title 2 2 2 2 2 5 2 2 2 2 42" xfId="46349"/>
    <cellStyle name="Title 2 2 2 2 2 5 2 2 2 2 43" xfId="46350"/>
    <cellStyle name="Title 2 2 2 2 2 5 2 2 2 2 44" xfId="46351"/>
    <cellStyle name="Title 2 2 2 2 2 5 2 2 2 2 45" xfId="46352"/>
    <cellStyle name="Title 2 2 2 2 2 5 2 2 2 2 46" xfId="46353"/>
    <cellStyle name="Title 2 2 2 2 2 5 2 2 2 2 47" xfId="46354"/>
    <cellStyle name="Title 2 2 2 2 2 5 2 2 2 2 48" xfId="46355"/>
    <cellStyle name="Title 2 2 2 2 2 5 2 2 2 2 49" xfId="46356"/>
    <cellStyle name="Title 2 2 2 2 2 5 2 2 2 2 5" xfId="46357"/>
    <cellStyle name="Title 2 2 2 2 2 5 2 2 2 2 50" xfId="46358"/>
    <cellStyle name="Title 2 2 2 2 2 5 2 2 2 2 51" xfId="46359"/>
    <cellStyle name="Title 2 2 2 2 2 5 2 2 2 2 52" xfId="46360"/>
    <cellStyle name="Title 2 2 2 2 2 5 2 2 2 2 53" xfId="46361"/>
    <cellStyle name="Title 2 2 2 2 2 5 2 2 2 2 54" xfId="46362"/>
    <cellStyle name="Title 2 2 2 2 2 5 2 2 2 2 55" xfId="46363"/>
    <cellStyle name="Title 2 2 2 2 2 5 2 2 2 2 56" xfId="46364"/>
    <cellStyle name="Title 2 2 2 2 2 5 2 2 2 2 57" xfId="46365"/>
    <cellStyle name="Title 2 2 2 2 2 5 2 2 2 2 58" xfId="46366"/>
    <cellStyle name="Title 2 2 2 2 2 5 2 2 2 2 59" xfId="46367"/>
    <cellStyle name="Title 2 2 2 2 2 5 2 2 2 2 6" xfId="46368"/>
    <cellStyle name="Title 2 2 2 2 2 5 2 2 2 2 60" xfId="46369"/>
    <cellStyle name="Title 2 2 2 2 2 5 2 2 2 2 61" xfId="46370"/>
    <cellStyle name="Title 2 2 2 2 2 5 2 2 2 2 62" xfId="46371"/>
    <cellStyle name="Title 2 2 2 2 2 5 2 2 2 2 63" xfId="46372"/>
    <cellStyle name="Title 2 2 2 2 2 5 2 2 2 2 64" xfId="46373"/>
    <cellStyle name="Title 2 2 2 2 2 5 2 2 2 2 65" xfId="46374"/>
    <cellStyle name="Title 2 2 2 2 2 5 2 2 2 2 66" xfId="46375"/>
    <cellStyle name="Title 2 2 2 2 2 5 2 2 2 2 67" xfId="46376"/>
    <cellStyle name="Title 2 2 2 2 2 5 2 2 2 2 68" xfId="46377"/>
    <cellStyle name="Title 2 2 2 2 2 5 2 2 2 2 69" xfId="46378"/>
    <cellStyle name="Title 2 2 2 2 2 5 2 2 2 2 7" xfId="46379"/>
    <cellStyle name="Title 2 2 2 2 2 5 2 2 2 2 70" xfId="46380"/>
    <cellStyle name="Title 2 2 2 2 2 5 2 2 2 2 71" xfId="46381"/>
    <cellStyle name="Title 2 2 2 2 2 5 2 2 2 2 72" xfId="46382"/>
    <cellStyle name="Title 2 2 2 2 2 5 2 2 2 2 73" xfId="46383"/>
    <cellStyle name="Title 2 2 2 2 2 5 2 2 2 2 74" xfId="46384"/>
    <cellStyle name="Title 2 2 2 2 2 5 2 2 2 2 8" xfId="46385"/>
    <cellStyle name="Title 2 2 2 2 2 5 2 2 2 2 9" xfId="46386"/>
    <cellStyle name="Title 2 2 2 2 2 5 2 2 2 20" xfId="46387"/>
    <cellStyle name="Title 2 2 2 2 2 5 2 2 2 21" xfId="46388"/>
    <cellStyle name="Title 2 2 2 2 2 5 2 2 2 22" xfId="46389"/>
    <cellStyle name="Title 2 2 2 2 2 5 2 2 2 23" xfId="46390"/>
    <cellStyle name="Title 2 2 2 2 2 5 2 2 2 24" xfId="46391"/>
    <cellStyle name="Title 2 2 2 2 2 5 2 2 2 25" xfId="46392"/>
    <cellStyle name="Title 2 2 2 2 2 5 2 2 2 26" xfId="46393"/>
    <cellStyle name="Title 2 2 2 2 2 5 2 2 2 27" xfId="46394"/>
    <cellStyle name="Title 2 2 2 2 2 5 2 2 2 28" xfId="46395"/>
    <cellStyle name="Title 2 2 2 2 2 5 2 2 2 29" xfId="46396"/>
    <cellStyle name="Title 2 2 2 2 2 5 2 2 2 3" xfId="46397"/>
    <cellStyle name="Title 2 2 2 2 2 5 2 2 2 3 2" xfId="46398"/>
    <cellStyle name="Title 2 2 2 2 2 5 2 2 2 30" xfId="46399"/>
    <cellStyle name="Title 2 2 2 2 2 5 2 2 2 31" xfId="46400"/>
    <cellStyle name="Title 2 2 2 2 2 5 2 2 2 32" xfId="46401"/>
    <cellStyle name="Title 2 2 2 2 2 5 2 2 2 33" xfId="46402"/>
    <cellStyle name="Title 2 2 2 2 2 5 2 2 2 34" xfId="46403"/>
    <cellStyle name="Title 2 2 2 2 2 5 2 2 2 35" xfId="46404"/>
    <cellStyle name="Title 2 2 2 2 2 5 2 2 2 36" xfId="46405"/>
    <cellStyle name="Title 2 2 2 2 2 5 2 2 2 37" xfId="46406"/>
    <cellStyle name="Title 2 2 2 2 2 5 2 2 2 38" xfId="46407"/>
    <cellStyle name="Title 2 2 2 2 2 5 2 2 2 39" xfId="46408"/>
    <cellStyle name="Title 2 2 2 2 2 5 2 2 2 4" xfId="46409"/>
    <cellStyle name="Title 2 2 2 2 2 5 2 2 2 40" xfId="46410"/>
    <cellStyle name="Title 2 2 2 2 2 5 2 2 2 41" xfId="46411"/>
    <cellStyle name="Title 2 2 2 2 2 5 2 2 2 42" xfId="46412"/>
    <cellStyle name="Title 2 2 2 2 2 5 2 2 2 43" xfId="46413"/>
    <cellStyle name="Title 2 2 2 2 2 5 2 2 2 44" xfId="46414"/>
    <cellStyle name="Title 2 2 2 2 2 5 2 2 2 45" xfId="46415"/>
    <cellStyle name="Title 2 2 2 2 2 5 2 2 2 46" xfId="46416"/>
    <cellStyle name="Title 2 2 2 2 2 5 2 2 2 47" xfId="46417"/>
    <cellStyle name="Title 2 2 2 2 2 5 2 2 2 48" xfId="46418"/>
    <cellStyle name="Title 2 2 2 2 2 5 2 2 2 49" xfId="46419"/>
    <cellStyle name="Title 2 2 2 2 2 5 2 2 2 5" xfId="46420"/>
    <cellStyle name="Title 2 2 2 2 2 5 2 2 2 50" xfId="46421"/>
    <cellStyle name="Title 2 2 2 2 2 5 2 2 2 51" xfId="46422"/>
    <cellStyle name="Title 2 2 2 2 2 5 2 2 2 52" xfId="46423"/>
    <cellStyle name="Title 2 2 2 2 2 5 2 2 2 53" xfId="46424"/>
    <cellStyle name="Title 2 2 2 2 2 5 2 2 2 54" xfId="46425"/>
    <cellStyle name="Title 2 2 2 2 2 5 2 2 2 55" xfId="46426"/>
    <cellStyle name="Title 2 2 2 2 2 5 2 2 2 56" xfId="46427"/>
    <cellStyle name="Title 2 2 2 2 2 5 2 2 2 57" xfId="46428"/>
    <cellStyle name="Title 2 2 2 2 2 5 2 2 2 58" xfId="46429"/>
    <cellStyle name="Title 2 2 2 2 2 5 2 2 2 59" xfId="46430"/>
    <cellStyle name="Title 2 2 2 2 2 5 2 2 2 6" xfId="46431"/>
    <cellStyle name="Title 2 2 2 2 2 5 2 2 2 60" xfId="46432"/>
    <cellStyle name="Title 2 2 2 2 2 5 2 2 2 61" xfId="46433"/>
    <cellStyle name="Title 2 2 2 2 2 5 2 2 2 62" xfId="46434"/>
    <cellStyle name="Title 2 2 2 2 2 5 2 2 2 63" xfId="46435"/>
    <cellStyle name="Title 2 2 2 2 2 5 2 2 2 64" xfId="46436"/>
    <cellStyle name="Title 2 2 2 2 2 5 2 2 2 65" xfId="46437"/>
    <cellStyle name="Title 2 2 2 2 2 5 2 2 2 66" xfId="46438"/>
    <cellStyle name="Title 2 2 2 2 2 5 2 2 2 67" xfId="46439"/>
    <cellStyle name="Title 2 2 2 2 2 5 2 2 2 68" xfId="46440"/>
    <cellStyle name="Title 2 2 2 2 2 5 2 2 2 69" xfId="46441"/>
    <cellStyle name="Title 2 2 2 2 2 5 2 2 2 7" xfId="46442"/>
    <cellStyle name="Title 2 2 2 2 2 5 2 2 2 70" xfId="46443"/>
    <cellStyle name="Title 2 2 2 2 2 5 2 2 2 71" xfId="46444"/>
    <cellStyle name="Title 2 2 2 2 2 5 2 2 2 72" xfId="46445"/>
    <cellStyle name="Title 2 2 2 2 2 5 2 2 2 73" xfId="46446"/>
    <cellStyle name="Title 2 2 2 2 2 5 2 2 2 74" xfId="46447"/>
    <cellStyle name="Title 2 2 2 2 2 5 2 2 2 75" xfId="46448"/>
    <cellStyle name="Title 2 2 2 2 2 5 2 2 2 76" xfId="46449"/>
    <cellStyle name="Title 2 2 2 2 2 5 2 2 2 77" xfId="46450"/>
    <cellStyle name="Title 2 2 2 2 2 5 2 2 2 78" xfId="46451"/>
    <cellStyle name="Title 2 2 2 2 2 5 2 2 2 79" xfId="46452"/>
    <cellStyle name="Title 2 2 2 2 2 5 2 2 2 8" xfId="46453"/>
    <cellStyle name="Title 2 2 2 2 2 5 2 2 2 80" xfId="46454"/>
    <cellStyle name="Title 2 2 2 2 2 5 2 2 2 81" xfId="46455"/>
    <cellStyle name="Title 2 2 2 2 2 5 2 2 2 82" xfId="46456"/>
    <cellStyle name="Title 2 2 2 2 2 5 2 2 2 83" xfId="46457"/>
    <cellStyle name="Title 2 2 2 2 2 5 2 2 2 84" xfId="46458"/>
    <cellStyle name="Title 2 2 2 2 2 5 2 2 2 85" xfId="46459"/>
    <cellStyle name="Title 2 2 2 2 2 5 2 2 2 86" xfId="46460"/>
    <cellStyle name="Title 2 2 2 2 2 5 2 2 2 87" xfId="46461"/>
    <cellStyle name="Title 2 2 2 2 2 5 2 2 2 88" xfId="46462"/>
    <cellStyle name="Title 2 2 2 2 2 5 2 2 2 9" xfId="46463"/>
    <cellStyle name="Title 2 2 2 2 2 5 2 2 20" xfId="46464"/>
    <cellStyle name="Title 2 2 2 2 2 5 2 2 21" xfId="46465"/>
    <cellStyle name="Title 2 2 2 2 2 5 2 2 22" xfId="46466"/>
    <cellStyle name="Title 2 2 2 2 2 5 2 2 23" xfId="46467"/>
    <cellStyle name="Title 2 2 2 2 2 5 2 2 24" xfId="46468"/>
    <cellStyle name="Title 2 2 2 2 2 5 2 2 25" xfId="46469"/>
    <cellStyle name="Title 2 2 2 2 2 5 2 2 26" xfId="46470"/>
    <cellStyle name="Title 2 2 2 2 2 5 2 2 27" xfId="46471"/>
    <cellStyle name="Title 2 2 2 2 2 5 2 2 28" xfId="46472"/>
    <cellStyle name="Title 2 2 2 2 2 5 2 2 29" xfId="46473"/>
    <cellStyle name="Title 2 2 2 2 2 5 2 2 3" xfId="46474"/>
    <cellStyle name="Title 2 2 2 2 2 5 2 2 3 2" xfId="46475"/>
    <cellStyle name="Title 2 2 2 2 2 5 2 2 30" xfId="46476"/>
    <cellStyle name="Title 2 2 2 2 2 5 2 2 31" xfId="46477"/>
    <cellStyle name="Title 2 2 2 2 2 5 2 2 32" xfId="46478"/>
    <cellStyle name="Title 2 2 2 2 2 5 2 2 33" xfId="46479"/>
    <cellStyle name="Title 2 2 2 2 2 5 2 2 34" xfId="46480"/>
    <cellStyle name="Title 2 2 2 2 2 5 2 2 35" xfId="46481"/>
    <cellStyle name="Title 2 2 2 2 2 5 2 2 36" xfId="46482"/>
    <cellStyle name="Title 2 2 2 2 2 5 2 2 37" xfId="46483"/>
    <cellStyle name="Title 2 2 2 2 2 5 2 2 38" xfId="46484"/>
    <cellStyle name="Title 2 2 2 2 2 5 2 2 39" xfId="46485"/>
    <cellStyle name="Title 2 2 2 2 2 5 2 2 4" xfId="46486"/>
    <cellStyle name="Title 2 2 2 2 2 5 2 2 40" xfId="46487"/>
    <cellStyle name="Title 2 2 2 2 2 5 2 2 41" xfId="46488"/>
    <cellStyle name="Title 2 2 2 2 2 5 2 2 42" xfId="46489"/>
    <cellStyle name="Title 2 2 2 2 2 5 2 2 43" xfId="46490"/>
    <cellStyle name="Title 2 2 2 2 2 5 2 2 44" xfId="46491"/>
    <cellStyle name="Title 2 2 2 2 2 5 2 2 45" xfId="46492"/>
    <cellStyle name="Title 2 2 2 2 2 5 2 2 46" xfId="46493"/>
    <cellStyle name="Title 2 2 2 2 2 5 2 2 47" xfId="46494"/>
    <cellStyle name="Title 2 2 2 2 2 5 2 2 48" xfId="46495"/>
    <cellStyle name="Title 2 2 2 2 2 5 2 2 49" xfId="46496"/>
    <cellStyle name="Title 2 2 2 2 2 5 2 2 5" xfId="46497"/>
    <cellStyle name="Title 2 2 2 2 2 5 2 2 50" xfId="46498"/>
    <cellStyle name="Title 2 2 2 2 2 5 2 2 51" xfId="46499"/>
    <cellStyle name="Title 2 2 2 2 2 5 2 2 52" xfId="46500"/>
    <cellStyle name="Title 2 2 2 2 2 5 2 2 53" xfId="46501"/>
    <cellStyle name="Title 2 2 2 2 2 5 2 2 54" xfId="46502"/>
    <cellStyle name="Title 2 2 2 2 2 5 2 2 55" xfId="46503"/>
    <cellStyle name="Title 2 2 2 2 2 5 2 2 56" xfId="46504"/>
    <cellStyle name="Title 2 2 2 2 2 5 2 2 57" xfId="46505"/>
    <cellStyle name="Title 2 2 2 2 2 5 2 2 58" xfId="46506"/>
    <cellStyle name="Title 2 2 2 2 2 5 2 2 59" xfId="46507"/>
    <cellStyle name="Title 2 2 2 2 2 5 2 2 6" xfId="46508"/>
    <cellStyle name="Title 2 2 2 2 2 5 2 2 60" xfId="46509"/>
    <cellStyle name="Title 2 2 2 2 2 5 2 2 61" xfId="46510"/>
    <cellStyle name="Title 2 2 2 2 2 5 2 2 62" xfId="46511"/>
    <cellStyle name="Title 2 2 2 2 2 5 2 2 63" xfId="46512"/>
    <cellStyle name="Title 2 2 2 2 2 5 2 2 64" xfId="46513"/>
    <cellStyle name="Title 2 2 2 2 2 5 2 2 65" xfId="46514"/>
    <cellStyle name="Title 2 2 2 2 2 5 2 2 66" xfId="46515"/>
    <cellStyle name="Title 2 2 2 2 2 5 2 2 67" xfId="46516"/>
    <cellStyle name="Title 2 2 2 2 2 5 2 2 68" xfId="46517"/>
    <cellStyle name="Title 2 2 2 2 2 5 2 2 69" xfId="46518"/>
    <cellStyle name="Title 2 2 2 2 2 5 2 2 7" xfId="46519"/>
    <cellStyle name="Title 2 2 2 2 2 5 2 2 70" xfId="46520"/>
    <cellStyle name="Title 2 2 2 2 2 5 2 2 71" xfId="46521"/>
    <cellStyle name="Title 2 2 2 2 2 5 2 2 72" xfId="46522"/>
    <cellStyle name="Title 2 2 2 2 2 5 2 2 73" xfId="46523"/>
    <cellStyle name="Title 2 2 2 2 2 5 2 2 74" xfId="46524"/>
    <cellStyle name="Title 2 2 2 2 2 5 2 2 75" xfId="46525"/>
    <cellStyle name="Title 2 2 2 2 2 5 2 2 76" xfId="46526"/>
    <cellStyle name="Title 2 2 2 2 2 5 2 2 77" xfId="46527"/>
    <cellStyle name="Title 2 2 2 2 2 5 2 2 78" xfId="46528"/>
    <cellStyle name="Title 2 2 2 2 2 5 2 2 79" xfId="46529"/>
    <cellStyle name="Title 2 2 2 2 2 5 2 2 8" xfId="46530"/>
    <cellStyle name="Title 2 2 2 2 2 5 2 2 80" xfId="46531"/>
    <cellStyle name="Title 2 2 2 2 2 5 2 2 81" xfId="46532"/>
    <cellStyle name="Title 2 2 2 2 2 5 2 2 82" xfId="46533"/>
    <cellStyle name="Title 2 2 2 2 2 5 2 2 83" xfId="46534"/>
    <cellStyle name="Title 2 2 2 2 2 5 2 2 84" xfId="46535"/>
    <cellStyle name="Title 2 2 2 2 2 5 2 2 85" xfId="46536"/>
    <cellStyle name="Title 2 2 2 2 2 5 2 2 86" xfId="46537"/>
    <cellStyle name="Title 2 2 2 2 2 5 2 2 87" xfId="46538"/>
    <cellStyle name="Title 2 2 2 2 2 5 2 2 88" xfId="46539"/>
    <cellStyle name="Title 2 2 2 2 2 5 2 2 9" xfId="46540"/>
    <cellStyle name="Title 2 2 2 2 2 5 2 20" xfId="46541"/>
    <cellStyle name="Title 2 2 2 2 2 5 2 21" xfId="46542"/>
    <cellStyle name="Title 2 2 2 2 2 5 2 22" xfId="46543"/>
    <cellStyle name="Title 2 2 2 2 2 5 2 23" xfId="46544"/>
    <cellStyle name="Title 2 2 2 2 2 5 2 24" xfId="46545"/>
    <cellStyle name="Title 2 2 2 2 2 5 2 25" xfId="46546"/>
    <cellStyle name="Title 2 2 2 2 2 5 2 26" xfId="46547"/>
    <cellStyle name="Title 2 2 2 2 2 5 2 27" xfId="46548"/>
    <cellStyle name="Title 2 2 2 2 2 5 2 28" xfId="46549"/>
    <cellStyle name="Title 2 2 2 2 2 5 2 29" xfId="46550"/>
    <cellStyle name="Title 2 2 2 2 2 5 2 3" xfId="46551"/>
    <cellStyle name="Title 2 2 2 2 2 5 2 30" xfId="46552"/>
    <cellStyle name="Title 2 2 2 2 2 5 2 31" xfId="46553"/>
    <cellStyle name="Title 2 2 2 2 2 5 2 32" xfId="46554"/>
    <cellStyle name="Title 2 2 2 2 2 5 2 33" xfId="46555"/>
    <cellStyle name="Title 2 2 2 2 2 5 2 34" xfId="46556"/>
    <cellStyle name="Title 2 2 2 2 2 5 2 35" xfId="46557"/>
    <cellStyle name="Title 2 2 2 2 2 5 2 36" xfId="46558"/>
    <cellStyle name="Title 2 2 2 2 2 5 2 37" xfId="46559"/>
    <cellStyle name="Title 2 2 2 2 2 5 2 38" xfId="46560"/>
    <cellStyle name="Title 2 2 2 2 2 5 2 39" xfId="46561"/>
    <cellStyle name="Title 2 2 2 2 2 5 2 4" xfId="46562"/>
    <cellStyle name="Title 2 2 2 2 2 5 2 40" xfId="46563"/>
    <cellStyle name="Title 2 2 2 2 2 5 2 41" xfId="46564"/>
    <cellStyle name="Title 2 2 2 2 2 5 2 42" xfId="46565"/>
    <cellStyle name="Title 2 2 2 2 2 5 2 43" xfId="46566"/>
    <cellStyle name="Title 2 2 2 2 2 5 2 44" xfId="46567"/>
    <cellStyle name="Title 2 2 2 2 2 5 2 45" xfId="46568"/>
    <cellStyle name="Title 2 2 2 2 2 5 2 46" xfId="46569"/>
    <cellStyle name="Title 2 2 2 2 2 5 2 47" xfId="46570"/>
    <cellStyle name="Title 2 2 2 2 2 5 2 48" xfId="46571"/>
    <cellStyle name="Title 2 2 2 2 2 5 2 49" xfId="46572"/>
    <cellStyle name="Title 2 2 2 2 2 5 2 5" xfId="46573"/>
    <cellStyle name="Title 2 2 2 2 2 5 2 50" xfId="46574"/>
    <cellStyle name="Title 2 2 2 2 2 5 2 51" xfId="46575"/>
    <cellStyle name="Title 2 2 2 2 2 5 2 52" xfId="46576"/>
    <cellStyle name="Title 2 2 2 2 2 5 2 53" xfId="46577"/>
    <cellStyle name="Title 2 2 2 2 2 5 2 54" xfId="46578"/>
    <cellStyle name="Title 2 2 2 2 2 5 2 55" xfId="46579"/>
    <cellStyle name="Title 2 2 2 2 2 5 2 56" xfId="46580"/>
    <cellStyle name="Title 2 2 2 2 2 5 2 57" xfId="46581"/>
    <cellStyle name="Title 2 2 2 2 2 5 2 58" xfId="46582"/>
    <cellStyle name="Title 2 2 2 2 2 5 2 59" xfId="46583"/>
    <cellStyle name="Title 2 2 2 2 2 5 2 6" xfId="46584"/>
    <cellStyle name="Title 2 2 2 2 2 5 2 60" xfId="46585"/>
    <cellStyle name="Title 2 2 2 2 2 5 2 61" xfId="46586"/>
    <cellStyle name="Title 2 2 2 2 2 5 2 62" xfId="46587"/>
    <cellStyle name="Title 2 2 2 2 2 5 2 63" xfId="46588"/>
    <cellStyle name="Title 2 2 2 2 2 5 2 64" xfId="46589"/>
    <cellStyle name="Title 2 2 2 2 2 5 2 65" xfId="46590"/>
    <cellStyle name="Title 2 2 2 2 2 5 2 66" xfId="46591"/>
    <cellStyle name="Title 2 2 2 2 2 5 2 67" xfId="46592"/>
    <cellStyle name="Title 2 2 2 2 2 5 2 68" xfId="46593"/>
    <cellStyle name="Title 2 2 2 2 2 5 2 69" xfId="46594"/>
    <cellStyle name="Title 2 2 2 2 2 5 2 7" xfId="46595"/>
    <cellStyle name="Title 2 2 2 2 2 5 2 70" xfId="46596"/>
    <cellStyle name="Title 2 2 2 2 2 5 2 71" xfId="46597"/>
    <cellStyle name="Title 2 2 2 2 2 5 2 72" xfId="46598"/>
    <cellStyle name="Title 2 2 2 2 2 5 2 73" xfId="46599"/>
    <cellStyle name="Title 2 2 2 2 2 5 2 74" xfId="46600"/>
    <cellStyle name="Title 2 2 2 2 2 5 2 75" xfId="46601"/>
    <cellStyle name="Title 2 2 2 2 2 5 2 76" xfId="46602"/>
    <cellStyle name="Title 2 2 2 2 2 5 2 77" xfId="46603"/>
    <cellStyle name="Title 2 2 2 2 2 5 2 78" xfId="46604"/>
    <cellStyle name="Title 2 2 2 2 2 5 2 79" xfId="46605"/>
    <cellStyle name="Title 2 2 2 2 2 5 2 8" xfId="46606"/>
    <cellStyle name="Title 2 2 2 2 2 5 2 80" xfId="46607"/>
    <cellStyle name="Title 2 2 2 2 2 5 2 81" xfId="46608"/>
    <cellStyle name="Title 2 2 2 2 2 5 2 82" xfId="46609"/>
    <cellStyle name="Title 2 2 2 2 2 5 2 83" xfId="46610"/>
    <cellStyle name="Title 2 2 2 2 2 5 2 84" xfId="46611"/>
    <cellStyle name="Title 2 2 2 2 2 5 2 85" xfId="46612"/>
    <cellStyle name="Title 2 2 2 2 2 5 2 86" xfId="46613"/>
    <cellStyle name="Title 2 2 2 2 2 5 2 87" xfId="46614"/>
    <cellStyle name="Title 2 2 2 2 2 5 2 88" xfId="46615"/>
    <cellStyle name="Title 2 2 2 2 2 5 2 89" xfId="46616"/>
    <cellStyle name="Title 2 2 2 2 2 5 2 9" xfId="46617"/>
    <cellStyle name="Title 2 2 2 2 2 5 2 90" xfId="46618"/>
    <cellStyle name="Title 2 2 2 2 2 5 2 91" xfId="46619"/>
    <cellStyle name="Title 2 2 2 2 2 5 2 92" xfId="46620"/>
    <cellStyle name="Title 2 2 2 2 2 5 2 93" xfId="46621"/>
    <cellStyle name="Title 2 2 2 2 2 5 2 94" xfId="46622"/>
    <cellStyle name="Title 2 2 2 2 2 5 2 95" xfId="46623"/>
    <cellStyle name="Title 2 2 2 2 2 5 2 96" xfId="46624"/>
    <cellStyle name="Title 2 2 2 2 2 5 2 97" xfId="46625"/>
    <cellStyle name="Title 2 2 2 2 2 5 2 98" xfId="46626"/>
    <cellStyle name="Title 2 2 2 2 2 5 20" xfId="46627"/>
    <cellStyle name="Title 2 2 2 2 2 5 21" xfId="46628"/>
    <cellStyle name="Title 2 2 2 2 2 5 22" xfId="46629"/>
    <cellStyle name="Title 2 2 2 2 2 5 23" xfId="46630"/>
    <cellStyle name="Title 2 2 2 2 2 5 24" xfId="46631"/>
    <cellStyle name="Title 2 2 2 2 2 5 25" xfId="46632"/>
    <cellStyle name="Title 2 2 2 2 2 5 25 2" xfId="46633"/>
    <cellStyle name="Title 2 2 2 2 2 5 26" xfId="46634"/>
    <cellStyle name="Title 2 2 2 2 2 5 27" xfId="46635"/>
    <cellStyle name="Title 2 2 2 2 2 5 28" xfId="46636"/>
    <cellStyle name="Title 2 2 2 2 2 5 29" xfId="46637"/>
    <cellStyle name="Title 2 2 2 2 2 5 3" xfId="46638"/>
    <cellStyle name="Title 2 2 2 2 2 5 30" xfId="46639"/>
    <cellStyle name="Title 2 2 2 2 2 5 31" xfId="46640"/>
    <cellStyle name="Title 2 2 2 2 2 5 32" xfId="46641"/>
    <cellStyle name="Title 2 2 2 2 2 5 33" xfId="46642"/>
    <cellStyle name="Title 2 2 2 2 2 5 34" xfId="46643"/>
    <cellStyle name="Title 2 2 2 2 2 5 35" xfId="46644"/>
    <cellStyle name="Title 2 2 2 2 2 5 36" xfId="46645"/>
    <cellStyle name="Title 2 2 2 2 2 5 37" xfId="46646"/>
    <cellStyle name="Title 2 2 2 2 2 5 38" xfId="46647"/>
    <cellStyle name="Title 2 2 2 2 2 5 39" xfId="46648"/>
    <cellStyle name="Title 2 2 2 2 2 5 4" xfId="46649"/>
    <cellStyle name="Title 2 2 2 2 2 5 4 10" xfId="46650"/>
    <cellStyle name="Title 2 2 2 2 2 5 4 11" xfId="46651"/>
    <cellStyle name="Title 2 2 2 2 2 5 4 12" xfId="46652"/>
    <cellStyle name="Title 2 2 2 2 2 5 4 13" xfId="46653"/>
    <cellStyle name="Title 2 2 2 2 2 5 4 14" xfId="46654"/>
    <cellStyle name="Title 2 2 2 2 2 5 4 15" xfId="46655"/>
    <cellStyle name="Title 2 2 2 2 2 5 4 16" xfId="46656"/>
    <cellStyle name="Title 2 2 2 2 2 5 4 17" xfId="46657"/>
    <cellStyle name="Title 2 2 2 2 2 5 4 18" xfId="46658"/>
    <cellStyle name="Title 2 2 2 2 2 5 4 19" xfId="46659"/>
    <cellStyle name="Title 2 2 2 2 2 5 4 2" xfId="46660"/>
    <cellStyle name="Title 2 2 2 2 2 5 4 2 10" xfId="46661"/>
    <cellStyle name="Title 2 2 2 2 2 5 4 2 11" xfId="46662"/>
    <cellStyle name="Title 2 2 2 2 2 5 4 2 12" xfId="46663"/>
    <cellStyle name="Title 2 2 2 2 2 5 4 2 13" xfId="46664"/>
    <cellStyle name="Title 2 2 2 2 2 5 4 2 14" xfId="46665"/>
    <cellStyle name="Title 2 2 2 2 2 5 4 2 15" xfId="46666"/>
    <cellStyle name="Title 2 2 2 2 2 5 4 2 16" xfId="46667"/>
    <cellStyle name="Title 2 2 2 2 2 5 4 2 17" xfId="46668"/>
    <cellStyle name="Title 2 2 2 2 2 5 4 2 18" xfId="46669"/>
    <cellStyle name="Title 2 2 2 2 2 5 4 2 19" xfId="46670"/>
    <cellStyle name="Title 2 2 2 2 2 5 4 2 2" xfId="46671"/>
    <cellStyle name="Title 2 2 2 2 2 5 4 2 2 2" xfId="46672"/>
    <cellStyle name="Title 2 2 2 2 2 5 4 2 20" xfId="46673"/>
    <cellStyle name="Title 2 2 2 2 2 5 4 2 21" xfId="46674"/>
    <cellStyle name="Title 2 2 2 2 2 5 4 2 22" xfId="46675"/>
    <cellStyle name="Title 2 2 2 2 2 5 4 2 23" xfId="46676"/>
    <cellStyle name="Title 2 2 2 2 2 5 4 2 24" xfId="46677"/>
    <cellStyle name="Title 2 2 2 2 2 5 4 2 25" xfId="46678"/>
    <cellStyle name="Title 2 2 2 2 2 5 4 2 26" xfId="46679"/>
    <cellStyle name="Title 2 2 2 2 2 5 4 2 27" xfId="46680"/>
    <cellStyle name="Title 2 2 2 2 2 5 4 2 28" xfId="46681"/>
    <cellStyle name="Title 2 2 2 2 2 5 4 2 29" xfId="46682"/>
    <cellStyle name="Title 2 2 2 2 2 5 4 2 3" xfId="46683"/>
    <cellStyle name="Title 2 2 2 2 2 5 4 2 30" xfId="46684"/>
    <cellStyle name="Title 2 2 2 2 2 5 4 2 31" xfId="46685"/>
    <cellStyle name="Title 2 2 2 2 2 5 4 2 32" xfId="46686"/>
    <cellStyle name="Title 2 2 2 2 2 5 4 2 33" xfId="46687"/>
    <cellStyle name="Title 2 2 2 2 2 5 4 2 34" xfId="46688"/>
    <cellStyle name="Title 2 2 2 2 2 5 4 2 35" xfId="46689"/>
    <cellStyle name="Title 2 2 2 2 2 5 4 2 36" xfId="46690"/>
    <cellStyle name="Title 2 2 2 2 2 5 4 2 37" xfId="46691"/>
    <cellStyle name="Title 2 2 2 2 2 5 4 2 38" xfId="46692"/>
    <cellStyle name="Title 2 2 2 2 2 5 4 2 39" xfId="46693"/>
    <cellStyle name="Title 2 2 2 2 2 5 4 2 4" xfId="46694"/>
    <cellStyle name="Title 2 2 2 2 2 5 4 2 40" xfId="46695"/>
    <cellStyle name="Title 2 2 2 2 2 5 4 2 41" xfId="46696"/>
    <cellStyle name="Title 2 2 2 2 2 5 4 2 42" xfId="46697"/>
    <cellStyle name="Title 2 2 2 2 2 5 4 2 43" xfId="46698"/>
    <cellStyle name="Title 2 2 2 2 2 5 4 2 44" xfId="46699"/>
    <cellStyle name="Title 2 2 2 2 2 5 4 2 45" xfId="46700"/>
    <cellStyle name="Title 2 2 2 2 2 5 4 2 46" xfId="46701"/>
    <cellStyle name="Title 2 2 2 2 2 5 4 2 47" xfId="46702"/>
    <cellStyle name="Title 2 2 2 2 2 5 4 2 48" xfId="46703"/>
    <cellStyle name="Title 2 2 2 2 2 5 4 2 49" xfId="46704"/>
    <cellStyle name="Title 2 2 2 2 2 5 4 2 5" xfId="46705"/>
    <cellStyle name="Title 2 2 2 2 2 5 4 2 50" xfId="46706"/>
    <cellStyle name="Title 2 2 2 2 2 5 4 2 51" xfId="46707"/>
    <cellStyle name="Title 2 2 2 2 2 5 4 2 52" xfId="46708"/>
    <cellStyle name="Title 2 2 2 2 2 5 4 2 53" xfId="46709"/>
    <cellStyle name="Title 2 2 2 2 2 5 4 2 54" xfId="46710"/>
    <cellStyle name="Title 2 2 2 2 2 5 4 2 55" xfId="46711"/>
    <cellStyle name="Title 2 2 2 2 2 5 4 2 56" xfId="46712"/>
    <cellStyle name="Title 2 2 2 2 2 5 4 2 57" xfId="46713"/>
    <cellStyle name="Title 2 2 2 2 2 5 4 2 58" xfId="46714"/>
    <cellStyle name="Title 2 2 2 2 2 5 4 2 59" xfId="46715"/>
    <cellStyle name="Title 2 2 2 2 2 5 4 2 6" xfId="46716"/>
    <cellStyle name="Title 2 2 2 2 2 5 4 2 60" xfId="46717"/>
    <cellStyle name="Title 2 2 2 2 2 5 4 2 61" xfId="46718"/>
    <cellStyle name="Title 2 2 2 2 2 5 4 2 62" xfId="46719"/>
    <cellStyle name="Title 2 2 2 2 2 5 4 2 63" xfId="46720"/>
    <cellStyle name="Title 2 2 2 2 2 5 4 2 64" xfId="46721"/>
    <cellStyle name="Title 2 2 2 2 2 5 4 2 65" xfId="46722"/>
    <cellStyle name="Title 2 2 2 2 2 5 4 2 66" xfId="46723"/>
    <cellStyle name="Title 2 2 2 2 2 5 4 2 67" xfId="46724"/>
    <cellStyle name="Title 2 2 2 2 2 5 4 2 68" xfId="46725"/>
    <cellStyle name="Title 2 2 2 2 2 5 4 2 69" xfId="46726"/>
    <cellStyle name="Title 2 2 2 2 2 5 4 2 7" xfId="46727"/>
    <cellStyle name="Title 2 2 2 2 2 5 4 2 70" xfId="46728"/>
    <cellStyle name="Title 2 2 2 2 2 5 4 2 71" xfId="46729"/>
    <cellStyle name="Title 2 2 2 2 2 5 4 2 72" xfId="46730"/>
    <cellStyle name="Title 2 2 2 2 2 5 4 2 73" xfId="46731"/>
    <cellStyle name="Title 2 2 2 2 2 5 4 2 74" xfId="46732"/>
    <cellStyle name="Title 2 2 2 2 2 5 4 2 8" xfId="46733"/>
    <cellStyle name="Title 2 2 2 2 2 5 4 2 9" xfId="46734"/>
    <cellStyle name="Title 2 2 2 2 2 5 4 20" xfId="46735"/>
    <cellStyle name="Title 2 2 2 2 2 5 4 21" xfId="46736"/>
    <cellStyle name="Title 2 2 2 2 2 5 4 22" xfId="46737"/>
    <cellStyle name="Title 2 2 2 2 2 5 4 23" xfId="46738"/>
    <cellStyle name="Title 2 2 2 2 2 5 4 24" xfId="46739"/>
    <cellStyle name="Title 2 2 2 2 2 5 4 25" xfId="46740"/>
    <cellStyle name="Title 2 2 2 2 2 5 4 26" xfId="46741"/>
    <cellStyle name="Title 2 2 2 2 2 5 4 27" xfId="46742"/>
    <cellStyle name="Title 2 2 2 2 2 5 4 28" xfId="46743"/>
    <cellStyle name="Title 2 2 2 2 2 5 4 29" xfId="46744"/>
    <cellStyle name="Title 2 2 2 2 2 5 4 3" xfId="46745"/>
    <cellStyle name="Title 2 2 2 2 2 5 4 3 2" xfId="46746"/>
    <cellStyle name="Title 2 2 2 2 2 5 4 30" xfId="46747"/>
    <cellStyle name="Title 2 2 2 2 2 5 4 31" xfId="46748"/>
    <cellStyle name="Title 2 2 2 2 2 5 4 32" xfId="46749"/>
    <cellStyle name="Title 2 2 2 2 2 5 4 33" xfId="46750"/>
    <cellStyle name="Title 2 2 2 2 2 5 4 34" xfId="46751"/>
    <cellStyle name="Title 2 2 2 2 2 5 4 35" xfId="46752"/>
    <cellStyle name="Title 2 2 2 2 2 5 4 36" xfId="46753"/>
    <cellStyle name="Title 2 2 2 2 2 5 4 37" xfId="46754"/>
    <cellStyle name="Title 2 2 2 2 2 5 4 38" xfId="46755"/>
    <cellStyle name="Title 2 2 2 2 2 5 4 39" xfId="46756"/>
    <cellStyle name="Title 2 2 2 2 2 5 4 4" xfId="46757"/>
    <cellStyle name="Title 2 2 2 2 2 5 4 40" xfId="46758"/>
    <cellStyle name="Title 2 2 2 2 2 5 4 41" xfId="46759"/>
    <cellStyle name="Title 2 2 2 2 2 5 4 42" xfId="46760"/>
    <cellStyle name="Title 2 2 2 2 2 5 4 43" xfId="46761"/>
    <cellStyle name="Title 2 2 2 2 2 5 4 44" xfId="46762"/>
    <cellStyle name="Title 2 2 2 2 2 5 4 45" xfId="46763"/>
    <cellStyle name="Title 2 2 2 2 2 5 4 46" xfId="46764"/>
    <cellStyle name="Title 2 2 2 2 2 5 4 47" xfId="46765"/>
    <cellStyle name="Title 2 2 2 2 2 5 4 48" xfId="46766"/>
    <cellStyle name="Title 2 2 2 2 2 5 4 49" xfId="46767"/>
    <cellStyle name="Title 2 2 2 2 2 5 4 5" xfId="46768"/>
    <cellStyle name="Title 2 2 2 2 2 5 4 50" xfId="46769"/>
    <cellStyle name="Title 2 2 2 2 2 5 4 51" xfId="46770"/>
    <cellStyle name="Title 2 2 2 2 2 5 4 52" xfId="46771"/>
    <cellStyle name="Title 2 2 2 2 2 5 4 53" xfId="46772"/>
    <cellStyle name="Title 2 2 2 2 2 5 4 54" xfId="46773"/>
    <cellStyle name="Title 2 2 2 2 2 5 4 55" xfId="46774"/>
    <cellStyle name="Title 2 2 2 2 2 5 4 56" xfId="46775"/>
    <cellStyle name="Title 2 2 2 2 2 5 4 57" xfId="46776"/>
    <cellStyle name="Title 2 2 2 2 2 5 4 58" xfId="46777"/>
    <cellStyle name="Title 2 2 2 2 2 5 4 59" xfId="46778"/>
    <cellStyle name="Title 2 2 2 2 2 5 4 6" xfId="46779"/>
    <cellStyle name="Title 2 2 2 2 2 5 4 60" xfId="46780"/>
    <cellStyle name="Title 2 2 2 2 2 5 4 61" xfId="46781"/>
    <cellStyle name="Title 2 2 2 2 2 5 4 62" xfId="46782"/>
    <cellStyle name="Title 2 2 2 2 2 5 4 63" xfId="46783"/>
    <cellStyle name="Title 2 2 2 2 2 5 4 64" xfId="46784"/>
    <cellStyle name="Title 2 2 2 2 2 5 4 65" xfId="46785"/>
    <cellStyle name="Title 2 2 2 2 2 5 4 66" xfId="46786"/>
    <cellStyle name="Title 2 2 2 2 2 5 4 67" xfId="46787"/>
    <cellStyle name="Title 2 2 2 2 2 5 4 68" xfId="46788"/>
    <cellStyle name="Title 2 2 2 2 2 5 4 69" xfId="46789"/>
    <cellStyle name="Title 2 2 2 2 2 5 4 7" xfId="46790"/>
    <cellStyle name="Title 2 2 2 2 2 5 4 70" xfId="46791"/>
    <cellStyle name="Title 2 2 2 2 2 5 4 71" xfId="46792"/>
    <cellStyle name="Title 2 2 2 2 2 5 4 72" xfId="46793"/>
    <cellStyle name="Title 2 2 2 2 2 5 4 73" xfId="46794"/>
    <cellStyle name="Title 2 2 2 2 2 5 4 74" xfId="46795"/>
    <cellStyle name="Title 2 2 2 2 2 5 4 8" xfId="46796"/>
    <cellStyle name="Title 2 2 2 2 2 5 4 9" xfId="46797"/>
    <cellStyle name="Title 2 2 2 2 2 5 40" xfId="46798"/>
    <cellStyle name="Title 2 2 2 2 2 5 41" xfId="46799"/>
    <cellStyle name="Title 2 2 2 2 2 5 42" xfId="46800"/>
    <cellStyle name="Title 2 2 2 2 2 5 43" xfId="46801"/>
    <cellStyle name="Title 2 2 2 2 2 5 44" xfId="46802"/>
    <cellStyle name="Title 2 2 2 2 2 5 45" xfId="46803"/>
    <cellStyle name="Title 2 2 2 2 2 5 46" xfId="46804"/>
    <cellStyle name="Title 2 2 2 2 2 5 47" xfId="46805"/>
    <cellStyle name="Title 2 2 2 2 2 5 48" xfId="46806"/>
    <cellStyle name="Title 2 2 2 2 2 5 49" xfId="46807"/>
    <cellStyle name="Title 2 2 2 2 2 5 5" xfId="46808"/>
    <cellStyle name="Title 2 2 2 2 2 5 50" xfId="46809"/>
    <cellStyle name="Title 2 2 2 2 2 5 51" xfId="46810"/>
    <cellStyle name="Title 2 2 2 2 2 5 52" xfId="46811"/>
    <cellStyle name="Title 2 2 2 2 2 5 53" xfId="46812"/>
    <cellStyle name="Title 2 2 2 2 2 5 54" xfId="46813"/>
    <cellStyle name="Title 2 2 2 2 2 5 55" xfId="46814"/>
    <cellStyle name="Title 2 2 2 2 2 5 56" xfId="46815"/>
    <cellStyle name="Title 2 2 2 2 2 5 57" xfId="46816"/>
    <cellStyle name="Title 2 2 2 2 2 5 58" xfId="46817"/>
    <cellStyle name="Title 2 2 2 2 2 5 59" xfId="46818"/>
    <cellStyle name="Title 2 2 2 2 2 5 6" xfId="46819"/>
    <cellStyle name="Title 2 2 2 2 2 5 60" xfId="46820"/>
    <cellStyle name="Title 2 2 2 2 2 5 61" xfId="46821"/>
    <cellStyle name="Title 2 2 2 2 2 5 62" xfId="46822"/>
    <cellStyle name="Title 2 2 2 2 2 5 63" xfId="46823"/>
    <cellStyle name="Title 2 2 2 2 2 5 64" xfId="46824"/>
    <cellStyle name="Title 2 2 2 2 2 5 65" xfId="46825"/>
    <cellStyle name="Title 2 2 2 2 2 5 66" xfId="46826"/>
    <cellStyle name="Title 2 2 2 2 2 5 67" xfId="46827"/>
    <cellStyle name="Title 2 2 2 2 2 5 68" xfId="46828"/>
    <cellStyle name="Title 2 2 2 2 2 5 69" xfId="46829"/>
    <cellStyle name="Title 2 2 2 2 2 5 7" xfId="46830"/>
    <cellStyle name="Title 2 2 2 2 2 5 70" xfId="46831"/>
    <cellStyle name="Title 2 2 2 2 2 5 71" xfId="46832"/>
    <cellStyle name="Title 2 2 2 2 2 5 72" xfId="46833"/>
    <cellStyle name="Title 2 2 2 2 2 5 73" xfId="46834"/>
    <cellStyle name="Title 2 2 2 2 2 5 74" xfId="46835"/>
    <cellStyle name="Title 2 2 2 2 2 5 75" xfId="46836"/>
    <cellStyle name="Title 2 2 2 2 2 5 76" xfId="46837"/>
    <cellStyle name="Title 2 2 2 2 2 5 77" xfId="46838"/>
    <cellStyle name="Title 2 2 2 2 2 5 78" xfId="46839"/>
    <cellStyle name="Title 2 2 2 2 2 5 79" xfId="46840"/>
    <cellStyle name="Title 2 2 2 2 2 5 8" xfId="46841"/>
    <cellStyle name="Title 2 2 2 2 2 5 80" xfId="46842"/>
    <cellStyle name="Title 2 2 2 2 2 5 81" xfId="46843"/>
    <cellStyle name="Title 2 2 2 2 2 5 82" xfId="46844"/>
    <cellStyle name="Title 2 2 2 2 2 5 83" xfId="46845"/>
    <cellStyle name="Title 2 2 2 2 2 5 84" xfId="46846"/>
    <cellStyle name="Title 2 2 2 2 2 5 85" xfId="46847"/>
    <cellStyle name="Title 2 2 2 2 2 5 86" xfId="46848"/>
    <cellStyle name="Title 2 2 2 2 2 5 87" xfId="46849"/>
    <cellStyle name="Title 2 2 2 2 2 5 88" xfId="46850"/>
    <cellStyle name="Title 2 2 2 2 2 5 89" xfId="46851"/>
    <cellStyle name="Title 2 2 2 2 2 5 9" xfId="46852"/>
    <cellStyle name="Title 2 2 2 2 2 5 90" xfId="46853"/>
    <cellStyle name="Title 2 2 2 2 2 5 91" xfId="46854"/>
    <cellStyle name="Title 2 2 2 2 2 5 92" xfId="46855"/>
    <cellStyle name="Title 2 2 2 2 2 5 93" xfId="46856"/>
    <cellStyle name="Title 2 2 2 2 2 5 94" xfId="46857"/>
    <cellStyle name="Title 2 2 2 2 2 5 95" xfId="46858"/>
    <cellStyle name="Title 2 2 2 2 2 5 96" xfId="46859"/>
    <cellStyle name="Title 2 2 2 2 2 5 97" xfId="46860"/>
    <cellStyle name="Title 2 2 2 2 2 5 98" xfId="46861"/>
    <cellStyle name="Title 2 2 2 2 2 5 99" xfId="46862"/>
    <cellStyle name="Title 2 2 2 2 2 50" xfId="46863"/>
    <cellStyle name="Title 2 2 2 2 2 50 2" xfId="46864"/>
    <cellStyle name="Title 2 2 2 2 2 51" xfId="46865"/>
    <cellStyle name="Title 2 2 2 2 2 51 2" xfId="46866"/>
    <cellStyle name="Title 2 2 2 2 2 52" xfId="46867"/>
    <cellStyle name="Title 2 2 2 2 2 52 2" xfId="46868"/>
    <cellStyle name="Title 2 2 2 2 2 53" xfId="46869"/>
    <cellStyle name="Title 2 2 2 2 2 53 2" xfId="46870"/>
    <cellStyle name="Title 2 2 2 2 2 54" xfId="46871"/>
    <cellStyle name="Title 2 2 2 2 2 54 2" xfId="46872"/>
    <cellStyle name="Title 2 2 2 2 2 55" xfId="46873"/>
    <cellStyle name="Title 2 2 2 2 2 55 2" xfId="46874"/>
    <cellStyle name="Title 2 2 2 2 2 56" xfId="46875"/>
    <cellStyle name="Title 2 2 2 2 2 56 2" xfId="46876"/>
    <cellStyle name="Title 2 2 2 2 2 57" xfId="46877"/>
    <cellStyle name="Title 2 2 2 2 2 57 2" xfId="46878"/>
    <cellStyle name="Title 2 2 2 2 2 58" xfId="46879"/>
    <cellStyle name="Title 2 2 2 2 2 58 2" xfId="46880"/>
    <cellStyle name="Title 2 2 2 2 2 59" xfId="46881"/>
    <cellStyle name="Title 2 2 2 2 2 59 2" xfId="46882"/>
    <cellStyle name="Title 2 2 2 2 2 6" xfId="46883"/>
    <cellStyle name="Title 2 2 2 2 2 6 10" xfId="46884"/>
    <cellStyle name="Title 2 2 2 2 2 6 10 2" xfId="46885"/>
    <cellStyle name="Title 2 2 2 2 2 6 100" xfId="46886"/>
    <cellStyle name="Title 2 2 2 2 2 6 101" xfId="46887"/>
    <cellStyle name="Title 2 2 2 2 2 6 102" xfId="46888"/>
    <cellStyle name="Title 2 2 2 2 2 6 103" xfId="46889"/>
    <cellStyle name="Title 2 2 2 2 2 6 104" xfId="46890"/>
    <cellStyle name="Title 2 2 2 2 2 6 105" xfId="46891"/>
    <cellStyle name="Title 2 2 2 2 2 6 106" xfId="46892"/>
    <cellStyle name="Title 2 2 2 2 2 6 107" xfId="46893"/>
    <cellStyle name="Title 2 2 2 2 2 6 108" xfId="46894"/>
    <cellStyle name="Title 2 2 2 2 2 6 109" xfId="46895"/>
    <cellStyle name="Title 2 2 2 2 2 6 11" xfId="46896"/>
    <cellStyle name="Title 2 2 2 2 2 6 11 2" xfId="46897"/>
    <cellStyle name="Title 2 2 2 2 2 6 12" xfId="46898"/>
    <cellStyle name="Title 2 2 2 2 2 6 12 2" xfId="46899"/>
    <cellStyle name="Title 2 2 2 2 2 6 13" xfId="46900"/>
    <cellStyle name="Title 2 2 2 2 2 6 13 2" xfId="46901"/>
    <cellStyle name="Title 2 2 2 2 2 6 14" xfId="46902"/>
    <cellStyle name="Title 2 2 2 2 2 6 14 2" xfId="46903"/>
    <cellStyle name="Title 2 2 2 2 2 6 15" xfId="46904"/>
    <cellStyle name="Title 2 2 2 2 2 6 15 2" xfId="46905"/>
    <cellStyle name="Title 2 2 2 2 2 6 16" xfId="46906"/>
    <cellStyle name="Title 2 2 2 2 2 6 16 2" xfId="46907"/>
    <cellStyle name="Title 2 2 2 2 2 6 17" xfId="46908"/>
    <cellStyle name="Title 2 2 2 2 2 6 17 2" xfId="46909"/>
    <cellStyle name="Title 2 2 2 2 2 6 18" xfId="46910"/>
    <cellStyle name="Title 2 2 2 2 2 6 18 2" xfId="46911"/>
    <cellStyle name="Title 2 2 2 2 2 6 19" xfId="46912"/>
    <cellStyle name="Title 2 2 2 2 2 6 19 2" xfId="46913"/>
    <cellStyle name="Title 2 2 2 2 2 6 2" xfId="46914"/>
    <cellStyle name="Title 2 2 2 2 2 6 2 10" xfId="46915"/>
    <cellStyle name="Title 2 2 2 2 2 6 2 11" xfId="46916"/>
    <cellStyle name="Title 2 2 2 2 2 6 2 12" xfId="46917"/>
    <cellStyle name="Title 2 2 2 2 2 6 2 13" xfId="46918"/>
    <cellStyle name="Title 2 2 2 2 2 6 2 14" xfId="46919"/>
    <cellStyle name="Title 2 2 2 2 2 6 2 15" xfId="46920"/>
    <cellStyle name="Title 2 2 2 2 2 6 2 16" xfId="46921"/>
    <cellStyle name="Title 2 2 2 2 2 6 2 17" xfId="46922"/>
    <cellStyle name="Title 2 2 2 2 2 6 2 18" xfId="46923"/>
    <cellStyle name="Title 2 2 2 2 2 6 2 19" xfId="46924"/>
    <cellStyle name="Title 2 2 2 2 2 6 2 2" xfId="46925"/>
    <cellStyle name="Title 2 2 2 2 2 6 2 2 10" xfId="46926"/>
    <cellStyle name="Title 2 2 2 2 2 6 2 2 11" xfId="46927"/>
    <cellStyle name="Title 2 2 2 2 2 6 2 2 12" xfId="46928"/>
    <cellStyle name="Title 2 2 2 2 2 6 2 2 13" xfId="46929"/>
    <cellStyle name="Title 2 2 2 2 2 6 2 2 14" xfId="46930"/>
    <cellStyle name="Title 2 2 2 2 2 6 2 2 15" xfId="46931"/>
    <cellStyle name="Title 2 2 2 2 2 6 2 2 16" xfId="46932"/>
    <cellStyle name="Title 2 2 2 2 2 6 2 2 17" xfId="46933"/>
    <cellStyle name="Title 2 2 2 2 2 6 2 2 18" xfId="46934"/>
    <cellStyle name="Title 2 2 2 2 2 6 2 2 19" xfId="46935"/>
    <cellStyle name="Title 2 2 2 2 2 6 2 2 2" xfId="46936"/>
    <cellStyle name="Title 2 2 2 2 2 6 2 2 2 10" xfId="46937"/>
    <cellStyle name="Title 2 2 2 2 2 6 2 2 2 11" xfId="46938"/>
    <cellStyle name="Title 2 2 2 2 2 6 2 2 2 12" xfId="46939"/>
    <cellStyle name="Title 2 2 2 2 2 6 2 2 2 13" xfId="46940"/>
    <cellStyle name="Title 2 2 2 2 2 6 2 2 2 14" xfId="46941"/>
    <cellStyle name="Title 2 2 2 2 2 6 2 2 2 15" xfId="46942"/>
    <cellStyle name="Title 2 2 2 2 2 6 2 2 2 16" xfId="46943"/>
    <cellStyle name="Title 2 2 2 2 2 6 2 2 2 17" xfId="46944"/>
    <cellStyle name="Title 2 2 2 2 2 6 2 2 2 18" xfId="46945"/>
    <cellStyle name="Title 2 2 2 2 2 6 2 2 2 19" xfId="46946"/>
    <cellStyle name="Title 2 2 2 2 2 6 2 2 2 2" xfId="46947"/>
    <cellStyle name="Title 2 2 2 2 2 6 2 2 2 2 10" xfId="46948"/>
    <cellStyle name="Title 2 2 2 2 2 6 2 2 2 2 11" xfId="46949"/>
    <cellStyle name="Title 2 2 2 2 2 6 2 2 2 2 12" xfId="46950"/>
    <cellStyle name="Title 2 2 2 2 2 6 2 2 2 2 13" xfId="46951"/>
    <cellStyle name="Title 2 2 2 2 2 6 2 2 2 2 14" xfId="46952"/>
    <cellStyle name="Title 2 2 2 2 2 6 2 2 2 2 15" xfId="46953"/>
    <cellStyle name="Title 2 2 2 2 2 6 2 2 2 2 16" xfId="46954"/>
    <cellStyle name="Title 2 2 2 2 2 6 2 2 2 2 17" xfId="46955"/>
    <cellStyle name="Title 2 2 2 2 2 6 2 2 2 2 18" xfId="46956"/>
    <cellStyle name="Title 2 2 2 2 2 6 2 2 2 2 19" xfId="46957"/>
    <cellStyle name="Title 2 2 2 2 2 6 2 2 2 2 2" xfId="46958"/>
    <cellStyle name="Title 2 2 2 2 2 6 2 2 2 2 2 2" xfId="46959"/>
    <cellStyle name="Title 2 2 2 2 2 6 2 2 2 2 20" xfId="46960"/>
    <cellStyle name="Title 2 2 2 2 2 6 2 2 2 2 21" xfId="46961"/>
    <cellStyle name="Title 2 2 2 2 2 6 2 2 2 2 22" xfId="46962"/>
    <cellStyle name="Title 2 2 2 2 2 6 2 2 2 2 23" xfId="46963"/>
    <cellStyle name="Title 2 2 2 2 2 6 2 2 2 2 24" xfId="46964"/>
    <cellStyle name="Title 2 2 2 2 2 6 2 2 2 2 25" xfId="46965"/>
    <cellStyle name="Title 2 2 2 2 2 6 2 2 2 2 26" xfId="46966"/>
    <cellStyle name="Title 2 2 2 2 2 6 2 2 2 2 27" xfId="46967"/>
    <cellStyle name="Title 2 2 2 2 2 6 2 2 2 2 28" xfId="46968"/>
    <cellStyle name="Title 2 2 2 2 2 6 2 2 2 2 29" xfId="46969"/>
    <cellStyle name="Title 2 2 2 2 2 6 2 2 2 2 3" xfId="46970"/>
    <cellStyle name="Title 2 2 2 2 2 6 2 2 2 2 30" xfId="46971"/>
    <cellStyle name="Title 2 2 2 2 2 6 2 2 2 2 31" xfId="46972"/>
    <cellStyle name="Title 2 2 2 2 2 6 2 2 2 2 32" xfId="46973"/>
    <cellStyle name="Title 2 2 2 2 2 6 2 2 2 2 33" xfId="46974"/>
    <cellStyle name="Title 2 2 2 2 2 6 2 2 2 2 34" xfId="46975"/>
    <cellStyle name="Title 2 2 2 2 2 6 2 2 2 2 35" xfId="46976"/>
    <cellStyle name="Title 2 2 2 2 2 6 2 2 2 2 36" xfId="46977"/>
    <cellStyle name="Title 2 2 2 2 2 6 2 2 2 2 37" xfId="46978"/>
    <cellStyle name="Title 2 2 2 2 2 6 2 2 2 2 38" xfId="46979"/>
    <cellStyle name="Title 2 2 2 2 2 6 2 2 2 2 39" xfId="46980"/>
    <cellStyle name="Title 2 2 2 2 2 6 2 2 2 2 4" xfId="46981"/>
    <cellStyle name="Title 2 2 2 2 2 6 2 2 2 2 40" xfId="46982"/>
    <cellStyle name="Title 2 2 2 2 2 6 2 2 2 2 41" xfId="46983"/>
    <cellStyle name="Title 2 2 2 2 2 6 2 2 2 2 42" xfId="46984"/>
    <cellStyle name="Title 2 2 2 2 2 6 2 2 2 2 43" xfId="46985"/>
    <cellStyle name="Title 2 2 2 2 2 6 2 2 2 2 44" xfId="46986"/>
    <cellStyle name="Title 2 2 2 2 2 6 2 2 2 2 45" xfId="46987"/>
    <cellStyle name="Title 2 2 2 2 2 6 2 2 2 2 46" xfId="46988"/>
    <cellStyle name="Title 2 2 2 2 2 6 2 2 2 2 47" xfId="46989"/>
    <cellStyle name="Title 2 2 2 2 2 6 2 2 2 2 48" xfId="46990"/>
    <cellStyle name="Title 2 2 2 2 2 6 2 2 2 2 49" xfId="46991"/>
    <cellStyle name="Title 2 2 2 2 2 6 2 2 2 2 5" xfId="46992"/>
    <cellStyle name="Title 2 2 2 2 2 6 2 2 2 2 50" xfId="46993"/>
    <cellStyle name="Title 2 2 2 2 2 6 2 2 2 2 51" xfId="46994"/>
    <cellStyle name="Title 2 2 2 2 2 6 2 2 2 2 52" xfId="46995"/>
    <cellStyle name="Title 2 2 2 2 2 6 2 2 2 2 53" xfId="46996"/>
    <cellStyle name="Title 2 2 2 2 2 6 2 2 2 2 54" xfId="46997"/>
    <cellStyle name="Title 2 2 2 2 2 6 2 2 2 2 55" xfId="46998"/>
    <cellStyle name="Title 2 2 2 2 2 6 2 2 2 2 56" xfId="46999"/>
    <cellStyle name="Title 2 2 2 2 2 6 2 2 2 2 57" xfId="47000"/>
    <cellStyle name="Title 2 2 2 2 2 6 2 2 2 2 58" xfId="47001"/>
    <cellStyle name="Title 2 2 2 2 2 6 2 2 2 2 59" xfId="47002"/>
    <cellStyle name="Title 2 2 2 2 2 6 2 2 2 2 6" xfId="47003"/>
    <cellStyle name="Title 2 2 2 2 2 6 2 2 2 2 60" xfId="47004"/>
    <cellStyle name="Title 2 2 2 2 2 6 2 2 2 2 61" xfId="47005"/>
    <cellStyle name="Title 2 2 2 2 2 6 2 2 2 2 62" xfId="47006"/>
    <cellStyle name="Title 2 2 2 2 2 6 2 2 2 2 63" xfId="47007"/>
    <cellStyle name="Title 2 2 2 2 2 6 2 2 2 2 64" xfId="47008"/>
    <cellStyle name="Title 2 2 2 2 2 6 2 2 2 2 65" xfId="47009"/>
    <cellStyle name="Title 2 2 2 2 2 6 2 2 2 2 66" xfId="47010"/>
    <cellStyle name="Title 2 2 2 2 2 6 2 2 2 2 67" xfId="47011"/>
    <cellStyle name="Title 2 2 2 2 2 6 2 2 2 2 68" xfId="47012"/>
    <cellStyle name="Title 2 2 2 2 2 6 2 2 2 2 69" xfId="47013"/>
    <cellStyle name="Title 2 2 2 2 2 6 2 2 2 2 7" xfId="47014"/>
    <cellStyle name="Title 2 2 2 2 2 6 2 2 2 2 70" xfId="47015"/>
    <cellStyle name="Title 2 2 2 2 2 6 2 2 2 2 71" xfId="47016"/>
    <cellStyle name="Title 2 2 2 2 2 6 2 2 2 2 72" xfId="47017"/>
    <cellStyle name="Title 2 2 2 2 2 6 2 2 2 2 73" xfId="47018"/>
    <cellStyle name="Title 2 2 2 2 2 6 2 2 2 2 74" xfId="47019"/>
    <cellStyle name="Title 2 2 2 2 2 6 2 2 2 2 8" xfId="47020"/>
    <cellStyle name="Title 2 2 2 2 2 6 2 2 2 2 9" xfId="47021"/>
    <cellStyle name="Title 2 2 2 2 2 6 2 2 2 20" xfId="47022"/>
    <cellStyle name="Title 2 2 2 2 2 6 2 2 2 21" xfId="47023"/>
    <cellStyle name="Title 2 2 2 2 2 6 2 2 2 22" xfId="47024"/>
    <cellStyle name="Title 2 2 2 2 2 6 2 2 2 23" xfId="47025"/>
    <cellStyle name="Title 2 2 2 2 2 6 2 2 2 24" xfId="47026"/>
    <cellStyle name="Title 2 2 2 2 2 6 2 2 2 25" xfId="47027"/>
    <cellStyle name="Title 2 2 2 2 2 6 2 2 2 26" xfId="47028"/>
    <cellStyle name="Title 2 2 2 2 2 6 2 2 2 27" xfId="47029"/>
    <cellStyle name="Title 2 2 2 2 2 6 2 2 2 28" xfId="47030"/>
    <cellStyle name="Title 2 2 2 2 2 6 2 2 2 29" xfId="47031"/>
    <cellStyle name="Title 2 2 2 2 2 6 2 2 2 3" xfId="47032"/>
    <cellStyle name="Title 2 2 2 2 2 6 2 2 2 3 2" xfId="47033"/>
    <cellStyle name="Title 2 2 2 2 2 6 2 2 2 30" xfId="47034"/>
    <cellStyle name="Title 2 2 2 2 2 6 2 2 2 31" xfId="47035"/>
    <cellStyle name="Title 2 2 2 2 2 6 2 2 2 32" xfId="47036"/>
    <cellStyle name="Title 2 2 2 2 2 6 2 2 2 33" xfId="47037"/>
    <cellStyle name="Title 2 2 2 2 2 6 2 2 2 34" xfId="47038"/>
    <cellStyle name="Title 2 2 2 2 2 6 2 2 2 35" xfId="47039"/>
    <cellStyle name="Title 2 2 2 2 2 6 2 2 2 36" xfId="47040"/>
    <cellStyle name="Title 2 2 2 2 2 6 2 2 2 37" xfId="47041"/>
    <cellStyle name="Title 2 2 2 2 2 6 2 2 2 38" xfId="47042"/>
    <cellStyle name="Title 2 2 2 2 2 6 2 2 2 39" xfId="47043"/>
    <cellStyle name="Title 2 2 2 2 2 6 2 2 2 4" xfId="47044"/>
    <cellStyle name="Title 2 2 2 2 2 6 2 2 2 40" xfId="47045"/>
    <cellStyle name="Title 2 2 2 2 2 6 2 2 2 41" xfId="47046"/>
    <cellStyle name="Title 2 2 2 2 2 6 2 2 2 42" xfId="47047"/>
    <cellStyle name="Title 2 2 2 2 2 6 2 2 2 43" xfId="47048"/>
    <cellStyle name="Title 2 2 2 2 2 6 2 2 2 44" xfId="47049"/>
    <cellStyle name="Title 2 2 2 2 2 6 2 2 2 45" xfId="47050"/>
    <cellStyle name="Title 2 2 2 2 2 6 2 2 2 46" xfId="47051"/>
    <cellStyle name="Title 2 2 2 2 2 6 2 2 2 47" xfId="47052"/>
    <cellStyle name="Title 2 2 2 2 2 6 2 2 2 48" xfId="47053"/>
    <cellStyle name="Title 2 2 2 2 2 6 2 2 2 49" xfId="47054"/>
    <cellStyle name="Title 2 2 2 2 2 6 2 2 2 5" xfId="47055"/>
    <cellStyle name="Title 2 2 2 2 2 6 2 2 2 50" xfId="47056"/>
    <cellStyle name="Title 2 2 2 2 2 6 2 2 2 51" xfId="47057"/>
    <cellStyle name="Title 2 2 2 2 2 6 2 2 2 52" xfId="47058"/>
    <cellStyle name="Title 2 2 2 2 2 6 2 2 2 53" xfId="47059"/>
    <cellStyle name="Title 2 2 2 2 2 6 2 2 2 54" xfId="47060"/>
    <cellStyle name="Title 2 2 2 2 2 6 2 2 2 55" xfId="47061"/>
    <cellStyle name="Title 2 2 2 2 2 6 2 2 2 56" xfId="47062"/>
    <cellStyle name="Title 2 2 2 2 2 6 2 2 2 57" xfId="47063"/>
    <cellStyle name="Title 2 2 2 2 2 6 2 2 2 58" xfId="47064"/>
    <cellStyle name="Title 2 2 2 2 2 6 2 2 2 59" xfId="47065"/>
    <cellStyle name="Title 2 2 2 2 2 6 2 2 2 6" xfId="47066"/>
    <cellStyle name="Title 2 2 2 2 2 6 2 2 2 60" xfId="47067"/>
    <cellStyle name="Title 2 2 2 2 2 6 2 2 2 61" xfId="47068"/>
    <cellStyle name="Title 2 2 2 2 2 6 2 2 2 62" xfId="47069"/>
    <cellStyle name="Title 2 2 2 2 2 6 2 2 2 63" xfId="47070"/>
    <cellStyle name="Title 2 2 2 2 2 6 2 2 2 64" xfId="47071"/>
    <cellStyle name="Title 2 2 2 2 2 6 2 2 2 65" xfId="47072"/>
    <cellStyle name="Title 2 2 2 2 2 6 2 2 2 66" xfId="47073"/>
    <cellStyle name="Title 2 2 2 2 2 6 2 2 2 67" xfId="47074"/>
    <cellStyle name="Title 2 2 2 2 2 6 2 2 2 68" xfId="47075"/>
    <cellStyle name="Title 2 2 2 2 2 6 2 2 2 69" xfId="47076"/>
    <cellStyle name="Title 2 2 2 2 2 6 2 2 2 7" xfId="47077"/>
    <cellStyle name="Title 2 2 2 2 2 6 2 2 2 70" xfId="47078"/>
    <cellStyle name="Title 2 2 2 2 2 6 2 2 2 71" xfId="47079"/>
    <cellStyle name="Title 2 2 2 2 2 6 2 2 2 72" xfId="47080"/>
    <cellStyle name="Title 2 2 2 2 2 6 2 2 2 73" xfId="47081"/>
    <cellStyle name="Title 2 2 2 2 2 6 2 2 2 74" xfId="47082"/>
    <cellStyle name="Title 2 2 2 2 2 6 2 2 2 8" xfId="47083"/>
    <cellStyle name="Title 2 2 2 2 2 6 2 2 2 9" xfId="47084"/>
    <cellStyle name="Title 2 2 2 2 2 6 2 2 20" xfId="47085"/>
    <cellStyle name="Title 2 2 2 2 2 6 2 2 21" xfId="47086"/>
    <cellStyle name="Title 2 2 2 2 2 6 2 2 22" xfId="47087"/>
    <cellStyle name="Title 2 2 2 2 2 6 2 2 23" xfId="47088"/>
    <cellStyle name="Title 2 2 2 2 2 6 2 2 24" xfId="47089"/>
    <cellStyle name="Title 2 2 2 2 2 6 2 2 25" xfId="47090"/>
    <cellStyle name="Title 2 2 2 2 2 6 2 2 26" xfId="47091"/>
    <cellStyle name="Title 2 2 2 2 2 6 2 2 27" xfId="47092"/>
    <cellStyle name="Title 2 2 2 2 2 6 2 2 28" xfId="47093"/>
    <cellStyle name="Title 2 2 2 2 2 6 2 2 29" xfId="47094"/>
    <cellStyle name="Title 2 2 2 2 2 6 2 2 3" xfId="47095"/>
    <cellStyle name="Title 2 2 2 2 2 6 2 2 3 2" xfId="47096"/>
    <cellStyle name="Title 2 2 2 2 2 6 2 2 30" xfId="47097"/>
    <cellStyle name="Title 2 2 2 2 2 6 2 2 31" xfId="47098"/>
    <cellStyle name="Title 2 2 2 2 2 6 2 2 32" xfId="47099"/>
    <cellStyle name="Title 2 2 2 2 2 6 2 2 33" xfId="47100"/>
    <cellStyle name="Title 2 2 2 2 2 6 2 2 34" xfId="47101"/>
    <cellStyle name="Title 2 2 2 2 2 6 2 2 35" xfId="47102"/>
    <cellStyle name="Title 2 2 2 2 2 6 2 2 36" xfId="47103"/>
    <cellStyle name="Title 2 2 2 2 2 6 2 2 37" xfId="47104"/>
    <cellStyle name="Title 2 2 2 2 2 6 2 2 38" xfId="47105"/>
    <cellStyle name="Title 2 2 2 2 2 6 2 2 39" xfId="47106"/>
    <cellStyle name="Title 2 2 2 2 2 6 2 2 4" xfId="47107"/>
    <cellStyle name="Title 2 2 2 2 2 6 2 2 40" xfId="47108"/>
    <cellStyle name="Title 2 2 2 2 2 6 2 2 41" xfId="47109"/>
    <cellStyle name="Title 2 2 2 2 2 6 2 2 42" xfId="47110"/>
    <cellStyle name="Title 2 2 2 2 2 6 2 2 43" xfId="47111"/>
    <cellStyle name="Title 2 2 2 2 2 6 2 2 44" xfId="47112"/>
    <cellStyle name="Title 2 2 2 2 2 6 2 2 45" xfId="47113"/>
    <cellStyle name="Title 2 2 2 2 2 6 2 2 46" xfId="47114"/>
    <cellStyle name="Title 2 2 2 2 2 6 2 2 47" xfId="47115"/>
    <cellStyle name="Title 2 2 2 2 2 6 2 2 48" xfId="47116"/>
    <cellStyle name="Title 2 2 2 2 2 6 2 2 49" xfId="47117"/>
    <cellStyle name="Title 2 2 2 2 2 6 2 2 5" xfId="47118"/>
    <cellStyle name="Title 2 2 2 2 2 6 2 2 50" xfId="47119"/>
    <cellStyle name="Title 2 2 2 2 2 6 2 2 51" xfId="47120"/>
    <cellStyle name="Title 2 2 2 2 2 6 2 2 52" xfId="47121"/>
    <cellStyle name="Title 2 2 2 2 2 6 2 2 53" xfId="47122"/>
    <cellStyle name="Title 2 2 2 2 2 6 2 2 54" xfId="47123"/>
    <cellStyle name="Title 2 2 2 2 2 6 2 2 55" xfId="47124"/>
    <cellStyle name="Title 2 2 2 2 2 6 2 2 56" xfId="47125"/>
    <cellStyle name="Title 2 2 2 2 2 6 2 2 57" xfId="47126"/>
    <cellStyle name="Title 2 2 2 2 2 6 2 2 58" xfId="47127"/>
    <cellStyle name="Title 2 2 2 2 2 6 2 2 59" xfId="47128"/>
    <cellStyle name="Title 2 2 2 2 2 6 2 2 6" xfId="47129"/>
    <cellStyle name="Title 2 2 2 2 2 6 2 2 60" xfId="47130"/>
    <cellStyle name="Title 2 2 2 2 2 6 2 2 61" xfId="47131"/>
    <cellStyle name="Title 2 2 2 2 2 6 2 2 62" xfId="47132"/>
    <cellStyle name="Title 2 2 2 2 2 6 2 2 63" xfId="47133"/>
    <cellStyle name="Title 2 2 2 2 2 6 2 2 64" xfId="47134"/>
    <cellStyle name="Title 2 2 2 2 2 6 2 2 65" xfId="47135"/>
    <cellStyle name="Title 2 2 2 2 2 6 2 2 66" xfId="47136"/>
    <cellStyle name="Title 2 2 2 2 2 6 2 2 67" xfId="47137"/>
    <cellStyle name="Title 2 2 2 2 2 6 2 2 68" xfId="47138"/>
    <cellStyle name="Title 2 2 2 2 2 6 2 2 69" xfId="47139"/>
    <cellStyle name="Title 2 2 2 2 2 6 2 2 7" xfId="47140"/>
    <cellStyle name="Title 2 2 2 2 2 6 2 2 70" xfId="47141"/>
    <cellStyle name="Title 2 2 2 2 2 6 2 2 71" xfId="47142"/>
    <cellStyle name="Title 2 2 2 2 2 6 2 2 72" xfId="47143"/>
    <cellStyle name="Title 2 2 2 2 2 6 2 2 73" xfId="47144"/>
    <cellStyle name="Title 2 2 2 2 2 6 2 2 74" xfId="47145"/>
    <cellStyle name="Title 2 2 2 2 2 6 2 2 75" xfId="47146"/>
    <cellStyle name="Title 2 2 2 2 2 6 2 2 76" xfId="47147"/>
    <cellStyle name="Title 2 2 2 2 2 6 2 2 77" xfId="47148"/>
    <cellStyle name="Title 2 2 2 2 2 6 2 2 78" xfId="47149"/>
    <cellStyle name="Title 2 2 2 2 2 6 2 2 79" xfId="47150"/>
    <cellStyle name="Title 2 2 2 2 2 6 2 2 8" xfId="47151"/>
    <cellStyle name="Title 2 2 2 2 2 6 2 2 80" xfId="47152"/>
    <cellStyle name="Title 2 2 2 2 2 6 2 2 81" xfId="47153"/>
    <cellStyle name="Title 2 2 2 2 2 6 2 2 82" xfId="47154"/>
    <cellStyle name="Title 2 2 2 2 2 6 2 2 83" xfId="47155"/>
    <cellStyle name="Title 2 2 2 2 2 6 2 2 84" xfId="47156"/>
    <cellStyle name="Title 2 2 2 2 2 6 2 2 85" xfId="47157"/>
    <cellStyle name="Title 2 2 2 2 2 6 2 2 86" xfId="47158"/>
    <cellStyle name="Title 2 2 2 2 2 6 2 2 87" xfId="47159"/>
    <cellStyle name="Title 2 2 2 2 2 6 2 2 88" xfId="47160"/>
    <cellStyle name="Title 2 2 2 2 2 6 2 2 9" xfId="47161"/>
    <cellStyle name="Title 2 2 2 2 2 6 2 20" xfId="47162"/>
    <cellStyle name="Title 2 2 2 2 2 6 2 21" xfId="47163"/>
    <cellStyle name="Title 2 2 2 2 2 6 2 22" xfId="47164"/>
    <cellStyle name="Title 2 2 2 2 2 6 2 23" xfId="47165"/>
    <cellStyle name="Title 2 2 2 2 2 6 2 24" xfId="47166"/>
    <cellStyle name="Title 2 2 2 2 2 6 2 25" xfId="47167"/>
    <cellStyle name="Title 2 2 2 2 2 6 2 26" xfId="47168"/>
    <cellStyle name="Title 2 2 2 2 2 6 2 27" xfId="47169"/>
    <cellStyle name="Title 2 2 2 2 2 6 2 28" xfId="47170"/>
    <cellStyle name="Title 2 2 2 2 2 6 2 29" xfId="47171"/>
    <cellStyle name="Title 2 2 2 2 2 6 2 3" xfId="47172"/>
    <cellStyle name="Title 2 2 2 2 2 6 2 3 2" xfId="47173"/>
    <cellStyle name="Title 2 2 2 2 2 6 2 30" xfId="47174"/>
    <cellStyle name="Title 2 2 2 2 2 6 2 31" xfId="47175"/>
    <cellStyle name="Title 2 2 2 2 2 6 2 32" xfId="47176"/>
    <cellStyle name="Title 2 2 2 2 2 6 2 33" xfId="47177"/>
    <cellStyle name="Title 2 2 2 2 2 6 2 34" xfId="47178"/>
    <cellStyle name="Title 2 2 2 2 2 6 2 35" xfId="47179"/>
    <cellStyle name="Title 2 2 2 2 2 6 2 36" xfId="47180"/>
    <cellStyle name="Title 2 2 2 2 2 6 2 37" xfId="47181"/>
    <cellStyle name="Title 2 2 2 2 2 6 2 38" xfId="47182"/>
    <cellStyle name="Title 2 2 2 2 2 6 2 39" xfId="47183"/>
    <cellStyle name="Title 2 2 2 2 2 6 2 4" xfId="47184"/>
    <cellStyle name="Title 2 2 2 2 2 6 2 40" xfId="47185"/>
    <cellStyle name="Title 2 2 2 2 2 6 2 41" xfId="47186"/>
    <cellStyle name="Title 2 2 2 2 2 6 2 42" xfId="47187"/>
    <cellStyle name="Title 2 2 2 2 2 6 2 43" xfId="47188"/>
    <cellStyle name="Title 2 2 2 2 2 6 2 44" xfId="47189"/>
    <cellStyle name="Title 2 2 2 2 2 6 2 45" xfId="47190"/>
    <cellStyle name="Title 2 2 2 2 2 6 2 46" xfId="47191"/>
    <cellStyle name="Title 2 2 2 2 2 6 2 47" xfId="47192"/>
    <cellStyle name="Title 2 2 2 2 2 6 2 48" xfId="47193"/>
    <cellStyle name="Title 2 2 2 2 2 6 2 49" xfId="47194"/>
    <cellStyle name="Title 2 2 2 2 2 6 2 5" xfId="47195"/>
    <cellStyle name="Title 2 2 2 2 2 6 2 50" xfId="47196"/>
    <cellStyle name="Title 2 2 2 2 2 6 2 51" xfId="47197"/>
    <cellStyle name="Title 2 2 2 2 2 6 2 52" xfId="47198"/>
    <cellStyle name="Title 2 2 2 2 2 6 2 53" xfId="47199"/>
    <cellStyle name="Title 2 2 2 2 2 6 2 54" xfId="47200"/>
    <cellStyle name="Title 2 2 2 2 2 6 2 55" xfId="47201"/>
    <cellStyle name="Title 2 2 2 2 2 6 2 56" xfId="47202"/>
    <cellStyle name="Title 2 2 2 2 2 6 2 57" xfId="47203"/>
    <cellStyle name="Title 2 2 2 2 2 6 2 58" xfId="47204"/>
    <cellStyle name="Title 2 2 2 2 2 6 2 59" xfId="47205"/>
    <cellStyle name="Title 2 2 2 2 2 6 2 6" xfId="47206"/>
    <cellStyle name="Title 2 2 2 2 2 6 2 60" xfId="47207"/>
    <cellStyle name="Title 2 2 2 2 2 6 2 61" xfId="47208"/>
    <cellStyle name="Title 2 2 2 2 2 6 2 62" xfId="47209"/>
    <cellStyle name="Title 2 2 2 2 2 6 2 63" xfId="47210"/>
    <cellStyle name="Title 2 2 2 2 2 6 2 64" xfId="47211"/>
    <cellStyle name="Title 2 2 2 2 2 6 2 65" xfId="47212"/>
    <cellStyle name="Title 2 2 2 2 2 6 2 66" xfId="47213"/>
    <cellStyle name="Title 2 2 2 2 2 6 2 67" xfId="47214"/>
    <cellStyle name="Title 2 2 2 2 2 6 2 68" xfId="47215"/>
    <cellStyle name="Title 2 2 2 2 2 6 2 69" xfId="47216"/>
    <cellStyle name="Title 2 2 2 2 2 6 2 7" xfId="47217"/>
    <cellStyle name="Title 2 2 2 2 2 6 2 70" xfId="47218"/>
    <cellStyle name="Title 2 2 2 2 2 6 2 71" xfId="47219"/>
    <cellStyle name="Title 2 2 2 2 2 6 2 72" xfId="47220"/>
    <cellStyle name="Title 2 2 2 2 2 6 2 73" xfId="47221"/>
    <cellStyle name="Title 2 2 2 2 2 6 2 74" xfId="47222"/>
    <cellStyle name="Title 2 2 2 2 2 6 2 75" xfId="47223"/>
    <cellStyle name="Title 2 2 2 2 2 6 2 76" xfId="47224"/>
    <cellStyle name="Title 2 2 2 2 2 6 2 77" xfId="47225"/>
    <cellStyle name="Title 2 2 2 2 2 6 2 78" xfId="47226"/>
    <cellStyle name="Title 2 2 2 2 2 6 2 79" xfId="47227"/>
    <cellStyle name="Title 2 2 2 2 2 6 2 8" xfId="47228"/>
    <cellStyle name="Title 2 2 2 2 2 6 2 80" xfId="47229"/>
    <cellStyle name="Title 2 2 2 2 2 6 2 81" xfId="47230"/>
    <cellStyle name="Title 2 2 2 2 2 6 2 82" xfId="47231"/>
    <cellStyle name="Title 2 2 2 2 2 6 2 83" xfId="47232"/>
    <cellStyle name="Title 2 2 2 2 2 6 2 84" xfId="47233"/>
    <cellStyle name="Title 2 2 2 2 2 6 2 85" xfId="47234"/>
    <cellStyle name="Title 2 2 2 2 2 6 2 86" xfId="47235"/>
    <cellStyle name="Title 2 2 2 2 2 6 2 87" xfId="47236"/>
    <cellStyle name="Title 2 2 2 2 2 6 2 88" xfId="47237"/>
    <cellStyle name="Title 2 2 2 2 2 6 2 9" xfId="47238"/>
    <cellStyle name="Title 2 2 2 2 2 6 20" xfId="47239"/>
    <cellStyle name="Title 2 2 2 2 2 6 20 2" xfId="47240"/>
    <cellStyle name="Title 2 2 2 2 2 6 21" xfId="47241"/>
    <cellStyle name="Title 2 2 2 2 2 6 21 2" xfId="47242"/>
    <cellStyle name="Title 2 2 2 2 2 6 22" xfId="47243"/>
    <cellStyle name="Title 2 2 2 2 2 6 22 2" xfId="47244"/>
    <cellStyle name="Title 2 2 2 2 2 6 23" xfId="47245"/>
    <cellStyle name="Title 2 2 2 2 2 6 23 2" xfId="47246"/>
    <cellStyle name="Title 2 2 2 2 2 6 24" xfId="47247"/>
    <cellStyle name="Title 2 2 2 2 2 6 24 2" xfId="47248"/>
    <cellStyle name="Title 2 2 2 2 2 6 25" xfId="47249"/>
    <cellStyle name="Title 2 2 2 2 2 6 25 2" xfId="47250"/>
    <cellStyle name="Title 2 2 2 2 2 6 26" xfId="47251"/>
    <cellStyle name="Title 2 2 2 2 2 6 26 2" xfId="47252"/>
    <cellStyle name="Title 2 2 2 2 2 6 27" xfId="47253"/>
    <cellStyle name="Title 2 2 2 2 2 6 27 2" xfId="47254"/>
    <cellStyle name="Title 2 2 2 2 2 6 28" xfId="47255"/>
    <cellStyle name="Title 2 2 2 2 2 6 28 2" xfId="47256"/>
    <cellStyle name="Title 2 2 2 2 2 6 29" xfId="47257"/>
    <cellStyle name="Title 2 2 2 2 2 6 29 2" xfId="47258"/>
    <cellStyle name="Title 2 2 2 2 2 6 3" xfId="47259"/>
    <cellStyle name="Title 2 2 2 2 2 6 3 2" xfId="47260"/>
    <cellStyle name="Title 2 2 2 2 2 6 30" xfId="47261"/>
    <cellStyle name="Title 2 2 2 2 2 6 30 2" xfId="47262"/>
    <cellStyle name="Title 2 2 2 2 2 6 31" xfId="47263"/>
    <cellStyle name="Title 2 2 2 2 2 6 31 2" xfId="47264"/>
    <cellStyle name="Title 2 2 2 2 2 6 32" xfId="47265"/>
    <cellStyle name="Title 2 2 2 2 2 6 32 2" xfId="47266"/>
    <cellStyle name="Title 2 2 2 2 2 6 33" xfId="47267"/>
    <cellStyle name="Title 2 2 2 2 2 6 33 2" xfId="47268"/>
    <cellStyle name="Title 2 2 2 2 2 6 34" xfId="47269"/>
    <cellStyle name="Title 2 2 2 2 2 6 34 2" xfId="47270"/>
    <cellStyle name="Title 2 2 2 2 2 6 35" xfId="47271"/>
    <cellStyle name="Title 2 2 2 2 2 6 35 2" xfId="47272"/>
    <cellStyle name="Title 2 2 2 2 2 6 36" xfId="47273"/>
    <cellStyle name="Title 2 2 2 2 2 6 36 2" xfId="47274"/>
    <cellStyle name="Title 2 2 2 2 2 6 37" xfId="47275"/>
    <cellStyle name="Title 2 2 2 2 2 6 37 2" xfId="47276"/>
    <cellStyle name="Title 2 2 2 2 2 6 38" xfId="47277"/>
    <cellStyle name="Title 2 2 2 2 2 6 38 2" xfId="47278"/>
    <cellStyle name="Title 2 2 2 2 2 6 39" xfId="47279"/>
    <cellStyle name="Title 2 2 2 2 2 6 39 2" xfId="47280"/>
    <cellStyle name="Title 2 2 2 2 2 6 4" xfId="47281"/>
    <cellStyle name="Title 2 2 2 2 2 6 4 2" xfId="47282"/>
    <cellStyle name="Title 2 2 2 2 2 6 40" xfId="47283"/>
    <cellStyle name="Title 2 2 2 2 2 6 40 2" xfId="47284"/>
    <cellStyle name="Title 2 2 2 2 2 6 41" xfId="47285"/>
    <cellStyle name="Title 2 2 2 2 2 6 41 2" xfId="47286"/>
    <cellStyle name="Title 2 2 2 2 2 6 42" xfId="47287"/>
    <cellStyle name="Title 2 2 2 2 2 6 42 2" xfId="47288"/>
    <cellStyle name="Title 2 2 2 2 2 6 43" xfId="47289"/>
    <cellStyle name="Title 2 2 2 2 2 6 43 2" xfId="47290"/>
    <cellStyle name="Title 2 2 2 2 2 6 44" xfId="47291"/>
    <cellStyle name="Title 2 2 2 2 2 6 44 2" xfId="47292"/>
    <cellStyle name="Title 2 2 2 2 2 6 45" xfId="47293"/>
    <cellStyle name="Title 2 2 2 2 2 6 46" xfId="47294"/>
    <cellStyle name="Title 2 2 2 2 2 6 47" xfId="47295"/>
    <cellStyle name="Title 2 2 2 2 2 6 48" xfId="47296"/>
    <cellStyle name="Title 2 2 2 2 2 6 49" xfId="47297"/>
    <cellStyle name="Title 2 2 2 2 2 6 5" xfId="47298"/>
    <cellStyle name="Title 2 2 2 2 2 6 5 2" xfId="47299"/>
    <cellStyle name="Title 2 2 2 2 2 6 50" xfId="47300"/>
    <cellStyle name="Title 2 2 2 2 2 6 51" xfId="47301"/>
    <cellStyle name="Title 2 2 2 2 2 6 52" xfId="47302"/>
    <cellStyle name="Title 2 2 2 2 2 6 53" xfId="47303"/>
    <cellStyle name="Title 2 2 2 2 2 6 54" xfId="47304"/>
    <cellStyle name="Title 2 2 2 2 2 6 55" xfId="47305"/>
    <cellStyle name="Title 2 2 2 2 2 6 56" xfId="47306"/>
    <cellStyle name="Title 2 2 2 2 2 6 57" xfId="47307"/>
    <cellStyle name="Title 2 2 2 2 2 6 58" xfId="47308"/>
    <cellStyle name="Title 2 2 2 2 2 6 59" xfId="47309"/>
    <cellStyle name="Title 2 2 2 2 2 6 6" xfId="47310"/>
    <cellStyle name="Title 2 2 2 2 2 6 6 2" xfId="47311"/>
    <cellStyle name="Title 2 2 2 2 2 6 60" xfId="47312"/>
    <cellStyle name="Title 2 2 2 2 2 6 61" xfId="47313"/>
    <cellStyle name="Title 2 2 2 2 2 6 62" xfId="47314"/>
    <cellStyle name="Title 2 2 2 2 2 6 63" xfId="47315"/>
    <cellStyle name="Title 2 2 2 2 2 6 64" xfId="47316"/>
    <cellStyle name="Title 2 2 2 2 2 6 65" xfId="47317"/>
    <cellStyle name="Title 2 2 2 2 2 6 66" xfId="47318"/>
    <cellStyle name="Title 2 2 2 2 2 6 67" xfId="47319"/>
    <cellStyle name="Title 2 2 2 2 2 6 68" xfId="47320"/>
    <cellStyle name="Title 2 2 2 2 2 6 69" xfId="47321"/>
    <cellStyle name="Title 2 2 2 2 2 6 7" xfId="47322"/>
    <cellStyle name="Title 2 2 2 2 2 6 7 2" xfId="47323"/>
    <cellStyle name="Title 2 2 2 2 2 6 70" xfId="47324"/>
    <cellStyle name="Title 2 2 2 2 2 6 71" xfId="47325"/>
    <cellStyle name="Title 2 2 2 2 2 6 72" xfId="47326"/>
    <cellStyle name="Title 2 2 2 2 2 6 73" xfId="47327"/>
    <cellStyle name="Title 2 2 2 2 2 6 74" xfId="47328"/>
    <cellStyle name="Title 2 2 2 2 2 6 75" xfId="47329"/>
    <cellStyle name="Title 2 2 2 2 2 6 76" xfId="47330"/>
    <cellStyle name="Title 2 2 2 2 2 6 77" xfId="47331"/>
    <cellStyle name="Title 2 2 2 2 2 6 78" xfId="47332"/>
    <cellStyle name="Title 2 2 2 2 2 6 79" xfId="47333"/>
    <cellStyle name="Title 2 2 2 2 2 6 8" xfId="47334"/>
    <cellStyle name="Title 2 2 2 2 2 6 8 2" xfId="47335"/>
    <cellStyle name="Title 2 2 2 2 2 6 80" xfId="47336"/>
    <cellStyle name="Title 2 2 2 2 2 6 81" xfId="47337"/>
    <cellStyle name="Title 2 2 2 2 2 6 82" xfId="47338"/>
    <cellStyle name="Title 2 2 2 2 2 6 83" xfId="47339"/>
    <cellStyle name="Title 2 2 2 2 2 6 84" xfId="47340"/>
    <cellStyle name="Title 2 2 2 2 2 6 85" xfId="47341"/>
    <cellStyle name="Title 2 2 2 2 2 6 86" xfId="47342"/>
    <cellStyle name="Title 2 2 2 2 2 6 87" xfId="47343"/>
    <cellStyle name="Title 2 2 2 2 2 6 88" xfId="47344"/>
    <cellStyle name="Title 2 2 2 2 2 6 89" xfId="47345"/>
    <cellStyle name="Title 2 2 2 2 2 6 9" xfId="47346"/>
    <cellStyle name="Title 2 2 2 2 2 6 9 2" xfId="47347"/>
    <cellStyle name="Title 2 2 2 2 2 6 90" xfId="47348"/>
    <cellStyle name="Title 2 2 2 2 2 6 91" xfId="47349"/>
    <cellStyle name="Title 2 2 2 2 2 6 92" xfId="47350"/>
    <cellStyle name="Title 2 2 2 2 2 6 93" xfId="47351"/>
    <cellStyle name="Title 2 2 2 2 2 6 94" xfId="47352"/>
    <cellStyle name="Title 2 2 2 2 2 6 95" xfId="47353"/>
    <cellStyle name="Title 2 2 2 2 2 6 96" xfId="47354"/>
    <cellStyle name="Title 2 2 2 2 2 6 97" xfId="47355"/>
    <cellStyle name="Title 2 2 2 2 2 6 98" xfId="47356"/>
    <cellStyle name="Title 2 2 2 2 2 6 99" xfId="47357"/>
    <cellStyle name="Title 2 2 2 2 2 60" xfId="47358"/>
    <cellStyle name="Title 2 2 2 2 2 60 2" xfId="47359"/>
    <cellStyle name="Title 2 2 2 2 2 61" xfId="47360"/>
    <cellStyle name="Title 2 2 2 2 2 61 2" xfId="47361"/>
    <cellStyle name="Title 2 2 2 2 2 62" xfId="47362"/>
    <cellStyle name="Title 2 2 2 2 2 62 2" xfId="47363"/>
    <cellStyle name="Title 2 2 2 2 2 63" xfId="47364"/>
    <cellStyle name="Title 2 2 2 2 2 63 2" xfId="47365"/>
    <cellStyle name="Title 2 2 2 2 2 64" xfId="47366"/>
    <cellStyle name="Title 2 2 2 2 2 64 2" xfId="47367"/>
    <cellStyle name="Title 2 2 2 2 2 65" xfId="47368"/>
    <cellStyle name="Title 2 2 2 2 2 65 2" xfId="47369"/>
    <cellStyle name="Title 2 2 2 2 2 66" xfId="47370"/>
    <cellStyle name="Title 2 2 2 2 2 66 2" xfId="47371"/>
    <cellStyle name="Title 2 2 2 2 2 67" xfId="47372"/>
    <cellStyle name="Title 2 2 2 2 2 67 2" xfId="47373"/>
    <cellStyle name="Title 2 2 2 2 2 68" xfId="47374"/>
    <cellStyle name="Title 2 2 2 2 2 68 2" xfId="47375"/>
    <cellStyle name="Title 2 2 2 2 2 69" xfId="47376"/>
    <cellStyle name="Title 2 2 2 2 2 69 2" xfId="47377"/>
    <cellStyle name="Title 2 2 2 2 2 7" xfId="47378"/>
    <cellStyle name="Title 2 2 2 2 2 7 2" xfId="47379"/>
    <cellStyle name="Title 2 2 2 2 2 70" xfId="47380"/>
    <cellStyle name="Title 2 2 2 2 2 70 2" xfId="47381"/>
    <cellStyle name="Title 2 2 2 2 2 71" xfId="47382"/>
    <cellStyle name="Title 2 2 2 2 2 71 2" xfId="47383"/>
    <cellStyle name="Title 2 2 2 2 2 72" xfId="47384"/>
    <cellStyle name="Title 2 2 2 2 2 72 2" xfId="47385"/>
    <cellStyle name="Title 2 2 2 2 2 73" xfId="47386"/>
    <cellStyle name="Title 2 2 2 2 2 73 2" xfId="47387"/>
    <cellStyle name="Title 2 2 2 2 2 74" xfId="47388"/>
    <cellStyle name="Title 2 2 2 2 2 75" xfId="47389"/>
    <cellStyle name="Title 2 2 2 2 2 76" xfId="47390"/>
    <cellStyle name="Title 2 2 2 2 2 77" xfId="47391"/>
    <cellStyle name="Title 2 2 2 2 2 78" xfId="47392"/>
    <cellStyle name="Title 2 2 2 2 2 79" xfId="47393"/>
    <cellStyle name="Title 2 2 2 2 2 8" xfId="47394"/>
    <cellStyle name="Title 2 2 2 2 2 8 2" xfId="47395"/>
    <cellStyle name="Title 2 2 2 2 2 80" xfId="47396"/>
    <cellStyle name="Title 2 2 2 2 2 81" xfId="47397"/>
    <cellStyle name="Title 2 2 2 2 2 82" xfId="47398"/>
    <cellStyle name="Title 2 2 2 2 2 83" xfId="47399"/>
    <cellStyle name="Title 2 2 2 2 2 84" xfId="47400"/>
    <cellStyle name="Title 2 2 2 2 2 85" xfId="47401"/>
    <cellStyle name="Title 2 2 2 2 2 86" xfId="47402"/>
    <cellStyle name="Title 2 2 2 2 2 87" xfId="47403"/>
    <cellStyle name="Title 2 2 2 2 2 88" xfId="47404"/>
    <cellStyle name="Title 2 2 2 2 2 89" xfId="47405"/>
    <cellStyle name="Title 2 2 2 2 2 9" xfId="47406"/>
    <cellStyle name="Title 2 2 2 2 2 9 2" xfId="47407"/>
    <cellStyle name="Title 2 2 2 2 2 90" xfId="47408"/>
    <cellStyle name="Title 2 2 2 2 2 91" xfId="47409"/>
    <cellStyle name="Title 2 2 2 2 2 92" xfId="47410"/>
    <cellStyle name="Title 2 2 2 2 2 93" xfId="47411"/>
    <cellStyle name="Title 2 2 2 2 2 94" xfId="47412"/>
    <cellStyle name="Title 2 2 2 2 2 95" xfId="47413"/>
    <cellStyle name="Title 2 2 2 2 2 96" xfId="47414"/>
    <cellStyle name="Title 2 2 2 2 2 97" xfId="47415"/>
    <cellStyle name="Title 2 2 2 2 2 98" xfId="47416"/>
    <cellStyle name="Title 2 2 2 2 2 99" xfId="47417"/>
    <cellStyle name="Title 2 2 2 2 20" xfId="47418"/>
    <cellStyle name="Title 2 2 2 2 20 2" xfId="47419"/>
    <cellStyle name="Title 2 2 2 2 21" xfId="47420"/>
    <cellStyle name="Title 2 2 2 2 21 2" xfId="47421"/>
    <cellStyle name="Title 2 2 2 2 22" xfId="47422"/>
    <cellStyle name="Title 2 2 2 2 22 2" xfId="47423"/>
    <cellStyle name="Title 2 2 2 2 23" xfId="47424"/>
    <cellStyle name="Title 2 2 2 2 23 2" xfId="47425"/>
    <cellStyle name="Title 2 2 2 2 24" xfId="47426"/>
    <cellStyle name="Title 2 2 2 2 24 2" xfId="47427"/>
    <cellStyle name="Title 2 2 2 2 25" xfId="47428"/>
    <cellStyle name="Title 2 2 2 2 25 2" xfId="47429"/>
    <cellStyle name="Title 2 2 2 2 26" xfId="47430"/>
    <cellStyle name="Title 2 2 2 2 26 2" xfId="47431"/>
    <cellStyle name="Title 2 2 2 2 27" xfId="47432"/>
    <cellStyle name="Title 2 2 2 2 27 2" xfId="47433"/>
    <cellStyle name="Title 2 2 2 2 28" xfId="47434"/>
    <cellStyle name="Title 2 2 2 2 28 2" xfId="47435"/>
    <cellStyle name="Title 2 2 2 2 29" xfId="47436"/>
    <cellStyle name="Title 2 2 2 2 29 2" xfId="47437"/>
    <cellStyle name="Title 2 2 2 2 3" xfId="47438"/>
    <cellStyle name="Title 2 2 2 2 3 2" xfId="47439"/>
    <cellStyle name="Title 2 2 2 2 30" xfId="47440"/>
    <cellStyle name="Title 2 2 2 2 30 2" xfId="47441"/>
    <cellStyle name="Title 2 2 2 2 31" xfId="47442"/>
    <cellStyle name="Title 2 2 2 2 31 10" xfId="47443"/>
    <cellStyle name="Title 2 2 2 2 31 11" xfId="47444"/>
    <cellStyle name="Title 2 2 2 2 31 12" xfId="47445"/>
    <cellStyle name="Title 2 2 2 2 31 13" xfId="47446"/>
    <cellStyle name="Title 2 2 2 2 31 14" xfId="47447"/>
    <cellStyle name="Title 2 2 2 2 31 15" xfId="47448"/>
    <cellStyle name="Title 2 2 2 2 31 16" xfId="47449"/>
    <cellStyle name="Title 2 2 2 2 31 17" xfId="47450"/>
    <cellStyle name="Title 2 2 2 2 31 18" xfId="47451"/>
    <cellStyle name="Title 2 2 2 2 31 19" xfId="47452"/>
    <cellStyle name="Title 2 2 2 2 31 2" xfId="47453"/>
    <cellStyle name="Title 2 2 2 2 31 2 10" xfId="47454"/>
    <cellStyle name="Title 2 2 2 2 31 2 11" xfId="47455"/>
    <cellStyle name="Title 2 2 2 2 31 2 12" xfId="47456"/>
    <cellStyle name="Title 2 2 2 2 31 2 13" xfId="47457"/>
    <cellStyle name="Title 2 2 2 2 31 2 14" xfId="47458"/>
    <cellStyle name="Title 2 2 2 2 31 2 15" xfId="47459"/>
    <cellStyle name="Title 2 2 2 2 31 2 16" xfId="47460"/>
    <cellStyle name="Title 2 2 2 2 31 2 17" xfId="47461"/>
    <cellStyle name="Title 2 2 2 2 31 2 18" xfId="47462"/>
    <cellStyle name="Title 2 2 2 2 31 2 19" xfId="47463"/>
    <cellStyle name="Title 2 2 2 2 31 2 2" xfId="47464"/>
    <cellStyle name="Title 2 2 2 2 31 2 2 2" xfId="47465"/>
    <cellStyle name="Title 2 2 2 2 31 2 20" xfId="47466"/>
    <cellStyle name="Title 2 2 2 2 31 2 21" xfId="47467"/>
    <cellStyle name="Title 2 2 2 2 31 2 22" xfId="47468"/>
    <cellStyle name="Title 2 2 2 2 31 2 23" xfId="47469"/>
    <cellStyle name="Title 2 2 2 2 31 2 24" xfId="47470"/>
    <cellStyle name="Title 2 2 2 2 31 2 25" xfId="47471"/>
    <cellStyle name="Title 2 2 2 2 31 2 26" xfId="47472"/>
    <cellStyle name="Title 2 2 2 2 31 2 27" xfId="47473"/>
    <cellStyle name="Title 2 2 2 2 31 2 28" xfId="47474"/>
    <cellStyle name="Title 2 2 2 2 31 2 29" xfId="47475"/>
    <cellStyle name="Title 2 2 2 2 31 2 3" xfId="47476"/>
    <cellStyle name="Title 2 2 2 2 31 2 30" xfId="47477"/>
    <cellStyle name="Title 2 2 2 2 31 2 31" xfId="47478"/>
    <cellStyle name="Title 2 2 2 2 31 2 32" xfId="47479"/>
    <cellStyle name="Title 2 2 2 2 31 2 33" xfId="47480"/>
    <cellStyle name="Title 2 2 2 2 31 2 34" xfId="47481"/>
    <cellStyle name="Title 2 2 2 2 31 2 35" xfId="47482"/>
    <cellStyle name="Title 2 2 2 2 31 2 36" xfId="47483"/>
    <cellStyle name="Title 2 2 2 2 31 2 37" xfId="47484"/>
    <cellStyle name="Title 2 2 2 2 31 2 38" xfId="47485"/>
    <cellStyle name="Title 2 2 2 2 31 2 39" xfId="47486"/>
    <cellStyle name="Title 2 2 2 2 31 2 4" xfId="47487"/>
    <cellStyle name="Title 2 2 2 2 31 2 40" xfId="47488"/>
    <cellStyle name="Title 2 2 2 2 31 2 41" xfId="47489"/>
    <cellStyle name="Title 2 2 2 2 31 2 42" xfId="47490"/>
    <cellStyle name="Title 2 2 2 2 31 2 43" xfId="47491"/>
    <cellStyle name="Title 2 2 2 2 31 2 44" xfId="47492"/>
    <cellStyle name="Title 2 2 2 2 31 2 45" xfId="47493"/>
    <cellStyle name="Title 2 2 2 2 31 2 46" xfId="47494"/>
    <cellStyle name="Title 2 2 2 2 31 2 47" xfId="47495"/>
    <cellStyle name="Title 2 2 2 2 31 2 48" xfId="47496"/>
    <cellStyle name="Title 2 2 2 2 31 2 49" xfId="47497"/>
    <cellStyle name="Title 2 2 2 2 31 2 5" xfId="47498"/>
    <cellStyle name="Title 2 2 2 2 31 2 50" xfId="47499"/>
    <cellStyle name="Title 2 2 2 2 31 2 51" xfId="47500"/>
    <cellStyle name="Title 2 2 2 2 31 2 52" xfId="47501"/>
    <cellStyle name="Title 2 2 2 2 31 2 53" xfId="47502"/>
    <cellStyle name="Title 2 2 2 2 31 2 54" xfId="47503"/>
    <cellStyle name="Title 2 2 2 2 31 2 55" xfId="47504"/>
    <cellStyle name="Title 2 2 2 2 31 2 56" xfId="47505"/>
    <cellStyle name="Title 2 2 2 2 31 2 57" xfId="47506"/>
    <cellStyle name="Title 2 2 2 2 31 2 58" xfId="47507"/>
    <cellStyle name="Title 2 2 2 2 31 2 59" xfId="47508"/>
    <cellStyle name="Title 2 2 2 2 31 2 6" xfId="47509"/>
    <cellStyle name="Title 2 2 2 2 31 2 60" xfId="47510"/>
    <cellStyle name="Title 2 2 2 2 31 2 61" xfId="47511"/>
    <cellStyle name="Title 2 2 2 2 31 2 62" xfId="47512"/>
    <cellStyle name="Title 2 2 2 2 31 2 63" xfId="47513"/>
    <cellStyle name="Title 2 2 2 2 31 2 64" xfId="47514"/>
    <cellStyle name="Title 2 2 2 2 31 2 65" xfId="47515"/>
    <cellStyle name="Title 2 2 2 2 31 2 66" xfId="47516"/>
    <cellStyle name="Title 2 2 2 2 31 2 67" xfId="47517"/>
    <cellStyle name="Title 2 2 2 2 31 2 68" xfId="47518"/>
    <cellStyle name="Title 2 2 2 2 31 2 69" xfId="47519"/>
    <cellStyle name="Title 2 2 2 2 31 2 7" xfId="47520"/>
    <cellStyle name="Title 2 2 2 2 31 2 70" xfId="47521"/>
    <cellStyle name="Title 2 2 2 2 31 2 71" xfId="47522"/>
    <cellStyle name="Title 2 2 2 2 31 2 72" xfId="47523"/>
    <cellStyle name="Title 2 2 2 2 31 2 73" xfId="47524"/>
    <cellStyle name="Title 2 2 2 2 31 2 74" xfId="47525"/>
    <cellStyle name="Title 2 2 2 2 31 2 8" xfId="47526"/>
    <cellStyle name="Title 2 2 2 2 31 2 9" xfId="47527"/>
    <cellStyle name="Title 2 2 2 2 31 20" xfId="47528"/>
    <cellStyle name="Title 2 2 2 2 31 21" xfId="47529"/>
    <cellStyle name="Title 2 2 2 2 31 22" xfId="47530"/>
    <cellStyle name="Title 2 2 2 2 31 23" xfId="47531"/>
    <cellStyle name="Title 2 2 2 2 31 24" xfId="47532"/>
    <cellStyle name="Title 2 2 2 2 31 25" xfId="47533"/>
    <cellStyle name="Title 2 2 2 2 31 26" xfId="47534"/>
    <cellStyle name="Title 2 2 2 2 31 27" xfId="47535"/>
    <cellStyle name="Title 2 2 2 2 31 28" xfId="47536"/>
    <cellStyle name="Title 2 2 2 2 31 29" xfId="47537"/>
    <cellStyle name="Title 2 2 2 2 31 3" xfId="47538"/>
    <cellStyle name="Title 2 2 2 2 31 3 2" xfId="47539"/>
    <cellStyle name="Title 2 2 2 2 31 30" xfId="47540"/>
    <cellStyle name="Title 2 2 2 2 31 31" xfId="47541"/>
    <cellStyle name="Title 2 2 2 2 31 32" xfId="47542"/>
    <cellStyle name="Title 2 2 2 2 31 33" xfId="47543"/>
    <cellStyle name="Title 2 2 2 2 31 34" xfId="47544"/>
    <cellStyle name="Title 2 2 2 2 31 35" xfId="47545"/>
    <cellStyle name="Title 2 2 2 2 31 36" xfId="47546"/>
    <cellStyle name="Title 2 2 2 2 31 37" xfId="47547"/>
    <cellStyle name="Title 2 2 2 2 31 38" xfId="47548"/>
    <cellStyle name="Title 2 2 2 2 31 39" xfId="47549"/>
    <cellStyle name="Title 2 2 2 2 31 4" xfId="47550"/>
    <cellStyle name="Title 2 2 2 2 31 40" xfId="47551"/>
    <cellStyle name="Title 2 2 2 2 31 41" xfId="47552"/>
    <cellStyle name="Title 2 2 2 2 31 42" xfId="47553"/>
    <cellStyle name="Title 2 2 2 2 31 43" xfId="47554"/>
    <cellStyle name="Title 2 2 2 2 31 44" xfId="47555"/>
    <cellStyle name="Title 2 2 2 2 31 45" xfId="47556"/>
    <cellStyle name="Title 2 2 2 2 31 46" xfId="47557"/>
    <cellStyle name="Title 2 2 2 2 31 47" xfId="47558"/>
    <cellStyle name="Title 2 2 2 2 31 48" xfId="47559"/>
    <cellStyle name="Title 2 2 2 2 31 49" xfId="47560"/>
    <cellStyle name="Title 2 2 2 2 31 5" xfId="47561"/>
    <cellStyle name="Title 2 2 2 2 31 50" xfId="47562"/>
    <cellStyle name="Title 2 2 2 2 31 51" xfId="47563"/>
    <cellStyle name="Title 2 2 2 2 31 52" xfId="47564"/>
    <cellStyle name="Title 2 2 2 2 31 53" xfId="47565"/>
    <cellStyle name="Title 2 2 2 2 31 54" xfId="47566"/>
    <cellStyle name="Title 2 2 2 2 31 55" xfId="47567"/>
    <cellStyle name="Title 2 2 2 2 31 56" xfId="47568"/>
    <cellStyle name="Title 2 2 2 2 31 57" xfId="47569"/>
    <cellStyle name="Title 2 2 2 2 31 58" xfId="47570"/>
    <cellStyle name="Title 2 2 2 2 31 59" xfId="47571"/>
    <cellStyle name="Title 2 2 2 2 31 6" xfId="47572"/>
    <cellStyle name="Title 2 2 2 2 31 60" xfId="47573"/>
    <cellStyle name="Title 2 2 2 2 31 61" xfId="47574"/>
    <cellStyle name="Title 2 2 2 2 31 62" xfId="47575"/>
    <cellStyle name="Title 2 2 2 2 31 63" xfId="47576"/>
    <cellStyle name="Title 2 2 2 2 31 64" xfId="47577"/>
    <cellStyle name="Title 2 2 2 2 31 65" xfId="47578"/>
    <cellStyle name="Title 2 2 2 2 31 66" xfId="47579"/>
    <cellStyle name="Title 2 2 2 2 31 67" xfId="47580"/>
    <cellStyle name="Title 2 2 2 2 31 68" xfId="47581"/>
    <cellStyle name="Title 2 2 2 2 31 69" xfId="47582"/>
    <cellStyle name="Title 2 2 2 2 31 7" xfId="47583"/>
    <cellStyle name="Title 2 2 2 2 31 70" xfId="47584"/>
    <cellStyle name="Title 2 2 2 2 31 71" xfId="47585"/>
    <cellStyle name="Title 2 2 2 2 31 72" xfId="47586"/>
    <cellStyle name="Title 2 2 2 2 31 73" xfId="47587"/>
    <cellStyle name="Title 2 2 2 2 31 74" xfId="47588"/>
    <cellStyle name="Title 2 2 2 2 31 8" xfId="47589"/>
    <cellStyle name="Title 2 2 2 2 31 9" xfId="47590"/>
    <cellStyle name="Title 2 2 2 2 32" xfId="47591"/>
    <cellStyle name="Title 2 2 2 2 32 2" xfId="47592"/>
    <cellStyle name="Title 2 2 2 2 33" xfId="47593"/>
    <cellStyle name="Title 2 2 2 2 33 2" xfId="47594"/>
    <cellStyle name="Title 2 2 2 2 34" xfId="47595"/>
    <cellStyle name="Title 2 2 2 2 34 2" xfId="47596"/>
    <cellStyle name="Title 2 2 2 2 35" xfId="47597"/>
    <cellStyle name="Title 2 2 2 2 35 2" xfId="47598"/>
    <cellStyle name="Title 2 2 2 2 36" xfId="47599"/>
    <cellStyle name="Title 2 2 2 2 36 2" xfId="47600"/>
    <cellStyle name="Title 2 2 2 2 37" xfId="47601"/>
    <cellStyle name="Title 2 2 2 2 37 2" xfId="47602"/>
    <cellStyle name="Title 2 2 2 2 38" xfId="47603"/>
    <cellStyle name="Title 2 2 2 2 38 2" xfId="47604"/>
    <cellStyle name="Title 2 2 2 2 39" xfId="47605"/>
    <cellStyle name="Title 2 2 2 2 39 2" xfId="47606"/>
    <cellStyle name="Title 2 2 2 2 4" xfId="47607"/>
    <cellStyle name="Title 2 2 2 2 4 2" xfId="47608"/>
    <cellStyle name="Title 2 2 2 2 40" xfId="47609"/>
    <cellStyle name="Title 2 2 2 2 40 2" xfId="47610"/>
    <cellStyle name="Title 2 2 2 2 41" xfId="47611"/>
    <cellStyle name="Title 2 2 2 2 41 2" xfId="47612"/>
    <cellStyle name="Title 2 2 2 2 42" xfId="47613"/>
    <cellStyle name="Title 2 2 2 2 42 2" xfId="47614"/>
    <cellStyle name="Title 2 2 2 2 43" xfId="47615"/>
    <cellStyle name="Title 2 2 2 2 43 2" xfId="47616"/>
    <cellStyle name="Title 2 2 2 2 44" xfId="47617"/>
    <cellStyle name="Title 2 2 2 2 44 2" xfId="47618"/>
    <cellStyle name="Title 2 2 2 2 45" xfId="47619"/>
    <cellStyle name="Title 2 2 2 2 45 2" xfId="47620"/>
    <cellStyle name="Title 2 2 2 2 46" xfId="47621"/>
    <cellStyle name="Title 2 2 2 2 46 2" xfId="47622"/>
    <cellStyle name="Title 2 2 2 2 47" xfId="47623"/>
    <cellStyle name="Title 2 2 2 2 47 2" xfId="47624"/>
    <cellStyle name="Title 2 2 2 2 48" xfId="47625"/>
    <cellStyle name="Title 2 2 2 2 48 2" xfId="47626"/>
    <cellStyle name="Title 2 2 2 2 49" xfId="47627"/>
    <cellStyle name="Title 2 2 2 2 49 2" xfId="47628"/>
    <cellStyle name="Title 2 2 2 2 5" xfId="47629"/>
    <cellStyle name="Title 2 2 2 2 5 10" xfId="47630"/>
    <cellStyle name="Title 2 2 2 2 5 100" xfId="47631"/>
    <cellStyle name="Title 2 2 2 2 5 101" xfId="47632"/>
    <cellStyle name="Title 2 2 2 2 5 102" xfId="47633"/>
    <cellStyle name="Title 2 2 2 2 5 103" xfId="47634"/>
    <cellStyle name="Title 2 2 2 2 5 104" xfId="47635"/>
    <cellStyle name="Title 2 2 2 2 5 105" xfId="47636"/>
    <cellStyle name="Title 2 2 2 2 5 106" xfId="47637"/>
    <cellStyle name="Title 2 2 2 2 5 107" xfId="47638"/>
    <cellStyle name="Title 2 2 2 2 5 108" xfId="47639"/>
    <cellStyle name="Title 2 2 2 2 5 109" xfId="47640"/>
    <cellStyle name="Title 2 2 2 2 5 11" xfId="47641"/>
    <cellStyle name="Title 2 2 2 2 5 110" xfId="47642"/>
    <cellStyle name="Title 2 2 2 2 5 12" xfId="47643"/>
    <cellStyle name="Title 2 2 2 2 5 13" xfId="47644"/>
    <cellStyle name="Title 2 2 2 2 5 14" xfId="47645"/>
    <cellStyle name="Title 2 2 2 2 5 15" xfId="47646"/>
    <cellStyle name="Title 2 2 2 2 5 16" xfId="47647"/>
    <cellStyle name="Title 2 2 2 2 5 17" xfId="47648"/>
    <cellStyle name="Title 2 2 2 2 5 18" xfId="47649"/>
    <cellStyle name="Title 2 2 2 2 5 19" xfId="47650"/>
    <cellStyle name="Title 2 2 2 2 5 2" xfId="47651"/>
    <cellStyle name="Title 2 2 2 2 5 2 10" xfId="47652"/>
    <cellStyle name="Title 2 2 2 2 5 2 11" xfId="47653"/>
    <cellStyle name="Title 2 2 2 2 5 2 12" xfId="47654"/>
    <cellStyle name="Title 2 2 2 2 5 2 13" xfId="47655"/>
    <cellStyle name="Title 2 2 2 2 5 2 13 2" xfId="47656"/>
    <cellStyle name="Title 2 2 2 2 5 2 14" xfId="47657"/>
    <cellStyle name="Title 2 2 2 2 5 2 15" xfId="47658"/>
    <cellStyle name="Title 2 2 2 2 5 2 16" xfId="47659"/>
    <cellStyle name="Title 2 2 2 2 5 2 17" xfId="47660"/>
    <cellStyle name="Title 2 2 2 2 5 2 18" xfId="47661"/>
    <cellStyle name="Title 2 2 2 2 5 2 19" xfId="47662"/>
    <cellStyle name="Title 2 2 2 2 5 2 2" xfId="47663"/>
    <cellStyle name="Title 2 2 2 2 5 2 2 10" xfId="47664"/>
    <cellStyle name="Title 2 2 2 2 5 2 2 11" xfId="47665"/>
    <cellStyle name="Title 2 2 2 2 5 2 2 12" xfId="47666"/>
    <cellStyle name="Title 2 2 2 2 5 2 2 13" xfId="47667"/>
    <cellStyle name="Title 2 2 2 2 5 2 2 14" xfId="47668"/>
    <cellStyle name="Title 2 2 2 2 5 2 2 15" xfId="47669"/>
    <cellStyle name="Title 2 2 2 2 5 2 2 16" xfId="47670"/>
    <cellStyle name="Title 2 2 2 2 5 2 2 17" xfId="47671"/>
    <cellStyle name="Title 2 2 2 2 5 2 2 18" xfId="47672"/>
    <cellStyle name="Title 2 2 2 2 5 2 2 19" xfId="47673"/>
    <cellStyle name="Title 2 2 2 2 5 2 2 2" xfId="47674"/>
    <cellStyle name="Title 2 2 2 2 5 2 2 2 10" xfId="47675"/>
    <cellStyle name="Title 2 2 2 2 5 2 2 2 11" xfId="47676"/>
    <cellStyle name="Title 2 2 2 2 5 2 2 2 12" xfId="47677"/>
    <cellStyle name="Title 2 2 2 2 5 2 2 2 13" xfId="47678"/>
    <cellStyle name="Title 2 2 2 2 5 2 2 2 14" xfId="47679"/>
    <cellStyle name="Title 2 2 2 2 5 2 2 2 15" xfId="47680"/>
    <cellStyle name="Title 2 2 2 2 5 2 2 2 16" xfId="47681"/>
    <cellStyle name="Title 2 2 2 2 5 2 2 2 17" xfId="47682"/>
    <cellStyle name="Title 2 2 2 2 5 2 2 2 18" xfId="47683"/>
    <cellStyle name="Title 2 2 2 2 5 2 2 2 19" xfId="47684"/>
    <cellStyle name="Title 2 2 2 2 5 2 2 2 2" xfId="47685"/>
    <cellStyle name="Title 2 2 2 2 5 2 2 2 2 10" xfId="47686"/>
    <cellStyle name="Title 2 2 2 2 5 2 2 2 2 11" xfId="47687"/>
    <cellStyle name="Title 2 2 2 2 5 2 2 2 2 12" xfId="47688"/>
    <cellStyle name="Title 2 2 2 2 5 2 2 2 2 13" xfId="47689"/>
    <cellStyle name="Title 2 2 2 2 5 2 2 2 2 14" xfId="47690"/>
    <cellStyle name="Title 2 2 2 2 5 2 2 2 2 15" xfId="47691"/>
    <cellStyle name="Title 2 2 2 2 5 2 2 2 2 16" xfId="47692"/>
    <cellStyle name="Title 2 2 2 2 5 2 2 2 2 17" xfId="47693"/>
    <cellStyle name="Title 2 2 2 2 5 2 2 2 2 18" xfId="47694"/>
    <cellStyle name="Title 2 2 2 2 5 2 2 2 2 19" xfId="47695"/>
    <cellStyle name="Title 2 2 2 2 5 2 2 2 2 2" xfId="47696"/>
    <cellStyle name="Title 2 2 2 2 5 2 2 2 2 2 10" xfId="47697"/>
    <cellStyle name="Title 2 2 2 2 5 2 2 2 2 2 11" xfId="47698"/>
    <cellStyle name="Title 2 2 2 2 5 2 2 2 2 2 12" xfId="47699"/>
    <cellStyle name="Title 2 2 2 2 5 2 2 2 2 2 13" xfId="47700"/>
    <cellStyle name="Title 2 2 2 2 5 2 2 2 2 2 14" xfId="47701"/>
    <cellStyle name="Title 2 2 2 2 5 2 2 2 2 2 15" xfId="47702"/>
    <cellStyle name="Title 2 2 2 2 5 2 2 2 2 2 16" xfId="47703"/>
    <cellStyle name="Title 2 2 2 2 5 2 2 2 2 2 17" xfId="47704"/>
    <cellStyle name="Title 2 2 2 2 5 2 2 2 2 2 18" xfId="47705"/>
    <cellStyle name="Title 2 2 2 2 5 2 2 2 2 2 19" xfId="47706"/>
    <cellStyle name="Title 2 2 2 2 5 2 2 2 2 2 2" xfId="47707"/>
    <cellStyle name="Title 2 2 2 2 5 2 2 2 2 2 2 2" xfId="47708"/>
    <cellStyle name="Title 2 2 2 2 5 2 2 2 2 2 20" xfId="47709"/>
    <cellStyle name="Title 2 2 2 2 5 2 2 2 2 2 21" xfId="47710"/>
    <cellStyle name="Title 2 2 2 2 5 2 2 2 2 2 22" xfId="47711"/>
    <cellStyle name="Title 2 2 2 2 5 2 2 2 2 2 23" xfId="47712"/>
    <cellStyle name="Title 2 2 2 2 5 2 2 2 2 2 24" xfId="47713"/>
    <cellStyle name="Title 2 2 2 2 5 2 2 2 2 2 25" xfId="47714"/>
    <cellStyle name="Title 2 2 2 2 5 2 2 2 2 2 26" xfId="47715"/>
    <cellStyle name="Title 2 2 2 2 5 2 2 2 2 2 27" xfId="47716"/>
    <cellStyle name="Title 2 2 2 2 5 2 2 2 2 2 28" xfId="47717"/>
    <cellStyle name="Title 2 2 2 2 5 2 2 2 2 2 29" xfId="47718"/>
    <cellStyle name="Title 2 2 2 2 5 2 2 2 2 2 3" xfId="47719"/>
    <cellStyle name="Title 2 2 2 2 5 2 2 2 2 2 30" xfId="47720"/>
    <cellStyle name="Title 2 2 2 2 5 2 2 2 2 2 31" xfId="47721"/>
    <cellStyle name="Title 2 2 2 2 5 2 2 2 2 2 32" xfId="47722"/>
    <cellStyle name="Title 2 2 2 2 5 2 2 2 2 2 33" xfId="47723"/>
    <cellStyle name="Title 2 2 2 2 5 2 2 2 2 2 34" xfId="47724"/>
    <cellStyle name="Title 2 2 2 2 5 2 2 2 2 2 35" xfId="47725"/>
    <cellStyle name="Title 2 2 2 2 5 2 2 2 2 2 36" xfId="47726"/>
    <cellStyle name="Title 2 2 2 2 5 2 2 2 2 2 37" xfId="47727"/>
    <cellStyle name="Title 2 2 2 2 5 2 2 2 2 2 38" xfId="47728"/>
    <cellStyle name="Title 2 2 2 2 5 2 2 2 2 2 39" xfId="47729"/>
    <cellStyle name="Title 2 2 2 2 5 2 2 2 2 2 4" xfId="47730"/>
    <cellStyle name="Title 2 2 2 2 5 2 2 2 2 2 40" xfId="47731"/>
    <cellStyle name="Title 2 2 2 2 5 2 2 2 2 2 41" xfId="47732"/>
    <cellStyle name="Title 2 2 2 2 5 2 2 2 2 2 42" xfId="47733"/>
    <cellStyle name="Title 2 2 2 2 5 2 2 2 2 2 43" xfId="47734"/>
    <cellStyle name="Title 2 2 2 2 5 2 2 2 2 2 44" xfId="47735"/>
    <cellStyle name="Title 2 2 2 2 5 2 2 2 2 2 45" xfId="47736"/>
    <cellStyle name="Title 2 2 2 2 5 2 2 2 2 2 46" xfId="47737"/>
    <cellStyle name="Title 2 2 2 2 5 2 2 2 2 2 47" xfId="47738"/>
    <cellStyle name="Title 2 2 2 2 5 2 2 2 2 2 48" xfId="47739"/>
    <cellStyle name="Title 2 2 2 2 5 2 2 2 2 2 49" xfId="47740"/>
    <cellStyle name="Title 2 2 2 2 5 2 2 2 2 2 5" xfId="47741"/>
    <cellStyle name="Title 2 2 2 2 5 2 2 2 2 2 50" xfId="47742"/>
    <cellStyle name="Title 2 2 2 2 5 2 2 2 2 2 51" xfId="47743"/>
    <cellStyle name="Title 2 2 2 2 5 2 2 2 2 2 52" xfId="47744"/>
    <cellStyle name="Title 2 2 2 2 5 2 2 2 2 2 53" xfId="47745"/>
    <cellStyle name="Title 2 2 2 2 5 2 2 2 2 2 54" xfId="47746"/>
    <cellStyle name="Title 2 2 2 2 5 2 2 2 2 2 55" xfId="47747"/>
    <cellStyle name="Title 2 2 2 2 5 2 2 2 2 2 56" xfId="47748"/>
    <cellStyle name="Title 2 2 2 2 5 2 2 2 2 2 57" xfId="47749"/>
    <cellStyle name="Title 2 2 2 2 5 2 2 2 2 2 58" xfId="47750"/>
    <cellStyle name="Title 2 2 2 2 5 2 2 2 2 2 59" xfId="47751"/>
    <cellStyle name="Title 2 2 2 2 5 2 2 2 2 2 6" xfId="47752"/>
    <cellStyle name="Title 2 2 2 2 5 2 2 2 2 2 60" xfId="47753"/>
    <cellStyle name="Title 2 2 2 2 5 2 2 2 2 2 61" xfId="47754"/>
    <cellStyle name="Title 2 2 2 2 5 2 2 2 2 2 62" xfId="47755"/>
    <cellStyle name="Title 2 2 2 2 5 2 2 2 2 2 63" xfId="47756"/>
    <cellStyle name="Title 2 2 2 2 5 2 2 2 2 2 64" xfId="47757"/>
    <cellStyle name="Title 2 2 2 2 5 2 2 2 2 2 65" xfId="47758"/>
    <cellStyle name="Title 2 2 2 2 5 2 2 2 2 2 66" xfId="47759"/>
    <cellStyle name="Title 2 2 2 2 5 2 2 2 2 2 67" xfId="47760"/>
    <cellStyle name="Title 2 2 2 2 5 2 2 2 2 2 68" xfId="47761"/>
    <cellStyle name="Title 2 2 2 2 5 2 2 2 2 2 69" xfId="47762"/>
    <cellStyle name="Title 2 2 2 2 5 2 2 2 2 2 7" xfId="47763"/>
    <cellStyle name="Title 2 2 2 2 5 2 2 2 2 2 70" xfId="47764"/>
    <cellStyle name="Title 2 2 2 2 5 2 2 2 2 2 71" xfId="47765"/>
    <cellStyle name="Title 2 2 2 2 5 2 2 2 2 2 72" xfId="47766"/>
    <cellStyle name="Title 2 2 2 2 5 2 2 2 2 2 73" xfId="47767"/>
    <cellStyle name="Title 2 2 2 2 5 2 2 2 2 2 74" xfId="47768"/>
    <cellStyle name="Title 2 2 2 2 5 2 2 2 2 2 8" xfId="47769"/>
    <cellStyle name="Title 2 2 2 2 5 2 2 2 2 2 9" xfId="47770"/>
    <cellStyle name="Title 2 2 2 2 5 2 2 2 2 20" xfId="47771"/>
    <cellStyle name="Title 2 2 2 2 5 2 2 2 2 21" xfId="47772"/>
    <cellStyle name="Title 2 2 2 2 5 2 2 2 2 22" xfId="47773"/>
    <cellStyle name="Title 2 2 2 2 5 2 2 2 2 23" xfId="47774"/>
    <cellStyle name="Title 2 2 2 2 5 2 2 2 2 24" xfId="47775"/>
    <cellStyle name="Title 2 2 2 2 5 2 2 2 2 25" xfId="47776"/>
    <cellStyle name="Title 2 2 2 2 5 2 2 2 2 26" xfId="47777"/>
    <cellStyle name="Title 2 2 2 2 5 2 2 2 2 27" xfId="47778"/>
    <cellStyle name="Title 2 2 2 2 5 2 2 2 2 28" xfId="47779"/>
    <cellStyle name="Title 2 2 2 2 5 2 2 2 2 29" xfId="47780"/>
    <cellStyle name="Title 2 2 2 2 5 2 2 2 2 3" xfId="47781"/>
    <cellStyle name="Title 2 2 2 2 5 2 2 2 2 3 2" xfId="47782"/>
    <cellStyle name="Title 2 2 2 2 5 2 2 2 2 30" xfId="47783"/>
    <cellStyle name="Title 2 2 2 2 5 2 2 2 2 31" xfId="47784"/>
    <cellStyle name="Title 2 2 2 2 5 2 2 2 2 32" xfId="47785"/>
    <cellStyle name="Title 2 2 2 2 5 2 2 2 2 33" xfId="47786"/>
    <cellStyle name="Title 2 2 2 2 5 2 2 2 2 34" xfId="47787"/>
    <cellStyle name="Title 2 2 2 2 5 2 2 2 2 35" xfId="47788"/>
    <cellStyle name="Title 2 2 2 2 5 2 2 2 2 36" xfId="47789"/>
    <cellStyle name="Title 2 2 2 2 5 2 2 2 2 37" xfId="47790"/>
    <cellStyle name="Title 2 2 2 2 5 2 2 2 2 38" xfId="47791"/>
    <cellStyle name="Title 2 2 2 2 5 2 2 2 2 39" xfId="47792"/>
    <cellStyle name="Title 2 2 2 2 5 2 2 2 2 4" xfId="47793"/>
    <cellStyle name="Title 2 2 2 2 5 2 2 2 2 40" xfId="47794"/>
    <cellStyle name="Title 2 2 2 2 5 2 2 2 2 41" xfId="47795"/>
    <cellStyle name="Title 2 2 2 2 5 2 2 2 2 42" xfId="47796"/>
    <cellStyle name="Title 2 2 2 2 5 2 2 2 2 43" xfId="47797"/>
    <cellStyle name="Title 2 2 2 2 5 2 2 2 2 44" xfId="47798"/>
    <cellStyle name="Title 2 2 2 2 5 2 2 2 2 45" xfId="47799"/>
    <cellStyle name="Title 2 2 2 2 5 2 2 2 2 46" xfId="47800"/>
    <cellStyle name="Title 2 2 2 2 5 2 2 2 2 47" xfId="47801"/>
    <cellStyle name="Title 2 2 2 2 5 2 2 2 2 48" xfId="47802"/>
    <cellStyle name="Title 2 2 2 2 5 2 2 2 2 49" xfId="47803"/>
    <cellStyle name="Title 2 2 2 2 5 2 2 2 2 5" xfId="47804"/>
    <cellStyle name="Title 2 2 2 2 5 2 2 2 2 50" xfId="47805"/>
    <cellStyle name="Title 2 2 2 2 5 2 2 2 2 51" xfId="47806"/>
    <cellStyle name="Title 2 2 2 2 5 2 2 2 2 52" xfId="47807"/>
    <cellStyle name="Title 2 2 2 2 5 2 2 2 2 53" xfId="47808"/>
    <cellStyle name="Title 2 2 2 2 5 2 2 2 2 54" xfId="47809"/>
    <cellStyle name="Title 2 2 2 2 5 2 2 2 2 55" xfId="47810"/>
    <cellStyle name="Title 2 2 2 2 5 2 2 2 2 56" xfId="47811"/>
    <cellStyle name="Title 2 2 2 2 5 2 2 2 2 57" xfId="47812"/>
    <cellStyle name="Title 2 2 2 2 5 2 2 2 2 58" xfId="47813"/>
    <cellStyle name="Title 2 2 2 2 5 2 2 2 2 59" xfId="47814"/>
    <cellStyle name="Title 2 2 2 2 5 2 2 2 2 6" xfId="47815"/>
    <cellStyle name="Title 2 2 2 2 5 2 2 2 2 60" xfId="47816"/>
    <cellStyle name="Title 2 2 2 2 5 2 2 2 2 61" xfId="47817"/>
    <cellStyle name="Title 2 2 2 2 5 2 2 2 2 62" xfId="47818"/>
    <cellStyle name="Title 2 2 2 2 5 2 2 2 2 63" xfId="47819"/>
    <cellStyle name="Title 2 2 2 2 5 2 2 2 2 64" xfId="47820"/>
    <cellStyle name="Title 2 2 2 2 5 2 2 2 2 65" xfId="47821"/>
    <cellStyle name="Title 2 2 2 2 5 2 2 2 2 66" xfId="47822"/>
    <cellStyle name="Title 2 2 2 2 5 2 2 2 2 67" xfId="47823"/>
    <cellStyle name="Title 2 2 2 2 5 2 2 2 2 68" xfId="47824"/>
    <cellStyle name="Title 2 2 2 2 5 2 2 2 2 69" xfId="47825"/>
    <cellStyle name="Title 2 2 2 2 5 2 2 2 2 7" xfId="47826"/>
    <cellStyle name="Title 2 2 2 2 5 2 2 2 2 70" xfId="47827"/>
    <cellStyle name="Title 2 2 2 2 5 2 2 2 2 71" xfId="47828"/>
    <cellStyle name="Title 2 2 2 2 5 2 2 2 2 72" xfId="47829"/>
    <cellStyle name="Title 2 2 2 2 5 2 2 2 2 73" xfId="47830"/>
    <cellStyle name="Title 2 2 2 2 5 2 2 2 2 74" xfId="47831"/>
    <cellStyle name="Title 2 2 2 2 5 2 2 2 2 8" xfId="47832"/>
    <cellStyle name="Title 2 2 2 2 5 2 2 2 2 9" xfId="47833"/>
    <cellStyle name="Title 2 2 2 2 5 2 2 2 20" xfId="47834"/>
    <cellStyle name="Title 2 2 2 2 5 2 2 2 21" xfId="47835"/>
    <cellStyle name="Title 2 2 2 2 5 2 2 2 22" xfId="47836"/>
    <cellStyle name="Title 2 2 2 2 5 2 2 2 23" xfId="47837"/>
    <cellStyle name="Title 2 2 2 2 5 2 2 2 24" xfId="47838"/>
    <cellStyle name="Title 2 2 2 2 5 2 2 2 25" xfId="47839"/>
    <cellStyle name="Title 2 2 2 2 5 2 2 2 26" xfId="47840"/>
    <cellStyle name="Title 2 2 2 2 5 2 2 2 27" xfId="47841"/>
    <cellStyle name="Title 2 2 2 2 5 2 2 2 28" xfId="47842"/>
    <cellStyle name="Title 2 2 2 2 5 2 2 2 29" xfId="47843"/>
    <cellStyle name="Title 2 2 2 2 5 2 2 2 3" xfId="47844"/>
    <cellStyle name="Title 2 2 2 2 5 2 2 2 3 2" xfId="47845"/>
    <cellStyle name="Title 2 2 2 2 5 2 2 2 30" xfId="47846"/>
    <cellStyle name="Title 2 2 2 2 5 2 2 2 31" xfId="47847"/>
    <cellStyle name="Title 2 2 2 2 5 2 2 2 32" xfId="47848"/>
    <cellStyle name="Title 2 2 2 2 5 2 2 2 33" xfId="47849"/>
    <cellStyle name="Title 2 2 2 2 5 2 2 2 34" xfId="47850"/>
    <cellStyle name="Title 2 2 2 2 5 2 2 2 35" xfId="47851"/>
    <cellStyle name="Title 2 2 2 2 5 2 2 2 36" xfId="47852"/>
    <cellStyle name="Title 2 2 2 2 5 2 2 2 37" xfId="47853"/>
    <cellStyle name="Title 2 2 2 2 5 2 2 2 38" xfId="47854"/>
    <cellStyle name="Title 2 2 2 2 5 2 2 2 39" xfId="47855"/>
    <cellStyle name="Title 2 2 2 2 5 2 2 2 4" xfId="47856"/>
    <cellStyle name="Title 2 2 2 2 5 2 2 2 40" xfId="47857"/>
    <cellStyle name="Title 2 2 2 2 5 2 2 2 41" xfId="47858"/>
    <cellStyle name="Title 2 2 2 2 5 2 2 2 42" xfId="47859"/>
    <cellStyle name="Title 2 2 2 2 5 2 2 2 43" xfId="47860"/>
    <cellStyle name="Title 2 2 2 2 5 2 2 2 44" xfId="47861"/>
    <cellStyle name="Title 2 2 2 2 5 2 2 2 45" xfId="47862"/>
    <cellStyle name="Title 2 2 2 2 5 2 2 2 46" xfId="47863"/>
    <cellStyle name="Title 2 2 2 2 5 2 2 2 47" xfId="47864"/>
    <cellStyle name="Title 2 2 2 2 5 2 2 2 48" xfId="47865"/>
    <cellStyle name="Title 2 2 2 2 5 2 2 2 49" xfId="47866"/>
    <cellStyle name="Title 2 2 2 2 5 2 2 2 5" xfId="47867"/>
    <cellStyle name="Title 2 2 2 2 5 2 2 2 50" xfId="47868"/>
    <cellStyle name="Title 2 2 2 2 5 2 2 2 51" xfId="47869"/>
    <cellStyle name="Title 2 2 2 2 5 2 2 2 52" xfId="47870"/>
    <cellStyle name="Title 2 2 2 2 5 2 2 2 53" xfId="47871"/>
    <cellStyle name="Title 2 2 2 2 5 2 2 2 54" xfId="47872"/>
    <cellStyle name="Title 2 2 2 2 5 2 2 2 55" xfId="47873"/>
    <cellStyle name="Title 2 2 2 2 5 2 2 2 56" xfId="47874"/>
    <cellStyle name="Title 2 2 2 2 5 2 2 2 57" xfId="47875"/>
    <cellStyle name="Title 2 2 2 2 5 2 2 2 58" xfId="47876"/>
    <cellStyle name="Title 2 2 2 2 5 2 2 2 59" xfId="47877"/>
    <cellStyle name="Title 2 2 2 2 5 2 2 2 6" xfId="47878"/>
    <cellStyle name="Title 2 2 2 2 5 2 2 2 60" xfId="47879"/>
    <cellStyle name="Title 2 2 2 2 5 2 2 2 61" xfId="47880"/>
    <cellStyle name="Title 2 2 2 2 5 2 2 2 62" xfId="47881"/>
    <cellStyle name="Title 2 2 2 2 5 2 2 2 63" xfId="47882"/>
    <cellStyle name="Title 2 2 2 2 5 2 2 2 64" xfId="47883"/>
    <cellStyle name="Title 2 2 2 2 5 2 2 2 65" xfId="47884"/>
    <cellStyle name="Title 2 2 2 2 5 2 2 2 66" xfId="47885"/>
    <cellStyle name="Title 2 2 2 2 5 2 2 2 67" xfId="47886"/>
    <cellStyle name="Title 2 2 2 2 5 2 2 2 68" xfId="47887"/>
    <cellStyle name="Title 2 2 2 2 5 2 2 2 69" xfId="47888"/>
    <cellStyle name="Title 2 2 2 2 5 2 2 2 7" xfId="47889"/>
    <cellStyle name="Title 2 2 2 2 5 2 2 2 70" xfId="47890"/>
    <cellStyle name="Title 2 2 2 2 5 2 2 2 71" xfId="47891"/>
    <cellStyle name="Title 2 2 2 2 5 2 2 2 72" xfId="47892"/>
    <cellStyle name="Title 2 2 2 2 5 2 2 2 73" xfId="47893"/>
    <cellStyle name="Title 2 2 2 2 5 2 2 2 74" xfId="47894"/>
    <cellStyle name="Title 2 2 2 2 5 2 2 2 75" xfId="47895"/>
    <cellStyle name="Title 2 2 2 2 5 2 2 2 76" xfId="47896"/>
    <cellStyle name="Title 2 2 2 2 5 2 2 2 77" xfId="47897"/>
    <cellStyle name="Title 2 2 2 2 5 2 2 2 78" xfId="47898"/>
    <cellStyle name="Title 2 2 2 2 5 2 2 2 79" xfId="47899"/>
    <cellStyle name="Title 2 2 2 2 5 2 2 2 8" xfId="47900"/>
    <cellStyle name="Title 2 2 2 2 5 2 2 2 80" xfId="47901"/>
    <cellStyle name="Title 2 2 2 2 5 2 2 2 81" xfId="47902"/>
    <cellStyle name="Title 2 2 2 2 5 2 2 2 82" xfId="47903"/>
    <cellStyle name="Title 2 2 2 2 5 2 2 2 83" xfId="47904"/>
    <cellStyle name="Title 2 2 2 2 5 2 2 2 84" xfId="47905"/>
    <cellStyle name="Title 2 2 2 2 5 2 2 2 85" xfId="47906"/>
    <cellStyle name="Title 2 2 2 2 5 2 2 2 86" xfId="47907"/>
    <cellStyle name="Title 2 2 2 2 5 2 2 2 87" xfId="47908"/>
    <cellStyle name="Title 2 2 2 2 5 2 2 2 88" xfId="47909"/>
    <cellStyle name="Title 2 2 2 2 5 2 2 2 9" xfId="47910"/>
    <cellStyle name="Title 2 2 2 2 5 2 2 20" xfId="47911"/>
    <cellStyle name="Title 2 2 2 2 5 2 2 21" xfId="47912"/>
    <cellStyle name="Title 2 2 2 2 5 2 2 22" xfId="47913"/>
    <cellStyle name="Title 2 2 2 2 5 2 2 23" xfId="47914"/>
    <cellStyle name="Title 2 2 2 2 5 2 2 24" xfId="47915"/>
    <cellStyle name="Title 2 2 2 2 5 2 2 25" xfId="47916"/>
    <cellStyle name="Title 2 2 2 2 5 2 2 26" xfId="47917"/>
    <cellStyle name="Title 2 2 2 2 5 2 2 27" xfId="47918"/>
    <cellStyle name="Title 2 2 2 2 5 2 2 28" xfId="47919"/>
    <cellStyle name="Title 2 2 2 2 5 2 2 29" xfId="47920"/>
    <cellStyle name="Title 2 2 2 2 5 2 2 3" xfId="47921"/>
    <cellStyle name="Title 2 2 2 2 5 2 2 3 2" xfId="47922"/>
    <cellStyle name="Title 2 2 2 2 5 2 2 30" xfId="47923"/>
    <cellStyle name="Title 2 2 2 2 5 2 2 31" xfId="47924"/>
    <cellStyle name="Title 2 2 2 2 5 2 2 32" xfId="47925"/>
    <cellStyle name="Title 2 2 2 2 5 2 2 33" xfId="47926"/>
    <cellStyle name="Title 2 2 2 2 5 2 2 34" xfId="47927"/>
    <cellStyle name="Title 2 2 2 2 5 2 2 35" xfId="47928"/>
    <cellStyle name="Title 2 2 2 2 5 2 2 36" xfId="47929"/>
    <cellStyle name="Title 2 2 2 2 5 2 2 37" xfId="47930"/>
    <cellStyle name="Title 2 2 2 2 5 2 2 38" xfId="47931"/>
    <cellStyle name="Title 2 2 2 2 5 2 2 39" xfId="47932"/>
    <cellStyle name="Title 2 2 2 2 5 2 2 4" xfId="47933"/>
    <cellStyle name="Title 2 2 2 2 5 2 2 40" xfId="47934"/>
    <cellStyle name="Title 2 2 2 2 5 2 2 41" xfId="47935"/>
    <cellStyle name="Title 2 2 2 2 5 2 2 42" xfId="47936"/>
    <cellStyle name="Title 2 2 2 2 5 2 2 43" xfId="47937"/>
    <cellStyle name="Title 2 2 2 2 5 2 2 44" xfId="47938"/>
    <cellStyle name="Title 2 2 2 2 5 2 2 45" xfId="47939"/>
    <cellStyle name="Title 2 2 2 2 5 2 2 46" xfId="47940"/>
    <cellStyle name="Title 2 2 2 2 5 2 2 47" xfId="47941"/>
    <cellStyle name="Title 2 2 2 2 5 2 2 48" xfId="47942"/>
    <cellStyle name="Title 2 2 2 2 5 2 2 49" xfId="47943"/>
    <cellStyle name="Title 2 2 2 2 5 2 2 5" xfId="47944"/>
    <cellStyle name="Title 2 2 2 2 5 2 2 50" xfId="47945"/>
    <cellStyle name="Title 2 2 2 2 5 2 2 51" xfId="47946"/>
    <cellStyle name="Title 2 2 2 2 5 2 2 52" xfId="47947"/>
    <cellStyle name="Title 2 2 2 2 5 2 2 53" xfId="47948"/>
    <cellStyle name="Title 2 2 2 2 5 2 2 54" xfId="47949"/>
    <cellStyle name="Title 2 2 2 2 5 2 2 55" xfId="47950"/>
    <cellStyle name="Title 2 2 2 2 5 2 2 56" xfId="47951"/>
    <cellStyle name="Title 2 2 2 2 5 2 2 57" xfId="47952"/>
    <cellStyle name="Title 2 2 2 2 5 2 2 58" xfId="47953"/>
    <cellStyle name="Title 2 2 2 2 5 2 2 59" xfId="47954"/>
    <cellStyle name="Title 2 2 2 2 5 2 2 6" xfId="47955"/>
    <cellStyle name="Title 2 2 2 2 5 2 2 60" xfId="47956"/>
    <cellStyle name="Title 2 2 2 2 5 2 2 61" xfId="47957"/>
    <cellStyle name="Title 2 2 2 2 5 2 2 62" xfId="47958"/>
    <cellStyle name="Title 2 2 2 2 5 2 2 63" xfId="47959"/>
    <cellStyle name="Title 2 2 2 2 5 2 2 64" xfId="47960"/>
    <cellStyle name="Title 2 2 2 2 5 2 2 65" xfId="47961"/>
    <cellStyle name="Title 2 2 2 2 5 2 2 66" xfId="47962"/>
    <cellStyle name="Title 2 2 2 2 5 2 2 67" xfId="47963"/>
    <cellStyle name="Title 2 2 2 2 5 2 2 68" xfId="47964"/>
    <cellStyle name="Title 2 2 2 2 5 2 2 69" xfId="47965"/>
    <cellStyle name="Title 2 2 2 2 5 2 2 7" xfId="47966"/>
    <cellStyle name="Title 2 2 2 2 5 2 2 70" xfId="47967"/>
    <cellStyle name="Title 2 2 2 2 5 2 2 71" xfId="47968"/>
    <cellStyle name="Title 2 2 2 2 5 2 2 72" xfId="47969"/>
    <cellStyle name="Title 2 2 2 2 5 2 2 73" xfId="47970"/>
    <cellStyle name="Title 2 2 2 2 5 2 2 74" xfId="47971"/>
    <cellStyle name="Title 2 2 2 2 5 2 2 75" xfId="47972"/>
    <cellStyle name="Title 2 2 2 2 5 2 2 76" xfId="47973"/>
    <cellStyle name="Title 2 2 2 2 5 2 2 77" xfId="47974"/>
    <cellStyle name="Title 2 2 2 2 5 2 2 78" xfId="47975"/>
    <cellStyle name="Title 2 2 2 2 5 2 2 79" xfId="47976"/>
    <cellStyle name="Title 2 2 2 2 5 2 2 8" xfId="47977"/>
    <cellStyle name="Title 2 2 2 2 5 2 2 80" xfId="47978"/>
    <cellStyle name="Title 2 2 2 2 5 2 2 81" xfId="47979"/>
    <cellStyle name="Title 2 2 2 2 5 2 2 82" xfId="47980"/>
    <cellStyle name="Title 2 2 2 2 5 2 2 83" xfId="47981"/>
    <cellStyle name="Title 2 2 2 2 5 2 2 84" xfId="47982"/>
    <cellStyle name="Title 2 2 2 2 5 2 2 85" xfId="47983"/>
    <cellStyle name="Title 2 2 2 2 5 2 2 86" xfId="47984"/>
    <cellStyle name="Title 2 2 2 2 5 2 2 87" xfId="47985"/>
    <cellStyle name="Title 2 2 2 2 5 2 2 88" xfId="47986"/>
    <cellStyle name="Title 2 2 2 2 5 2 2 9" xfId="47987"/>
    <cellStyle name="Title 2 2 2 2 5 2 20" xfId="47988"/>
    <cellStyle name="Title 2 2 2 2 5 2 21" xfId="47989"/>
    <cellStyle name="Title 2 2 2 2 5 2 22" xfId="47990"/>
    <cellStyle name="Title 2 2 2 2 5 2 23" xfId="47991"/>
    <cellStyle name="Title 2 2 2 2 5 2 24" xfId="47992"/>
    <cellStyle name="Title 2 2 2 2 5 2 25" xfId="47993"/>
    <cellStyle name="Title 2 2 2 2 5 2 26" xfId="47994"/>
    <cellStyle name="Title 2 2 2 2 5 2 27" xfId="47995"/>
    <cellStyle name="Title 2 2 2 2 5 2 28" xfId="47996"/>
    <cellStyle name="Title 2 2 2 2 5 2 29" xfId="47997"/>
    <cellStyle name="Title 2 2 2 2 5 2 3" xfId="47998"/>
    <cellStyle name="Title 2 2 2 2 5 2 30" xfId="47999"/>
    <cellStyle name="Title 2 2 2 2 5 2 31" xfId="48000"/>
    <cellStyle name="Title 2 2 2 2 5 2 32" xfId="48001"/>
    <cellStyle name="Title 2 2 2 2 5 2 33" xfId="48002"/>
    <cellStyle name="Title 2 2 2 2 5 2 34" xfId="48003"/>
    <cellStyle name="Title 2 2 2 2 5 2 35" xfId="48004"/>
    <cellStyle name="Title 2 2 2 2 5 2 36" xfId="48005"/>
    <cellStyle name="Title 2 2 2 2 5 2 37" xfId="48006"/>
    <cellStyle name="Title 2 2 2 2 5 2 38" xfId="48007"/>
    <cellStyle name="Title 2 2 2 2 5 2 39" xfId="48008"/>
    <cellStyle name="Title 2 2 2 2 5 2 4" xfId="48009"/>
    <cellStyle name="Title 2 2 2 2 5 2 40" xfId="48010"/>
    <cellStyle name="Title 2 2 2 2 5 2 41" xfId="48011"/>
    <cellStyle name="Title 2 2 2 2 5 2 42" xfId="48012"/>
    <cellStyle name="Title 2 2 2 2 5 2 43" xfId="48013"/>
    <cellStyle name="Title 2 2 2 2 5 2 44" xfId="48014"/>
    <cellStyle name="Title 2 2 2 2 5 2 45" xfId="48015"/>
    <cellStyle name="Title 2 2 2 2 5 2 46" xfId="48016"/>
    <cellStyle name="Title 2 2 2 2 5 2 47" xfId="48017"/>
    <cellStyle name="Title 2 2 2 2 5 2 48" xfId="48018"/>
    <cellStyle name="Title 2 2 2 2 5 2 49" xfId="48019"/>
    <cellStyle name="Title 2 2 2 2 5 2 5" xfId="48020"/>
    <cellStyle name="Title 2 2 2 2 5 2 50" xfId="48021"/>
    <cellStyle name="Title 2 2 2 2 5 2 51" xfId="48022"/>
    <cellStyle name="Title 2 2 2 2 5 2 52" xfId="48023"/>
    <cellStyle name="Title 2 2 2 2 5 2 53" xfId="48024"/>
    <cellStyle name="Title 2 2 2 2 5 2 54" xfId="48025"/>
    <cellStyle name="Title 2 2 2 2 5 2 55" xfId="48026"/>
    <cellStyle name="Title 2 2 2 2 5 2 56" xfId="48027"/>
    <cellStyle name="Title 2 2 2 2 5 2 57" xfId="48028"/>
    <cellStyle name="Title 2 2 2 2 5 2 58" xfId="48029"/>
    <cellStyle name="Title 2 2 2 2 5 2 59" xfId="48030"/>
    <cellStyle name="Title 2 2 2 2 5 2 6" xfId="48031"/>
    <cellStyle name="Title 2 2 2 2 5 2 60" xfId="48032"/>
    <cellStyle name="Title 2 2 2 2 5 2 61" xfId="48033"/>
    <cellStyle name="Title 2 2 2 2 5 2 62" xfId="48034"/>
    <cellStyle name="Title 2 2 2 2 5 2 63" xfId="48035"/>
    <cellStyle name="Title 2 2 2 2 5 2 64" xfId="48036"/>
    <cellStyle name="Title 2 2 2 2 5 2 65" xfId="48037"/>
    <cellStyle name="Title 2 2 2 2 5 2 66" xfId="48038"/>
    <cellStyle name="Title 2 2 2 2 5 2 67" xfId="48039"/>
    <cellStyle name="Title 2 2 2 2 5 2 68" xfId="48040"/>
    <cellStyle name="Title 2 2 2 2 5 2 69" xfId="48041"/>
    <cellStyle name="Title 2 2 2 2 5 2 7" xfId="48042"/>
    <cellStyle name="Title 2 2 2 2 5 2 70" xfId="48043"/>
    <cellStyle name="Title 2 2 2 2 5 2 71" xfId="48044"/>
    <cellStyle name="Title 2 2 2 2 5 2 72" xfId="48045"/>
    <cellStyle name="Title 2 2 2 2 5 2 73" xfId="48046"/>
    <cellStyle name="Title 2 2 2 2 5 2 74" xfId="48047"/>
    <cellStyle name="Title 2 2 2 2 5 2 75" xfId="48048"/>
    <cellStyle name="Title 2 2 2 2 5 2 76" xfId="48049"/>
    <cellStyle name="Title 2 2 2 2 5 2 77" xfId="48050"/>
    <cellStyle name="Title 2 2 2 2 5 2 78" xfId="48051"/>
    <cellStyle name="Title 2 2 2 2 5 2 79" xfId="48052"/>
    <cellStyle name="Title 2 2 2 2 5 2 8" xfId="48053"/>
    <cellStyle name="Title 2 2 2 2 5 2 80" xfId="48054"/>
    <cellStyle name="Title 2 2 2 2 5 2 81" xfId="48055"/>
    <cellStyle name="Title 2 2 2 2 5 2 82" xfId="48056"/>
    <cellStyle name="Title 2 2 2 2 5 2 83" xfId="48057"/>
    <cellStyle name="Title 2 2 2 2 5 2 84" xfId="48058"/>
    <cellStyle name="Title 2 2 2 2 5 2 85" xfId="48059"/>
    <cellStyle name="Title 2 2 2 2 5 2 86" xfId="48060"/>
    <cellStyle name="Title 2 2 2 2 5 2 87" xfId="48061"/>
    <cellStyle name="Title 2 2 2 2 5 2 88" xfId="48062"/>
    <cellStyle name="Title 2 2 2 2 5 2 89" xfId="48063"/>
    <cellStyle name="Title 2 2 2 2 5 2 9" xfId="48064"/>
    <cellStyle name="Title 2 2 2 2 5 2 90" xfId="48065"/>
    <cellStyle name="Title 2 2 2 2 5 2 91" xfId="48066"/>
    <cellStyle name="Title 2 2 2 2 5 2 92" xfId="48067"/>
    <cellStyle name="Title 2 2 2 2 5 2 93" xfId="48068"/>
    <cellStyle name="Title 2 2 2 2 5 2 94" xfId="48069"/>
    <cellStyle name="Title 2 2 2 2 5 2 95" xfId="48070"/>
    <cellStyle name="Title 2 2 2 2 5 2 96" xfId="48071"/>
    <cellStyle name="Title 2 2 2 2 5 2 97" xfId="48072"/>
    <cellStyle name="Title 2 2 2 2 5 2 98" xfId="48073"/>
    <cellStyle name="Title 2 2 2 2 5 20" xfId="48074"/>
    <cellStyle name="Title 2 2 2 2 5 21" xfId="48075"/>
    <cellStyle name="Title 2 2 2 2 5 22" xfId="48076"/>
    <cellStyle name="Title 2 2 2 2 5 23" xfId="48077"/>
    <cellStyle name="Title 2 2 2 2 5 24" xfId="48078"/>
    <cellStyle name="Title 2 2 2 2 5 25" xfId="48079"/>
    <cellStyle name="Title 2 2 2 2 5 25 2" xfId="48080"/>
    <cellStyle name="Title 2 2 2 2 5 26" xfId="48081"/>
    <cellStyle name="Title 2 2 2 2 5 27" xfId="48082"/>
    <cellStyle name="Title 2 2 2 2 5 28" xfId="48083"/>
    <cellStyle name="Title 2 2 2 2 5 29" xfId="48084"/>
    <cellStyle name="Title 2 2 2 2 5 3" xfId="48085"/>
    <cellStyle name="Title 2 2 2 2 5 30" xfId="48086"/>
    <cellStyle name="Title 2 2 2 2 5 31" xfId="48087"/>
    <cellStyle name="Title 2 2 2 2 5 32" xfId="48088"/>
    <cellStyle name="Title 2 2 2 2 5 33" xfId="48089"/>
    <cellStyle name="Title 2 2 2 2 5 34" xfId="48090"/>
    <cellStyle name="Title 2 2 2 2 5 35" xfId="48091"/>
    <cellStyle name="Title 2 2 2 2 5 36" xfId="48092"/>
    <cellStyle name="Title 2 2 2 2 5 37" xfId="48093"/>
    <cellStyle name="Title 2 2 2 2 5 38" xfId="48094"/>
    <cellStyle name="Title 2 2 2 2 5 39" xfId="48095"/>
    <cellStyle name="Title 2 2 2 2 5 4" xfId="48096"/>
    <cellStyle name="Title 2 2 2 2 5 4 10" xfId="48097"/>
    <cellStyle name="Title 2 2 2 2 5 4 11" xfId="48098"/>
    <cellStyle name="Title 2 2 2 2 5 4 12" xfId="48099"/>
    <cellStyle name="Title 2 2 2 2 5 4 13" xfId="48100"/>
    <cellStyle name="Title 2 2 2 2 5 4 14" xfId="48101"/>
    <cellStyle name="Title 2 2 2 2 5 4 15" xfId="48102"/>
    <cellStyle name="Title 2 2 2 2 5 4 16" xfId="48103"/>
    <cellStyle name="Title 2 2 2 2 5 4 17" xfId="48104"/>
    <cellStyle name="Title 2 2 2 2 5 4 18" xfId="48105"/>
    <cellStyle name="Title 2 2 2 2 5 4 19" xfId="48106"/>
    <cellStyle name="Title 2 2 2 2 5 4 2" xfId="48107"/>
    <cellStyle name="Title 2 2 2 2 5 4 2 10" xfId="48108"/>
    <cellStyle name="Title 2 2 2 2 5 4 2 11" xfId="48109"/>
    <cellStyle name="Title 2 2 2 2 5 4 2 12" xfId="48110"/>
    <cellStyle name="Title 2 2 2 2 5 4 2 13" xfId="48111"/>
    <cellStyle name="Title 2 2 2 2 5 4 2 14" xfId="48112"/>
    <cellStyle name="Title 2 2 2 2 5 4 2 15" xfId="48113"/>
    <cellStyle name="Title 2 2 2 2 5 4 2 16" xfId="48114"/>
    <cellStyle name="Title 2 2 2 2 5 4 2 17" xfId="48115"/>
    <cellStyle name="Title 2 2 2 2 5 4 2 18" xfId="48116"/>
    <cellStyle name="Title 2 2 2 2 5 4 2 19" xfId="48117"/>
    <cellStyle name="Title 2 2 2 2 5 4 2 2" xfId="48118"/>
    <cellStyle name="Title 2 2 2 2 5 4 2 2 2" xfId="48119"/>
    <cellStyle name="Title 2 2 2 2 5 4 2 20" xfId="48120"/>
    <cellStyle name="Title 2 2 2 2 5 4 2 21" xfId="48121"/>
    <cellStyle name="Title 2 2 2 2 5 4 2 22" xfId="48122"/>
    <cellStyle name="Title 2 2 2 2 5 4 2 23" xfId="48123"/>
    <cellStyle name="Title 2 2 2 2 5 4 2 24" xfId="48124"/>
    <cellStyle name="Title 2 2 2 2 5 4 2 25" xfId="48125"/>
    <cellStyle name="Title 2 2 2 2 5 4 2 26" xfId="48126"/>
    <cellStyle name="Title 2 2 2 2 5 4 2 27" xfId="48127"/>
    <cellStyle name="Title 2 2 2 2 5 4 2 28" xfId="48128"/>
    <cellStyle name="Title 2 2 2 2 5 4 2 29" xfId="48129"/>
    <cellStyle name="Title 2 2 2 2 5 4 2 3" xfId="48130"/>
    <cellStyle name="Title 2 2 2 2 5 4 2 30" xfId="48131"/>
    <cellStyle name="Title 2 2 2 2 5 4 2 31" xfId="48132"/>
    <cellStyle name="Title 2 2 2 2 5 4 2 32" xfId="48133"/>
    <cellStyle name="Title 2 2 2 2 5 4 2 33" xfId="48134"/>
    <cellStyle name="Title 2 2 2 2 5 4 2 34" xfId="48135"/>
    <cellStyle name="Title 2 2 2 2 5 4 2 35" xfId="48136"/>
    <cellStyle name="Title 2 2 2 2 5 4 2 36" xfId="48137"/>
    <cellStyle name="Title 2 2 2 2 5 4 2 37" xfId="48138"/>
    <cellStyle name="Title 2 2 2 2 5 4 2 38" xfId="48139"/>
    <cellStyle name="Title 2 2 2 2 5 4 2 39" xfId="48140"/>
    <cellStyle name="Title 2 2 2 2 5 4 2 4" xfId="48141"/>
    <cellStyle name="Title 2 2 2 2 5 4 2 40" xfId="48142"/>
    <cellStyle name="Title 2 2 2 2 5 4 2 41" xfId="48143"/>
    <cellStyle name="Title 2 2 2 2 5 4 2 42" xfId="48144"/>
    <cellStyle name="Title 2 2 2 2 5 4 2 43" xfId="48145"/>
    <cellStyle name="Title 2 2 2 2 5 4 2 44" xfId="48146"/>
    <cellStyle name="Title 2 2 2 2 5 4 2 45" xfId="48147"/>
    <cellStyle name="Title 2 2 2 2 5 4 2 46" xfId="48148"/>
    <cellStyle name="Title 2 2 2 2 5 4 2 47" xfId="48149"/>
    <cellStyle name="Title 2 2 2 2 5 4 2 48" xfId="48150"/>
    <cellStyle name="Title 2 2 2 2 5 4 2 49" xfId="48151"/>
    <cellStyle name="Title 2 2 2 2 5 4 2 5" xfId="48152"/>
    <cellStyle name="Title 2 2 2 2 5 4 2 50" xfId="48153"/>
    <cellStyle name="Title 2 2 2 2 5 4 2 51" xfId="48154"/>
    <cellStyle name="Title 2 2 2 2 5 4 2 52" xfId="48155"/>
    <cellStyle name="Title 2 2 2 2 5 4 2 53" xfId="48156"/>
    <cellStyle name="Title 2 2 2 2 5 4 2 54" xfId="48157"/>
    <cellStyle name="Title 2 2 2 2 5 4 2 55" xfId="48158"/>
    <cellStyle name="Title 2 2 2 2 5 4 2 56" xfId="48159"/>
    <cellStyle name="Title 2 2 2 2 5 4 2 57" xfId="48160"/>
    <cellStyle name="Title 2 2 2 2 5 4 2 58" xfId="48161"/>
    <cellStyle name="Title 2 2 2 2 5 4 2 59" xfId="48162"/>
    <cellStyle name="Title 2 2 2 2 5 4 2 6" xfId="48163"/>
    <cellStyle name="Title 2 2 2 2 5 4 2 60" xfId="48164"/>
    <cellStyle name="Title 2 2 2 2 5 4 2 61" xfId="48165"/>
    <cellStyle name="Title 2 2 2 2 5 4 2 62" xfId="48166"/>
    <cellStyle name="Title 2 2 2 2 5 4 2 63" xfId="48167"/>
    <cellStyle name="Title 2 2 2 2 5 4 2 64" xfId="48168"/>
    <cellStyle name="Title 2 2 2 2 5 4 2 65" xfId="48169"/>
    <cellStyle name="Title 2 2 2 2 5 4 2 66" xfId="48170"/>
    <cellStyle name="Title 2 2 2 2 5 4 2 67" xfId="48171"/>
    <cellStyle name="Title 2 2 2 2 5 4 2 68" xfId="48172"/>
    <cellStyle name="Title 2 2 2 2 5 4 2 69" xfId="48173"/>
    <cellStyle name="Title 2 2 2 2 5 4 2 7" xfId="48174"/>
    <cellStyle name="Title 2 2 2 2 5 4 2 70" xfId="48175"/>
    <cellStyle name="Title 2 2 2 2 5 4 2 71" xfId="48176"/>
    <cellStyle name="Title 2 2 2 2 5 4 2 72" xfId="48177"/>
    <cellStyle name="Title 2 2 2 2 5 4 2 73" xfId="48178"/>
    <cellStyle name="Title 2 2 2 2 5 4 2 74" xfId="48179"/>
    <cellStyle name="Title 2 2 2 2 5 4 2 8" xfId="48180"/>
    <cellStyle name="Title 2 2 2 2 5 4 2 9" xfId="48181"/>
    <cellStyle name="Title 2 2 2 2 5 4 20" xfId="48182"/>
    <cellStyle name="Title 2 2 2 2 5 4 21" xfId="48183"/>
    <cellStyle name="Title 2 2 2 2 5 4 22" xfId="48184"/>
    <cellStyle name="Title 2 2 2 2 5 4 23" xfId="48185"/>
    <cellStyle name="Title 2 2 2 2 5 4 24" xfId="48186"/>
    <cellStyle name="Title 2 2 2 2 5 4 25" xfId="48187"/>
    <cellStyle name="Title 2 2 2 2 5 4 26" xfId="48188"/>
    <cellStyle name="Title 2 2 2 2 5 4 27" xfId="48189"/>
    <cellStyle name="Title 2 2 2 2 5 4 28" xfId="48190"/>
    <cellStyle name="Title 2 2 2 2 5 4 29" xfId="48191"/>
    <cellStyle name="Title 2 2 2 2 5 4 3" xfId="48192"/>
    <cellStyle name="Title 2 2 2 2 5 4 3 2" xfId="48193"/>
    <cellStyle name="Title 2 2 2 2 5 4 30" xfId="48194"/>
    <cellStyle name="Title 2 2 2 2 5 4 31" xfId="48195"/>
    <cellStyle name="Title 2 2 2 2 5 4 32" xfId="48196"/>
    <cellStyle name="Title 2 2 2 2 5 4 33" xfId="48197"/>
    <cellStyle name="Title 2 2 2 2 5 4 34" xfId="48198"/>
    <cellStyle name="Title 2 2 2 2 5 4 35" xfId="48199"/>
    <cellStyle name="Title 2 2 2 2 5 4 36" xfId="48200"/>
    <cellStyle name="Title 2 2 2 2 5 4 37" xfId="48201"/>
    <cellStyle name="Title 2 2 2 2 5 4 38" xfId="48202"/>
    <cellStyle name="Title 2 2 2 2 5 4 39" xfId="48203"/>
    <cellStyle name="Title 2 2 2 2 5 4 4" xfId="48204"/>
    <cellStyle name="Title 2 2 2 2 5 4 40" xfId="48205"/>
    <cellStyle name="Title 2 2 2 2 5 4 41" xfId="48206"/>
    <cellStyle name="Title 2 2 2 2 5 4 42" xfId="48207"/>
    <cellStyle name="Title 2 2 2 2 5 4 43" xfId="48208"/>
    <cellStyle name="Title 2 2 2 2 5 4 44" xfId="48209"/>
    <cellStyle name="Title 2 2 2 2 5 4 45" xfId="48210"/>
    <cellStyle name="Title 2 2 2 2 5 4 46" xfId="48211"/>
    <cellStyle name="Title 2 2 2 2 5 4 47" xfId="48212"/>
    <cellStyle name="Title 2 2 2 2 5 4 48" xfId="48213"/>
    <cellStyle name="Title 2 2 2 2 5 4 49" xfId="48214"/>
    <cellStyle name="Title 2 2 2 2 5 4 5" xfId="48215"/>
    <cellStyle name="Title 2 2 2 2 5 4 50" xfId="48216"/>
    <cellStyle name="Title 2 2 2 2 5 4 51" xfId="48217"/>
    <cellStyle name="Title 2 2 2 2 5 4 52" xfId="48218"/>
    <cellStyle name="Title 2 2 2 2 5 4 53" xfId="48219"/>
    <cellStyle name="Title 2 2 2 2 5 4 54" xfId="48220"/>
    <cellStyle name="Title 2 2 2 2 5 4 55" xfId="48221"/>
    <cellStyle name="Title 2 2 2 2 5 4 56" xfId="48222"/>
    <cellStyle name="Title 2 2 2 2 5 4 57" xfId="48223"/>
    <cellStyle name="Title 2 2 2 2 5 4 58" xfId="48224"/>
    <cellStyle name="Title 2 2 2 2 5 4 59" xfId="48225"/>
    <cellStyle name="Title 2 2 2 2 5 4 6" xfId="48226"/>
    <cellStyle name="Title 2 2 2 2 5 4 60" xfId="48227"/>
    <cellStyle name="Title 2 2 2 2 5 4 61" xfId="48228"/>
    <cellStyle name="Title 2 2 2 2 5 4 62" xfId="48229"/>
    <cellStyle name="Title 2 2 2 2 5 4 63" xfId="48230"/>
    <cellStyle name="Title 2 2 2 2 5 4 64" xfId="48231"/>
    <cellStyle name="Title 2 2 2 2 5 4 65" xfId="48232"/>
    <cellStyle name="Title 2 2 2 2 5 4 66" xfId="48233"/>
    <cellStyle name="Title 2 2 2 2 5 4 67" xfId="48234"/>
    <cellStyle name="Title 2 2 2 2 5 4 68" xfId="48235"/>
    <cellStyle name="Title 2 2 2 2 5 4 69" xfId="48236"/>
    <cellStyle name="Title 2 2 2 2 5 4 7" xfId="48237"/>
    <cellStyle name="Title 2 2 2 2 5 4 70" xfId="48238"/>
    <cellStyle name="Title 2 2 2 2 5 4 71" xfId="48239"/>
    <cellStyle name="Title 2 2 2 2 5 4 72" xfId="48240"/>
    <cellStyle name="Title 2 2 2 2 5 4 73" xfId="48241"/>
    <cellStyle name="Title 2 2 2 2 5 4 74" xfId="48242"/>
    <cellStyle name="Title 2 2 2 2 5 4 8" xfId="48243"/>
    <cellStyle name="Title 2 2 2 2 5 4 9" xfId="48244"/>
    <cellStyle name="Title 2 2 2 2 5 40" xfId="48245"/>
    <cellStyle name="Title 2 2 2 2 5 41" xfId="48246"/>
    <cellStyle name="Title 2 2 2 2 5 42" xfId="48247"/>
    <cellStyle name="Title 2 2 2 2 5 43" xfId="48248"/>
    <cellStyle name="Title 2 2 2 2 5 44" xfId="48249"/>
    <cellStyle name="Title 2 2 2 2 5 45" xfId="48250"/>
    <cellStyle name="Title 2 2 2 2 5 46" xfId="48251"/>
    <cellStyle name="Title 2 2 2 2 5 47" xfId="48252"/>
    <cellStyle name="Title 2 2 2 2 5 48" xfId="48253"/>
    <cellStyle name="Title 2 2 2 2 5 49" xfId="48254"/>
    <cellStyle name="Title 2 2 2 2 5 5" xfId="48255"/>
    <cellStyle name="Title 2 2 2 2 5 50" xfId="48256"/>
    <cellStyle name="Title 2 2 2 2 5 51" xfId="48257"/>
    <cellStyle name="Title 2 2 2 2 5 52" xfId="48258"/>
    <cellStyle name="Title 2 2 2 2 5 53" xfId="48259"/>
    <cellStyle name="Title 2 2 2 2 5 54" xfId="48260"/>
    <cellStyle name="Title 2 2 2 2 5 55" xfId="48261"/>
    <cellStyle name="Title 2 2 2 2 5 56" xfId="48262"/>
    <cellStyle name="Title 2 2 2 2 5 57" xfId="48263"/>
    <cellStyle name="Title 2 2 2 2 5 58" xfId="48264"/>
    <cellStyle name="Title 2 2 2 2 5 59" xfId="48265"/>
    <cellStyle name="Title 2 2 2 2 5 6" xfId="48266"/>
    <cellStyle name="Title 2 2 2 2 5 60" xfId="48267"/>
    <cellStyle name="Title 2 2 2 2 5 61" xfId="48268"/>
    <cellStyle name="Title 2 2 2 2 5 62" xfId="48269"/>
    <cellStyle name="Title 2 2 2 2 5 63" xfId="48270"/>
    <cellStyle name="Title 2 2 2 2 5 64" xfId="48271"/>
    <cellStyle name="Title 2 2 2 2 5 65" xfId="48272"/>
    <cellStyle name="Title 2 2 2 2 5 66" xfId="48273"/>
    <cellStyle name="Title 2 2 2 2 5 67" xfId="48274"/>
    <cellStyle name="Title 2 2 2 2 5 68" xfId="48275"/>
    <cellStyle name="Title 2 2 2 2 5 69" xfId="48276"/>
    <cellStyle name="Title 2 2 2 2 5 7" xfId="48277"/>
    <cellStyle name="Title 2 2 2 2 5 70" xfId="48278"/>
    <cellStyle name="Title 2 2 2 2 5 71" xfId="48279"/>
    <cellStyle name="Title 2 2 2 2 5 72" xfId="48280"/>
    <cellStyle name="Title 2 2 2 2 5 73" xfId="48281"/>
    <cellStyle name="Title 2 2 2 2 5 74" xfId="48282"/>
    <cellStyle name="Title 2 2 2 2 5 75" xfId="48283"/>
    <cellStyle name="Title 2 2 2 2 5 76" xfId="48284"/>
    <cellStyle name="Title 2 2 2 2 5 77" xfId="48285"/>
    <cellStyle name="Title 2 2 2 2 5 78" xfId="48286"/>
    <cellStyle name="Title 2 2 2 2 5 79" xfId="48287"/>
    <cellStyle name="Title 2 2 2 2 5 8" xfId="48288"/>
    <cellStyle name="Title 2 2 2 2 5 80" xfId="48289"/>
    <cellStyle name="Title 2 2 2 2 5 81" xfId="48290"/>
    <cellStyle name="Title 2 2 2 2 5 82" xfId="48291"/>
    <cellStyle name="Title 2 2 2 2 5 83" xfId="48292"/>
    <cellStyle name="Title 2 2 2 2 5 84" xfId="48293"/>
    <cellStyle name="Title 2 2 2 2 5 85" xfId="48294"/>
    <cellStyle name="Title 2 2 2 2 5 86" xfId="48295"/>
    <cellStyle name="Title 2 2 2 2 5 87" xfId="48296"/>
    <cellStyle name="Title 2 2 2 2 5 88" xfId="48297"/>
    <cellStyle name="Title 2 2 2 2 5 89" xfId="48298"/>
    <cellStyle name="Title 2 2 2 2 5 9" xfId="48299"/>
    <cellStyle name="Title 2 2 2 2 5 90" xfId="48300"/>
    <cellStyle name="Title 2 2 2 2 5 91" xfId="48301"/>
    <cellStyle name="Title 2 2 2 2 5 92" xfId="48302"/>
    <cellStyle name="Title 2 2 2 2 5 93" xfId="48303"/>
    <cellStyle name="Title 2 2 2 2 5 94" xfId="48304"/>
    <cellStyle name="Title 2 2 2 2 5 95" xfId="48305"/>
    <cellStyle name="Title 2 2 2 2 5 96" xfId="48306"/>
    <cellStyle name="Title 2 2 2 2 5 97" xfId="48307"/>
    <cellStyle name="Title 2 2 2 2 5 98" xfId="48308"/>
    <cellStyle name="Title 2 2 2 2 5 99" xfId="48309"/>
    <cellStyle name="Title 2 2 2 2 50" xfId="48310"/>
    <cellStyle name="Title 2 2 2 2 50 2" xfId="48311"/>
    <cellStyle name="Title 2 2 2 2 51" xfId="48312"/>
    <cellStyle name="Title 2 2 2 2 51 2" xfId="48313"/>
    <cellStyle name="Title 2 2 2 2 52" xfId="48314"/>
    <cellStyle name="Title 2 2 2 2 52 2" xfId="48315"/>
    <cellStyle name="Title 2 2 2 2 53" xfId="48316"/>
    <cellStyle name="Title 2 2 2 2 53 2" xfId="48317"/>
    <cellStyle name="Title 2 2 2 2 54" xfId="48318"/>
    <cellStyle name="Title 2 2 2 2 54 2" xfId="48319"/>
    <cellStyle name="Title 2 2 2 2 55" xfId="48320"/>
    <cellStyle name="Title 2 2 2 2 55 2" xfId="48321"/>
    <cellStyle name="Title 2 2 2 2 56" xfId="48322"/>
    <cellStyle name="Title 2 2 2 2 56 2" xfId="48323"/>
    <cellStyle name="Title 2 2 2 2 57" xfId="48324"/>
    <cellStyle name="Title 2 2 2 2 57 2" xfId="48325"/>
    <cellStyle name="Title 2 2 2 2 58" xfId="48326"/>
    <cellStyle name="Title 2 2 2 2 58 2" xfId="48327"/>
    <cellStyle name="Title 2 2 2 2 59" xfId="48328"/>
    <cellStyle name="Title 2 2 2 2 59 2" xfId="48329"/>
    <cellStyle name="Title 2 2 2 2 6" xfId="48330"/>
    <cellStyle name="Title 2 2 2 2 6 10" xfId="48331"/>
    <cellStyle name="Title 2 2 2 2 6 100" xfId="48332"/>
    <cellStyle name="Title 2 2 2 2 6 101" xfId="48333"/>
    <cellStyle name="Title 2 2 2 2 6 102" xfId="48334"/>
    <cellStyle name="Title 2 2 2 2 6 103" xfId="48335"/>
    <cellStyle name="Title 2 2 2 2 6 104" xfId="48336"/>
    <cellStyle name="Title 2 2 2 2 6 105" xfId="48337"/>
    <cellStyle name="Title 2 2 2 2 6 106" xfId="48338"/>
    <cellStyle name="Title 2 2 2 2 6 107" xfId="48339"/>
    <cellStyle name="Title 2 2 2 2 6 108" xfId="48340"/>
    <cellStyle name="Title 2 2 2 2 6 109" xfId="48341"/>
    <cellStyle name="Title 2 2 2 2 6 11" xfId="48342"/>
    <cellStyle name="Title 2 2 2 2 6 110" xfId="48343"/>
    <cellStyle name="Title 2 2 2 2 6 12" xfId="48344"/>
    <cellStyle name="Title 2 2 2 2 6 13" xfId="48345"/>
    <cellStyle name="Title 2 2 2 2 6 14" xfId="48346"/>
    <cellStyle name="Title 2 2 2 2 6 15" xfId="48347"/>
    <cellStyle name="Title 2 2 2 2 6 16" xfId="48348"/>
    <cellStyle name="Title 2 2 2 2 6 17" xfId="48349"/>
    <cellStyle name="Title 2 2 2 2 6 18" xfId="48350"/>
    <cellStyle name="Title 2 2 2 2 6 19" xfId="48351"/>
    <cellStyle name="Title 2 2 2 2 6 2" xfId="48352"/>
    <cellStyle name="Title 2 2 2 2 6 2 10" xfId="48353"/>
    <cellStyle name="Title 2 2 2 2 6 2 11" xfId="48354"/>
    <cellStyle name="Title 2 2 2 2 6 2 12" xfId="48355"/>
    <cellStyle name="Title 2 2 2 2 6 2 13" xfId="48356"/>
    <cellStyle name="Title 2 2 2 2 6 2 13 2" xfId="48357"/>
    <cellStyle name="Title 2 2 2 2 6 2 14" xfId="48358"/>
    <cellStyle name="Title 2 2 2 2 6 2 15" xfId="48359"/>
    <cellStyle name="Title 2 2 2 2 6 2 16" xfId="48360"/>
    <cellStyle name="Title 2 2 2 2 6 2 17" xfId="48361"/>
    <cellStyle name="Title 2 2 2 2 6 2 18" xfId="48362"/>
    <cellStyle name="Title 2 2 2 2 6 2 19" xfId="48363"/>
    <cellStyle name="Title 2 2 2 2 6 2 2" xfId="48364"/>
    <cellStyle name="Title 2 2 2 2 6 2 2 10" xfId="48365"/>
    <cellStyle name="Title 2 2 2 2 6 2 2 11" xfId="48366"/>
    <cellStyle name="Title 2 2 2 2 6 2 2 12" xfId="48367"/>
    <cellStyle name="Title 2 2 2 2 6 2 2 13" xfId="48368"/>
    <cellStyle name="Title 2 2 2 2 6 2 2 14" xfId="48369"/>
    <cellStyle name="Title 2 2 2 2 6 2 2 15" xfId="48370"/>
    <cellStyle name="Title 2 2 2 2 6 2 2 16" xfId="48371"/>
    <cellStyle name="Title 2 2 2 2 6 2 2 17" xfId="48372"/>
    <cellStyle name="Title 2 2 2 2 6 2 2 18" xfId="48373"/>
    <cellStyle name="Title 2 2 2 2 6 2 2 19" xfId="48374"/>
    <cellStyle name="Title 2 2 2 2 6 2 2 2" xfId="48375"/>
    <cellStyle name="Title 2 2 2 2 6 2 2 2 10" xfId="48376"/>
    <cellStyle name="Title 2 2 2 2 6 2 2 2 11" xfId="48377"/>
    <cellStyle name="Title 2 2 2 2 6 2 2 2 12" xfId="48378"/>
    <cellStyle name="Title 2 2 2 2 6 2 2 2 13" xfId="48379"/>
    <cellStyle name="Title 2 2 2 2 6 2 2 2 14" xfId="48380"/>
    <cellStyle name="Title 2 2 2 2 6 2 2 2 15" xfId="48381"/>
    <cellStyle name="Title 2 2 2 2 6 2 2 2 16" xfId="48382"/>
    <cellStyle name="Title 2 2 2 2 6 2 2 2 17" xfId="48383"/>
    <cellStyle name="Title 2 2 2 2 6 2 2 2 18" xfId="48384"/>
    <cellStyle name="Title 2 2 2 2 6 2 2 2 19" xfId="48385"/>
    <cellStyle name="Title 2 2 2 2 6 2 2 2 2" xfId="48386"/>
    <cellStyle name="Title 2 2 2 2 6 2 2 2 2 10" xfId="48387"/>
    <cellStyle name="Title 2 2 2 2 6 2 2 2 2 11" xfId="48388"/>
    <cellStyle name="Title 2 2 2 2 6 2 2 2 2 12" xfId="48389"/>
    <cellStyle name="Title 2 2 2 2 6 2 2 2 2 13" xfId="48390"/>
    <cellStyle name="Title 2 2 2 2 6 2 2 2 2 14" xfId="48391"/>
    <cellStyle name="Title 2 2 2 2 6 2 2 2 2 15" xfId="48392"/>
    <cellStyle name="Title 2 2 2 2 6 2 2 2 2 16" xfId="48393"/>
    <cellStyle name="Title 2 2 2 2 6 2 2 2 2 17" xfId="48394"/>
    <cellStyle name="Title 2 2 2 2 6 2 2 2 2 18" xfId="48395"/>
    <cellStyle name="Title 2 2 2 2 6 2 2 2 2 19" xfId="48396"/>
    <cellStyle name="Title 2 2 2 2 6 2 2 2 2 2" xfId="48397"/>
    <cellStyle name="Title 2 2 2 2 6 2 2 2 2 2 10" xfId="48398"/>
    <cellStyle name="Title 2 2 2 2 6 2 2 2 2 2 11" xfId="48399"/>
    <cellStyle name="Title 2 2 2 2 6 2 2 2 2 2 12" xfId="48400"/>
    <cellStyle name="Title 2 2 2 2 6 2 2 2 2 2 13" xfId="48401"/>
    <cellStyle name="Title 2 2 2 2 6 2 2 2 2 2 14" xfId="48402"/>
    <cellStyle name="Title 2 2 2 2 6 2 2 2 2 2 15" xfId="48403"/>
    <cellStyle name="Title 2 2 2 2 6 2 2 2 2 2 16" xfId="48404"/>
    <cellStyle name="Title 2 2 2 2 6 2 2 2 2 2 17" xfId="48405"/>
    <cellStyle name="Title 2 2 2 2 6 2 2 2 2 2 18" xfId="48406"/>
    <cellStyle name="Title 2 2 2 2 6 2 2 2 2 2 19" xfId="48407"/>
    <cellStyle name="Title 2 2 2 2 6 2 2 2 2 2 2" xfId="48408"/>
    <cellStyle name="Title 2 2 2 2 6 2 2 2 2 2 2 2" xfId="48409"/>
    <cellStyle name="Title 2 2 2 2 6 2 2 2 2 2 20" xfId="48410"/>
    <cellStyle name="Title 2 2 2 2 6 2 2 2 2 2 21" xfId="48411"/>
    <cellStyle name="Title 2 2 2 2 6 2 2 2 2 2 22" xfId="48412"/>
    <cellStyle name="Title 2 2 2 2 6 2 2 2 2 2 23" xfId="48413"/>
    <cellStyle name="Title 2 2 2 2 6 2 2 2 2 2 24" xfId="48414"/>
    <cellStyle name="Title 2 2 2 2 6 2 2 2 2 2 25" xfId="48415"/>
    <cellStyle name="Title 2 2 2 2 6 2 2 2 2 2 26" xfId="48416"/>
    <cellStyle name="Title 2 2 2 2 6 2 2 2 2 2 27" xfId="48417"/>
    <cellStyle name="Title 2 2 2 2 6 2 2 2 2 2 28" xfId="48418"/>
    <cellStyle name="Title 2 2 2 2 6 2 2 2 2 2 29" xfId="48419"/>
    <cellStyle name="Title 2 2 2 2 6 2 2 2 2 2 3" xfId="48420"/>
    <cellStyle name="Title 2 2 2 2 6 2 2 2 2 2 30" xfId="48421"/>
    <cellStyle name="Title 2 2 2 2 6 2 2 2 2 2 31" xfId="48422"/>
    <cellStyle name="Title 2 2 2 2 6 2 2 2 2 2 32" xfId="48423"/>
    <cellStyle name="Title 2 2 2 2 6 2 2 2 2 2 33" xfId="48424"/>
    <cellStyle name="Title 2 2 2 2 6 2 2 2 2 2 34" xfId="48425"/>
    <cellStyle name="Title 2 2 2 2 6 2 2 2 2 2 35" xfId="48426"/>
    <cellStyle name="Title 2 2 2 2 6 2 2 2 2 2 36" xfId="48427"/>
    <cellStyle name="Title 2 2 2 2 6 2 2 2 2 2 37" xfId="48428"/>
    <cellStyle name="Title 2 2 2 2 6 2 2 2 2 2 38" xfId="48429"/>
    <cellStyle name="Title 2 2 2 2 6 2 2 2 2 2 39" xfId="48430"/>
    <cellStyle name="Title 2 2 2 2 6 2 2 2 2 2 4" xfId="48431"/>
    <cellStyle name="Title 2 2 2 2 6 2 2 2 2 2 40" xfId="48432"/>
    <cellStyle name="Title 2 2 2 2 6 2 2 2 2 2 41" xfId="48433"/>
    <cellStyle name="Title 2 2 2 2 6 2 2 2 2 2 42" xfId="48434"/>
    <cellStyle name="Title 2 2 2 2 6 2 2 2 2 2 43" xfId="48435"/>
    <cellStyle name="Title 2 2 2 2 6 2 2 2 2 2 44" xfId="48436"/>
    <cellStyle name="Title 2 2 2 2 6 2 2 2 2 2 45" xfId="48437"/>
    <cellStyle name="Title 2 2 2 2 6 2 2 2 2 2 46" xfId="48438"/>
    <cellStyle name="Title 2 2 2 2 6 2 2 2 2 2 47" xfId="48439"/>
    <cellStyle name="Title 2 2 2 2 6 2 2 2 2 2 48" xfId="48440"/>
    <cellStyle name="Title 2 2 2 2 6 2 2 2 2 2 49" xfId="48441"/>
    <cellStyle name="Title 2 2 2 2 6 2 2 2 2 2 5" xfId="48442"/>
    <cellStyle name="Title 2 2 2 2 6 2 2 2 2 2 50" xfId="48443"/>
    <cellStyle name="Title 2 2 2 2 6 2 2 2 2 2 51" xfId="48444"/>
    <cellStyle name="Title 2 2 2 2 6 2 2 2 2 2 52" xfId="48445"/>
    <cellStyle name="Title 2 2 2 2 6 2 2 2 2 2 53" xfId="48446"/>
    <cellStyle name="Title 2 2 2 2 6 2 2 2 2 2 54" xfId="48447"/>
    <cellStyle name="Title 2 2 2 2 6 2 2 2 2 2 55" xfId="48448"/>
    <cellStyle name="Title 2 2 2 2 6 2 2 2 2 2 56" xfId="48449"/>
    <cellStyle name="Title 2 2 2 2 6 2 2 2 2 2 57" xfId="48450"/>
    <cellStyle name="Title 2 2 2 2 6 2 2 2 2 2 58" xfId="48451"/>
    <cellStyle name="Title 2 2 2 2 6 2 2 2 2 2 59" xfId="48452"/>
    <cellStyle name="Title 2 2 2 2 6 2 2 2 2 2 6" xfId="48453"/>
    <cellStyle name="Title 2 2 2 2 6 2 2 2 2 2 60" xfId="48454"/>
    <cellStyle name="Title 2 2 2 2 6 2 2 2 2 2 61" xfId="48455"/>
    <cellStyle name="Title 2 2 2 2 6 2 2 2 2 2 62" xfId="48456"/>
    <cellStyle name="Title 2 2 2 2 6 2 2 2 2 2 63" xfId="48457"/>
    <cellStyle name="Title 2 2 2 2 6 2 2 2 2 2 64" xfId="48458"/>
    <cellStyle name="Title 2 2 2 2 6 2 2 2 2 2 65" xfId="48459"/>
    <cellStyle name="Title 2 2 2 2 6 2 2 2 2 2 66" xfId="48460"/>
    <cellStyle name="Title 2 2 2 2 6 2 2 2 2 2 67" xfId="48461"/>
    <cellStyle name="Title 2 2 2 2 6 2 2 2 2 2 68" xfId="48462"/>
    <cellStyle name="Title 2 2 2 2 6 2 2 2 2 2 69" xfId="48463"/>
    <cellStyle name="Title 2 2 2 2 6 2 2 2 2 2 7" xfId="48464"/>
    <cellStyle name="Title 2 2 2 2 6 2 2 2 2 2 70" xfId="48465"/>
    <cellStyle name="Title 2 2 2 2 6 2 2 2 2 2 71" xfId="48466"/>
    <cellStyle name="Title 2 2 2 2 6 2 2 2 2 2 72" xfId="48467"/>
    <cellStyle name="Title 2 2 2 2 6 2 2 2 2 2 73" xfId="48468"/>
    <cellStyle name="Title 2 2 2 2 6 2 2 2 2 2 74" xfId="48469"/>
    <cellStyle name="Title 2 2 2 2 6 2 2 2 2 2 8" xfId="48470"/>
    <cellStyle name="Title 2 2 2 2 6 2 2 2 2 2 9" xfId="48471"/>
    <cellStyle name="Title 2 2 2 2 6 2 2 2 2 20" xfId="48472"/>
    <cellStyle name="Title 2 2 2 2 6 2 2 2 2 21" xfId="48473"/>
    <cellStyle name="Title 2 2 2 2 6 2 2 2 2 22" xfId="48474"/>
    <cellStyle name="Title 2 2 2 2 6 2 2 2 2 23" xfId="48475"/>
    <cellStyle name="Title 2 2 2 2 6 2 2 2 2 24" xfId="48476"/>
    <cellStyle name="Title 2 2 2 2 6 2 2 2 2 25" xfId="48477"/>
    <cellStyle name="Title 2 2 2 2 6 2 2 2 2 26" xfId="48478"/>
    <cellStyle name="Title 2 2 2 2 6 2 2 2 2 27" xfId="48479"/>
    <cellStyle name="Title 2 2 2 2 6 2 2 2 2 28" xfId="48480"/>
    <cellStyle name="Title 2 2 2 2 6 2 2 2 2 29" xfId="48481"/>
    <cellStyle name="Title 2 2 2 2 6 2 2 2 2 3" xfId="48482"/>
    <cellStyle name="Title 2 2 2 2 6 2 2 2 2 3 2" xfId="48483"/>
    <cellStyle name="Title 2 2 2 2 6 2 2 2 2 30" xfId="48484"/>
    <cellStyle name="Title 2 2 2 2 6 2 2 2 2 31" xfId="48485"/>
    <cellStyle name="Title 2 2 2 2 6 2 2 2 2 32" xfId="48486"/>
    <cellStyle name="Title 2 2 2 2 6 2 2 2 2 33" xfId="48487"/>
    <cellStyle name="Title 2 2 2 2 6 2 2 2 2 34" xfId="48488"/>
    <cellStyle name="Title 2 2 2 2 6 2 2 2 2 35" xfId="48489"/>
    <cellStyle name="Title 2 2 2 2 6 2 2 2 2 36" xfId="48490"/>
    <cellStyle name="Title 2 2 2 2 6 2 2 2 2 37" xfId="48491"/>
    <cellStyle name="Title 2 2 2 2 6 2 2 2 2 38" xfId="48492"/>
    <cellStyle name="Title 2 2 2 2 6 2 2 2 2 39" xfId="48493"/>
    <cellStyle name="Title 2 2 2 2 6 2 2 2 2 4" xfId="48494"/>
    <cellStyle name="Title 2 2 2 2 6 2 2 2 2 40" xfId="48495"/>
    <cellStyle name="Title 2 2 2 2 6 2 2 2 2 41" xfId="48496"/>
    <cellStyle name="Title 2 2 2 2 6 2 2 2 2 42" xfId="48497"/>
    <cellStyle name="Title 2 2 2 2 6 2 2 2 2 43" xfId="48498"/>
    <cellStyle name="Title 2 2 2 2 6 2 2 2 2 44" xfId="48499"/>
    <cellStyle name="Title 2 2 2 2 6 2 2 2 2 45" xfId="48500"/>
    <cellStyle name="Title 2 2 2 2 6 2 2 2 2 46" xfId="48501"/>
    <cellStyle name="Title 2 2 2 2 6 2 2 2 2 47" xfId="48502"/>
    <cellStyle name="Title 2 2 2 2 6 2 2 2 2 48" xfId="48503"/>
    <cellStyle name="Title 2 2 2 2 6 2 2 2 2 49" xfId="48504"/>
    <cellStyle name="Title 2 2 2 2 6 2 2 2 2 5" xfId="48505"/>
    <cellStyle name="Title 2 2 2 2 6 2 2 2 2 50" xfId="48506"/>
    <cellStyle name="Title 2 2 2 2 6 2 2 2 2 51" xfId="48507"/>
    <cellStyle name="Title 2 2 2 2 6 2 2 2 2 52" xfId="48508"/>
    <cellStyle name="Title 2 2 2 2 6 2 2 2 2 53" xfId="48509"/>
    <cellStyle name="Title 2 2 2 2 6 2 2 2 2 54" xfId="48510"/>
    <cellStyle name="Title 2 2 2 2 6 2 2 2 2 55" xfId="48511"/>
    <cellStyle name="Title 2 2 2 2 6 2 2 2 2 56" xfId="48512"/>
    <cellStyle name="Title 2 2 2 2 6 2 2 2 2 57" xfId="48513"/>
    <cellStyle name="Title 2 2 2 2 6 2 2 2 2 58" xfId="48514"/>
    <cellStyle name="Title 2 2 2 2 6 2 2 2 2 59" xfId="48515"/>
    <cellStyle name="Title 2 2 2 2 6 2 2 2 2 6" xfId="48516"/>
    <cellStyle name="Title 2 2 2 2 6 2 2 2 2 60" xfId="48517"/>
    <cellStyle name="Title 2 2 2 2 6 2 2 2 2 61" xfId="48518"/>
    <cellStyle name="Title 2 2 2 2 6 2 2 2 2 62" xfId="48519"/>
    <cellStyle name="Title 2 2 2 2 6 2 2 2 2 63" xfId="48520"/>
    <cellStyle name="Title 2 2 2 2 6 2 2 2 2 64" xfId="48521"/>
    <cellStyle name="Title 2 2 2 2 6 2 2 2 2 65" xfId="48522"/>
    <cellStyle name="Title 2 2 2 2 6 2 2 2 2 66" xfId="48523"/>
    <cellStyle name="Title 2 2 2 2 6 2 2 2 2 67" xfId="48524"/>
    <cellStyle name="Title 2 2 2 2 6 2 2 2 2 68" xfId="48525"/>
    <cellStyle name="Title 2 2 2 2 6 2 2 2 2 69" xfId="48526"/>
    <cellStyle name="Title 2 2 2 2 6 2 2 2 2 7" xfId="48527"/>
    <cellStyle name="Title 2 2 2 2 6 2 2 2 2 70" xfId="48528"/>
    <cellStyle name="Title 2 2 2 2 6 2 2 2 2 71" xfId="48529"/>
    <cellStyle name="Title 2 2 2 2 6 2 2 2 2 72" xfId="48530"/>
    <cellStyle name="Title 2 2 2 2 6 2 2 2 2 73" xfId="48531"/>
    <cellStyle name="Title 2 2 2 2 6 2 2 2 2 74" xfId="48532"/>
    <cellStyle name="Title 2 2 2 2 6 2 2 2 2 8" xfId="48533"/>
    <cellStyle name="Title 2 2 2 2 6 2 2 2 2 9" xfId="48534"/>
    <cellStyle name="Title 2 2 2 2 6 2 2 2 20" xfId="48535"/>
    <cellStyle name="Title 2 2 2 2 6 2 2 2 21" xfId="48536"/>
    <cellStyle name="Title 2 2 2 2 6 2 2 2 22" xfId="48537"/>
    <cellStyle name="Title 2 2 2 2 6 2 2 2 23" xfId="48538"/>
    <cellStyle name="Title 2 2 2 2 6 2 2 2 24" xfId="48539"/>
    <cellStyle name="Title 2 2 2 2 6 2 2 2 25" xfId="48540"/>
    <cellStyle name="Title 2 2 2 2 6 2 2 2 26" xfId="48541"/>
    <cellStyle name="Title 2 2 2 2 6 2 2 2 27" xfId="48542"/>
    <cellStyle name="Title 2 2 2 2 6 2 2 2 28" xfId="48543"/>
    <cellStyle name="Title 2 2 2 2 6 2 2 2 29" xfId="48544"/>
    <cellStyle name="Title 2 2 2 2 6 2 2 2 3" xfId="48545"/>
    <cellStyle name="Title 2 2 2 2 6 2 2 2 3 2" xfId="48546"/>
    <cellStyle name="Title 2 2 2 2 6 2 2 2 30" xfId="48547"/>
    <cellStyle name="Title 2 2 2 2 6 2 2 2 31" xfId="48548"/>
    <cellStyle name="Title 2 2 2 2 6 2 2 2 32" xfId="48549"/>
    <cellStyle name="Title 2 2 2 2 6 2 2 2 33" xfId="48550"/>
    <cellStyle name="Title 2 2 2 2 6 2 2 2 34" xfId="48551"/>
    <cellStyle name="Title 2 2 2 2 6 2 2 2 35" xfId="48552"/>
    <cellStyle name="Title 2 2 2 2 6 2 2 2 36" xfId="48553"/>
    <cellStyle name="Title 2 2 2 2 6 2 2 2 37" xfId="48554"/>
    <cellStyle name="Title 2 2 2 2 6 2 2 2 38" xfId="48555"/>
    <cellStyle name="Title 2 2 2 2 6 2 2 2 39" xfId="48556"/>
    <cellStyle name="Title 2 2 2 2 6 2 2 2 4" xfId="48557"/>
    <cellStyle name="Title 2 2 2 2 6 2 2 2 40" xfId="48558"/>
    <cellStyle name="Title 2 2 2 2 6 2 2 2 41" xfId="48559"/>
    <cellStyle name="Title 2 2 2 2 6 2 2 2 42" xfId="48560"/>
    <cellStyle name="Title 2 2 2 2 6 2 2 2 43" xfId="48561"/>
    <cellStyle name="Title 2 2 2 2 6 2 2 2 44" xfId="48562"/>
    <cellStyle name="Title 2 2 2 2 6 2 2 2 45" xfId="48563"/>
    <cellStyle name="Title 2 2 2 2 6 2 2 2 46" xfId="48564"/>
    <cellStyle name="Title 2 2 2 2 6 2 2 2 47" xfId="48565"/>
    <cellStyle name="Title 2 2 2 2 6 2 2 2 48" xfId="48566"/>
    <cellStyle name="Title 2 2 2 2 6 2 2 2 49" xfId="48567"/>
    <cellStyle name="Title 2 2 2 2 6 2 2 2 5" xfId="48568"/>
    <cellStyle name="Title 2 2 2 2 6 2 2 2 50" xfId="48569"/>
    <cellStyle name="Title 2 2 2 2 6 2 2 2 51" xfId="48570"/>
    <cellStyle name="Title 2 2 2 2 6 2 2 2 52" xfId="48571"/>
    <cellStyle name="Title 2 2 2 2 6 2 2 2 53" xfId="48572"/>
    <cellStyle name="Title 2 2 2 2 6 2 2 2 54" xfId="48573"/>
    <cellStyle name="Title 2 2 2 2 6 2 2 2 55" xfId="48574"/>
    <cellStyle name="Title 2 2 2 2 6 2 2 2 56" xfId="48575"/>
    <cellStyle name="Title 2 2 2 2 6 2 2 2 57" xfId="48576"/>
    <cellStyle name="Title 2 2 2 2 6 2 2 2 58" xfId="48577"/>
    <cellStyle name="Title 2 2 2 2 6 2 2 2 59" xfId="48578"/>
    <cellStyle name="Title 2 2 2 2 6 2 2 2 6" xfId="48579"/>
    <cellStyle name="Title 2 2 2 2 6 2 2 2 60" xfId="48580"/>
    <cellStyle name="Title 2 2 2 2 6 2 2 2 61" xfId="48581"/>
    <cellStyle name="Title 2 2 2 2 6 2 2 2 62" xfId="48582"/>
    <cellStyle name="Title 2 2 2 2 6 2 2 2 63" xfId="48583"/>
    <cellStyle name="Title 2 2 2 2 6 2 2 2 64" xfId="48584"/>
    <cellStyle name="Title 2 2 2 2 6 2 2 2 65" xfId="48585"/>
    <cellStyle name="Title 2 2 2 2 6 2 2 2 66" xfId="48586"/>
    <cellStyle name="Title 2 2 2 2 6 2 2 2 67" xfId="48587"/>
    <cellStyle name="Title 2 2 2 2 6 2 2 2 68" xfId="48588"/>
    <cellStyle name="Title 2 2 2 2 6 2 2 2 69" xfId="48589"/>
    <cellStyle name="Title 2 2 2 2 6 2 2 2 7" xfId="48590"/>
    <cellStyle name="Title 2 2 2 2 6 2 2 2 70" xfId="48591"/>
    <cellStyle name="Title 2 2 2 2 6 2 2 2 71" xfId="48592"/>
    <cellStyle name="Title 2 2 2 2 6 2 2 2 72" xfId="48593"/>
    <cellStyle name="Title 2 2 2 2 6 2 2 2 73" xfId="48594"/>
    <cellStyle name="Title 2 2 2 2 6 2 2 2 74" xfId="48595"/>
    <cellStyle name="Title 2 2 2 2 6 2 2 2 75" xfId="48596"/>
    <cellStyle name="Title 2 2 2 2 6 2 2 2 76" xfId="48597"/>
    <cellStyle name="Title 2 2 2 2 6 2 2 2 77" xfId="48598"/>
    <cellStyle name="Title 2 2 2 2 6 2 2 2 78" xfId="48599"/>
    <cellStyle name="Title 2 2 2 2 6 2 2 2 79" xfId="48600"/>
    <cellStyle name="Title 2 2 2 2 6 2 2 2 8" xfId="48601"/>
    <cellStyle name="Title 2 2 2 2 6 2 2 2 80" xfId="48602"/>
    <cellStyle name="Title 2 2 2 2 6 2 2 2 81" xfId="48603"/>
    <cellStyle name="Title 2 2 2 2 6 2 2 2 82" xfId="48604"/>
    <cellStyle name="Title 2 2 2 2 6 2 2 2 83" xfId="48605"/>
    <cellStyle name="Title 2 2 2 2 6 2 2 2 84" xfId="48606"/>
    <cellStyle name="Title 2 2 2 2 6 2 2 2 85" xfId="48607"/>
    <cellStyle name="Title 2 2 2 2 6 2 2 2 86" xfId="48608"/>
    <cellStyle name="Title 2 2 2 2 6 2 2 2 87" xfId="48609"/>
    <cellStyle name="Title 2 2 2 2 6 2 2 2 88" xfId="48610"/>
    <cellStyle name="Title 2 2 2 2 6 2 2 2 9" xfId="48611"/>
    <cellStyle name="Title 2 2 2 2 6 2 2 20" xfId="48612"/>
    <cellStyle name="Title 2 2 2 2 6 2 2 21" xfId="48613"/>
    <cellStyle name="Title 2 2 2 2 6 2 2 22" xfId="48614"/>
    <cellStyle name="Title 2 2 2 2 6 2 2 23" xfId="48615"/>
    <cellStyle name="Title 2 2 2 2 6 2 2 24" xfId="48616"/>
    <cellStyle name="Title 2 2 2 2 6 2 2 25" xfId="48617"/>
    <cellStyle name="Title 2 2 2 2 6 2 2 26" xfId="48618"/>
    <cellStyle name="Title 2 2 2 2 6 2 2 27" xfId="48619"/>
    <cellStyle name="Title 2 2 2 2 6 2 2 28" xfId="48620"/>
    <cellStyle name="Title 2 2 2 2 6 2 2 29" xfId="48621"/>
    <cellStyle name="Title 2 2 2 2 6 2 2 3" xfId="48622"/>
    <cellStyle name="Title 2 2 2 2 6 2 2 3 2" xfId="48623"/>
    <cellStyle name="Title 2 2 2 2 6 2 2 30" xfId="48624"/>
    <cellStyle name="Title 2 2 2 2 6 2 2 31" xfId="48625"/>
    <cellStyle name="Title 2 2 2 2 6 2 2 32" xfId="48626"/>
    <cellStyle name="Title 2 2 2 2 6 2 2 33" xfId="48627"/>
    <cellStyle name="Title 2 2 2 2 6 2 2 34" xfId="48628"/>
    <cellStyle name="Title 2 2 2 2 6 2 2 35" xfId="48629"/>
    <cellStyle name="Title 2 2 2 2 6 2 2 36" xfId="48630"/>
    <cellStyle name="Title 2 2 2 2 6 2 2 37" xfId="48631"/>
    <cellStyle name="Title 2 2 2 2 6 2 2 38" xfId="48632"/>
    <cellStyle name="Title 2 2 2 2 6 2 2 39" xfId="48633"/>
    <cellStyle name="Title 2 2 2 2 6 2 2 4" xfId="48634"/>
    <cellStyle name="Title 2 2 2 2 6 2 2 40" xfId="48635"/>
    <cellStyle name="Title 2 2 2 2 6 2 2 41" xfId="48636"/>
    <cellStyle name="Title 2 2 2 2 6 2 2 42" xfId="48637"/>
    <cellStyle name="Title 2 2 2 2 6 2 2 43" xfId="48638"/>
    <cellStyle name="Title 2 2 2 2 6 2 2 44" xfId="48639"/>
    <cellStyle name="Title 2 2 2 2 6 2 2 45" xfId="48640"/>
    <cellStyle name="Title 2 2 2 2 6 2 2 46" xfId="48641"/>
    <cellStyle name="Title 2 2 2 2 6 2 2 47" xfId="48642"/>
    <cellStyle name="Title 2 2 2 2 6 2 2 48" xfId="48643"/>
    <cellStyle name="Title 2 2 2 2 6 2 2 49" xfId="48644"/>
    <cellStyle name="Title 2 2 2 2 6 2 2 5" xfId="48645"/>
    <cellStyle name="Title 2 2 2 2 6 2 2 50" xfId="48646"/>
    <cellStyle name="Title 2 2 2 2 6 2 2 51" xfId="48647"/>
    <cellStyle name="Title 2 2 2 2 6 2 2 52" xfId="48648"/>
    <cellStyle name="Title 2 2 2 2 6 2 2 53" xfId="48649"/>
    <cellStyle name="Title 2 2 2 2 6 2 2 54" xfId="48650"/>
    <cellStyle name="Title 2 2 2 2 6 2 2 55" xfId="48651"/>
    <cellStyle name="Title 2 2 2 2 6 2 2 56" xfId="48652"/>
    <cellStyle name="Title 2 2 2 2 6 2 2 57" xfId="48653"/>
    <cellStyle name="Title 2 2 2 2 6 2 2 58" xfId="48654"/>
    <cellStyle name="Title 2 2 2 2 6 2 2 59" xfId="48655"/>
    <cellStyle name="Title 2 2 2 2 6 2 2 6" xfId="48656"/>
    <cellStyle name="Title 2 2 2 2 6 2 2 60" xfId="48657"/>
    <cellStyle name="Title 2 2 2 2 6 2 2 61" xfId="48658"/>
    <cellStyle name="Title 2 2 2 2 6 2 2 62" xfId="48659"/>
    <cellStyle name="Title 2 2 2 2 6 2 2 63" xfId="48660"/>
    <cellStyle name="Title 2 2 2 2 6 2 2 64" xfId="48661"/>
    <cellStyle name="Title 2 2 2 2 6 2 2 65" xfId="48662"/>
    <cellStyle name="Title 2 2 2 2 6 2 2 66" xfId="48663"/>
    <cellStyle name="Title 2 2 2 2 6 2 2 67" xfId="48664"/>
    <cellStyle name="Title 2 2 2 2 6 2 2 68" xfId="48665"/>
    <cellStyle name="Title 2 2 2 2 6 2 2 69" xfId="48666"/>
    <cellStyle name="Title 2 2 2 2 6 2 2 7" xfId="48667"/>
    <cellStyle name="Title 2 2 2 2 6 2 2 70" xfId="48668"/>
    <cellStyle name="Title 2 2 2 2 6 2 2 71" xfId="48669"/>
    <cellStyle name="Title 2 2 2 2 6 2 2 72" xfId="48670"/>
    <cellStyle name="Title 2 2 2 2 6 2 2 73" xfId="48671"/>
    <cellStyle name="Title 2 2 2 2 6 2 2 74" xfId="48672"/>
    <cellStyle name="Title 2 2 2 2 6 2 2 75" xfId="48673"/>
    <cellStyle name="Title 2 2 2 2 6 2 2 76" xfId="48674"/>
    <cellStyle name="Title 2 2 2 2 6 2 2 77" xfId="48675"/>
    <cellStyle name="Title 2 2 2 2 6 2 2 78" xfId="48676"/>
    <cellStyle name="Title 2 2 2 2 6 2 2 79" xfId="48677"/>
    <cellStyle name="Title 2 2 2 2 6 2 2 8" xfId="48678"/>
    <cellStyle name="Title 2 2 2 2 6 2 2 80" xfId="48679"/>
    <cellStyle name="Title 2 2 2 2 6 2 2 81" xfId="48680"/>
    <cellStyle name="Title 2 2 2 2 6 2 2 82" xfId="48681"/>
    <cellStyle name="Title 2 2 2 2 6 2 2 83" xfId="48682"/>
    <cellStyle name="Title 2 2 2 2 6 2 2 84" xfId="48683"/>
    <cellStyle name="Title 2 2 2 2 6 2 2 85" xfId="48684"/>
    <cellStyle name="Title 2 2 2 2 6 2 2 86" xfId="48685"/>
    <cellStyle name="Title 2 2 2 2 6 2 2 87" xfId="48686"/>
    <cellStyle name="Title 2 2 2 2 6 2 2 88" xfId="48687"/>
    <cellStyle name="Title 2 2 2 2 6 2 2 9" xfId="48688"/>
    <cellStyle name="Title 2 2 2 2 6 2 20" xfId="48689"/>
    <cellStyle name="Title 2 2 2 2 6 2 21" xfId="48690"/>
    <cellStyle name="Title 2 2 2 2 6 2 22" xfId="48691"/>
    <cellStyle name="Title 2 2 2 2 6 2 23" xfId="48692"/>
    <cellStyle name="Title 2 2 2 2 6 2 24" xfId="48693"/>
    <cellStyle name="Title 2 2 2 2 6 2 25" xfId="48694"/>
    <cellStyle name="Title 2 2 2 2 6 2 26" xfId="48695"/>
    <cellStyle name="Title 2 2 2 2 6 2 27" xfId="48696"/>
    <cellStyle name="Title 2 2 2 2 6 2 28" xfId="48697"/>
    <cellStyle name="Title 2 2 2 2 6 2 29" xfId="48698"/>
    <cellStyle name="Title 2 2 2 2 6 2 3" xfId="48699"/>
    <cellStyle name="Title 2 2 2 2 6 2 30" xfId="48700"/>
    <cellStyle name="Title 2 2 2 2 6 2 31" xfId="48701"/>
    <cellStyle name="Title 2 2 2 2 6 2 32" xfId="48702"/>
    <cellStyle name="Title 2 2 2 2 6 2 33" xfId="48703"/>
    <cellStyle name="Title 2 2 2 2 6 2 34" xfId="48704"/>
    <cellStyle name="Title 2 2 2 2 6 2 35" xfId="48705"/>
    <cellStyle name="Title 2 2 2 2 6 2 36" xfId="48706"/>
    <cellStyle name="Title 2 2 2 2 6 2 37" xfId="48707"/>
    <cellStyle name="Title 2 2 2 2 6 2 38" xfId="48708"/>
    <cellStyle name="Title 2 2 2 2 6 2 39" xfId="48709"/>
    <cellStyle name="Title 2 2 2 2 6 2 4" xfId="48710"/>
    <cellStyle name="Title 2 2 2 2 6 2 40" xfId="48711"/>
    <cellStyle name="Title 2 2 2 2 6 2 41" xfId="48712"/>
    <cellStyle name="Title 2 2 2 2 6 2 42" xfId="48713"/>
    <cellStyle name="Title 2 2 2 2 6 2 43" xfId="48714"/>
    <cellStyle name="Title 2 2 2 2 6 2 44" xfId="48715"/>
    <cellStyle name="Title 2 2 2 2 6 2 45" xfId="48716"/>
    <cellStyle name="Title 2 2 2 2 6 2 46" xfId="48717"/>
    <cellStyle name="Title 2 2 2 2 6 2 47" xfId="48718"/>
    <cellStyle name="Title 2 2 2 2 6 2 48" xfId="48719"/>
    <cellStyle name="Title 2 2 2 2 6 2 49" xfId="48720"/>
    <cellStyle name="Title 2 2 2 2 6 2 5" xfId="48721"/>
    <cellStyle name="Title 2 2 2 2 6 2 50" xfId="48722"/>
    <cellStyle name="Title 2 2 2 2 6 2 51" xfId="48723"/>
    <cellStyle name="Title 2 2 2 2 6 2 52" xfId="48724"/>
    <cellStyle name="Title 2 2 2 2 6 2 53" xfId="48725"/>
    <cellStyle name="Title 2 2 2 2 6 2 54" xfId="48726"/>
    <cellStyle name="Title 2 2 2 2 6 2 55" xfId="48727"/>
    <cellStyle name="Title 2 2 2 2 6 2 56" xfId="48728"/>
    <cellStyle name="Title 2 2 2 2 6 2 57" xfId="48729"/>
    <cellStyle name="Title 2 2 2 2 6 2 58" xfId="48730"/>
    <cellStyle name="Title 2 2 2 2 6 2 59" xfId="48731"/>
    <cellStyle name="Title 2 2 2 2 6 2 6" xfId="48732"/>
    <cellStyle name="Title 2 2 2 2 6 2 60" xfId="48733"/>
    <cellStyle name="Title 2 2 2 2 6 2 61" xfId="48734"/>
    <cellStyle name="Title 2 2 2 2 6 2 62" xfId="48735"/>
    <cellStyle name="Title 2 2 2 2 6 2 63" xfId="48736"/>
    <cellStyle name="Title 2 2 2 2 6 2 64" xfId="48737"/>
    <cellStyle name="Title 2 2 2 2 6 2 65" xfId="48738"/>
    <cellStyle name="Title 2 2 2 2 6 2 66" xfId="48739"/>
    <cellStyle name="Title 2 2 2 2 6 2 67" xfId="48740"/>
    <cellStyle name="Title 2 2 2 2 6 2 68" xfId="48741"/>
    <cellStyle name="Title 2 2 2 2 6 2 69" xfId="48742"/>
    <cellStyle name="Title 2 2 2 2 6 2 7" xfId="48743"/>
    <cellStyle name="Title 2 2 2 2 6 2 70" xfId="48744"/>
    <cellStyle name="Title 2 2 2 2 6 2 71" xfId="48745"/>
    <cellStyle name="Title 2 2 2 2 6 2 72" xfId="48746"/>
    <cellStyle name="Title 2 2 2 2 6 2 73" xfId="48747"/>
    <cellStyle name="Title 2 2 2 2 6 2 74" xfId="48748"/>
    <cellStyle name="Title 2 2 2 2 6 2 75" xfId="48749"/>
    <cellStyle name="Title 2 2 2 2 6 2 76" xfId="48750"/>
    <cellStyle name="Title 2 2 2 2 6 2 77" xfId="48751"/>
    <cellStyle name="Title 2 2 2 2 6 2 78" xfId="48752"/>
    <cellStyle name="Title 2 2 2 2 6 2 79" xfId="48753"/>
    <cellStyle name="Title 2 2 2 2 6 2 8" xfId="48754"/>
    <cellStyle name="Title 2 2 2 2 6 2 80" xfId="48755"/>
    <cellStyle name="Title 2 2 2 2 6 2 81" xfId="48756"/>
    <cellStyle name="Title 2 2 2 2 6 2 82" xfId="48757"/>
    <cellStyle name="Title 2 2 2 2 6 2 83" xfId="48758"/>
    <cellStyle name="Title 2 2 2 2 6 2 84" xfId="48759"/>
    <cellStyle name="Title 2 2 2 2 6 2 85" xfId="48760"/>
    <cellStyle name="Title 2 2 2 2 6 2 86" xfId="48761"/>
    <cellStyle name="Title 2 2 2 2 6 2 87" xfId="48762"/>
    <cellStyle name="Title 2 2 2 2 6 2 88" xfId="48763"/>
    <cellStyle name="Title 2 2 2 2 6 2 89" xfId="48764"/>
    <cellStyle name="Title 2 2 2 2 6 2 9" xfId="48765"/>
    <cellStyle name="Title 2 2 2 2 6 2 90" xfId="48766"/>
    <cellStyle name="Title 2 2 2 2 6 2 91" xfId="48767"/>
    <cellStyle name="Title 2 2 2 2 6 2 92" xfId="48768"/>
    <cellStyle name="Title 2 2 2 2 6 2 93" xfId="48769"/>
    <cellStyle name="Title 2 2 2 2 6 2 94" xfId="48770"/>
    <cellStyle name="Title 2 2 2 2 6 2 95" xfId="48771"/>
    <cellStyle name="Title 2 2 2 2 6 2 96" xfId="48772"/>
    <cellStyle name="Title 2 2 2 2 6 2 97" xfId="48773"/>
    <cellStyle name="Title 2 2 2 2 6 2 98" xfId="48774"/>
    <cellStyle name="Title 2 2 2 2 6 20" xfId="48775"/>
    <cellStyle name="Title 2 2 2 2 6 21" xfId="48776"/>
    <cellStyle name="Title 2 2 2 2 6 22" xfId="48777"/>
    <cellStyle name="Title 2 2 2 2 6 23" xfId="48778"/>
    <cellStyle name="Title 2 2 2 2 6 24" xfId="48779"/>
    <cellStyle name="Title 2 2 2 2 6 25" xfId="48780"/>
    <cellStyle name="Title 2 2 2 2 6 25 2" xfId="48781"/>
    <cellStyle name="Title 2 2 2 2 6 26" xfId="48782"/>
    <cellStyle name="Title 2 2 2 2 6 27" xfId="48783"/>
    <cellStyle name="Title 2 2 2 2 6 28" xfId="48784"/>
    <cellStyle name="Title 2 2 2 2 6 29" xfId="48785"/>
    <cellStyle name="Title 2 2 2 2 6 3" xfId="48786"/>
    <cellStyle name="Title 2 2 2 2 6 30" xfId="48787"/>
    <cellStyle name="Title 2 2 2 2 6 31" xfId="48788"/>
    <cellStyle name="Title 2 2 2 2 6 32" xfId="48789"/>
    <cellStyle name="Title 2 2 2 2 6 33" xfId="48790"/>
    <cellStyle name="Title 2 2 2 2 6 34" xfId="48791"/>
    <cellStyle name="Title 2 2 2 2 6 35" xfId="48792"/>
    <cellStyle name="Title 2 2 2 2 6 36" xfId="48793"/>
    <cellStyle name="Title 2 2 2 2 6 37" xfId="48794"/>
    <cellStyle name="Title 2 2 2 2 6 38" xfId="48795"/>
    <cellStyle name="Title 2 2 2 2 6 39" xfId="48796"/>
    <cellStyle name="Title 2 2 2 2 6 4" xfId="48797"/>
    <cellStyle name="Title 2 2 2 2 6 4 10" xfId="48798"/>
    <cellStyle name="Title 2 2 2 2 6 4 11" xfId="48799"/>
    <cellStyle name="Title 2 2 2 2 6 4 12" xfId="48800"/>
    <cellStyle name="Title 2 2 2 2 6 4 13" xfId="48801"/>
    <cellStyle name="Title 2 2 2 2 6 4 14" xfId="48802"/>
    <cellStyle name="Title 2 2 2 2 6 4 15" xfId="48803"/>
    <cellStyle name="Title 2 2 2 2 6 4 16" xfId="48804"/>
    <cellStyle name="Title 2 2 2 2 6 4 17" xfId="48805"/>
    <cellStyle name="Title 2 2 2 2 6 4 18" xfId="48806"/>
    <cellStyle name="Title 2 2 2 2 6 4 19" xfId="48807"/>
    <cellStyle name="Title 2 2 2 2 6 4 2" xfId="48808"/>
    <cellStyle name="Title 2 2 2 2 6 4 2 10" xfId="48809"/>
    <cellStyle name="Title 2 2 2 2 6 4 2 11" xfId="48810"/>
    <cellStyle name="Title 2 2 2 2 6 4 2 12" xfId="48811"/>
    <cellStyle name="Title 2 2 2 2 6 4 2 13" xfId="48812"/>
    <cellStyle name="Title 2 2 2 2 6 4 2 14" xfId="48813"/>
    <cellStyle name="Title 2 2 2 2 6 4 2 15" xfId="48814"/>
    <cellStyle name="Title 2 2 2 2 6 4 2 16" xfId="48815"/>
    <cellStyle name="Title 2 2 2 2 6 4 2 17" xfId="48816"/>
    <cellStyle name="Title 2 2 2 2 6 4 2 18" xfId="48817"/>
    <cellStyle name="Title 2 2 2 2 6 4 2 19" xfId="48818"/>
    <cellStyle name="Title 2 2 2 2 6 4 2 2" xfId="48819"/>
    <cellStyle name="Title 2 2 2 2 6 4 2 2 2" xfId="48820"/>
    <cellStyle name="Title 2 2 2 2 6 4 2 20" xfId="48821"/>
    <cellStyle name="Title 2 2 2 2 6 4 2 21" xfId="48822"/>
    <cellStyle name="Title 2 2 2 2 6 4 2 22" xfId="48823"/>
    <cellStyle name="Title 2 2 2 2 6 4 2 23" xfId="48824"/>
    <cellStyle name="Title 2 2 2 2 6 4 2 24" xfId="48825"/>
    <cellStyle name="Title 2 2 2 2 6 4 2 25" xfId="48826"/>
    <cellStyle name="Title 2 2 2 2 6 4 2 26" xfId="48827"/>
    <cellStyle name="Title 2 2 2 2 6 4 2 27" xfId="48828"/>
    <cellStyle name="Title 2 2 2 2 6 4 2 28" xfId="48829"/>
    <cellStyle name="Title 2 2 2 2 6 4 2 29" xfId="48830"/>
    <cellStyle name="Title 2 2 2 2 6 4 2 3" xfId="48831"/>
    <cellStyle name="Title 2 2 2 2 6 4 2 30" xfId="48832"/>
    <cellStyle name="Title 2 2 2 2 6 4 2 31" xfId="48833"/>
    <cellStyle name="Title 2 2 2 2 6 4 2 32" xfId="48834"/>
    <cellStyle name="Title 2 2 2 2 6 4 2 33" xfId="48835"/>
    <cellStyle name="Title 2 2 2 2 6 4 2 34" xfId="48836"/>
    <cellStyle name="Title 2 2 2 2 6 4 2 35" xfId="48837"/>
    <cellStyle name="Title 2 2 2 2 6 4 2 36" xfId="48838"/>
    <cellStyle name="Title 2 2 2 2 6 4 2 37" xfId="48839"/>
    <cellStyle name="Title 2 2 2 2 6 4 2 38" xfId="48840"/>
    <cellStyle name="Title 2 2 2 2 6 4 2 39" xfId="48841"/>
    <cellStyle name="Title 2 2 2 2 6 4 2 4" xfId="48842"/>
    <cellStyle name="Title 2 2 2 2 6 4 2 40" xfId="48843"/>
    <cellStyle name="Title 2 2 2 2 6 4 2 41" xfId="48844"/>
    <cellStyle name="Title 2 2 2 2 6 4 2 42" xfId="48845"/>
    <cellStyle name="Title 2 2 2 2 6 4 2 43" xfId="48846"/>
    <cellStyle name="Title 2 2 2 2 6 4 2 44" xfId="48847"/>
    <cellStyle name="Title 2 2 2 2 6 4 2 45" xfId="48848"/>
    <cellStyle name="Title 2 2 2 2 6 4 2 46" xfId="48849"/>
    <cellStyle name="Title 2 2 2 2 6 4 2 47" xfId="48850"/>
    <cellStyle name="Title 2 2 2 2 6 4 2 48" xfId="48851"/>
    <cellStyle name="Title 2 2 2 2 6 4 2 49" xfId="48852"/>
    <cellStyle name="Title 2 2 2 2 6 4 2 5" xfId="48853"/>
    <cellStyle name="Title 2 2 2 2 6 4 2 50" xfId="48854"/>
    <cellStyle name="Title 2 2 2 2 6 4 2 51" xfId="48855"/>
    <cellStyle name="Title 2 2 2 2 6 4 2 52" xfId="48856"/>
    <cellStyle name="Title 2 2 2 2 6 4 2 53" xfId="48857"/>
    <cellStyle name="Title 2 2 2 2 6 4 2 54" xfId="48858"/>
    <cellStyle name="Title 2 2 2 2 6 4 2 55" xfId="48859"/>
    <cellStyle name="Title 2 2 2 2 6 4 2 56" xfId="48860"/>
    <cellStyle name="Title 2 2 2 2 6 4 2 57" xfId="48861"/>
    <cellStyle name="Title 2 2 2 2 6 4 2 58" xfId="48862"/>
    <cellStyle name="Title 2 2 2 2 6 4 2 59" xfId="48863"/>
    <cellStyle name="Title 2 2 2 2 6 4 2 6" xfId="48864"/>
    <cellStyle name="Title 2 2 2 2 6 4 2 60" xfId="48865"/>
    <cellStyle name="Title 2 2 2 2 6 4 2 61" xfId="48866"/>
    <cellStyle name="Title 2 2 2 2 6 4 2 62" xfId="48867"/>
    <cellStyle name="Title 2 2 2 2 6 4 2 63" xfId="48868"/>
    <cellStyle name="Title 2 2 2 2 6 4 2 64" xfId="48869"/>
    <cellStyle name="Title 2 2 2 2 6 4 2 65" xfId="48870"/>
    <cellStyle name="Title 2 2 2 2 6 4 2 66" xfId="48871"/>
    <cellStyle name="Title 2 2 2 2 6 4 2 67" xfId="48872"/>
    <cellStyle name="Title 2 2 2 2 6 4 2 68" xfId="48873"/>
    <cellStyle name="Title 2 2 2 2 6 4 2 69" xfId="48874"/>
    <cellStyle name="Title 2 2 2 2 6 4 2 7" xfId="48875"/>
    <cellStyle name="Title 2 2 2 2 6 4 2 70" xfId="48876"/>
    <cellStyle name="Title 2 2 2 2 6 4 2 71" xfId="48877"/>
    <cellStyle name="Title 2 2 2 2 6 4 2 72" xfId="48878"/>
    <cellStyle name="Title 2 2 2 2 6 4 2 73" xfId="48879"/>
    <cellStyle name="Title 2 2 2 2 6 4 2 74" xfId="48880"/>
    <cellStyle name="Title 2 2 2 2 6 4 2 8" xfId="48881"/>
    <cellStyle name="Title 2 2 2 2 6 4 2 9" xfId="48882"/>
    <cellStyle name="Title 2 2 2 2 6 4 20" xfId="48883"/>
    <cellStyle name="Title 2 2 2 2 6 4 21" xfId="48884"/>
    <cellStyle name="Title 2 2 2 2 6 4 22" xfId="48885"/>
    <cellStyle name="Title 2 2 2 2 6 4 23" xfId="48886"/>
    <cellStyle name="Title 2 2 2 2 6 4 24" xfId="48887"/>
    <cellStyle name="Title 2 2 2 2 6 4 25" xfId="48888"/>
    <cellStyle name="Title 2 2 2 2 6 4 26" xfId="48889"/>
    <cellStyle name="Title 2 2 2 2 6 4 27" xfId="48890"/>
    <cellStyle name="Title 2 2 2 2 6 4 28" xfId="48891"/>
    <cellStyle name="Title 2 2 2 2 6 4 29" xfId="48892"/>
    <cellStyle name="Title 2 2 2 2 6 4 3" xfId="48893"/>
    <cellStyle name="Title 2 2 2 2 6 4 3 2" xfId="48894"/>
    <cellStyle name="Title 2 2 2 2 6 4 30" xfId="48895"/>
    <cellStyle name="Title 2 2 2 2 6 4 31" xfId="48896"/>
    <cellStyle name="Title 2 2 2 2 6 4 32" xfId="48897"/>
    <cellStyle name="Title 2 2 2 2 6 4 33" xfId="48898"/>
    <cellStyle name="Title 2 2 2 2 6 4 34" xfId="48899"/>
    <cellStyle name="Title 2 2 2 2 6 4 35" xfId="48900"/>
    <cellStyle name="Title 2 2 2 2 6 4 36" xfId="48901"/>
    <cellStyle name="Title 2 2 2 2 6 4 37" xfId="48902"/>
    <cellStyle name="Title 2 2 2 2 6 4 38" xfId="48903"/>
    <cellStyle name="Title 2 2 2 2 6 4 39" xfId="48904"/>
    <cellStyle name="Title 2 2 2 2 6 4 4" xfId="48905"/>
    <cellStyle name="Title 2 2 2 2 6 4 40" xfId="48906"/>
    <cellStyle name="Title 2 2 2 2 6 4 41" xfId="48907"/>
    <cellStyle name="Title 2 2 2 2 6 4 42" xfId="48908"/>
    <cellStyle name="Title 2 2 2 2 6 4 43" xfId="48909"/>
    <cellStyle name="Title 2 2 2 2 6 4 44" xfId="48910"/>
    <cellStyle name="Title 2 2 2 2 6 4 45" xfId="48911"/>
    <cellStyle name="Title 2 2 2 2 6 4 46" xfId="48912"/>
    <cellStyle name="Title 2 2 2 2 6 4 47" xfId="48913"/>
    <cellStyle name="Title 2 2 2 2 6 4 48" xfId="48914"/>
    <cellStyle name="Title 2 2 2 2 6 4 49" xfId="48915"/>
    <cellStyle name="Title 2 2 2 2 6 4 5" xfId="48916"/>
    <cellStyle name="Title 2 2 2 2 6 4 50" xfId="48917"/>
    <cellStyle name="Title 2 2 2 2 6 4 51" xfId="48918"/>
    <cellStyle name="Title 2 2 2 2 6 4 52" xfId="48919"/>
    <cellStyle name="Title 2 2 2 2 6 4 53" xfId="48920"/>
    <cellStyle name="Title 2 2 2 2 6 4 54" xfId="48921"/>
    <cellStyle name="Title 2 2 2 2 6 4 55" xfId="48922"/>
    <cellStyle name="Title 2 2 2 2 6 4 56" xfId="48923"/>
    <cellStyle name="Title 2 2 2 2 6 4 57" xfId="48924"/>
    <cellStyle name="Title 2 2 2 2 6 4 58" xfId="48925"/>
    <cellStyle name="Title 2 2 2 2 6 4 59" xfId="48926"/>
    <cellStyle name="Title 2 2 2 2 6 4 6" xfId="48927"/>
    <cellStyle name="Title 2 2 2 2 6 4 60" xfId="48928"/>
    <cellStyle name="Title 2 2 2 2 6 4 61" xfId="48929"/>
    <cellStyle name="Title 2 2 2 2 6 4 62" xfId="48930"/>
    <cellStyle name="Title 2 2 2 2 6 4 63" xfId="48931"/>
    <cellStyle name="Title 2 2 2 2 6 4 64" xfId="48932"/>
    <cellStyle name="Title 2 2 2 2 6 4 65" xfId="48933"/>
    <cellStyle name="Title 2 2 2 2 6 4 66" xfId="48934"/>
    <cellStyle name="Title 2 2 2 2 6 4 67" xfId="48935"/>
    <cellStyle name="Title 2 2 2 2 6 4 68" xfId="48936"/>
    <cellStyle name="Title 2 2 2 2 6 4 69" xfId="48937"/>
    <cellStyle name="Title 2 2 2 2 6 4 7" xfId="48938"/>
    <cellStyle name="Title 2 2 2 2 6 4 70" xfId="48939"/>
    <cellStyle name="Title 2 2 2 2 6 4 71" xfId="48940"/>
    <cellStyle name="Title 2 2 2 2 6 4 72" xfId="48941"/>
    <cellStyle name="Title 2 2 2 2 6 4 73" xfId="48942"/>
    <cellStyle name="Title 2 2 2 2 6 4 74" xfId="48943"/>
    <cellStyle name="Title 2 2 2 2 6 4 8" xfId="48944"/>
    <cellStyle name="Title 2 2 2 2 6 4 9" xfId="48945"/>
    <cellStyle name="Title 2 2 2 2 6 40" xfId="48946"/>
    <cellStyle name="Title 2 2 2 2 6 41" xfId="48947"/>
    <cellStyle name="Title 2 2 2 2 6 42" xfId="48948"/>
    <cellStyle name="Title 2 2 2 2 6 43" xfId="48949"/>
    <cellStyle name="Title 2 2 2 2 6 44" xfId="48950"/>
    <cellStyle name="Title 2 2 2 2 6 45" xfId="48951"/>
    <cellStyle name="Title 2 2 2 2 6 46" xfId="48952"/>
    <cellStyle name="Title 2 2 2 2 6 47" xfId="48953"/>
    <cellStyle name="Title 2 2 2 2 6 48" xfId="48954"/>
    <cellStyle name="Title 2 2 2 2 6 49" xfId="48955"/>
    <cellStyle name="Title 2 2 2 2 6 5" xfId="48956"/>
    <cellStyle name="Title 2 2 2 2 6 50" xfId="48957"/>
    <cellStyle name="Title 2 2 2 2 6 51" xfId="48958"/>
    <cellStyle name="Title 2 2 2 2 6 52" xfId="48959"/>
    <cellStyle name="Title 2 2 2 2 6 53" xfId="48960"/>
    <cellStyle name="Title 2 2 2 2 6 54" xfId="48961"/>
    <cellStyle name="Title 2 2 2 2 6 55" xfId="48962"/>
    <cellStyle name="Title 2 2 2 2 6 56" xfId="48963"/>
    <cellStyle name="Title 2 2 2 2 6 57" xfId="48964"/>
    <cellStyle name="Title 2 2 2 2 6 58" xfId="48965"/>
    <cellStyle name="Title 2 2 2 2 6 59" xfId="48966"/>
    <cellStyle name="Title 2 2 2 2 6 6" xfId="48967"/>
    <cellStyle name="Title 2 2 2 2 6 60" xfId="48968"/>
    <cellStyle name="Title 2 2 2 2 6 61" xfId="48969"/>
    <cellStyle name="Title 2 2 2 2 6 62" xfId="48970"/>
    <cellStyle name="Title 2 2 2 2 6 63" xfId="48971"/>
    <cellStyle name="Title 2 2 2 2 6 64" xfId="48972"/>
    <cellStyle name="Title 2 2 2 2 6 65" xfId="48973"/>
    <cellStyle name="Title 2 2 2 2 6 66" xfId="48974"/>
    <cellStyle name="Title 2 2 2 2 6 67" xfId="48975"/>
    <cellStyle name="Title 2 2 2 2 6 68" xfId="48976"/>
    <cellStyle name="Title 2 2 2 2 6 69" xfId="48977"/>
    <cellStyle name="Title 2 2 2 2 6 7" xfId="48978"/>
    <cellStyle name="Title 2 2 2 2 6 70" xfId="48979"/>
    <cellStyle name="Title 2 2 2 2 6 71" xfId="48980"/>
    <cellStyle name="Title 2 2 2 2 6 72" xfId="48981"/>
    <cellStyle name="Title 2 2 2 2 6 73" xfId="48982"/>
    <cellStyle name="Title 2 2 2 2 6 74" xfId="48983"/>
    <cellStyle name="Title 2 2 2 2 6 75" xfId="48984"/>
    <cellStyle name="Title 2 2 2 2 6 76" xfId="48985"/>
    <cellStyle name="Title 2 2 2 2 6 77" xfId="48986"/>
    <cellStyle name="Title 2 2 2 2 6 78" xfId="48987"/>
    <cellStyle name="Title 2 2 2 2 6 79" xfId="48988"/>
    <cellStyle name="Title 2 2 2 2 6 8" xfId="48989"/>
    <cellStyle name="Title 2 2 2 2 6 80" xfId="48990"/>
    <cellStyle name="Title 2 2 2 2 6 81" xfId="48991"/>
    <cellStyle name="Title 2 2 2 2 6 82" xfId="48992"/>
    <cellStyle name="Title 2 2 2 2 6 83" xfId="48993"/>
    <cellStyle name="Title 2 2 2 2 6 84" xfId="48994"/>
    <cellStyle name="Title 2 2 2 2 6 85" xfId="48995"/>
    <cellStyle name="Title 2 2 2 2 6 86" xfId="48996"/>
    <cellStyle name="Title 2 2 2 2 6 87" xfId="48997"/>
    <cellStyle name="Title 2 2 2 2 6 88" xfId="48998"/>
    <cellStyle name="Title 2 2 2 2 6 89" xfId="48999"/>
    <cellStyle name="Title 2 2 2 2 6 9" xfId="49000"/>
    <cellStyle name="Title 2 2 2 2 6 90" xfId="49001"/>
    <cellStyle name="Title 2 2 2 2 6 91" xfId="49002"/>
    <cellStyle name="Title 2 2 2 2 6 92" xfId="49003"/>
    <cellStyle name="Title 2 2 2 2 6 93" xfId="49004"/>
    <cellStyle name="Title 2 2 2 2 6 94" xfId="49005"/>
    <cellStyle name="Title 2 2 2 2 6 95" xfId="49006"/>
    <cellStyle name="Title 2 2 2 2 6 96" xfId="49007"/>
    <cellStyle name="Title 2 2 2 2 6 97" xfId="49008"/>
    <cellStyle name="Title 2 2 2 2 6 98" xfId="49009"/>
    <cellStyle name="Title 2 2 2 2 6 99" xfId="49010"/>
    <cellStyle name="Title 2 2 2 2 60" xfId="49011"/>
    <cellStyle name="Title 2 2 2 2 60 2" xfId="49012"/>
    <cellStyle name="Title 2 2 2 2 61" xfId="49013"/>
    <cellStyle name="Title 2 2 2 2 61 2" xfId="49014"/>
    <cellStyle name="Title 2 2 2 2 62" xfId="49015"/>
    <cellStyle name="Title 2 2 2 2 62 2" xfId="49016"/>
    <cellStyle name="Title 2 2 2 2 63" xfId="49017"/>
    <cellStyle name="Title 2 2 2 2 63 2" xfId="49018"/>
    <cellStyle name="Title 2 2 2 2 64" xfId="49019"/>
    <cellStyle name="Title 2 2 2 2 64 2" xfId="49020"/>
    <cellStyle name="Title 2 2 2 2 65" xfId="49021"/>
    <cellStyle name="Title 2 2 2 2 65 2" xfId="49022"/>
    <cellStyle name="Title 2 2 2 2 66" xfId="49023"/>
    <cellStyle name="Title 2 2 2 2 66 2" xfId="49024"/>
    <cellStyle name="Title 2 2 2 2 67" xfId="49025"/>
    <cellStyle name="Title 2 2 2 2 67 2" xfId="49026"/>
    <cellStyle name="Title 2 2 2 2 68" xfId="49027"/>
    <cellStyle name="Title 2 2 2 2 68 2" xfId="49028"/>
    <cellStyle name="Title 2 2 2 2 69" xfId="49029"/>
    <cellStyle name="Title 2 2 2 2 69 2" xfId="49030"/>
    <cellStyle name="Title 2 2 2 2 7" xfId="49031"/>
    <cellStyle name="Title 2 2 2 2 7 10" xfId="49032"/>
    <cellStyle name="Title 2 2 2 2 7 10 2" xfId="49033"/>
    <cellStyle name="Title 2 2 2 2 7 100" xfId="49034"/>
    <cellStyle name="Title 2 2 2 2 7 101" xfId="49035"/>
    <cellStyle name="Title 2 2 2 2 7 102" xfId="49036"/>
    <cellStyle name="Title 2 2 2 2 7 103" xfId="49037"/>
    <cellStyle name="Title 2 2 2 2 7 104" xfId="49038"/>
    <cellStyle name="Title 2 2 2 2 7 105" xfId="49039"/>
    <cellStyle name="Title 2 2 2 2 7 106" xfId="49040"/>
    <cellStyle name="Title 2 2 2 2 7 107" xfId="49041"/>
    <cellStyle name="Title 2 2 2 2 7 108" xfId="49042"/>
    <cellStyle name="Title 2 2 2 2 7 109" xfId="49043"/>
    <cellStyle name="Title 2 2 2 2 7 11" xfId="49044"/>
    <cellStyle name="Title 2 2 2 2 7 11 2" xfId="49045"/>
    <cellStyle name="Title 2 2 2 2 7 12" xfId="49046"/>
    <cellStyle name="Title 2 2 2 2 7 12 2" xfId="49047"/>
    <cellStyle name="Title 2 2 2 2 7 13" xfId="49048"/>
    <cellStyle name="Title 2 2 2 2 7 13 2" xfId="49049"/>
    <cellStyle name="Title 2 2 2 2 7 14" xfId="49050"/>
    <cellStyle name="Title 2 2 2 2 7 14 2" xfId="49051"/>
    <cellStyle name="Title 2 2 2 2 7 15" xfId="49052"/>
    <cellStyle name="Title 2 2 2 2 7 15 2" xfId="49053"/>
    <cellStyle name="Title 2 2 2 2 7 16" xfId="49054"/>
    <cellStyle name="Title 2 2 2 2 7 16 2" xfId="49055"/>
    <cellStyle name="Title 2 2 2 2 7 17" xfId="49056"/>
    <cellStyle name="Title 2 2 2 2 7 17 2" xfId="49057"/>
    <cellStyle name="Title 2 2 2 2 7 18" xfId="49058"/>
    <cellStyle name="Title 2 2 2 2 7 18 2" xfId="49059"/>
    <cellStyle name="Title 2 2 2 2 7 19" xfId="49060"/>
    <cellStyle name="Title 2 2 2 2 7 19 2" xfId="49061"/>
    <cellStyle name="Title 2 2 2 2 7 2" xfId="49062"/>
    <cellStyle name="Title 2 2 2 2 7 2 10" xfId="49063"/>
    <cellStyle name="Title 2 2 2 2 7 2 11" xfId="49064"/>
    <cellStyle name="Title 2 2 2 2 7 2 12" xfId="49065"/>
    <cellStyle name="Title 2 2 2 2 7 2 13" xfId="49066"/>
    <cellStyle name="Title 2 2 2 2 7 2 14" xfId="49067"/>
    <cellStyle name="Title 2 2 2 2 7 2 15" xfId="49068"/>
    <cellStyle name="Title 2 2 2 2 7 2 16" xfId="49069"/>
    <cellStyle name="Title 2 2 2 2 7 2 17" xfId="49070"/>
    <cellStyle name="Title 2 2 2 2 7 2 18" xfId="49071"/>
    <cellStyle name="Title 2 2 2 2 7 2 19" xfId="49072"/>
    <cellStyle name="Title 2 2 2 2 7 2 2" xfId="49073"/>
    <cellStyle name="Title 2 2 2 2 7 2 2 10" xfId="49074"/>
    <cellStyle name="Title 2 2 2 2 7 2 2 11" xfId="49075"/>
    <cellStyle name="Title 2 2 2 2 7 2 2 12" xfId="49076"/>
    <cellStyle name="Title 2 2 2 2 7 2 2 13" xfId="49077"/>
    <cellStyle name="Title 2 2 2 2 7 2 2 14" xfId="49078"/>
    <cellStyle name="Title 2 2 2 2 7 2 2 15" xfId="49079"/>
    <cellStyle name="Title 2 2 2 2 7 2 2 16" xfId="49080"/>
    <cellStyle name="Title 2 2 2 2 7 2 2 17" xfId="49081"/>
    <cellStyle name="Title 2 2 2 2 7 2 2 18" xfId="49082"/>
    <cellStyle name="Title 2 2 2 2 7 2 2 19" xfId="49083"/>
    <cellStyle name="Title 2 2 2 2 7 2 2 2" xfId="49084"/>
    <cellStyle name="Title 2 2 2 2 7 2 2 2 10" xfId="49085"/>
    <cellStyle name="Title 2 2 2 2 7 2 2 2 11" xfId="49086"/>
    <cellStyle name="Title 2 2 2 2 7 2 2 2 12" xfId="49087"/>
    <cellStyle name="Title 2 2 2 2 7 2 2 2 13" xfId="49088"/>
    <cellStyle name="Title 2 2 2 2 7 2 2 2 14" xfId="49089"/>
    <cellStyle name="Title 2 2 2 2 7 2 2 2 15" xfId="49090"/>
    <cellStyle name="Title 2 2 2 2 7 2 2 2 16" xfId="49091"/>
    <cellStyle name="Title 2 2 2 2 7 2 2 2 17" xfId="49092"/>
    <cellStyle name="Title 2 2 2 2 7 2 2 2 18" xfId="49093"/>
    <cellStyle name="Title 2 2 2 2 7 2 2 2 19" xfId="49094"/>
    <cellStyle name="Title 2 2 2 2 7 2 2 2 2" xfId="49095"/>
    <cellStyle name="Title 2 2 2 2 7 2 2 2 2 10" xfId="49096"/>
    <cellStyle name="Title 2 2 2 2 7 2 2 2 2 11" xfId="49097"/>
    <cellStyle name="Title 2 2 2 2 7 2 2 2 2 12" xfId="49098"/>
    <cellStyle name="Title 2 2 2 2 7 2 2 2 2 13" xfId="49099"/>
    <cellStyle name="Title 2 2 2 2 7 2 2 2 2 14" xfId="49100"/>
    <cellStyle name="Title 2 2 2 2 7 2 2 2 2 15" xfId="49101"/>
    <cellStyle name="Title 2 2 2 2 7 2 2 2 2 16" xfId="49102"/>
    <cellStyle name="Title 2 2 2 2 7 2 2 2 2 17" xfId="49103"/>
    <cellStyle name="Title 2 2 2 2 7 2 2 2 2 18" xfId="49104"/>
    <cellStyle name="Title 2 2 2 2 7 2 2 2 2 19" xfId="49105"/>
    <cellStyle name="Title 2 2 2 2 7 2 2 2 2 2" xfId="49106"/>
    <cellStyle name="Title 2 2 2 2 7 2 2 2 2 2 2" xfId="49107"/>
    <cellStyle name="Title 2 2 2 2 7 2 2 2 2 20" xfId="49108"/>
    <cellStyle name="Title 2 2 2 2 7 2 2 2 2 21" xfId="49109"/>
    <cellStyle name="Title 2 2 2 2 7 2 2 2 2 22" xfId="49110"/>
    <cellStyle name="Title 2 2 2 2 7 2 2 2 2 23" xfId="49111"/>
    <cellStyle name="Title 2 2 2 2 7 2 2 2 2 24" xfId="49112"/>
    <cellStyle name="Title 2 2 2 2 7 2 2 2 2 25" xfId="49113"/>
    <cellStyle name="Title 2 2 2 2 7 2 2 2 2 26" xfId="49114"/>
    <cellStyle name="Title 2 2 2 2 7 2 2 2 2 27" xfId="49115"/>
    <cellStyle name="Title 2 2 2 2 7 2 2 2 2 28" xfId="49116"/>
    <cellStyle name="Title 2 2 2 2 7 2 2 2 2 29" xfId="49117"/>
    <cellStyle name="Title 2 2 2 2 7 2 2 2 2 3" xfId="49118"/>
    <cellStyle name="Title 2 2 2 2 7 2 2 2 2 30" xfId="49119"/>
    <cellStyle name="Title 2 2 2 2 7 2 2 2 2 31" xfId="49120"/>
    <cellStyle name="Title 2 2 2 2 7 2 2 2 2 32" xfId="49121"/>
    <cellStyle name="Title 2 2 2 2 7 2 2 2 2 33" xfId="49122"/>
    <cellStyle name="Title 2 2 2 2 7 2 2 2 2 34" xfId="49123"/>
    <cellStyle name="Title 2 2 2 2 7 2 2 2 2 35" xfId="49124"/>
    <cellStyle name="Title 2 2 2 2 7 2 2 2 2 36" xfId="49125"/>
    <cellStyle name="Title 2 2 2 2 7 2 2 2 2 37" xfId="49126"/>
    <cellStyle name="Title 2 2 2 2 7 2 2 2 2 38" xfId="49127"/>
    <cellStyle name="Title 2 2 2 2 7 2 2 2 2 39" xfId="49128"/>
    <cellStyle name="Title 2 2 2 2 7 2 2 2 2 4" xfId="49129"/>
    <cellStyle name="Title 2 2 2 2 7 2 2 2 2 40" xfId="49130"/>
    <cellStyle name="Title 2 2 2 2 7 2 2 2 2 41" xfId="49131"/>
    <cellStyle name="Title 2 2 2 2 7 2 2 2 2 42" xfId="49132"/>
    <cellStyle name="Title 2 2 2 2 7 2 2 2 2 43" xfId="49133"/>
    <cellStyle name="Title 2 2 2 2 7 2 2 2 2 44" xfId="49134"/>
    <cellStyle name="Title 2 2 2 2 7 2 2 2 2 45" xfId="49135"/>
    <cellStyle name="Title 2 2 2 2 7 2 2 2 2 46" xfId="49136"/>
    <cellStyle name="Title 2 2 2 2 7 2 2 2 2 47" xfId="49137"/>
    <cellStyle name="Title 2 2 2 2 7 2 2 2 2 48" xfId="49138"/>
    <cellStyle name="Title 2 2 2 2 7 2 2 2 2 49" xfId="49139"/>
    <cellStyle name="Title 2 2 2 2 7 2 2 2 2 5" xfId="49140"/>
    <cellStyle name="Title 2 2 2 2 7 2 2 2 2 50" xfId="49141"/>
    <cellStyle name="Title 2 2 2 2 7 2 2 2 2 51" xfId="49142"/>
    <cellStyle name="Title 2 2 2 2 7 2 2 2 2 52" xfId="49143"/>
    <cellStyle name="Title 2 2 2 2 7 2 2 2 2 53" xfId="49144"/>
    <cellStyle name="Title 2 2 2 2 7 2 2 2 2 54" xfId="49145"/>
    <cellStyle name="Title 2 2 2 2 7 2 2 2 2 55" xfId="49146"/>
    <cellStyle name="Title 2 2 2 2 7 2 2 2 2 56" xfId="49147"/>
    <cellStyle name="Title 2 2 2 2 7 2 2 2 2 57" xfId="49148"/>
    <cellStyle name="Title 2 2 2 2 7 2 2 2 2 58" xfId="49149"/>
    <cellStyle name="Title 2 2 2 2 7 2 2 2 2 59" xfId="49150"/>
    <cellStyle name="Title 2 2 2 2 7 2 2 2 2 6" xfId="49151"/>
    <cellStyle name="Title 2 2 2 2 7 2 2 2 2 60" xfId="49152"/>
    <cellStyle name="Title 2 2 2 2 7 2 2 2 2 61" xfId="49153"/>
    <cellStyle name="Title 2 2 2 2 7 2 2 2 2 62" xfId="49154"/>
    <cellStyle name="Title 2 2 2 2 7 2 2 2 2 63" xfId="49155"/>
    <cellStyle name="Title 2 2 2 2 7 2 2 2 2 64" xfId="49156"/>
    <cellStyle name="Title 2 2 2 2 7 2 2 2 2 65" xfId="49157"/>
    <cellStyle name="Title 2 2 2 2 7 2 2 2 2 66" xfId="49158"/>
    <cellStyle name="Title 2 2 2 2 7 2 2 2 2 67" xfId="49159"/>
    <cellStyle name="Title 2 2 2 2 7 2 2 2 2 68" xfId="49160"/>
    <cellStyle name="Title 2 2 2 2 7 2 2 2 2 69" xfId="49161"/>
    <cellStyle name="Title 2 2 2 2 7 2 2 2 2 7" xfId="49162"/>
    <cellStyle name="Title 2 2 2 2 7 2 2 2 2 70" xfId="49163"/>
    <cellStyle name="Title 2 2 2 2 7 2 2 2 2 71" xfId="49164"/>
    <cellStyle name="Title 2 2 2 2 7 2 2 2 2 72" xfId="49165"/>
    <cellStyle name="Title 2 2 2 2 7 2 2 2 2 73" xfId="49166"/>
    <cellStyle name="Title 2 2 2 2 7 2 2 2 2 74" xfId="49167"/>
    <cellStyle name="Title 2 2 2 2 7 2 2 2 2 8" xfId="49168"/>
    <cellStyle name="Title 2 2 2 2 7 2 2 2 2 9" xfId="49169"/>
    <cellStyle name="Title 2 2 2 2 7 2 2 2 20" xfId="49170"/>
    <cellStyle name="Title 2 2 2 2 7 2 2 2 21" xfId="49171"/>
    <cellStyle name="Title 2 2 2 2 7 2 2 2 22" xfId="49172"/>
    <cellStyle name="Title 2 2 2 2 7 2 2 2 23" xfId="49173"/>
    <cellStyle name="Title 2 2 2 2 7 2 2 2 24" xfId="49174"/>
    <cellStyle name="Title 2 2 2 2 7 2 2 2 25" xfId="49175"/>
    <cellStyle name="Title 2 2 2 2 7 2 2 2 26" xfId="49176"/>
    <cellStyle name="Title 2 2 2 2 7 2 2 2 27" xfId="49177"/>
    <cellStyle name="Title 2 2 2 2 7 2 2 2 28" xfId="49178"/>
    <cellStyle name="Title 2 2 2 2 7 2 2 2 29" xfId="49179"/>
    <cellStyle name="Title 2 2 2 2 7 2 2 2 3" xfId="49180"/>
    <cellStyle name="Title 2 2 2 2 7 2 2 2 3 2" xfId="49181"/>
    <cellStyle name="Title 2 2 2 2 7 2 2 2 30" xfId="49182"/>
    <cellStyle name="Title 2 2 2 2 7 2 2 2 31" xfId="49183"/>
    <cellStyle name="Title 2 2 2 2 7 2 2 2 32" xfId="49184"/>
    <cellStyle name="Title 2 2 2 2 7 2 2 2 33" xfId="49185"/>
    <cellStyle name="Title 2 2 2 2 7 2 2 2 34" xfId="49186"/>
    <cellStyle name="Title 2 2 2 2 7 2 2 2 35" xfId="49187"/>
    <cellStyle name="Title 2 2 2 2 7 2 2 2 36" xfId="49188"/>
    <cellStyle name="Title 2 2 2 2 7 2 2 2 37" xfId="49189"/>
    <cellStyle name="Title 2 2 2 2 7 2 2 2 38" xfId="49190"/>
    <cellStyle name="Title 2 2 2 2 7 2 2 2 39" xfId="49191"/>
    <cellStyle name="Title 2 2 2 2 7 2 2 2 4" xfId="49192"/>
    <cellStyle name="Title 2 2 2 2 7 2 2 2 40" xfId="49193"/>
    <cellStyle name="Title 2 2 2 2 7 2 2 2 41" xfId="49194"/>
    <cellStyle name="Title 2 2 2 2 7 2 2 2 42" xfId="49195"/>
    <cellStyle name="Title 2 2 2 2 7 2 2 2 43" xfId="49196"/>
    <cellStyle name="Title 2 2 2 2 7 2 2 2 44" xfId="49197"/>
    <cellStyle name="Title 2 2 2 2 7 2 2 2 45" xfId="49198"/>
    <cellStyle name="Title 2 2 2 2 7 2 2 2 46" xfId="49199"/>
    <cellStyle name="Title 2 2 2 2 7 2 2 2 47" xfId="49200"/>
    <cellStyle name="Title 2 2 2 2 7 2 2 2 48" xfId="49201"/>
    <cellStyle name="Title 2 2 2 2 7 2 2 2 49" xfId="49202"/>
    <cellStyle name="Title 2 2 2 2 7 2 2 2 5" xfId="49203"/>
    <cellStyle name="Title 2 2 2 2 7 2 2 2 50" xfId="49204"/>
    <cellStyle name="Title 2 2 2 2 7 2 2 2 51" xfId="49205"/>
    <cellStyle name="Title 2 2 2 2 7 2 2 2 52" xfId="49206"/>
    <cellStyle name="Title 2 2 2 2 7 2 2 2 53" xfId="49207"/>
    <cellStyle name="Title 2 2 2 2 7 2 2 2 54" xfId="49208"/>
    <cellStyle name="Title 2 2 2 2 7 2 2 2 55" xfId="49209"/>
    <cellStyle name="Title 2 2 2 2 7 2 2 2 56" xfId="49210"/>
    <cellStyle name="Title 2 2 2 2 7 2 2 2 57" xfId="49211"/>
    <cellStyle name="Title 2 2 2 2 7 2 2 2 58" xfId="49212"/>
    <cellStyle name="Title 2 2 2 2 7 2 2 2 59" xfId="49213"/>
    <cellStyle name="Title 2 2 2 2 7 2 2 2 6" xfId="49214"/>
    <cellStyle name="Title 2 2 2 2 7 2 2 2 60" xfId="49215"/>
    <cellStyle name="Title 2 2 2 2 7 2 2 2 61" xfId="49216"/>
    <cellStyle name="Title 2 2 2 2 7 2 2 2 62" xfId="49217"/>
    <cellStyle name="Title 2 2 2 2 7 2 2 2 63" xfId="49218"/>
    <cellStyle name="Title 2 2 2 2 7 2 2 2 64" xfId="49219"/>
    <cellStyle name="Title 2 2 2 2 7 2 2 2 65" xfId="49220"/>
    <cellStyle name="Title 2 2 2 2 7 2 2 2 66" xfId="49221"/>
    <cellStyle name="Title 2 2 2 2 7 2 2 2 67" xfId="49222"/>
    <cellStyle name="Title 2 2 2 2 7 2 2 2 68" xfId="49223"/>
    <cellStyle name="Title 2 2 2 2 7 2 2 2 69" xfId="49224"/>
    <cellStyle name="Title 2 2 2 2 7 2 2 2 7" xfId="49225"/>
    <cellStyle name="Title 2 2 2 2 7 2 2 2 70" xfId="49226"/>
    <cellStyle name="Title 2 2 2 2 7 2 2 2 71" xfId="49227"/>
    <cellStyle name="Title 2 2 2 2 7 2 2 2 72" xfId="49228"/>
    <cellStyle name="Title 2 2 2 2 7 2 2 2 73" xfId="49229"/>
    <cellStyle name="Title 2 2 2 2 7 2 2 2 74" xfId="49230"/>
    <cellStyle name="Title 2 2 2 2 7 2 2 2 8" xfId="49231"/>
    <cellStyle name="Title 2 2 2 2 7 2 2 2 9" xfId="49232"/>
    <cellStyle name="Title 2 2 2 2 7 2 2 20" xfId="49233"/>
    <cellStyle name="Title 2 2 2 2 7 2 2 21" xfId="49234"/>
    <cellStyle name="Title 2 2 2 2 7 2 2 22" xfId="49235"/>
    <cellStyle name="Title 2 2 2 2 7 2 2 23" xfId="49236"/>
    <cellStyle name="Title 2 2 2 2 7 2 2 24" xfId="49237"/>
    <cellStyle name="Title 2 2 2 2 7 2 2 25" xfId="49238"/>
    <cellStyle name="Title 2 2 2 2 7 2 2 26" xfId="49239"/>
    <cellStyle name="Title 2 2 2 2 7 2 2 27" xfId="49240"/>
    <cellStyle name="Title 2 2 2 2 7 2 2 28" xfId="49241"/>
    <cellStyle name="Title 2 2 2 2 7 2 2 29" xfId="49242"/>
    <cellStyle name="Title 2 2 2 2 7 2 2 3" xfId="49243"/>
    <cellStyle name="Title 2 2 2 2 7 2 2 3 2" xfId="49244"/>
    <cellStyle name="Title 2 2 2 2 7 2 2 30" xfId="49245"/>
    <cellStyle name="Title 2 2 2 2 7 2 2 31" xfId="49246"/>
    <cellStyle name="Title 2 2 2 2 7 2 2 32" xfId="49247"/>
    <cellStyle name="Title 2 2 2 2 7 2 2 33" xfId="49248"/>
    <cellStyle name="Title 2 2 2 2 7 2 2 34" xfId="49249"/>
    <cellStyle name="Title 2 2 2 2 7 2 2 35" xfId="49250"/>
    <cellStyle name="Title 2 2 2 2 7 2 2 36" xfId="49251"/>
    <cellStyle name="Title 2 2 2 2 7 2 2 37" xfId="49252"/>
    <cellStyle name="Title 2 2 2 2 7 2 2 38" xfId="49253"/>
    <cellStyle name="Title 2 2 2 2 7 2 2 39" xfId="49254"/>
    <cellStyle name="Title 2 2 2 2 7 2 2 4" xfId="49255"/>
    <cellStyle name="Title 2 2 2 2 7 2 2 40" xfId="49256"/>
    <cellStyle name="Title 2 2 2 2 7 2 2 41" xfId="49257"/>
    <cellStyle name="Title 2 2 2 2 7 2 2 42" xfId="49258"/>
    <cellStyle name="Title 2 2 2 2 7 2 2 43" xfId="49259"/>
    <cellStyle name="Title 2 2 2 2 7 2 2 44" xfId="49260"/>
    <cellStyle name="Title 2 2 2 2 7 2 2 45" xfId="49261"/>
    <cellStyle name="Title 2 2 2 2 7 2 2 46" xfId="49262"/>
    <cellStyle name="Title 2 2 2 2 7 2 2 47" xfId="49263"/>
    <cellStyle name="Title 2 2 2 2 7 2 2 48" xfId="49264"/>
    <cellStyle name="Title 2 2 2 2 7 2 2 49" xfId="49265"/>
    <cellStyle name="Title 2 2 2 2 7 2 2 5" xfId="49266"/>
    <cellStyle name="Title 2 2 2 2 7 2 2 50" xfId="49267"/>
    <cellStyle name="Title 2 2 2 2 7 2 2 51" xfId="49268"/>
    <cellStyle name="Title 2 2 2 2 7 2 2 52" xfId="49269"/>
    <cellStyle name="Title 2 2 2 2 7 2 2 53" xfId="49270"/>
    <cellStyle name="Title 2 2 2 2 7 2 2 54" xfId="49271"/>
    <cellStyle name="Title 2 2 2 2 7 2 2 55" xfId="49272"/>
    <cellStyle name="Title 2 2 2 2 7 2 2 56" xfId="49273"/>
    <cellStyle name="Title 2 2 2 2 7 2 2 57" xfId="49274"/>
    <cellStyle name="Title 2 2 2 2 7 2 2 58" xfId="49275"/>
    <cellStyle name="Title 2 2 2 2 7 2 2 59" xfId="49276"/>
    <cellStyle name="Title 2 2 2 2 7 2 2 6" xfId="49277"/>
    <cellStyle name="Title 2 2 2 2 7 2 2 60" xfId="49278"/>
    <cellStyle name="Title 2 2 2 2 7 2 2 61" xfId="49279"/>
    <cellStyle name="Title 2 2 2 2 7 2 2 62" xfId="49280"/>
    <cellStyle name="Title 2 2 2 2 7 2 2 63" xfId="49281"/>
    <cellStyle name="Title 2 2 2 2 7 2 2 64" xfId="49282"/>
    <cellStyle name="Title 2 2 2 2 7 2 2 65" xfId="49283"/>
    <cellStyle name="Title 2 2 2 2 7 2 2 66" xfId="49284"/>
    <cellStyle name="Title 2 2 2 2 7 2 2 67" xfId="49285"/>
    <cellStyle name="Title 2 2 2 2 7 2 2 68" xfId="49286"/>
    <cellStyle name="Title 2 2 2 2 7 2 2 69" xfId="49287"/>
    <cellStyle name="Title 2 2 2 2 7 2 2 7" xfId="49288"/>
    <cellStyle name="Title 2 2 2 2 7 2 2 70" xfId="49289"/>
    <cellStyle name="Title 2 2 2 2 7 2 2 71" xfId="49290"/>
    <cellStyle name="Title 2 2 2 2 7 2 2 72" xfId="49291"/>
    <cellStyle name="Title 2 2 2 2 7 2 2 73" xfId="49292"/>
    <cellStyle name="Title 2 2 2 2 7 2 2 74" xfId="49293"/>
    <cellStyle name="Title 2 2 2 2 7 2 2 75" xfId="49294"/>
    <cellStyle name="Title 2 2 2 2 7 2 2 76" xfId="49295"/>
    <cellStyle name="Title 2 2 2 2 7 2 2 77" xfId="49296"/>
    <cellStyle name="Title 2 2 2 2 7 2 2 78" xfId="49297"/>
    <cellStyle name="Title 2 2 2 2 7 2 2 79" xfId="49298"/>
    <cellStyle name="Title 2 2 2 2 7 2 2 8" xfId="49299"/>
    <cellStyle name="Title 2 2 2 2 7 2 2 80" xfId="49300"/>
    <cellStyle name="Title 2 2 2 2 7 2 2 81" xfId="49301"/>
    <cellStyle name="Title 2 2 2 2 7 2 2 82" xfId="49302"/>
    <cellStyle name="Title 2 2 2 2 7 2 2 83" xfId="49303"/>
    <cellStyle name="Title 2 2 2 2 7 2 2 84" xfId="49304"/>
    <cellStyle name="Title 2 2 2 2 7 2 2 85" xfId="49305"/>
    <cellStyle name="Title 2 2 2 2 7 2 2 86" xfId="49306"/>
    <cellStyle name="Title 2 2 2 2 7 2 2 87" xfId="49307"/>
    <cellStyle name="Title 2 2 2 2 7 2 2 88" xfId="49308"/>
    <cellStyle name="Title 2 2 2 2 7 2 2 9" xfId="49309"/>
    <cellStyle name="Title 2 2 2 2 7 2 20" xfId="49310"/>
    <cellStyle name="Title 2 2 2 2 7 2 21" xfId="49311"/>
    <cellStyle name="Title 2 2 2 2 7 2 22" xfId="49312"/>
    <cellStyle name="Title 2 2 2 2 7 2 23" xfId="49313"/>
    <cellStyle name="Title 2 2 2 2 7 2 24" xfId="49314"/>
    <cellStyle name="Title 2 2 2 2 7 2 25" xfId="49315"/>
    <cellStyle name="Title 2 2 2 2 7 2 26" xfId="49316"/>
    <cellStyle name="Title 2 2 2 2 7 2 27" xfId="49317"/>
    <cellStyle name="Title 2 2 2 2 7 2 28" xfId="49318"/>
    <cellStyle name="Title 2 2 2 2 7 2 29" xfId="49319"/>
    <cellStyle name="Title 2 2 2 2 7 2 3" xfId="49320"/>
    <cellStyle name="Title 2 2 2 2 7 2 3 2" xfId="49321"/>
    <cellStyle name="Title 2 2 2 2 7 2 30" xfId="49322"/>
    <cellStyle name="Title 2 2 2 2 7 2 31" xfId="49323"/>
    <cellStyle name="Title 2 2 2 2 7 2 32" xfId="49324"/>
    <cellStyle name="Title 2 2 2 2 7 2 33" xfId="49325"/>
    <cellStyle name="Title 2 2 2 2 7 2 34" xfId="49326"/>
    <cellStyle name="Title 2 2 2 2 7 2 35" xfId="49327"/>
    <cellStyle name="Title 2 2 2 2 7 2 36" xfId="49328"/>
    <cellStyle name="Title 2 2 2 2 7 2 37" xfId="49329"/>
    <cellStyle name="Title 2 2 2 2 7 2 38" xfId="49330"/>
    <cellStyle name="Title 2 2 2 2 7 2 39" xfId="49331"/>
    <cellStyle name="Title 2 2 2 2 7 2 4" xfId="49332"/>
    <cellStyle name="Title 2 2 2 2 7 2 40" xfId="49333"/>
    <cellStyle name="Title 2 2 2 2 7 2 41" xfId="49334"/>
    <cellStyle name="Title 2 2 2 2 7 2 42" xfId="49335"/>
    <cellStyle name="Title 2 2 2 2 7 2 43" xfId="49336"/>
    <cellStyle name="Title 2 2 2 2 7 2 44" xfId="49337"/>
    <cellStyle name="Title 2 2 2 2 7 2 45" xfId="49338"/>
    <cellStyle name="Title 2 2 2 2 7 2 46" xfId="49339"/>
    <cellStyle name="Title 2 2 2 2 7 2 47" xfId="49340"/>
    <cellStyle name="Title 2 2 2 2 7 2 48" xfId="49341"/>
    <cellStyle name="Title 2 2 2 2 7 2 49" xfId="49342"/>
    <cellStyle name="Title 2 2 2 2 7 2 5" xfId="49343"/>
    <cellStyle name="Title 2 2 2 2 7 2 50" xfId="49344"/>
    <cellStyle name="Title 2 2 2 2 7 2 51" xfId="49345"/>
    <cellStyle name="Title 2 2 2 2 7 2 52" xfId="49346"/>
    <cellStyle name="Title 2 2 2 2 7 2 53" xfId="49347"/>
    <cellStyle name="Title 2 2 2 2 7 2 54" xfId="49348"/>
    <cellStyle name="Title 2 2 2 2 7 2 55" xfId="49349"/>
    <cellStyle name="Title 2 2 2 2 7 2 56" xfId="49350"/>
    <cellStyle name="Title 2 2 2 2 7 2 57" xfId="49351"/>
    <cellStyle name="Title 2 2 2 2 7 2 58" xfId="49352"/>
    <cellStyle name="Title 2 2 2 2 7 2 59" xfId="49353"/>
    <cellStyle name="Title 2 2 2 2 7 2 6" xfId="49354"/>
    <cellStyle name="Title 2 2 2 2 7 2 60" xfId="49355"/>
    <cellStyle name="Title 2 2 2 2 7 2 61" xfId="49356"/>
    <cellStyle name="Title 2 2 2 2 7 2 62" xfId="49357"/>
    <cellStyle name="Title 2 2 2 2 7 2 63" xfId="49358"/>
    <cellStyle name="Title 2 2 2 2 7 2 64" xfId="49359"/>
    <cellStyle name="Title 2 2 2 2 7 2 65" xfId="49360"/>
    <cellStyle name="Title 2 2 2 2 7 2 66" xfId="49361"/>
    <cellStyle name="Title 2 2 2 2 7 2 67" xfId="49362"/>
    <cellStyle name="Title 2 2 2 2 7 2 68" xfId="49363"/>
    <cellStyle name="Title 2 2 2 2 7 2 69" xfId="49364"/>
    <cellStyle name="Title 2 2 2 2 7 2 7" xfId="49365"/>
    <cellStyle name="Title 2 2 2 2 7 2 70" xfId="49366"/>
    <cellStyle name="Title 2 2 2 2 7 2 71" xfId="49367"/>
    <cellStyle name="Title 2 2 2 2 7 2 72" xfId="49368"/>
    <cellStyle name="Title 2 2 2 2 7 2 73" xfId="49369"/>
    <cellStyle name="Title 2 2 2 2 7 2 74" xfId="49370"/>
    <cellStyle name="Title 2 2 2 2 7 2 75" xfId="49371"/>
    <cellStyle name="Title 2 2 2 2 7 2 76" xfId="49372"/>
    <cellStyle name="Title 2 2 2 2 7 2 77" xfId="49373"/>
    <cellStyle name="Title 2 2 2 2 7 2 78" xfId="49374"/>
    <cellStyle name="Title 2 2 2 2 7 2 79" xfId="49375"/>
    <cellStyle name="Title 2 2 2 2 7 2 8" xfId="49376"/>
    <cellStyle name="Title 2 2 2 2 7 2 80" xfId="49377"/>
    <cellStyle name="Title 2 2 2 2 7 2 81" xfId="49378"/>
    <cellStyle name="Title 2 2 2 2 7 2 82" xfId="49379"/>
    <cellStyle name="Title 2 2 2 2 7 2 83" xfId="49380"/>
    <cellStyle name="Title 2 2 2 2 7 2 84" xfId="49381"/>
    <cellStyle name="Title 2 2 2 2 7 2 85" xfId="49382"/>
    <cellStyle name="Title 2 2 2 2 7 2 86" xfId="49383"/>
    <cellStyle name="Title 2 2 2 2 7 2 87" xfId="49384"/>
    <cellStyle name="Title 2 2 2 2 7 2 88" xfId="49385"/>
    <cellStyle name="Title 2 2 2 2 7 2 9" xfId="49386"/>
    <cellStyle name="Title 2 2 2 2 7 20" xfId="49387"/>
    <cellStyle name="Title 2 2 2 2 7 20 2" xfId="49388"/>
    <cellStyle name="Title 2 2 2 2 7 21" xfId="49389"/>
    <cellStyle name="Title 2 2 2 2 7 21 2" xfId="49390"/>
    <cellStyle name="Title 2 2 2 2 7 22" xfId="49391"/>
    <cellStyle name="Title 2 2 2 2 7 22 2" xfId="49392"/>
    <cellStyle name="Title 2 2 2 2 7 23" xfId="49393"/>
    <cellStyle name="Title 2 2 2 2 7 23 2" xfId="49394"/>
    <cellStyle name="Title 2 2 2 2 7 24" xfId="49395"/>
    <cellStyle name="Title 2 2 2 2 7 24 2" xfId="49396"/>
    <cellStyle name="Title 2 2 2 2 7 25" xfId="49397"/>
    <cellStyle name="Title 2 2 2 2 7 25 2" xfId="49398"/>
    <cellStyle name="Title 2 2 2 2 7 26" xfId="49399"/>
    <cellStyle name="Title 2 2 2 2 7 26 2" xfId="49400"/>
    <cellStyle name="Title 2 2 2 2 7 27" xfId="49401"/>
    <cellStyle name="Title 2 2 2 2 7 27 2" xfId="49402"/>
    <cellStyle name="Title 2 2 2 2 7 28" xfId="49403"/>
    <cellStyle name="Title 2 2 2 2 7 28 2" xfId="49404"/>
    <cellStyle name="Title 2 2 2 2 7 29" xfId="49405"/>
    <cellStyle name="Title 2 2 2 2 7 29 2" xfId="49406"/>
    <cellStyle name="Title 2 2 2 2 7 3" xfId="49407"/>
    <cellStyle name="Title 2 2 2 2 7 3 2" xfId="49408"/>
    <cellStyle name="Title 2 2 2 2 7 30" xfId="49409"/>
    <cellStyle name="Title 2 2 2 2 7 30 2" xfId="49410"/>
    <cellStyle name="Title 2 2 2 2 7 31" xfId="49411"/>
    <cellStyle name="Title 2 2 2 2 7 31 2" xfId="49412"/>
    <cellStyle name="Title 2 2 2 2 7 32" xfId="49413"/>
    <cellStyle name="Title 2 2 2 2 7 32 2" xfId="49414"/>
    <cellStyle name="Title 2 2 2 2 7 33" xfId="49415"/>
    <cellStyle name="Title 2 2 2 2 7 33 2" xfId="49416"/>
    <cellStyle name="Title 2 2 2 2 7 34" xfId="49417"/>
    <cellStyle name="Title 2 2 2 2 7 34 2" xfId="49418"/>
    <cellStyle name="Title 2 2 2 2 7 35" xfId="49419"/>
    <cellStyle name="Title 2 2 2 2 7 35 2" xfId="49420"/>
    <cellStyle name="Title 2 2 2 2 7 36" xfId="49421"/>
    <cellStyle name="Title 2 2 2 2 7 36 2" xfId="49422"/>
    <cellStyle name="Title 2 2 2 2 7 37" xfId="49423"/>
    <cellStyle name="Title 2 2 2 2 7 37 2" xfId="49424"/>
    <cellStyle name="Title 2 2 2 2 7 38" xfId="49425"/>
    <cellStyle name="Title 2 2 2 2 7 38 2" xfId="49426"/>
    <cellStyle name="Title 2 2 2 2 7 39" xfId="49427"/>
    <cellStyle name="Title 2 2 2 2 7 39 2" xfId="49428"/>
    <cellStyle name="Title 2 2 2 2 7 4" xfId="49429"/>
    <cellStyle name="Title 2 2 2 2 7 4 2" xfId="49430"/>
    <cellStyle name="Title 2 2 2 2 7 40" xfId="49431"/>
    <cellStyle name="Title 2 2 2 2 7 40 2" xfId="49432"/>
    <cellStyle name="Title 2 2 2 2 7 41" xfId="49433"/>
    <cellStyle name="Title 2 2 2 2 7 41 2" xfId="49434"/>
    <cellStyle name="Title 2 2 2 2 7 42" xfId="49435"/>
    <cellStyle name="Title 2 2 2 2 7 42 2" xfId="49436"/>
    <cellStyle name="Title 2 2 2 2 7 43" xfId="49437"/>
    <cellStyle name="Title 2 2 2 2 7 43 2" xfId="49438"/>
    <cellStyle name="Title 2 2 2 2 7 44" xfId="49439"/>
    <cellStyle name="Title 2 2 2 2 7 44 2" xfId="49440"/>
    <cellStyle name="Title 2 2 2 2 7 45" xfId="49441"/>
    <cellStyle name="Title 2 2 2 2 7 46" xfId="49442"/>
    <cellStyle name="Title 2 2 2 2 7 47" xfId="49443"/>
    <cellStyle name="Title 2 2 2 2 7 48" xfId="49444"/>
    <cellStyle name="Title 2 2 2 2 7 49" xfId="49445"/>
    <cellStyle name="Title 2 2 2 2 7 5" xfId="49446"/>
    <cellStyle name="Title 2 2 2 2 7 5 2" xfId="49447"/>
    <cellStyle name="Title 2 2 2 2 7 50" xfId="49448"/>
    <cellStyle name="Title 2 2 2 2 7 51" xfId="49449"/>
    <cellStyle name="Title 2 2 2 2 7 52" xfId="49450"/>
    <cellStyle name="Title 2 2 2 2 7 53" xfId="49451"/>
    <cellStyle name="Title 2 2 2 2 7 54" xfId="49452"/>
    <cellStyle name="Title 2 2 2 2 7 55" xfId="49453"/>
    <cellStyle name="Title 2 2 2 2 7 56" xfId="49454"/>
    <cellStyle name="Title 2 2 2 2 7 57" xfId="49455"/>
    <cellStyle name="Title 2 2 2 2 7 58" xfId="49456"/>
    <cellStyle name="Title 2 2 2 2 7 59" xfId="49457"/>
    <cellStyle name="Title 2 2 2 2 7 6" xfId="49458"/>
    <cellStyle name="Title 2 2 2 2 7 6 2" xfId="49459"/>
    <cellStyle name="Title 2 2 2 2 7 60" xfId="49460"/>
    <cellStyle name="Title 2 2 2 2 7 61" xfId="49461"/>
    <cellStyle name="Title 2 2 2 2 7 62" xfId="49462"/>
    <cellStyle name="Title 2 2 2 2 7 63" xfId="49463"/>
    <cellStyle name="Title 2 2 2 2 7 64" xfId="49464"/>
    <cellStyle name="Title 2 2 2 2 7 65" xfId="49465"/>
    <cellStyle name="Title 2 2 2 2 7 66" xfId="49466"/>
    <cellStyle name="Title 2 2 2 2 7 67" xfId="49467"/>
    <cellStyle name="Title 2 2 2 2 7 68" xfId="49468"/>
    <cellStyle name="Title 2 2 2 2 7 69" xfId="49469"/>
    <cellStyle name="Title 2 2 2 2 7 7" xfId="49470"/>
    <cellStyle name="Title 2 2 2 2 7 7 2" xfId="49471"/>
    <cellStyle name="Title 2 2 2 2 7 70" xfId="49472"/>
    <cellStyle name="Title 2 2 2 2 7 71" xfId="49473"/>
    <cellStyle name="Title 2 2 2 2 7 72" xfId="49474"/>
    <cellStyle name="Title 2 2 2 2 7 73" xfId="49475"/>
    <cellStyle name="Title 2 2 2 2 7 74" xfId="49476"/>
    <cellStyle name="Title 2 2 2 2 7 75" xfId="49477"/>
    <cellStyle name="Title 2 2 2 2 7 76" xfId="49478"/>
    <cellStyle name="Title 2 2 2 2 7 77" xfId="49479"/>
    <cellStyle name="Title 2 2 2 2 7 78" xfId="49480"/>
    <cellStyle name="Title 2 2 2 2 7 79" xfId="49481"/>
    <cellStyle name="Title 2 2 2 2 7 8" xfId="49482"/>
    <cellStyle name="Title 2 2 2 2 7 8 2" xfId="49483"/>
    <cellStyle name="Title 2 2 2 2 7 80" xfId="49484"/>
    <cellStyle name="Title 2 2 2 2 7 81" xfId="49485"/>
    <cellStyle name="Title 2 2 2 2 7 82" xfId="49486"/>
    <cellStyle name="Title 2 2 2 2 7 83" xfId="49487"/>
    <cellStyle name="Title 2 2 2 2 7 84" xfId="49488"/>
    <cellStyle name="Title 2 2 2 2 7 85" xfId="49489"/>
    <cellStyle name="Title 2 2 2 2 7 86" xfId="49490"/>
    <cellStyle name="Title 2 2 2 2 7 87" xfId="49491"/>
    <cellStyle name="Title 2 2 2 2 7 88" xfId="49492"/>
    <cellStyle name="Title 2 2 2 2 7 89" xfId="49493"/>
    <cellStyle name="Title 2 2 2 2 7 9" xfId="49494"/>
    <cellStyle name="Title 2 2 2 2 7 9 2" xfId="49495"/>
    <cellStyle name="Title 2 2 2 2 7 90" xfId="49496"/>
    <cellStyle name="Title 2 2 2 2 7 91" xfId="49497"/>
    <cellStyle name="Title 2 2 2 2 7 92" xfId="49498"/>
    <cellStyle name="Title 2 2 2 2 7 93" xfId="49499"/>
    <cellStyle name="Title 2 2 2 2 7 94" xfId="49500"/>
    <cellStyle name="Title 2 2 2 2 7 95" xfId="49501"/>
    <cellStyle name="Title 2 2 2 2 7 96" xfId="49502"/>
    <cellStyle name="Title 2 2 2 2 7 97" xfId="49503"/>
    <cellStyle name="Title 2 2 2 2 7 98" xfId="49504"/>
    <cellStyle name="Title 2 2 2 2 7 99" xfId="49505"/>
    <cellStyle name="Title 2 2 2 2 70" xfId="49506"/>
    <cellStyle name="Title 2 2 2 2 70 2" xfId="49507"/>
    <cellStyle name="Title 2 2 2 2 71" xfId="49508"/>
    <cellStyle name="Title 2 2 2 2 71 2" xfId="49509"/>
    <cellStyle name="Title 2 2 2 2 72" xfId="49510"/>
    <cellStyle name="Title 2 2 2 2 72 2" xfId="49511"/>
    <cellStyle name="Title 2 2 2 2 73" xfId="49512"/>
    <cellStyle name="Title 2 2 2 2 73 2" xfId="49513"/>
    <cellStyle name="Title 2 2 2 2 74" xfId="49514"/>
    <cellStyle name="Title 2 2 2 2 74 2" xfId="49515"/>
    <cellStyle name="Title 2 2 2 2 75" xfId="49516"/>
    <cellStyle name="Title 2 2 2 2 76" xfId="49517"/>
    <cellStyle name="Title 2 2 2 2 77" xfId="49518"/>
    <cellStyle name="Title 2 2 2 2 78" xfId="49519"/>
    <cellStyle name="Title 2 2 2 2 79" xfId="49520"/>
    <cellStyle name="Title 2 2 2 2 8" xfId="49521"/>
    <cellStyle name="Title 2 2 2 2 8 2" xfId="49522"/>
    <cellStyle name="Title 2 2 2 2 80" xfId="49523"/>
    <cellStyle name="Title 2 2 2 2 81" xfId="49524"/>
    <cellStyle name="Title 2 2 2 2 82" xfId="49525"/>
    <cellStyle name="Title 2 2 2 2 83" xfId="49526"/>
    <cellStyle name="Title 2 2 2 2 84" xfId="49527"/>
    <cellStyle name="Title 2 2 2 2 85" xfId="49528"/>
    <cellStyle name="Title 2 2 2 2 86" xfId="49529"/>
    <cellStyle name="Title 2 2 2 2 87" xfId="49530"/>
    <cellStyle name="Title 2 2 2 2 88" xfId="49531"/>
    <cellStyle name="Title 2 2 2 2 89" xfId="49532"/>
    <cellStyle name="Title 2 2 2 2 9" xfId="49533"/>
    <cellStyle name="Title 2 2 2 2 9 2" xfId="49534"/>
    <cellStyle name="Title 2 2 2 2 90" xfId="49535"/>
    <cellStyle name="Title 2 2 2 2 91" xfId="49536"/>
    <cellStyle name="Title 2 2 2 2 92" xfId="49537"/>
    <cellStyle name="Title 2 2 2 2 93" xfId="49538"/>
    <cellStyle name="Title 2 2 2 2 94" xfId="49539"/>
    <cellStyle name="Title 2 2 2 2 95" xfId="49540"/>
    <cellStyle name="Title 2 2 2 2 96" xfId="49541"/>
    <cellStyle name="Title 2 2 2 2 97" xfId="49542"/>
    <cellStyle name="Title 2 2 2 2 98" xfId="49543"/>
    <cellStyle name="Title 2 2 2 2 99" xfId="49544"/>
    <cellStyle name="Title 2 2 2 20" xfId="49545"/>
    <cellStyle name="Title 2 2 2 20 2" xfId="49546"/>
    <cellStyle name="Title 2 2 2 21" xfId="49547"/>
    <cellStyle name="Title 2 2 2 21 2" xfId="49548"/>
    <cellStyle name="Title 2 2 2 22" xfId="49549"/>
    <cellStyle name="Title 2 2 2 22 2" xfId="49550"/>
    <cellStyle name="Title 2 2 2 23" xfId="49551"/>
    <cellStyle name="Title 2 2 2 23 2" xfId="49552"/>
    <cellStyle name="Title 2 2 2 24" xfId="49553"/>
    <cellStyle name="Title 2 2 2 24 2" xfId="49554"/>
    <cellStyle name="Title 2 2 2 25" xfId="49555"/>
    <cellStyle name="Title 2 2 2 25 2" xfId="49556"/>
    <cellStyle name="Title 2 2 2 26" xfId="49557"/>
    <cellStyle name="Title 2 2 2 26 2" xfId="49558"/>
    <cellStyle name="Title 2 2 2 27" xfId="49559"/>
    <cellStyle name="Title 2 2 2 27 2" xfId="49560"/>
    <cellStyle name="Title 2 2 2 28" xfId="49561"/>
    <cellStyle name="Title 2 2 2 28 2" xfId="49562"/>
    <cellStyle name="Title 2 2 2 29" xfId="49563"/>
    <cellStyle name="Title 2 2 2 29 2" xfId="49564"/>
    <cellStyle name="Title 2 2 2 3" xfId="49565"/>
    <cellStyle name="Title 2 2 2 3 2" xfId="49566"/>
    <cellStyle name="Title 2 2 2 30" xfId="49567"/>
    <cellStyle name="Title 2 2 2 30 2" xfId="49568"/>
    <cellStyle name="Title 2 2 2 31" xfId="49569"/>
    <cellStyle name="Title 2 2 2 31 10" xfId="49570"/>
    <cellStyle name="Title 2 2 2 31 11" xfId="49571"/>
    <cellStyle name="Title 2 2 2 31 12" xfId="49572"/>
    <cellStyle name="Title 2 2 2 31 13" xfId="49573"/>
    <cellStyle name="Title 2 2 2 31 14" xfId="49574"/>
    <cellStyle name="Title 2 2 2 31 15" xfId="49575"/>
    <cellStyle name="Title 2 2 2 31 16" xfId="49576"/>
    <cellStyle name="Title 2 2 2 31 17" xfId="49577"/>
    <cellStyle name="Title 2 2 2 31 18" xfId="49578"/>
    <cellStyle name="Title 2 2 2 31 19" xfId="49579"/>
    <cellStyle name="Title 2 2 2 31 2" xfId="49580"/>
    <cellStyle name="Title 2 2 2 31 2 10" xfId="49581"/>
    <cellStyle name="Title 2 2 2 31 2 11" xfId="49582"/>
    <cellStyle name="Title 2 2 2 31 2 12" xfId="49583"/>
    <cellStyle name="Title 2 2 2 31 2 13" xfId="49584"/>
    <cellStyle name="Title 2 2 2 31 2 14" xfId="49585"/>
    <cellStyle name="Title 2 2 2 31 2 15" xfId="49586"/>
    <cellStyle name="Title 2 2 2 31 2 16" xfId="49587"/>
    <cellStyle name="Title 2 2 2 31 2 17" xfId="49588"/>
    <cellStyle name="Title 2 2 2 31 2 18" xfId="49589"/>
    <cellStyle name="Title 2 2 2 31 2 19" xfId="49590"/>
    <cellStyle name="Title 2 2 2 31 2 2" xfId="49591"/>
    <cellStyle name="Title 2 2 2 31 2 2 2" xfId="49592"/>
    <cellStyle name="Title 2 2 2 31 2 20" xfId="49593"/>
    <cellStyle name="Title 2 2 2 31 2 21" xfId="49594"/>
    <cellStyle name="Title 2 2 2 31 2 22" xfId="49595"/>
    <cellStyle name="Title 2 2 2 31 2 23" xfId="49596"/>
    <cellStyle name="Title 2 2 2 31 2 24" xfId="49597"/>
    <cellStyle name="Title 2 2 2 31 2 25" xfId="49598"/>
    <cellStyle name="Title 2 2 2 31 2 26" xfId="49599"/>
    <cellStyle name="Title 2 2 2 31 2 27" xfId="49600"/>
    <cellStyle name="Title 2 2 2 31 2 28" xfId="49601"/>
    <cellStyle name="Title 2 2 2 31 2 29" xfId="49602"/>
    <cellStyle name="Title 2 2 2 31 2 3" xfId="49603"/>
    <cellStyle name="Title 2 2 2 31 2 30" xfId="49604"/>
    <cellStyle name="Title 2 2 2 31 2 31" xfId="49605"/>
    <cellStyle name="Title 2 2 2 31 2 32" xfId="49606"/>
    <cellStyle name="Title 2 2 2 31 2 33" xfId="49607"/>
    <cellStyle name="Title 2 2 2 31 2 34" xfId="49608"/>
    <cellStyle name="Title 2 2 2 31 2 35" xfId="49609"/>
    <cellStyle name="Title 2 2 2 31 2 36" xfId="49610"/>
    <cellStyle name="Title 2 2 2 31 2 37" xfId="49611"/>
    <cellStyle name="Title 2 2 2 31 2 38" xfId="49612"/>
    <cellStyle name="Title 2 2 2 31 2 39" xfId="49613"/>
    <cellStyle name="Title 2 2 2 31 2 4" xfId="49614"/>
    <cellStyle name="Title 2 2 2 31 2 40" xfId="49615"/>
    <cellStyle name="Title 2 2 2 31 2 41" xfId="49616"/>
    <cellStyle name="Title 2 2 2 31 2 42" xfId="49617"/>
    <cellStyle name="Title 2 2 2 31 2 43" xfId="49618"/>
    <cellStyle name="Title 2 2 2 31 2 44" xfId="49619"/>
    <cellStyle name="Title 2 2 2 31 2 45" xfId="49620"/>
    <cellStyle name="Title 2 2 2 31 2 46" xfId="49621"/>
    <cellStyle name="Title 2 2 2 31 2 47" xfId="49622"/>
    <cellStyle name="Title 2 2 2 31 2 48" xfId="49623"/>
    <cellStyle name="Title 2 2 2 31 2 49" xfId="49624"/>
    <cellStyle name="Title 2 2 2 31 2 5" xfId="49625"/>
    <cellStyle name="Title 2 2 2 31 2 50" xfId="49626"/>
    <cellStyle name="Title 2 2 2 31 2 51" xfId="49627"/>
    <cellStyle name="Title 2 2 2 31 2 52" xfId="49628"/>
    <cellStyle name="Title 2 2 2 31 2 53" xfId="49629"/>
    <cellStyle name="Title 2 2 2 31 2 54" xfId="49630"/>
    <cellStyle name="Title 2 2 2 31 2 55" xfId="49631"/>
    <cellStyle name="Title 2 2 2 31 2 56" xfId="49632"/>
    <cellStyle name="Title 2 2 2 31 2 57" xfId="49633"/>
    <cellStyle name="Title 2 2 2 31 2 58" xfId="49634"/>
    <cellStyle name="Title 2 2 2 31 2 59" xfId="49635"/>
    <cellStyle name="Title 2 2 2 31 2 6" xfId="49636"/>
    <cellStyle name="Title 2 2 2 31 2 60" xfId="49637"/>
    <cellStyle name="Title 2 2 2 31 2 61" xfId="49638"/>
    <cellStyle name="Title 2 2 2 31 2 62" xfId="49639"/>
    <cellStyle name="Title 2 2 2 31 2 63" xfId="49640"/>
    <cellStyle name="Title 2 2 2 31 2 64" xfId="49641"/>
    <cellStyle name="Title 2 2 2 31 2 65" xfId="49642"/>
    <cellStyle name="Title 2 2 2 31 2 66" xfId="49643"/>
    <cellStyle name="Title 2 2 2 31 2 67" xfId="49644"/>
    <cellStyle name="Title 2 2 2 31 2 68" xfId="49645"/>
    <cellStyle name="Title 2 2 2 31 2 69" xfId="49646"/>
    <cellStyle name="Title 2 2 2 31 2 7" xfId="49647"/>
    <cellStyle name="Title 2 2 2 31 2 70" xfId="49648"/>
    <cellStyle name="Title 2 2 2 31 2 71" xfId="49649"/>
    <cellStyle name="Title 2 2 2 31 2 72" xfId="49650"/>
    <cellStyle name="Title 2 2 2 31 2 73" xfId="49651"/>
    <cellStyle name="Title 2 2 2 31 2 74" xfId="49652"/>
    <cellStyle name="Title 2 2 2 31 2 8" xfId="49653"/>
    <cellStyle name="Title 2 2 2 31 2 9" xfId="49654"/>
    <cellStyle name="Title 2 2 2 31 20" xfId="49655"/>
    <cellStyle name="Title 2 2 2 31 21" xfId="49656"/>
    <cellStyle name="Title 2 2 2 31 22" xfId="49657"/>
    <cellStyle name="Title 2 2 2 31 23" xfId="49658"/>
    <cellStyle name="Title 2 2 2 31 24" xfId="49659"/>
    <cellStyle name="Title 2 2 2 31 25" xfId="49660"/>
    <cellStyle name="Title 2 2 2 31 26" xfId="49661"/>
    <cellStyle name="Title 2 2 2 31 27" xfId="49662"/>
    <cellStyle name="Title 2 2 2 31 28" xfId="49663"/>
    <cellStyle name="Title 2 2 2 31 29" xfId="49664"/>
    <cellStyle name="Title 2 2 2 31 3" xfId="49665"/>
    <cellStyle name="Title 2 2 2 31 3 2" xfId="49666"/>
    <cellStyle name="Title 2 2 2 31 30" xfId="49667"/>
    <cellStyle name="Title 2 2 2 31 31" xfId="49668"/>
    <cellStyle name="Title 2 2 2 31 32" xfId="49669"/>
    <cellStyle name="Title 2 2 2 31 33" xfId="49670"/>
    <cellStyle name="Title 2 2 2 31 34" xfId="49671"/>
    <cellStyle name="Title 2 2 2 31 35" xfId="49672"/>
    <cellStyle name="Title 2 2 2 31 36" xfId="49673"/>
    <cellStyle name="Title 2 2 2 31 37" xfId="49674"/>
    <cellStyle name="Title 2 2 2 31 38" xfId="49675"/>
    <cellStyle name="Title 2 2 2 31 39" xfId="49676"/>
    <cellStyle name="Title 2 2 2 31 4" xfId="49677"/>
    <cellStyle name="Title 2 2 2 31 40" xfId="49678"/>
    <cellStyle name="Title 2 2 2 31 41" xfId="49679"/>
    <cellStyle name="Title 2 2 2 31 42" xfId="49680"/>
    <cellStyle name="Title 2 2 2 31 43" xfId="49681"/>
    <cellStyle name="Title 2 2 2 31 44" xfId="49682"/>
    <cellStyle name="Title 2 2 2 31 45" xfId="49683"/>
    <cellStyle name="Title 2 2 2 31 46" xfId="49684"/>
    <cellStyle name="Title 2 2 2 31 47" xfId="49685"/>
    <cellStyle name="Title 2 2 2 31 48" xfId="49686"/>
    <cellStyle name="Title 2 2 2 31 49" xfId="49687"/>
    <cellStyle name="Title 2 2 2 31 5" xfId="49688"/>
    <cellStyle name="Title 2 2 2 31 50" xfId="49689"/>
    <cellStyle name="Title 2 2 2 31 51" xfId="49690"/>
    <cellStyle name="Title 2 2 2 31 52" xfId="49691"/>
    <cellStyle name="Title 2 2 2 31 53" xfId="49692"/>
    <cellStyle name="Title 2 2 2 31 54" xfId="49693"/>
    <cellStyle name="Title 2 2 2 31 55" xfId="49694"/>
    <cellStyle name="Title 2 2 2 31 56" xfId="49695"/>
    <cellStyle name="Title 2 2 2 31 57" xfId="49696"/>
    <cellStyle name="Title 2 2 2 31 58" xfId="49697"/>
    <cellStyle name="Title 2 2 2 31 59" xfId="49698"/>
    <cellStyle name="Title 2 2 2 31 6" xfId="49699"/>
    <cellStyle name="Title 2 2 2 31 60" xfId="49700"/>
    <cellStyle name="Title 2 2 2 31 61" xfId="49701"/>
    <cellStyle name="Title 2 2 2 31 62" xfId="49702"/>
    <cellStyle name="Title 2 2 2 31 63" xfId="49703"/>
    <cellStyle name="Title 2 2 2 31 64" xfId="49704"/>
    <cellStyle name="Title 2 2 2 31 65" xfId="49705"/>
    <cellStyle name="Title 2 2 2 31 66" xfId="49706"/>
    <cellStyle name="Title 2 2 2 31 67" xfId="49707"/>
    <cellStyle name="Title 2 2 2 31 68" xfId="49708"/>
    <cellStyle name="Title 2 2 2 31 69" xfId="49709"/>
    <cellStyle name="Title 2 2 2 31 7" xfId="49710"/>
    <cellStyle name="Title 2 2 2 31 70" xfId="49711"/>
    <cellStyle name="Title 2 2 2 31 71" xfId="49712"/>
    <cellStyle name="Title 2 2 2 31 72" xfId="49713"/>
    <cellStyle name="Title 2 2 2 31 73" xfId="49714"/>
    <cellStyle name="Title 2 2 2 31 74" xfId="49715"/>
    <cellStyle name="Title 2 2 2 31 8" xfId="49716"/>
    <cellStyle name="Title 2 2 2 31 9" xfId="49717"/>
    <cellStyle name="Title 2 2 2 32" xfId="49718"/>
    <cellStyle name="Title 2 2 2 32 2" xfId="49719"/>
    <cellStyle name="Title 2 2 2 33" xfId="49720"/>
    <cellStyle name="Title 2 2 2 33 2" xfId="49721"/>
    <cellStyle name="Title 2 2 2 34" xfId="49722"/>
    <cellStyle name="Title 2 2 2 34 2" xfId="49723"/>
    <cellStyle name="Title 2 2 2 35" xfId="49724"/>
    <cellStyle name="Title 2 2 2 35 2" xfId="49725"/>
    <cellStyle name="Title 2 2 2 36" xfId="49726"/>
    <cellStyle name="Title 2 2 2 36 2" xfId="49727"/>
    <cellStyle name="Title 2 2 2 37" xfId="49728"/>
    <cellStyle name="Title 2 2 2 37 2" xfId="49729"/>
    <cellStyle name="Title 2 2 2 38" xfId="49730"/>
    <cellStyle name="Title 2 2 2 38 2" xfId="49731"/>
    <cellStyle name="Title 2 2 2 39" xfId="49732"/>
    <cellStyle name="Title 2 2 2 39 2" xfId="49733"/>
    <cellStyle name="Title 2 2 2 4" xfId="49734"/>
    <cellStyle name="Title 2 2 2 4 2" xfId="49735"/>
    <cellStyle name="Title 2 2 2 40" xfId="49736"/>
    <cellStyle name="Title 2 2 2 40 2" xfId="49737"/>
    <cellStyle name="Title 2 2 2 41" xfId="49738"/>
    <cellStyle name="Title 2 2 2 41 2" xfId="49739"/>
    <cellStyle name="Title 2 2 2 42" xfId="49740"/>
    <cellStyle name="Title 2 2 2 42 2" xfId="49741"/>
    <cellStyle name="Title 2 2 2 43" xfId="49742"/>
    <cellStyle name="Title 2 2 2 43 2" xfId="49743"/>
    <cellStyle name="Title 2 2 2 44" xfId="49744"/>
    <cellStyle name="Title 2 2 2 44 2" xfId="49745"/>
    <cellStyle name="Title 2 2 2 45" xfId="49746"/>
    <cellStyle name="Title 2 2 2 45 2" xfId="49747"/>
    <cellStyle name="Title 2 2 2 46" xfId="49748"/>
    <cellStyle name="Title 2 2 2 46 2" xfId="49749"/>
    <cellStyle name="Title 2 2 2 47" xfId="49750"/>
    <cellStyle name="Title 2 2 2 47 2" xfId="49751"/>
    <cellStyle name="Title 2 2 2 48" xfId="49752"/>
    <cellStyle name="Title 2 2 2 48 2" xfId="49753"/>
    <cellStyle name="Title 2 2 2 49" xfId="49754"/>
    <cellStyle name="Title 2 2 2 49 2" xfId="49755"/>
    <cellStyle name="Title 2 2 2 5" xfId="49756"/>
    <cellStyle name="Title 2 2 2 5 10" xfId="49757"/>
    <cellStyle name="Title 2 2 2 5 100" xfId="49758"/>
    <cellStyle name="Title 2 2 2 5 101" xfId="49759"/>
    <cellStyle name="Title 2 2 2 5 102" xfId="49760"/>
    <cellStyle name="Title 2 2 2 5 103" xfId="49761"/>
    <cellStyle name="Title 2 2 2 5 104" xfId="49762"/>
    <cellStyle name="Title 2 2 2 5 105" xfId="49763"/>
    <cellStyle name="Title 2 2 2 5 106" xfId="49764"/>
    <cellStyle name="Title 2 2 2 5 107" xfId="49765"/>
    <cellStyle name="Title 2 2 2 5 108" xfId="49766"/>
    <cellStyle name="Title 2 2 2 5 109" xfId="49767"/>
    <cellStyle name="Title 2 2 2 5 11" xfId="49768"/>
    <cellStyle name="Title 2 2 2 5 110" xfId="49769"/>
    <cellStyle name="Title 2 2 2 5 12" xfId="49770"/>
    <cellStyle name="Title 2 2 2 5 13" xfId="49771"/>
    <cellStyle name="Title 2 2 2 5 14" xfId="49772"/>
    <cellStyle name="Title 2 2 2 5 15" xfId="49773"/>
    <cellStyle name="Title 2 2 2 5 16" xfId="49774"/>
    <cellStyle name="Title 2 2 2 5 17" xfId="49775"/>
    <cellStyle name="Title 2 2 2 5 18" xfId="49776"/>
    <cellStyle name="Title 2 2 2 5 19" xfId="49777"/>
    <cellStyle name="Title 2 2 2 5 2" xfId="49778"/>
    <cellStyle name="Title 2 2 2 5 2 10" xfId="49779"/>
    <cellStyle name="Title 2 2 2 5 2 11" xfId="49780"/>
    <cellStyle name="Title 2 2 2 5 2 12" xfId="49781"/>
    <cellStyle name="Title 2 2 2 5 2 13" xfId="49782"/>
    <cellStyle name="Title 2 2 2 5 2 13 2" xfId="49783"/>
    <cellStyle name="Title 2 2 2 5 2 14" xfId="49784"/>
    <cellStyle name="Title 2 2 2 5 2 15" xfId="49785"/>
    <cellStyle name="Title 2 2 2 5 2 16" xfId="49786"/>
    <cellStyle name="Title 2 2 2 5 2 17" xfId="49787"/>
    <cellStyle name="Title 2 2 2 5 2 18" xfId="49788"/>
    <cellStyle name="Title 2 2 2 5 2 19" xfId="49789"/>
    <cellStyle name="Title 2 2 2 5 2 2" xfId="49790"/>
    <cellStyle name="Title 2 2 2 5 2 2 10" xfId="49791"/>
    <cellStyle name="Title 2 2 2 5 2 2 11" xfId="49792"/>
    <cellStyle name="Title 2 2 2 5 2 2 12" xfId="49793"/>
    <cellStyle name="Title 2 2 2 5 2 2 13" xfId="49794"/>
    <cellStyle name="Title 2 2 2 5 2 2 14" xfId="49795"/>
    <cellStyle name="Title 2 2 2 5 2 2 15" xfId="49796"/>
    <cellStyle name="Title 2 2 2 5 2 2 16" xfId="49797"/>
    <cellStyle name="Title 2 2 2 5 2 2 17" xfId="49798"/>
    <cellStyle name="Title 2 2 2 5 2 2 18" xfId="49799"/>
    <cellStyle name="Title 2 2 2 5 2 2 19" xfId="49800"/>
    <cellStyle name="Title 2 2 2 5 2 2 2" xfId="49801"/>
    <cellStyle name="Title 2 2 2 5 2 2 2 10" xfId="49802"/>
    <cellStyle name="Title 2 2 2 5 2 2 2 11" xfId="49803"/>
    <cellStyle name="Title 2 2 2 5 2 2 2 12" xfId="49804"/>
    <cellStyle name="Title 2 2 2 5 2 2 2 13" xfId="49805"/>
    <cellStyle name="Title 2 2 2 5 2 2 2 14" xfId="49806"/>
    <cellStyle name="Title 2 2 2 5 2 2 2 15" xfId="49807"/>
    <cellStyle name="Title 2 2 2 5 2 2 2 16" xfId="49808"/>
    <cellStyle name="Title 2 2 2 5 2 2 2 17" xfId="49809"/>
    <cellStyle name="Title 2 2 2 5 2 2 2 18" xfId="49810"/>
    <cellStyle name="Title 2 2 2 5 2 2 2 19" xfId="49811"/>
    <cellStyle name="Title 2 2 2 5 2 2 2 2" xfId="49812"/>
    <cellStyle name="Title 2 2 2 5 2 2 2 2 10" xfId="49813"/>
    <cellStyle name="Title 2 2 2 5 2 2 2 2 11" xfId="49814"/>
    <cellStyle name="Title 2 2 2 5 2 2 2 2 12" xfId="49815"/>
    <cellStyle name="Title 2 2 2 5 2 2 2 2 13" xfId="49816"/>
    <cellStyle name="Title 2 2 2 5 2 2 2 2 14" xfId="49817"/>
    <cellStyle name="Title 2 2 2 5 2 2 2 2 15" xfId="49818"/>
    <cellStyle name="Title 2 2 2 5 2 2 2 2 16" xfId="49819"/>
    <cellStyle name="Title 2 2 2 5 2 2 2 2 17" xfId="49820"/>
    <cellStyle name="Title 2 2 2 5 2 2 2 2 18" xfId="49821"/>
    <cellStyle name="Title 2 2 2 5 2 2 2 2 19" xfId="49822"/>
    <cellStyle name="Title 2 2 2 5 2 2 2 2 2" xfId="49823"/>
    <cellStyle name="Title 2 2 2 5 2 2 2 2 2 10" xfId="49824"/>
    <cellStyle name="Title 2 2 2 5 2 2 2 2 2 11" xfId="49825"/>
    <cellStyle name="Title 2 2 2 5 2 2 2 2 2 12" xfId="49826"/>
    <cellStyle name="Title 2 2 2 5 2 2 2 2 2 13" xfId="49827"/>
    <cellStyle name="Title 2 2 2 5 2 2 2 2 2 14" xfId="49828"/>
    <cellStyle name="Title 2 2 2 5 2 2 2 2 2 15" xfId="49829"/>
    <cellStyle name="Title 2 2 2 5 2 2 2 2 2 16" xfId="49830"/>
    <cellStyle name="Title 2 2 2 5 2 2 2 2 2 17" xfId="49831"/>
    <cellStyle name="Title 2 2 2 5 2 2 2 2 2 18" xfId="49832"/>
    <cellStyle name="Title 2 2 2 5 2 2 2 2 2 19" xfId="49833"/>
    <cellStyle name="Title 2 2 2 5 2 2 2 2 2 2" xfId="49834"/>
    <cellStyle name="Title 2 2 2 5 2 2 2 2 2 2 2" xfId="49835"/>
    <cellStyle name="Title 2 2 2 5 2 2 2 2 2 20" xfId="49836"/>
    <cellStyle name="Title 2 2 2 5 2 2 2 2 2 21" xfId="49837"/>
    <cellStyle name="Title 2 2 2 5 2 2 2 2 2 22" xfId="49838"/>
    <cellStyle name="Title 2 2 2 5 2 2 2 2 2 23" xfId="49839"/>
    <cellStyle name="Title 2 2 2 5 2 2 2 2 2 24" xfId="49840"/>
    <cellStyle name="Title 2 2 2 5 2 2 2 2 2 25" xfId="49841"/>
    <cellStyle name="Title 2 2 2 5 2 2 2 2 2 26" xfId="49842"/>
    <cellStyle name="Title 2 2 2 5 2 2 2 2 2 27" xfId="49843"/>
    <cellStyle name="Title 2 2 2 5 2 2 2 2 2 28" xfId="49844"/>
    <cellStyle name="Title 2 2 2 5 2 2 2 2 2 29" xfId="49845"/>
    <cellStyle name="Title 2 2 2 5 2 2 2 2 2 3" xfId="49846"/>
    <cellStyle name="Title 2 2 2 5 2 2 2 2 2 30" xfId="49847"/>
    <cellStyle name="Title 2 2 2 5 2 2 2 2 2 31" xfId="49848"/>
    <cellStyle name="Title 2 2 2 5 2 2 2 2 2 32" xfId="49849"/>
    <cellStyle name="Title 2 2 2 5 2 2 2 2 2 33" xfId="49850"/>
    <cellStyle name="Title 2 2 2 5 2 2 2 2 2 34" xfId="49851"/>
    <cellStyle name="Title 2 2 2 5 2 2 2 2 2 35" xfId="49852"/>
    <cellStyle name="Title 2 2 2 5 2 2 2 2 2 36" xfId="49853"/>
    <cellStyle name="Title 2 2 2 5 2 2 2 2 2 37" xfId="49854"/>
    <cellStyle name="Title 2 2 2 5 2 2 2 2 2 38" xfId="49855"/>
    <cellStyle name="Title 2 2 2 5 2 2 2 2 2 39" xfId="49856"/>
    <cellStyle name="Title 2 2 2 5 2 2 2 2 2 4" xfId="49857"/>
    <cellStyle name="Title 2 2 2 5 2 2 2 2 2 40" xfId="49858"/>
    <cellStyle name="Title 2 2 2 5 2 2 2 2 2 41" xfId="49859"/>
    <cellStyle name="Title 2 2 2 5 2 2 2 2 2 42" xfId="49860"/>
    <cellStyle name="Title 2 2 2 5 2 2 2 2 2 43" xfId="49861"/>
    <cellStyle name="Title 2 2 2 5 2 2 2 2 2 44" xfId="49862"/>
    <cellStyle name="Title 2 2 2 5 2 2 2 2 2 45" xfId="49863"/>
    <cellStyle name="Title 2 2 2 5 2 2 2 2 2 46" xfId="49864"/>
    <cellStyle name="Title 2 2 2 5 2 2 2 2 2 47" xfId="49865"/>
    <cellStyle name="Title 2 2 2 5 2 2 2 2 2 48" xfId="49866"/>
    <cellStyle name="Title 2 2 2 5 2 2 2 2 2 49" xfId="49867"/>
    <cellStyle name="Title 2 2 2 5 2 2 2 2 2 5" xfId="49868"/>
    <cellStyle name="Title 2 2 2 5 2 2 2 2 2 50" xfId="49869"/>
    <cellStyle name="Title 2 2 2 5 2 2 2 2 2 51" xfId="49870"/>
    <cellStyle name="Title 2 2 2 5 2 2 2 2 2 52" xfId="49871"/>
    <cellStyle name="Title 2 2 2 5 2 2 2 2 2 53" xfId="49872"/>
    <cellStyle name="Title 2 2 2 5 2 2 2 2 2 54" xfId="49873"/>
    <cellStyle name="Title 2 2 2 5 2 2 2 2 2 55" xfId="49874"/>
    <cellStyle name="Title 2 2 2 5 2 2 2 2 2 56" xfId="49875"/>
    <cellStyle name="Title 2 2 2 5 2 2 2 2 2 57" xfId="49876"/>
    <cellStyle name="Title 2 2 2 5 2 2 2 2 2 58" xfId="49877"/>
    <cellStyle name="Title 2 2 2 5 2 2 2 2 2 59" xfId="49878"/>
    <cellStyle name="Title 2 2 2 5 2 2 2 2 2 6" xfId="49879"/>
    <cellStyle name="Title 2 2 2 5 2 2 2 2 2 60" xfId="49880"/>
    <cellStyle name="Title 2 2 2 5 2 2 2 2 2 61" xfId="49881"/>
    <cellStyle name="Title 2 2 2 5 2 2 2 2 2 62" xfId="49882"/>
    <cellStyle name="Title 2 2 2 5 2 2 2 2 2 63" xfId="49883"/>
    <cellStyle name="Title 2 2 2 5 2 2 2 2 2 64" xfId="49884"/>
    <cellStyle name="Title 2 2 2 5 2 2 2 2 2 65" xfId="49885"/>
    <cellStyle name="Title 2 2 2 5 2 2 2 2 2 66" xfId="49886"/>
    <cellStyle name="Title 2 2 2 5 2 2 2 2 2 67" xfId="49887"/>
    <cellStyle name="Title 2 2 2 5 2 2 2 2 2 68" xfId="49888"/>
    <cellStyle name="Title 2 2 2 5 2 2 2 2 2 69" xfId="49889"/>
    <cellStyle name="Title 2 2 2 5 2 2 2 2 2 7" xfId="49890"/>
    <cellStyle name="Title 2 2 2 5 2 2 2 2 2 70" xfId="49891"/>
    <cellStyle name="Title 2 2 2 5 2 2 2 2 2 71" xfId="49892"/>
    <cellStyle name="Title 2 2 2 5 2 2 2 2 2 72" xfId="49893"/>
    <cellStyle name="Title 2 2 2 5 2 2 2 2 2 73" xfId="49894"/>
    <cellStyle name="Title 2 2 2 5 2 2 2 2 2 74" xfId="49895"/>
    <cellStyle name="Title 2 2 2 5 2 2 2 2 2 8" xfId="49896"/>
    <cellStyle name="Title 2 2 2 5 2 2 2 2 2 9" xfId="49897"/>
    <cellStyle name="Title 2 2 2 5 2 2 2 2 20" xfId="49898"/>
    <cellStyle name="Title 2 2 2 5 2 2 2 2 21" xfId="49899"/>
    <cellStyle name="Title 2 2 2 5 2 2 2 2 22" xfId="49900"/>
    <cellStyle name="Title 2 2 2 5 2 2 2 2 23" xfId="49901"/>
    <cellStyle name="Title 2 2 2 5 2 2 2 2 24" xfId="49902"/>
    <cellStyle name="Title 2 2 2 5 2 2 2 2 25" xfId="49903"/>
    <cellStyle name="Title 2 2 2 5 2 2 2 2 26" xfId="49904"/>
    <cellStyle name="Title 2 2 2 5 2 2 2 2 27" xfId="49905"/>
    <cellStyle name="Title 2 2 2 5 2 2 2 2 28" xfId="49906"/>
    <cellStyle name="Title 2 2 2 5 2 2 2 2 29" xfId="49907"/>
    <cellStyle name="Title 2 2 2 5 2 2 2 2 3" xfId="49908"/>
    <cellStyle name="Title 2 2 2 5 2 2 2 2 3 2" xfId="49909"/>
    <cellStyle name="Title 2 2 2 5 2 2 2 2 30" xfId="49910"/>
    <cellStyle name="Title 2 2 2 5 2 2 2 2 31" xfId="49911"/>
    <cellStyle name="Title 2 2 2 5 2 2 2 2 32" xfId="49912"/>
    <cellStyle name="Title 2 2 2 5 2 2 2 2 33" xfId="49913"/>
    <cellStyle name="Title 2 2 2 5 2 2 2 2 34" xfId="49914"/>
    <cellStyle name="Title 2 2 2 5 2 2 2 2 35" xfId="49915"/>
    <cellStyle name="Title 2 2 2 5 2 2 2 2 36" xfId="49916"/>
    <cellStyle name="Title 2 2 2 5 2 2 2 2 37" xfId="49917"/>
    <cellStyle name="Title 2 2 2 5 2 2 2 2 38" xfId="49918"/>
    <cellStyle name="Title 2 2 2 5 2 2 2 2 39" xfId="49919"/>
    <cellStyle name="Title 2 2 2 5 2 2 2 2 4" xfId="49920"/>
    <cellStyle name="Title 2 2 2 5 2 2 2 2 40" xfId="49921"/>
    <cellStyle name="Title 2 2 2 5 2 2 2 2 41" xfId="49922"/>
    <cellStyle name="Title 2 2 2 5 2 2 2 2 42" xfId="49923"/>
    <cellStyle name="Title 2 2 2 5 2 2 2 2 43" xfId="49924"/>
    <cellStyle name="Title 2 2 2 5 2 2 2 2 44" xfId="49925"/>
    <cellStyle name="Title 2 2 2 5 2 2 2 2 45" xfId="49926"/>
    <cellStyle name="Title 2 2 2 5 2 2 2 2 46" xfId="49927"/>
    <cellStyle name="Title 2 2 2 5 2 2 2 2 47" xfId="49928"/>
    <cellStyle name="Title 2 2 2 5 2 2 2 2 48" xfId="49929"/>
    <cellStyle name="Title 2 2 2 5 2 2 2 2 49" xfId="49930"/>
    <cellStyle name="Title 2 2 2 5 2 2 2 2 5" xfId="49931"/>
    <cellStyle name="Title 2 2 2 5 2 2 2 2 50" xfId="49932"/>
    <cellStyle name="Title 2 2 2 5 2 2 2 2 51" xfId="49933"/>
    <cellStyle name="Title 2 2 2 5 2 2 2 2 52" xfId="49934"/>
    <cellStyle name="Title 2 2 2 5 2 2 2 2 53" xfId="49935"/>
    <cellStyle name="Title 2 2 2 5 2 2 2 2 54" xfId="49936"/>
    <cellStyle name="Title 2 2 2 5 2 2 2 2 55" xfId="49937"/>
    <cellStyle name="Title 2 2 2 5 2 2 2 2 56" xfId="49938"/>
    <cellStyle name="Title 2 2 2 5 2 2 2 2 57" xfId="49939"/>
    <cellStyle name="Title 2 2 2 5 2 2 2 2 58" xfId="49940"/>
    <cellStyle name="Title 2 2 2 5 2 2 2 2 59" xfId="49941"/>
    <cellStyle name="Title 2 2 2 5 2 2 2 2 6" xfId="49942"/>
    <cellStyle name="Title 2 2 2 5 2 2 2 2 60" xfId="49943"/>
    <cellStyle name="Title 2 2 2 5 2 2 2 2 61" xfId="49944"/>
    <cellStyle name="Title 2 2 2 5 2 2 2 2 62" xfId="49945"/>
    <cellStyle name="Title 2 2 2 5 2 2 2 2 63" xfId="49946"/>
    <cellStyle name="Title 2 2 2 5 2 2 2 2 64" xfId="49947"/>
    <cellStyle name="Title 2 2 2 5 2 2 2 2 65" xfId="49948"/>
    <cellStyle name="Title 2 2 2 5 2 2 2 2 66" xfId="49949"/>
    <cellStyle name="Title 2 2 2 5 2 2 2 2 67" xfId="49950"/>
    <cellStyle name="Title 2 2 2 5 2 2 2 2 68" xfId="49951"/>
    <cellStyle name="Title 2 2 2 5 2 2 2 2 69" xfId="49952"/>
    <cellStyle name="Title 2 2 2 5 2 2 2 2 7" xfId="49953"/>
    <cellStyle name="Title 2 2 2 5 2 2 2 2 70" xfId="49954"/>
    <cellStyle name="Title 2 2 2 5 2 2 2 2 71" xfId="49955"/>
    <cellStyle name="Title 2 2 2 5 2 2 2 2 72" xfId="49956"/>
    <cellStyle name="Title 2 2 2 5 2 2 2 2 73" xfId="49957"/>
    <cellStyle name="Title 2 2 2 5 2 2 2 2 74" xfId="49958"/>
    <cellStyle name="Title 2 2 2 5 2 2 2 2 8" xfId="49959"/>
    <cellStyle name="Title 2 2 2 5 2 2 2 2 9" xfId="49960"/>
    <cellStyle name="Title 2 2 2 5 2 2 2 20" xfId="49961"/>
    <cellStyle name="Title 2 2 2 5 2 2 2 21" xfId="49962"/>
    <cellStyle name="Title 2 2 2 5 2 2 2 22" xfId="49963"/>
    <cellStyle name="Title 2 2 2 5 2 2 2 23" xfId="49964"/>
    <cellStyle name="Title 2 2 2 5 2 2 2 24" xfId="49965"/>
    <cellStyle name="Title 2 2 2 5 2 2 2 25" xfId="49966"/>
    <cellStyle name="Title 2 2 2 5 2 2 2 26" xfId="49967"/>
    <cellStyle name="Title 2 2 2 5 2 2 2 27" xfId="49968"/>
    <cellStyle name="Title 2 2 2 5 2 2 2 28" xfId="49969"/>
    <cellStyle name="Title 2 2 2 5 2 2 2 29" xfId="49970"/>
    <cellStyle name="Title 2 2 2 5 2 2 2 3" xfId="49971"/>
    <cellStyle name="Title 2 2 2 5 2 2 2 3 2" xfId="49972"/>
    <cellStyle name="Title 2 2 2 5 2 2 2 30" xfId="49973"/>
    <cellStyle name="Title 2 2 2 5 2 2 2 31" xfId="49974"/>
    <cellStyle name="Title 2 2 2 5 2 2 2 32" xfId="49975"/>
    <cellStyle name="Title 2 2 2 5 2 2 2 33" xfId="49976"/>
    <cellStyle name="Title 2 2 2 5 2 2 2 34" xfId="49977"/>
    <cellStyle name="Title 2 2 2 5 2 2 2 35" xfId="49978"/>
    <cellStyle name="Title 2 2 2 5 2 2 2 36" xfId="49979"/>
    <cellStyle name="Title 2 2 2 5 2 2 2 37" xfId="49980"/>
    <cellStyle name="Title 2 2 2 5 2 2 2 38" xfId="49981"/>
    <cellStyle name="Title 2 2 2 5 2 2 2 39" xfId="49982"/>
    <cellStyle name="Title 2 2 2 5 2 2 2 4" xfId="49983"/>
    <cellStyle name="Title 2 2 2 5 2 2 2 40" xfId="49984"/>
    <cellStyle name="Title 2 2 2 5 2 2 2 41" xfId="49985"/>
    <cellStyle name="Title 2 2 2 5 2 2 2 42" xfId="49986"/>
    <cellStyle name="Title 2 2 2 5 2 2 2 43" xfId="49987"/>
    <cellStyle name="Title 2 2 2 5 2 2 2 44" xfId="49988"/>
    <cellStyle name="Title 2 2 2 5 2 2 2 45" xfId="49989"/>
    <cellStyle name="Title 2 2 2 5 2 2 2 46" xfId="49990"/>
    <cellStyle name="Title 2 2 2 5 2 2 2 47" xfId="49991"/>
    <cellStyle name="Title 2 2 2 5 2 2 2 48" xfId="49992"/>
    <cellStyle name="Title 2 2 2 5 2 2 2 49" xfId="49993"/>
    <cellStyle name="Title 2 2 2 5 2 2 2 5" xfId="49994"/>
    <cellStyle name="Title 2 2 2 5 2 2 2 50" xfId="49995"/>
    <cellStyle name="Title 2 2 2 5 2 2 2 51" xfId="49996"/>
    <cellStyle name="Title 2 2 2 5 2 2 2 52" xfId="49997"/>
    <cellStyle name="Title 2 2 2 5 2 2 2 53" xfId="49998"/>
    <cellStyle name="Title 2 2 2 5 2 2 2 54" xfId="49999"/>
    <cellStyle name="Title 2 2 2 5 2 2 2 55" xfId="50000"/>
    <cellStyle name="Title 2 2 2 5 2 2 2 56" xfId="50001"/>
    <cellStyle name="Title 2 2 2 5 2 2 2 57" xfId="50002"/>
    <cellStyle name="Title 2 2 2 5 2 2 2 58" xfId="50003"/>
    <cellStyle name="Title 2 2 2 5 2 2 2 59" xfId="50004"/>
    <cellStyle name="Title 2 2 2 5 2 2 2 6" xfId="50005"/>
    <cellStyle name="Title 2 2 2 5 2 2 2 60" xfId="50006"/>
    <cellStyle name="Title 2 2 2 5 2 2 2 61" xfId="50007"/>
    <cellStyle name="Title 2 2 2 5 2 2 2 62" xfId="50008"/>
    <cellStyle name="Title 2 2 2 5 2 2 2 63" xfId="50009"/>
    <cellStyle name="Title 2 2 2 5 2 2 2 64" xfId="50010"/>
    <cellStyle name="Title 2 2 2 5 2 2 2 65" xfId="50011"/>
    <cellStyle name="Title 2 2 2 5 2 2 2 66" xfId="50012"/>
    <cellStyle name="Title 2 2 2 5 2 2 2 67" xfId="50013"/>
    <cellStyle name="Title 2 2 2 5 2 2 2 68" xfId="50014"/>
    <cellStyle name="Title 2 2 2 5 2 2 2 69" xfId="50015"/>
    <cellStyle name="Title 2 2 2 5 2 2 2 7" xfId="50016"/>
    <cellStyle name="Title 2 2 2 5 2 2 2 70" xfId="50017"/>
    <cellStyle name="Title 2 2 2 5 2 2 2 71" xfId="50018"/>
    <cellStyle name="Title 2 2 2 5 2 2 2 72" xfId="50019"/>
    <cellStyle name="Title 2 2 2 5 2 2 2 73" xfId="50020"/>
    <cellStyle name="Title 2 2 2 5 2 2 2 74" xfId="50021"/>
    <cellStyle name="Title 2 2 2 5 2 2 2 75" xfId="50022"/>
    <cellStyle name="Title 2 2 2 5 2 2 2 76" xfId="50023"/>
    <cellStyle name="Title 2 2 2 5 2 2 2 77" xfId="50024"/>
    <cellStyle name="Title 2 2 2 5 2 2 2 78" xfId="50025"/>
    <cellStyle name="Title 2 2 2 5 2 2 2 79" xfId="50026"/>
    <cellStyle name="Title 2 2 2 5 2 2 2 8" xfId="50027"/>
    <cellStyle name="Title 2 2 2 5 2 2 2 80" xfId="50028"/>
    <cellStyle name="Title 2 2 2 5 2 2 2 81" xfId="50029"/>
    <cellStyle name="Title 2 2 2 5 2 2 2 82" xfId="50030"/>
    <cellStyle name="Title 2 2 2 5 2 2 2 83" xfId="50031"/>
    <cellStyle name="Title 2 2 2 5 2 2 2 84" xfId="50032"/>
    <cellStyle name="Title 2 2 2 5 2 2 2 85" xfId="50033"/>
    <cellStyle name="Title 2 2 2 5 2 2 2 86" xfId="50034"/>
    <cellStyle name="Title 2 2 2 5 2 2 2 87" xfId="50035"/>
    <cellStyle name="Title 2 2 2 5 2 2 2 88" xfId="50036"/>
    <cellStyle name="Title 2 2 2 5 2 2 2 9" xfId="50037"/>
    <cellStyle name="Title 2 2 2 5 2 2 20" xfId="50038"/>
    <cellStyle name="Title 2 2 2 5 2 2 21" xfId="50039"/>
    <cellStyle name="Title 2 2 2 5 2 2 22" xfId="50040"/>
    <cellStyle name="Title 2 2 2 5 2 2 23" xfId="50041"/>
    <cellStyle name="Title 2 2 2 5 2 2 24" xfId="50042"/>
    <cellStyle name="Title 2 2 2 5 2 2 25" xfId="50043"/>
    <cellStyle name="Title 2 2 2 5 2 2 26" xfId="50044"/>
    <cellStyle name="Title 2 2 2 5 2 2 27" xfId="50045"/>
    <cellStyle name="Title 2 2 2 5 2 2 28" xfId="50046"/>
    <cellStyle name="Title 2 2 2 5 2 2 29" xfId="50047"/>
    <cellStyle name="Title 2 2 2 5 2 2 3" xfId="50048"/>
    <cellStyle name="Title 2 2 2 5 2 2 3 2" xfId="50049"/>
    <cellStyle name="Title 2 2 2 5 2 2 30" xfId="50050"/>
    <cellStyle name="Title 2 2 2 5 2 2 31" xfId="50051"/>
    <cellStyle name="Title 2 2 2 5 2 2 32" xfId="50052"/>
    <cellStyle name="Title 2 2 2 5 2 2 33" xfId="50053"/>
    <cellStyle name="Title 2 2 2 5 2 2 34" xfId="50054"/>
    <cellStyle name="Title 2 2 2 5 2 2 35" xfId="50055"/>
    <cellStyle name="Title 2 2 2 5 2 2 36" xfId="50056"/>
    <cellStyle name="Title 2 2 2 5 2 2 37" xfId="50057"/>
    <cellStyle name="Title 2 2 2 5 2 2 38" xfId="50058"/>
    <cellStyle name="Title 2 2 2 5 2 2 39" xfId="50059"/>
    <cellStyle name="Title 2 2 2 5 2 2 4" xfId="50060"/>
    <cellStyle name="Title 2 2 2 5 2 2 40" xfId="50061"/>
    <cellStyle name="Title 2 2 2 5 2 2 41" xfId="50062"/>
    <cellStyle name="Title 2 2 2 5 2 2 42" xfId="50063"/>
    <cellStyle name="Title 2 2 2 5 2 2 43" xfId="50064"/>
    <cellStyle name="Title 2 2 2 5 2 2 44" xfId="50065"/>
    <cellStyle name="Title 2 2 2 5 2 2 45" xfId="50066"/>
    <cellStyle name="Title 2 2 2 5 2 2 46" xfId="50067"/>
    <cellStyle name="Title 2 2 2 5 2 2 47" xfId="50068"/>
    <cellStyle name="Title 2 2 2 5 2 2 48" xfId="50069"/>
    <cellStyle name="Title 2 2 2 5 2 2 49" xfId="50070"/>
    <cellStyle name="Title 2 2 2 5 2 2 5" xfId="50071"/>
    <cellStyle name="Title 2 2 2 5 2 2 50" xfId="50072"/>
    <cellStyle name="Title 2 2 2 5 2 2 51" xfId="50073"/>
    <cellStyle name="Title 2 2 2 5 2 2 52" xfId="50074"/>
    <cellStyle name="Title 2 2 2 5 2 2 53" xfId="50075"/>
    <cellStyle name="Title 2 2 2 5 2 2 54" xfId="50076"/>
    <cellStyle name="Title 2 2 2 5 2 2 55" xfId="50077"/>
    <cellStyle name="Title 2 2 2 5 2 2 56" xfId="50078"/>
    <cellStyle name="Title 2 2 2 5 2 2 57" xfId="50079"/>
    <cellStyle name="Title 2 2 2 5 2 2 58" xfId="50080"/>
    <cellStyle name="Title 2 2 2 5 2 2 59" xfId="50081"/>
    <cellStyle name="Title 2 2 2 5 2 2 6" xfId="50082"/>
    <cellStyle name="Title 2 2 2 5 2 2 60" xfId="50083"/>
    <cellStyle name="Title 2 2 2 5 2 2 61" xfId="50084"/>
    <cellStyle name="Title 2 2 2 5 2 2 62" xfId="50085"/>
    <cellStyle name="Title 2 2 2 5 2 2 63" xfId="50086"/>
    <cellStyle name="Title 2 2 2 5 2 2 64" xfId="50087"/>
    <cellStyle name="Title 2 2 2 5 2 2 65" xfId="50088"/>
    <cellStyle name="Title 2 2 2 5 2 2 66" xfId="50089"/>
    <cellStyle name="Title 2 2 2 5 2 2 67" xfId="50090"/>
    <cellStyle name="Title 2 2 2 5 2 2 68" xfId="50091"/>
    <cellStyle name="Title 2 2 2 5 2 2 69" xfId="50092"/>
    <cellStyle name="Title 2 2 2 5 2 2 7" xfId="50093"/>
    <cellStyle name="Title 2 2 2 5 2 2 70" xfId="50094"/>
    <cellStyle name="Title 2 2 2 5 2 2 71" xfId="50095"/>
    <cellStyle name="Title 2 2 2 5 2 2 72" xfId="50096"/>
    <cellStyle name="Title 2 2 2 5 2 2 73" xfId="50097"/>
    <cellStyle name="Title 2 2 2 5 2 2 74" xfId="50098"/>
    <cellStyle name="Title 2 2 2 5 2 2 75" xfId="50099"/>
    <cellStyle name="Title 2 2 2 5 2 2 76" xfId="50100"/>
    <cellStyle name="Title 2 2 2 5 2 2 77" xfId="50101"/>
    <cellStyle name="Title 2 2 2 5 2 2 78" xfId="50102"/>
    <cellStyle name="Title 2 2 2 5 2 2 79" xfId="50103"/>
    <cellStyle name="Title 2 2 2 5 2 2 8" xfId="50104"/>
    <cellStyle name="Title 2 2 2 5 2 2 80" xfId="50105"/>
    <cellStyle name="Title 2 2 2 5 2 2 81" xfId="50106"/>
    <cellStyle name="Title 2 2 2 5 2 2 82" xfId="50107"/>
    <cellStyle name="Title 2 2 2 5 2 2 83" xfId="50108"/>
    <cellStyle name="Title 2 2 2 5 2 2 84" xfId="50109"/>
    <cellStyle name="Title 2 2 2 5 2 2 85" xfId="50110"/>
    <cellStyle name="Title 2 2 2 5 2 2 86" xfId="50111"/>
    <cellStyle name="Title 2 2 2 5 2 2 87" xfId="50112"/>
    <cellStyle name="Title 2 2 2 5 2 2 88" xfId="50113"/>
    <cellStyle name="Title 2 2 2 5 2 2 9" xfId="50114"/>
    <cellStyle name="Title 2 2 2 5 2 20" xfId="50115"/>
    <cellStyle name="Title 2 2 2 5 2 21" xfId="50116"/>
    <cellStyle name="Title 2 2 2 5 2 22" xfId="50117"/>
    <cellStyle name="Title 2 2 2 5 2 23" xfId="50118"/>
    <cellStyle name="Title 2 2 2 5 2 24" xfId="50119"/>
    <cellStyle name="Title 2 2 2 5 2 25" xfId="50120"/>
    <cellStyle name="Title 2 2 2 5 2 26" xfId="50121"/>
    <cellStyle name="Title 2 2 2 5 2 27" xfId="50122"/>
    <cellStyle name="Title 2 2 2 5 2 28" xfId="50123"/>
    <cellStyle name="Title 2 2 2 5 2 29" xfId="50124"/>
    <cellStyle name="Title 2 2 2 5 2 3" xfId="50125"/>
    <cellStyle name="Title 2 2 2 5 2 30" xfId="50126"/>
    <cellStyle name="Title 2 2 2 5 2 31" xfId="50127"/>
    <cellStyle name="Title 2 2 2 5 2 32" xfId="50128"/>
    <cellStyle name="Title 2 2 2 5 2 33" xfId="50129"/>
    <cellStyle name="Title 2 2 2 5 2 34" xfId="50130"/>
    <cellStyle name="Title 2 2 2 5 2 35" xfId="50131"/>
    <cellStyle name="Title 2 2 2 5 2 36" xfId="50132"/>
    <cellStyle name="Title 2 2 2 5 2 37" xfId="50133"/>
    <cellStyle name="Title 2 2 2 5 2 38" xfId="50134"/>
    <cellStyle name="Title 2 2 2 5 2 39" xfId="50135"/>
    <cellStyle name="Title 2 2 2 5 2 4" xfId="50136"/>
    <cellStyle name="Title 2 2 2 5 2 40" xfId="50137"/>
    <cellStyle name="Title 2 2 2 5 2 41" xfId="50138"/>
    <cellStyle name="Title 2 2 2 5 2 42" xfId="50139"/>
    <cellStyle name="Title 2 2 2 5 2 43" xfId="50140"/>
    <cellStyle name="Title 2 2 2 5 2 44" xfId="50141"/>
    <cellStyle name="Title 2 2 2 5 2 45" xfId="50142"/>
    <cellStyle name="Title 2 2 2 5 2 46" xfId="50143"/>
    <cellStyle name="Title 2 2 2 5 2 47" xfId="50144"/>
    <cellStyle name="Title 2 2 2 5 2 48" xfId="50145"/>
    <cellStyle name="Title 2 2 2 5 2 49" xfId="50146"/>
    <cellStyle name="Title 2 2 2 5 2 5" xfId="50147"/>
    <cellStyle name="Title 2 2 2 5 2 50" xfId="50148"/>
    <cellStyle name="Title 2 2 2 5 2 51" xfId="50149"/>
    <cellStyle name="Title 2 2 2 5 2 52" xfId="50150"/>
    <cellStyle name="Title 2 2 2 5 2 53" xfId="50151"/>
    <cellStyle name="Title 2 2 2 5 2 54" xfId="50152"/>
    <cellStyle name="Title 2 2 2 5 2 55" xfId="50153"/>
    <cellStyle name="Title 2 2 2 5 2 56" xfId="50154"/>
    <cellStyle name="Title 2 2 2 5 2 57" xfId="50155"/>
    <cellStyle name="Title 2 2 2 5 2 58" xfId="50156"/>
    <cellStyle name="Title 2 2 2 5 2 59" xfId="50157"/>
    <cellStyle name="Title 2 2 2 5 2 6" xfId="50158"/>
    <cellStyle name="Title 2 2 2 5 2 60" xfId="50159"/>
    <cellStyle name="Title 2 2 2 5 2 61" xfId="50160"/>
    <cellStyle name="Title 2 2 2 5 2 62" xfId="50161"/>
    <cellStyle name="Title 2 2 2 5 2 63" xfId="50162"/>
    <cellStyle name="Title 2 2 2 5 2 64" xfId="50163"/>
    <cellStyle name="Title 2 2 2 5 2 65" xfId="50164"/>
    <cellStyle name="Title 2 2 2 5 2 66" xfId="50165"/>
    <cellStyle name="Title 2 2 2 5 2 67" xfId="50166"/>
    <cellStyle name="Title 2 2 2 5 2 68" xfId="50167"/>
    <cellStyle name="Title 2 2 2 5 2 69" xfId="50168"/>
    <cellStyle name="Title 2 2 2 5 2 7" xfId="50169"/>
    <cellStyle name="Title 2 2 2 5 2 70" xfId="50170"/>
    <cellStyle name="Title 2 2 2 5 2 71" xfId="50171"/>
    <cellStyle name="Title 2 2 2 5 2 72" xfId="50172"/>
    <cellStyle name="Title 2 2 2 5 2 73" xfId="50173"/>
    <cellStyle name="Title 2 2 2 5 2 74" xfId="50174"/>
    <cellStyle name="Title 2 2 2 5 2 75" xfId="50175"/>
    <cellStyle name="Title 2 2 2 5 2 76" xfId="50176"/>
    <cellStyle name="Title 2 2 2 5 2 77" xfId="50177"/>
    <cellStyle name="Title 2 2 2 5 2 78" xfId="50178"/>
    <cellStyle name="Title 2 2 2 5 2 79" xfId="50179"/>
    <cellStyle name="Title 2 2 2 5 2 8" xfId="50180"/>
    <cellStyle name="Title 2 2 2 5 2 80" xfId="50181"/>
    <cellStyle name="Title 2 2 2 5 2 81" xfId="50182"/>
    <cellStyle name="Title 2 2 2 5 2 82" xfId="50183"/>
    <cellStyle name="Title 2 2 2 5 2 83" xfId="50184"/>
    <cellStyle name="Title 2 2 2 5 2 84" xfId="50185"/>
    <cellStyle name="Title 2 2 2 5 2 85" xfId="50186"/>
    <cellStyle name="Title 2 2 2 5 2 86" xfId="50187"/>
    <cellStyle name="Title 2 2 2 5 2 87" xfId="50188"/>
    <cellStyle name="Title 2 2 2 5 2 88" xfId="50189"/>
    <cellStyle name="Title 2 2 2 5 2 89" xfId="50190"/>
    <cellStyle name="Title 2 2 2 5 2 9" xfId="50191"/>
    <cellStyle name="Title 2 2 2 5 2 90" xfId="50192"/>
    <cellStyle name="Title 2 2 2 5 2 91" xfId="50193"/>
    <cellStyle name="Title 2 2 2 5 2 92" xfId="50194"/>
    <cellStyle name="Title 2 2 2 5 2 93" xfId="50195"/>
    <cellStyle name="Title 2 2 2 5 2 94" xfId="50196"/>
    <cellStyle name="Title 2 2 2 5 2 95" xfId="50197"/>
    <cellStyle name="Title 2 2 2 5 2 96" xfId="50198"/>
    <cellStyle name="Title 2 2 2 5 2 97" xfId="50199"/>
    <cellStyle name="Title 2 2 2 5 2 98" xfId="50200"/>
    <cellStyle name="Title 2 2 2 5 20" xfId="50201"/>
    <cellStyle name="Title 2 2 2 5 21" xfId="50202"/>
    <cellStyle name="Title 2 2 2 5 22" xfId="50203"/>
    <cellStyle name="Title 2 2 2 5 23" xfId="50204"/>
    <cellStyle name="Title 2 2 2 5 24" xfId="50205"/>
    <cellStyle name="Title 2 2 2 5 25" xfId="50206"/>
    <cellStyle name="Title 2 2 2 5 25 2" xfId="50207"/>
    <cellStyle name="Title 2 2 2 5 26" xfId="50208"/>
    <cellStyle name="Title 2 2 2 5 27" xfId="50209"/>
    <cellStyle name="Title 2 2 2 5 28" xfId="50210"/>
    <cellStyle name="Title 2 2 2 5 29" xfId="50211"/>
    <cellStyle name="Title 2 2 2 5 3" xfId="50212"/>
    <cellStyle name="Title 2 2 2 5 30" xfId="50213"/>
    <cellStyle name="Title 2 2 2 5 31" xfId="50214"/>
    <cellStyle name="Title 2 2 2 5 32" xfId="50215"/>
    <cellStyle name="Title 2 2 2 5 33" xfId="50216"/>
    <cellStyle name="Title 2 2 2 5 34" xfId="50217"/>
    <cellStyle name="Title 2 2 2 5 35" xfId="50218"/>
    <cellStyle name="Title 2 2 2 5 36" xfId="50219"/>
    <cellStyle name="Title 2 2 2 5 37" xfId="50220"/>
    <cellStyle name="Title 2 2 2 5 38" xfId="50221"/>
    <cellStyle name="Title 2 2 2 5 39" xfId="50222"/>
    <cellStyle name="Title 2 2 2 5 4" xfId="50223"/>
    <cellStyle name="Title 2 2 2 5 4 10" xfId="50224"/>
    <cellStyle name="Title 2 2 2 5 4 11" xfId="50225"/>
    <cellStyle name="Title 2 2 2 5 4 12" xfId="50226"/>
    <cellStyle name="Title 2 2 2 5 4 13" xfId="50227"/>
    <cellStyle name="Title 2 2 2 5 4 14" xfId="50228"/>
    <cellStyle name="Title 2 2 2 5 4 15" xfId="50229"/>
    <cellStyle name="Title 2 2 2 5 4 16" xfId="50230"/>
    <cellStyle name="Title 2 2 2 5 4 17" xfId="50231"/>
    <cellStyle name="Title 2 2 2 5 4 18" xfId="50232"/>
    <cellStyle name="Title 2 2 2 5 4 19" xfId="50233"/>
    <cellStyle name="Title 2 2 2 5 4 2" xfId="50234"/>
    <cellStyle name="Title 2 2 2 5 4 2 10" xfId="50235"/>
    <cellStyle name="Title 2 2 2 5 4 2 11" xfId="50236"/>
    <cellStyle name="Title 2 2 2 5 4 2 12" xfId="50237"/>
    <cellStyle name="Title 2 2 2 5 4 2 13" xfId="50238"/>
    <cellStyle name="Title 2 2 2 5 4 2 14" xfId="50239"/>
    <cellStyle name="Title 2 2 2 5 4 2 15" xfId="50240"/>
    <cellStyle name="Title 2 2 2 5 4 2 16" xfId="50241"/>
    <cellStyle name="Title 2 2 2 5 4 2 17" xfId="50242"/>
    <cellStyle name="Title 2 2 2 5 4 2 18" xfId="50243"/>
    <cellStyle name="Title 2 2 2 5 4 2 19" xfId="50244"/>
    <cellStyle name="Title 2 2 2 5 4 2 2" xfId="50245"/>
    <cellStyle name="Title 2 2 2 5 4 2 2 2" xfId="50246"/>
    <cellStyle name="Title 2 2 2 5 4 2 20" xfId="50247"/>
    <cellStyle name="Title 2 2 2 5 4 2 21" xfId="50248"/>
    <cellStyle name="Title 2 2 2 5 4 2 22" xfId="50249"/>
    <cellStyle name="Title 2 2 2 5 4 2 23" xfId="50250"/>
    <cellStyle name="Title 2 2 2 5 4 2 24" xfId="50251"/>
    <cellStyle name="Title 2 2 2 5 4 2 25" xfId="50252"/>
    <cellStyle name="Title 2 2 2 5 4 2 26" xfId="50253"/>
    <cellStyle name="Title 2 2 2 5 4 2 27" xfId="50254"/>
    <cellStyle name="Title 2 2 2 5 4 2 28" xfId="50255"/>
    <cellStyle name="Title 2 2 2 5 4 2 29" xfId="50256"/>
    <cellStyle name="Title 2 2 2 5 4 2 3" xfId="50257"/>
    <cellStyle name="Title 2 2 2 5 4 2 30" xfId="50258"/>
    <cellStyle name="Title 2 2 2 5 4 2 31" xfId="50259"/>
    <cellStyle name="Title 2 2 2 5 4 2 32" xfId="50260"/>
    <cellStyle name="Title 2 2 2 5 4 2 33" xfId="50261"/>
    <cellStyle name="Title 2 2 2 5 4 2 34" xfId="50262"/>
    <cellStyle name="Title 2 2 2 5 4 2 35" xfId="50263"/>
    <cellStyle name="Title 2 2 2 5 4 2 36" xfId="50264"/>
    <cellStyle name="Title 2 2 2 5 4 2 37" xfId="50265"/>
    <cellStyle name="Title 2 2 2 5 4 2 38" xfId="50266"/>
    <cellStyle name="Title 2 2 2 5 4 2 39" xfId="50267"/>
    <cellStyle name="Title 2 2 2 5 4 2 4" xfId="50268"/>
    <cellStyle name="Title 2 2 2 5 4 2 40" xfId="50269"/>
    <cellStyle name="Title 2 2 2 5 4 2 41" xfId="50270"/>
    <cellStyle name="Title 2 2 2 5 4 2 42" xfId="50271"/>
    <cellStyle name="Title 2 2 2 5 4 2 43" xfId="50272"/>
    <cellStyle name="Title 2 2 2 5 4 2 44" xfId="50273"/>
    <cellStyle name="Title 2 2 2 5 4 2 45" xfId="50274"/>
    <cellStyle name="Title 2 2 2 5 4 2 46" xfId="50275"/>
    <cellStyle name="Title 2 2 2 5 4 2 47" xfId="50276"/>
    <cellStyle name="Title 2 2 2 5 4 2 48" xfId="50277"/>
    <cellStyle name="Title 2 2 2 5 4 2 49" xfId="50278"/>
    <cellStyle name="Title 2 2 2 5 4 2 5" xfId="50279"/>
    <cellStyle name="Title 2 2 2 5 4 2 50" xfId="50280"/>
    <cellStyle name="Title 2 2 2 5 4 2 51" xfId="50281"/>
    <cellStyle name="Title 2 2 2 5 4 2 52" xfId="50282"/>
    <cellStyle name="Title 2 2 2 5 4 2 53" xfId="50283"/>
    <cellStyle name="Title 2 2 2 5 4 2 54" xfId="50284"/>
    <cellStyle name="Title 2 2 2 5 4 2 55" xfId="50285"/>
    <cellStyle name="Title 2 2 2 5 4 2 56" xfId="50286"/>
    <cellStyle name="Title 2 2 2 5 4 2 57" xfId="50287"/>
    <cellStyle name="Title 2 2 2 5 4 2 58" xfId="50288"/>
    <cellStyle name="Title 2 2 2 5 4 2 59" xfId="50289"/>
    <cellStyle name="Title 2 2 2 5 4 2 6" xfId="50290"/>
    <cellStyle name="Title 2 2 2 5 4 2 60" xfId="50291"/>
    <cellStyle name="Title 2 2 2 5 4 2 61" xfId="50292"/>
    <cellStyle name="Title 2 2 2 5 4 2 62" xfId="50293"/>
    <cellStyle name="Title 2 2 2 5 4 2 63" xfId="50294"/>
    <cellStyle name="Title 2 2 2 5 4 2 64" xfId="50295"/>
    <cellStyle name="Title 2 2 2 5 4 2 65" xfId="50296"/>
    <cellStyle name="Title 2 2 2 5 4 2 66" xfId="50297"/>
    <cellStyle name="Title 2 2 2 5 4 2 67" xfId="50298"/>
    <cellStyle name="Title 2 2 2 5 4 2 68" xfId="50299"/>
    <cellStyle name="Title 2 2 2 5 4 2 69" xfId="50300"/>
    <cellStyle name="Title 2 2 2 5 4 2 7" xfId="50301"/>
    <cellStyle name="Title 2 2 2 5 4 2 70" xfId="50302"/>
    <cellStyle name="Title 2 2 2 5 4 2 71" xfId="50303"/>
    <cellStyle name="Title 2 2 2 5 4 2 72" xfId="50304"/>
    <cellStyle name="Title 2 2 2 5 4 2 73" xfId="50305"/>
    <cellStyle name="Title 2 2 2 5 4 2 74" xfId="50306"/>
    <cellStyle name="Title 2 2 2 5 4 2 8" xfId="50307"/>
    <cellStyle name="Title 2 2 2 5 4 2 9" xfId="50308"/>
    <cellStyle name="Title 2 2 2 5 4 20" xfId="50309"/>
    <cellStyle name="Title 2 2 2 5 4 21" xfId="50310"/>
    <cellStyle name="Title 2 2 2 5 4 22" xfId="50311"/>
    <cellStyle name="Title 2 2 2 5 4 23" xfId="50312"/>
    <cellStyle name="Title 2 2 2 5 4 24" xfId="50313"/>
    <cellStyle name="Title 2 2 2 5 4 25" xfId="50314"/>
    <cellStyle name="Title 2 2 2 5 4 26" xfId="50315"/>
    <cellStyle name="Title 2 2 2 5 4 27" xfId="50316"/>
    <cellStyle name="Title 2 2 2 5 4 28" xfId="50317"/>
    <cellStyle name="Title 2 2 2 5 4 29" xfId="50318"/>
    <cellStyle name="Title 2 2 2 5 4 3" xfId="50319"/>
    <cellStyle name="Title 2 2 2 5 4 3 2" xfId="50320"/>
    <cellStyle name="Title 2 2 2 5 4 30" xfId="50321"/>
    <cellStyle name="Title 2 2 2 5 4 31" xfId="50322"/>
    <cellStyle name="Title 2 2 2 5 4 32" xfId="50323"/>
    <cellStyle name="Title 2 2 2 5 4 33" xfId="50324"/>
    <cellStyle name="Title 2 2 2 5 4 34" xfId="50325"/>
    <cellStyle name="Title 2 2 2 5 4 35" xfId="50326"/>
    <cellStyle name="Title 2 2 2 5 4 36" xfId="50327"/>
    <cellStyle name="Title 2 2 2 5 4 37" xfId="50328"/>
    <cellStyle name="Title 2 2 2 5 4 38" xfId="50329"/>
    <cellStyle name="Title 2 2 2 5 4 39" xfId="50330"/>
    <cellStyle name="Title 2 2 2 5 4 4" xfId="50331"/>
    <cellStyle name="Title 2 2 2 5 4 40" xfId="50332"/>
    <cellStyle name="Title 2 2 2 5 4 41" xfId="50333"/>
    <cellStyle name="Title 2 2 2 5 4 42" xfId="50334"/>
    <cellStyle name="Title 2 2 2 5 4 43" xfId="50335"/>
    <cellStyle name="Title 2 2 2 5 4 44" xfId="50336"/>
    <cellStyle name="Title 2 2 2 5 4 45" xfId="50337"/>
    <cellStyle name="Title 2 2 2 5 4 46" xfId="50338"/>
    <cellStyle name="Title 2 2 2 5 4 47" xfId="50339"/>
    <cellStyle name="Title 2 2 2 5 4 48" xfId="50340"/>
    <cellStyle name="Title 2 2 2 5 4 49" xfId="50341"/>
    <cellStyle name="Title 2 2 2 5 4 5" xfId="50342"/>
    <cellStyle name="Title 2 2 2 5 4 50" xfId="50343"/>
    <cellStyle name="Title 2 2 2 5 4 51" xfId="50344"/>
    <cellStyle name="Title 2 2 2 5 4 52" xfId="50345"/>
    <cellStyle name="Title 2 2 2 5 4 53" xfId="50346"/>
    <cellStyle name="Title 2 2 2 5 4 54" xfId="50347"/>
    <cellStyle name="Title 2 2 2 5 4 55" xfId="50348"/>
    <cellStyle name="Title 2 2 2 5 4 56" xfId="50349"/>
    <cellStyle name="Title 2 2 2 5 4 57" xfId="50350"/>
    <cellStyle name="Title 2 2 2 5 4 58" xfId="50351"/>
    <cellStyle name="Title 2 2 2 5 4 59" xfId="50352"/>
    <cellStyle name="Title 2 2 2 5 4 6" xfId="50353"/>
    <cellStyle name="Title 2 2 2 5 4 60" xfId="50354"/>
    <cellStyle name="Title 2 2 2 5 4 61" xfId="50355"/>
    <cellStyle name="Title 2 2 2 5 4 62" xfId="50356"/>
    <cellStyle name="Title 2 2 2 5 4 63" xfId="50357"/>
    <cellStyle name="Title 2 2 2 5 4 64" xfId="50358"/>
    <cellStyle name="Title 2 2 2 5 4 65" xfId="50359"/>
    <cellStyle name="Title 2 2 2 5 4 66" xfId="50360"/>
    <cellStyle name="Title 2 2 2 5 4 67" xfId="50361"/>
    <cellStyle name="Title 2 2 2 5 4 68" xfId="50362"/>
    <cellStyle name="Title 2 2 2 5 4 69" xfId="50363"/>
    <cellStyle name="Title 2 2 2 5 4 7" xfId="50364"/>
    <cellStyle name="Title 2 2 2 5 4 70" xfId="50365"/>
    <cellStyle name="Title 2 2 2 5 4 71" xfId="50366"/>
    <cellStyle name="Title 2 2 2 5 4 72" xfId="50367"/>
    <cellStyle name="Title 2 2 2 5 4 73" xfId="50368"/>
    <cellStyle name="Title 2 2 2 5 4 74" xfId="50369"/>
    <cellStyle name="Title 2 2 2 5 4 8" xfId="50370"/>
    <cellStyle name="Title 2 2 2 5 4 9" xfId="50371"/>
    <cellStyle name="Title 2 2 2 5 40" xfId="50372"/>
    <cellStyle name="Title 2 2 2 5 41" xfId="50373"/>
    <cellStyle name="Title 2 2 2 5 42" xfId="50374"/>
    <cellStyle name="Title 2 2 2 5 43" xfId="50375"/>
    <cellStyle name="Title 2 2 2 5 44" xfId="50376"/>
    <cellStyle name="Title 2 2 2 5 45" xfId="50377"/>
    <cellStyle name="Title 2 2 2 5 46" xfId="50378"/>
    <cellStyle name="Title 2 2 2 5 47" xfId="50379"/>
    <cellStyle name="Title 2 2 2 5 48" xfId="50380"/>
    <cellStyle name="Title 2 2 2 5 49" xfId="50381"/>
    <cellStyle name="Title 2 2 2 5 5" xfId="50382"/>
    <cellStyle name="Title 2 2 2 5 50" xfId="50383"/>
    <cellStyle name="Title 2 2 2 5 51" xfId="50384"/>
    <cellStyle name="Title 2 2 2 5 52" xfId="50385"/>
    <cellStyle name="Title 2 2 2 5 53" xfId="50386"/>
    <cellStyle name="Title 2 2 2 5 54" xfId="50387"/>
    <cellStyle name="Title 2 2 2 5 55" xfId="50388"/>
    <cellStyle name="Title 2 2 2 5 56" xfId="50389"/>
    <cellStyle name="Title 2 2 2 5 57" xfId="50390"/>
    <cellStyle name="Title 2 2 2 5 58" xfId="50391"/>
    <cellStyle name="Title 2 2 2 5 59" xfId="50392"/>
    <cellStyle name="Title 2 2 2 5 6" xfId="50393"/>
    <cellStyle name="Title 2 2 2 5 60" xfId="50394"/>
    <cellStyle name="Title 2 2 2 5 61" xfId="50395"/>
    <cellStyle name="Title 2 2 2 5 62" xfId="50396"/>
    <cellStyle name="Title 2 2 2 5 63" xfId="50397"/>
    <cellStyle name="Title 2 2 2 5 64" xfId="50398"/>
    <cellStyle name="Title 2 2 2 5 65" xfId="50399"/>
    <cellStyle name="Title 2 2 2 5 66" xfId="50400"/>
    <cellStyle name="Title 2 2 2 5 67" xfId="50401"/>
    <cellStyle name="Title 2 2 2 5 68" xfId="50402"/>
    <cellStyle name="Title 2 2 2 5 69" xfId="50403"/>
    <cellStyle name="Title 2 2 2 5 7" xfId="50404"/>
    <cellStyle name="Title 2 2 2 5 70" xfId="50405"/>
    <cellStyle name="Title 2 2 2 5 71" xfId="50406"/>
    <cellStyle name="Title 2 2 2 5 72" xfId="50407"/>
    <cellStyle name="Title 2 2 2 5 73" xfId="50408"/>
    <cellStyle name="Title 2 2 2 5 74" xfId="50409"/>
    <cellStyle name="Title 2 2 2 5 75" xfId="50410"/>
    <cellStyle name="Title 2 2 2 5 76" xfId="50411"/>
    <cellStyle name="Title 2 2 2 5 77" xfId="50412"/>
    <cellStyle name="Title 2 2 2 5 78" xfId="50413"/>
    <cellStyle name="Title 2 2 2 5 79" xfId="50414"/>
    <cellStyle name="Title 2 2 2 5 8" xfId="50415"/>
    <cellStyle name="Title 2 2 2 5 80" xfId="50416"/>
    <cellStyle name="Title 2 2 2 5 81" xfId="50417"/>
    <cellStyle name="Title 2 2 2 5 82" xfId="50418"/>
    <cellStyle name="Title 2 2 2 5 83" xfId="50419"/>
    <cellStyle name="Title 2 2 2 5 84" xfId="50420"/>
    <cellStyle name="Title 2 2 2 5 85" xfId="50421"/>
    <cellStyle name="Title 2 2 2 5 86" xfId="50422"/>
    <cellStyle name="Title 2 2 2 5 87" xfId="50423"/>
    <cellStyle name="Title 2 2 2 5 88" xfId="50424"/>
    <cellStyle name="Title 2 2 2 5 89" xfId="50425"/>
    <cellStyle name="Title 2 2 2 5 9" xfId="50426"/>
    <cellStyle name="Title 2 2 2 5 90" xfId="50427"/>
    <cellStyle name="Title 2 2 2 5 91" xfId="50428"/>
    <cellStyle name="Title 2 2 2 5 92" xfId="50429"/>
    <cellStyle name="Title 2 2 2 5 93" xfId="50430"/>
    <cellStyle name="Title 2 2 2 5 94" xfId="50431"/>
    <cellStyle name="Title 2 2 2 5 95" xfId="50432"/>
    <cellStyle name="Title 2 2 2 5 96" xfId="50433"/>
    <cellStyle name="Title 2 2 2 5 97" xfId="50434"/>
    <cellStyle name="Title 2 2 2 5 98" xfId="50435"/>
    <cellStyle name="Title 2 2 2 5 99" xfId="50436"/>
    <cellStyle name="Title 2 2 2 50" xfId="50437"/>
    <cellStyle name="Title 2 2 2 50 2" xfId="50438"/>
    <cellStyle name="Title 2 2 2 51" xfId="50439"/>
    <cellStyle name="Title 2 2 2 51 2" xfId="50440"/>
    <cellStyle name="Title 2 2 2 52" xfId="50441"/>
    <cellStyle name="Title 2 2 2 52 2" xfId="50442"/>
    <cellStyle name="Title 2 2 2 53" xfId="50443"/>
    <cellStyle name="Title 2 2 2 53 2" xfId="50444"/>
    <cellStyle name="Title 2 2 2 54" xfId="50445"/>
    <cellStyle name="Title 2 2 2 54 2" xfId="50446"/>
    <cellStyle name="Title 2 2 2 55" xfId="50447"/>
    <cellStyle name="Title 2 2 2 55 2" xfId="50448"/>
    <cellStyle name="Title 2 2 2 56" xfId="50449"/>
    <cellStyle name="Title 2 2 2 56 2" xfId="50450"/>
    <cellStyle name="Title 2 2 2 57" xfId="50451"/>
    <cellStyle name="Title 2 2 2 57 2" xfId="50452"/>
    <cellStyle name="Title 2 2 2 58" xfId="50453"/>
    <cellStyle name="Title 2 2 2 58 2" xfId="50454"/>
    <cellStyle name="Title 2 2 2 59" xfId="50455"/>
    <cellStyle name="Title 2 2 2 59 2" xfId="50456"/>
    <cellStyle name="Title 2 2 2 6" xfId="50457"/>
    <cellStyle name="Title 2 2 2 6 10" xfId="50458"/>
    <cellStyle name="Title 2 2 2 6 100" xfId="50459"/>
    <cellStyle name="Title 2 2 2 6 101" xfId="50460"/>
    <cellStyle name="Title 2 2 2 6 102" xfId="50461"/>
    <cellStyle name="Title 2 2 2 6 103" xfId="50462"/>
    <cellStyle name="Title 2 2 2 6 104" xfId="50463"/>
    <cellStyle name="Title 2 2 2 6 105" xfId="50464"/>
    <cellStyle name="Title 2 2 2 6 106" xfId="50465"/>
    <cellStyle name="Title 2 2 2 6 107" xfId="50466"/>
    <cellStyle name="Title 2 2 2 6 108" xfId="50467"/>
    <cellStyle name="Title 2 2 2 6 109" xfId="50468"/>
    <cellStyle name="Title 2 2 2 6 11" xfId="50469"/>
    <cellStyle name="Title 2 2 2 6 110" xfId="50470"/>
    <cellStyle name="Title 2 2 2 6 12" xfId="50471"/>
    <cellStyle name="Title 2 2 2 6 13" xfId="50472"/>
    <cellStyle name="Title 2 2 2 6 14" xfId="50473"/>
    <cellStyle name="Title 2 2 2 6 15" xfId="50474"/>
    <cellStyle name="Title 2 2 2 6 16" xfId="50475"/>
    <cellStyle name="Title 2 2 2 6 17" xfId="50476"/>
    <cellStyle name="Title 2 2 2 6 18" xfId="50477"/>
    <cellStyle name="Title 2 2 2 6 19" xfId="50478"/>
    <cellStyle name="Title 2 2 2 6 2" xfId="50479"/>
    <cellStyle name="Title 2 2 2 6 2 10" xfId="50480"/>
    <cellStyle name="Title 2 2 2 6 2 11" xfId="50481"/>
    <cellStyle name="Title 2 2 2 6 2 12" xfId="50482"/>
    <cellStyle name="Title 2 2 2 6 2 13" xfId="50483"/>
    <cellStyle name="Title 2 2 2 6 2 13 2" xfId="50484"/>
    <cellStyle name="Title 2 2 2 6 2 14" xfId="50485"/>
    <cellStyle name="Title 2 2 2 6 2 15" xfId="50486"/>
    <cellStyle name="Title 2 2 2 6 2 16" xfId="50487"/>
    <cellStyle name="Title 2 2 2 6 2 17" xfId="50488"/>
    <cellStyle name="Title 2 2 2 6 2 18" xfId="50489"/>
    <cellStyle name="Title 2 2 2 6 2 19" xfId="50490"/>
    <cellStyle name="Title 2 2 2 6 2 2" xfId="50491"/>
    <cellStyle name="Title 2 2 2 6 2 2 10" xfId="50492"/>
    <cellStyle name="Title 2 2 2 6 2 2 11" xfId="50493"/>
    <cellStyle name="Title 2 2 2 6 2 2 12" xfId="50494"/>
    <cellStyle name="Title 2 2 2 6 2 2 13" xfId="50495"/>
    <cellStyle name="Title 2 2 2 6 2 2 14" xfId="50496"/>
    <cellStyle name="Title 2 2 2 6 2 2 15" xfId="50497"/>
    <cellStyle name="Title 2 2 2 6 2 2 16" xfId="50498"/>
    <cellStyle name="Title 2 2 2 6 2 2 17" xfId="50499"/>
    <cellStyle name="Title 2 2 2 6 2 2 18" xfId="50500"/>
    <cellStyle name="Title 2 2 2 6 2 2 19" xfId="50501"/>
    <cellStyle name="Title 2 2 2 6 2 2 2" xfId="50502"/>
    <cellStyle name="Title 2 2 2 6 2 2 2 10" xfId="50503"/>
    <cellStyle name="Title 2 2 2 6 2 2 2 11" xfId="50504"/>
    <cellStyle name="Title 2 2 2 6 2 2 2 12" xfId="50505"/>
    <cellStyle name="Title 2 2 2 6 2 2 2 13" xfId="50506"/>
    <cellStyle name="Title 2 2 2 6 2 2 2 14" xfId="50507"/>
    <cellStyle name="Title 2 2 2 6 2 2 2 15" xfId="50508"/>
    <cellStyle name="Title 2 2 2 6 2 2 2 16" xfId="50509"/>
    <cellStyle name="Title 2 2 2 6 2 2 2 17" xfId="50510"/>
    <cellStyle name="Title 2 2 2 6 2 2 2 18" xfId="50511"/>
    <cellStyle name="Title 2 2 2 6 2 2 2 19" xfId="50512"/>
    <cellStyle name="Title 2 2 2 6 2 2 2 2" xfId="50513"/>
    <cellStyle name="Title 2 2 2 6 2 2 2 2 10" xfId="50514"/>
    <cellStyle name="Title 2 2 2 6 2 2 2 2 11" xfId="50515"/>
    <cellStyle name="Title 2 2 2 6 2 2 2 2 12" xfId="50516"/>
    <cellStyle name="Title 2 2 2 6 2 2 2 2 13" xfId="50517"/>
    <cellStyle name="Title 2 2 2 6 2 2 2 2 14" xfId="50518"/>
    <cellStyle name="Title 2 2 2 6 2 2 2 2 15" xfId="50519"/>
    <cellStyle name="Title 2 2 2 6 2 2 2 2 16" xfId="50520"/>
    <cellStyle name="Title 2 2 2 6 2 2 2 2 17" xfId="50521"/>
    <cellStyle name="Title 2 2 2 6 2 2 2 2 18" xfId="50522"/>
    <cellStyle name="Title 2 2 2 6 2 2 2 2 19" xfId="50523"/>
    <cellStyle name="Title 2 2 2 6 2 2 2 2 2" xfId="50524"/>
    <cellStyle name="Title 2 2 2 6 2 2 2 2 2 10" xfId="50525"/>
    <cellStyle name="Title 2 2 2 6 2 2 2 2 2 11" xfId="50526"/>
    <cellStyle name="Title 2 2 2 6 2 2 2 2 2 12" xfId="50527"/>
    <cellStyle name="Title 2 2 2 6 2 2 2 2 2 13" xfId="50528"/>
    <cellStyle name="Title 2 2 2 6 2 2 2 2 2 14" xfId="50529"/>
    <cellStyle name="Title 2 2 2 6 2 2 2 2 2 15" xfId="50530"/>
    <cellStyle name="Title 2 2 2 6 2 2 2 2 2 16" xfId="50531"/>
    <cellStyle name="Title 2 2 2 6 2 2 2 2 2 17" xfId="50532"/>
    <cellStyle name="Title 2 2 2 6 2 2 2 2 2 18" xfId="50533"/>
    <cellStyle name="Title 2 2 2 6 2 2 2 2 2 19" xfId="50534"/>
    <cellStyle name="Title 2 2 2 6 2 2 2 2 2 2" xfId="50535"/>
    <cellStyle name="Title 2 2 2 6 2 2 2 2 2 2 2" xfId="50536"/>
    <cellStyle name="Title 2 2 2 6 2 2 2 2 2 20" xfId="50537"/>
    <cellStyle name="Title 2 2 2 6 2 2 2 2 2 21" xfId="50538"/>
    <cellStyle name="Title 2 2 2 6 2 2 2 2 2 22" xfId="50539"/>
    <cellStyle name="Title 2 2 2 6 2 2 2 2 2 23" xfId="50540"/>
    <cellStyle name="Title 2 2 2 6 2 2 2 2 2 24" xfId="50541"/>
    <cellStyle name="Title 2 2 2 6 2 2 2 2 2 25" xfId="50542"/>
    <cellStyle name="Title 2 2 2 6 2 2 2 2 2 26" xfId="50543"/>
    <cellStyle name="Title 2 2 2 6 2 2 2 2 2 27" xfId="50544"/>
    <cellStyle name="Title 2 2 2 6 2 2 2 2 2 28" xfId="50545"/>
    <cellStyle name="Title 2 2 2 6 2 2 2 2 2 29" xfId="50546"/>
    <cellStyle name="Title 2 2 2 6 2 2 2 2 2 3" xfId="50547"/>
    <cellStyle name="Title 2 2 2 6 2 2 2 2 2 30" xfId="50548"/>
    <cellStyle name="Title 2 2 2 6 2 2 2 2 2 31" xfId="50549"/>
    <cellStyle name="Title 2 2 2 6 2 2 2 2 2 32" xfId="50550"/>
    <cellStyle name="Title 2 2 2 6 2 2 2 2 2 33" xfId="50551"/>
    <cellStyle name="Title 2 2 2 6 2 2 2 2 2 34" xfId="50552"/>
    <cellStyle name="Title 2 2 2 6 2 2 2 2 2 35" xfId="50553"/>
    <cellStyle name="Title 2 2 2 6 2 2 2 2 2 36" xfId="50554"/>
    <cellStyle name="Title 2 2 2 6 2 2 2 2 2 37" xfId="50555"/>
    <cellStyle name="Title 2 2 2 6 2 2 2 2 2 38" xfId="50556"/>
    <cellStyle name="Title 2 2 2 6 2 2 2 2 2 39" xfId="50557"/>
    <cellStyle name="Title 2 2 2 6 2 2 2 2 2 4" xfId="50558"/>
    <cellStyle name="Title 2 2 2 6 2 2 2 2 2 40" xfId="50559"/>
    <cellStyle name="Title 2 2 2 6 2 2 2 2 2 41" xfId="50560"/>
    <cellStyle name="Title 2 2 2 6 2 2 2 2 2 42" xfId="50561"/>
    <cellStyle name="Title 2 2 2 6 2 2 2 2 2 43" xfId="50562"/>
    <cellStyle name="Title 2 2 2 6 2 2 2 2 2 44" xfId="50563"/>
    <cellStyle name="Title 2 2 2 6 2 2 2 2 2 45" xfId="50564"/>
    <cellStyle name="Title 2 2 2 6 2 2 2 2 2 46" xfId="50565"/>
    <cellStyle name="Title 2 2 2 6 2 2 2 2 2 47" xfId="50566"/>
    <cellStyle name="Title 2 2 2 6 2 2 2 2 2 48" xfId="50567"/>
    <cellStyle name="Title 2 2 2 6 2 2 2 2 2 49" xfId="50568"/>
    <cellStyle name="Title 2 2 2 6 2 2 2 2 2 5" xfId="50569"/>
    <cellStyle name="Title 2 2 2 6 2 2 2 2 2 50" xfId="50570"/>
    <cellStyle name="Title 2 2 2 6 2 2 2 2 2 51" xfId="50571"/>
    <cellStyle name="Title 2 2 2 6 2 2 2 2 2 52" xfId="50572"/>
    <cellStyle name="Title 2 2 2 6 2 2 2 2 2 53" xfId="50573"/>
    <cellStyle name="Title 2 2 2 6 2 2 2 2 2 54" xfId="50574"/>
    <cellStyle name="Title 2 2 2 6 2 2 2 2 2 55" xfId="50575"/>
    <cellStyle name="Title 2 2 2 6 2 2 2 2 2 56" xfId="50576"/>
    <cellStyle name="Title 2 2 2 6 2 2 2 2 2 57" xfId="50577"/>
    <cellStyle name="Title 2 2 2 6 2 2 2 2 2 58" xfId="50578"/>
    <cellStyle name="Title 2 2 2 6 2 2 2 2 2 59" xfId="50579"/>
    <cellStyle name="Title 2 2 2 6 2 2 2 2 2 6" xfId="50580"/>
    <cellStyle name="Title 2 2 2 6 2 2 2 2 2 60" xfId="50581"/>
    <cellStyle name="Title 2 2 2 6 2 2 2 2 2 61" xfId="50582"/>
    <cellStyle name="Title 2 2 2 6 2 2 2 2 2 62" xfId="50583"/>
    <cellStyle name="Title 2 2 2 6 2 2 2 2 2 63" xfId="50584"/>
    <cellStyle name="Title 2 2 2 6 2 2 2 2 2 64" xfId="50585"/>
    <cellStyle name="Title 2 2 2 6 2 2 2 2 2 65" xfId="50586"/>
    <cellStyle name="Title 2 2 2 6 2 2 2 2 2 66" xfId="50587"/>
    <cellStyle name="Title 2 2 2 6 2 2 2 2 2 67" xfId="50588"/>
    <cellStyle name="Title 2 2 2 6 2 2 2 2 2 68" xfId="50589"/>
    <cellStyle name="Title 2 2 2 6 2 2 2 2 2 69" xfId="50590"/>
    <cellStyle name="Title 2 2 2 6 2 2 2 2 2 7" xfId="50591"/>
    <cellStyle name="Title 2 2 2 6 2 2 2 2 2 70" xfId="50592"/>
    <cellStyle name="Title 2 2 2 6 2 2 2 2 2 71" xfId="50593"/>
    <cellStyle name="Title 2 2 2 6 2 2 2 2 2 72" xfId="50594"/>
    <cellStyle name="Title 2 2 2 6 2 2 2 2 2 73" xfId="50595"/>
    <cellStyle name="Title 2 2 2 6 2 2 2 2 2 74" xfId="50596"/>
    <cellStyle name="Title 2 2 2 6 2 2 2 2 2 8" xfId="50597"/>
    <cellStyle name="Title 2 2 2 6 2 2 2 2 2 9" xfId="50598"/>
    <cellStyle name="Title 2 2 2 6 2 2 2 2 20" xfId="50599"/>
    <cellStyle name="Title 2 2 2 6 2 2 2 2 21" xfId="50600"/>
    <cellStyle name="Title 2 2 2 6 2 2 2 2 22" xfId="50601"/>
    <cellStyle name="Title 2 2 2 6 2 2 2 2 23" xfId="50602"/>
    <cellStyle name="Title 2 2 2 6 2 2 2 2 24" xfId="50603"/>
    <cellStyle name="Title 2 2 2 6 2 2 2 2 25" xfId="50604"/>
    <cellStyle name="Title 2 2 2 6 2 2 2 2 26" xfId="50605"/>
    <cellStyle name="Title 2 2 2 6 2 2 2 2 27" xfId="50606"/>
    <cellStyle name="Title 2 2 2 6 2 2 2 2 28" xfId="50607"/>
    <cellStyle name="Title 2 2 2 6 2 2 2 2 29" xfId="50608"/>
    <cellStyle name="Title 2 2 2 6 2 2 2 2 3" xfId="50609"/>
    <cellStyle name="Title 2 2 2 6 2 2 2 2 3 2" xfId="50610"/>
    <cellStyle name="Title 2 2 2 6 2 2 2 2 30" xfId="50611"/>
    <cellStyle name="Title 2 2 2 6 2 2 2 2 31" xfId="50612"/>
    <cellStyle name="Title 2 2 2 6 2 2 2 2 32" xfId="50613"/>
    <cellStyle name="Title 2 2 2 6 2 2 2 2 33" xfId="50614"/>
    <cellStyle name="Title 2 2 2 6 2 2 2 2 34" xfId="50615"/>
    <cellStyle name="Title 2 2 2 6 2 2 2 2 35" xfId="50616"/>
    <cellStyle name="Title 2 2 2 6 2 2 2 2 36" xfId="50617"/>
    <cellStyle name="Title 2 2 2 6 2 2 2 2 37" xfId="50618"/>
    <cellStyle name="Title 2 2 2 6 2 2 2 2 38" xfId="50619"/>
    <cellStyle name="Title 2 2 2 6 2 2 2 2 39" xfId="50620"/>
    <cellStyle name="Title 2 2 2 6 2 2 2 2 4" xfId="50621"/>
    <cellStyle name="Title 2 2 2 6 2 2 2 2 40" xfId="50622"/>
    <cellStyle name="Title 2 2 2 6 2 2 2 2 41" xfId="50623"/>
    <cellStyle name="Title 2 2 2 6 2 2 2 2 42" xfId="50624"/>
    <cellStyle name="Title 2 2 2 6 2 2 2 2 43" xfId="50625"/>
    <cellStyle name="Title 2 2 2 6 2 2 2 2 44" xfId="50626"/>
    <cellStyle name="Title 2 2 2 6 2 2 2 2 45" xfId="50627"/>
    <cellStyle name="Title 2 2 2 6 2 2 2 2 46" xfId="50628"/>
    <cellStyle name="Title 2 2 2 6 2 2 2 2 47" xfId="50629"/>
    <cellStyle name="Title 2 2 2 6 2 2 2 2 48" xfId="50630"/>
    <cellStyle name="Title 2 2 2 6 2 2 2 2 49" xfId="50631"/>
    <cellStyle name="Title 2 2 2 6 2 2 2 2 5" xfId="50632"/>
    <cellStyle name="Title 2 2 2 6 2 2 2 2 50" xfId="50633"/>
    <cellStyle name="Title 2 2 2 6 2 2 2 2 51" xfId="50634"/>
    <cellStyle name="Title 2 2 2 6 2 2 2 2 52" xfId="50635"/>
    <cellStyle name="Title 2 2 2 6 2 2 2 2 53" xfId="50636"/>
    <cellStyle name="Title 2 2 2 6 2 2 2 2 54" xfId="50637"/>
    <cellStyle name="Title 2 2 2 6 2 2 2 2 55" xfId="50638"/>
    <cellStyle name="Title 2 2 2 6 2 2 2 2 56" xfId="50639"/>
    <cellStyle name="Title 2 2 2 6 2 2 2 2 57" xfId="50640"/>
    <cellStyle name="Title 2 2 2 6 2 2 2 2 58" xfId="50641"/>
    <cellStyle name="Title 2 2 2 6 2 2 2 2 59" xfId="50642"/>
    <cellStyle name="Title 2 2 2 6 2 2 2 2 6" xfId="50643"/>
    <cellStyle name="Title 2 2 2 6 2 2 2 2 60" xfId="50644"/>
    <cellStyle name="Title 2 2 2 6 2 2 2 2 61" xfId="50645"/>
    <cellStyle name="Title 2 2 2 6 2 2 2 2 62" xfId="50646"/>
    <cellStyle name="Title 2 2 2 6 2 2 2 2 63" xfId="50647"/>
    <cellStyle name="Title 2 2 2 6 2 2 2 2 64" xfId="50648"/>
    <cellStyle name="Title 2 2 2 6 2 2 2 2 65" xfId="50649"/>
    <cellStyle name="Title 2 2 2 6 2 2 2 2 66" xfId="50650"/>
    <cellStyle name="Title 2 2 2 6 2 2 2 2 67" xfId="50651"/>
    <cellStyle name="Title 2 2 2 6 2 2 2 2 68" xfId="50652"/>
    <cellStyle name="Title 2 2 2 6 2 2 2 2 69" xfId="50653"/>
    <cellStyle name="Title 2 2 2 6 2 2 2 2 7" xfId="50654"/>
    <cellStyle name="Title 2 2 2 6 2 2 2 2 70" xfId="50655"/>
    <cellStyle name="Title 2 2 2 6 2 2 2 2 71" xfId="50656"/>
    <cellStyle name="Title 2 2 2 6 2 2 2 2 72" xfId="50657"/>
    <cellStyle name="Title 2 2 2 6 2 2 2 2 73" xfId="50658"/>
    <cellStyle name="Title 2 2 2 6 2 2 2 2 74" xfId="50659"/>
    <cellStyle name="Title 2 2 2 6 2 2 2 2 8" xfId="50660"/>
    <cellStyle name="Title 2 2 2 6 2 2 2 2 9" xfId="50661"/>
    <cellStyle name="Title 2 2 2 6 2 2 2 20" xfId="50662"/>
    <cellStyle name="Title 2 2 2 6 2 2 2 21" xfId="50663"/>
    <cellStyle name="Title 2 2 2 6 2 2 2 22" xfId="50664"/>
    <cellStyle name="Title 2 2 2 6 2 2 2 23" xfId="50665"/>
    <cellStyle name="Title 2 2 2 6 2 2 2 24" xfId="50666"/>
    <cellStyle name="Title 2 2 2 6 2 2 2 25" xfId="50667"/>
    <cellStyle name="Title 2 2 2 6 2 2 2 26" xfId="50668"/>
    <cellStyle name="Title 2 2 2 6 2 2 2 27" xfId="50669"/>
    <cellStyle name="Title 2 2 2 6 2 2 2 28" xfId="50670"/>
    <cellStyle name="Title 2 2 2 6 2 2 2 29" xfId="50671"/>
    <cellStyle name="Title 2 2 2 6 2 2 2 3" xfId="50672"/>
    <cellStyle name="Title 2 2 2 6 2 2 2 3 2" xfId="50673"/>
    <cellStyle name="Title 2 2 2 6 2 2 2 30" xfId="50674"/>
    <cellStyle name="Title 2 2 2 6 2 2 2 31" xfId="50675"/>
    <cellStyle name="Title 2 2 2 6 2 2 2 32" xfId="50676"/>
    <cellStyle name="Title 2 2 2 6 2 2 2 33" xfId="50677"/>
    <cellStyle name="Title 2 2 2 6 2 2 2 34" xfId="50678"/>
    <cellStyle name="Title 2 2 2 6 2 2 2 35" xfId="50679"/>
    <cellStyle name="Title 2 2 2 6 2 2 2 36" xfId="50680"/>
    <cellStyle name="Title 2 2 2 6 2 2 2 37" xfId="50681"/>
    <cellStyle name="Title 2 2 2 6 2 2 2 38" xfId="50682"/>
    <cellStyle name="Title 2 2 2 6 2 2 2 39" xfId="50683"/>
    <cellStyle name="Title 2 2 2 6 2 2 2 4" xfId="50684"/>
    <cellStyle name="Title 2 2 2 6 2 2 2 40" xfId="50685"/>
    <cellStyle name="Title 2 2 2 6 2 2 2 41" xfId="50686"/>
    <cellStyle name="Title 2 2 2 6 2 2 2 42" xfId="50687"/>
    <cellStyle name="Title 2 2 2 6 2 2 2 43" xfId="50688"/>
    <cellStyle name="Title 2 2 2 6 2 2 2 44" xfId="50689"/>
    <cellStyle name="Title 2 2 2 6 2 2 2 45" xfId="50690"/>
    <cellStyle name="Title 2 2 2 6 2 2 2 46" xfId="50691"/>
    <cellStyle name="Title 2 2 2 6 2 2 2 47" xfId="50692"/>
    <cellStyle name="Title 2 2 2 6 2 2 2 48" xfId="50693"/>
    <cellStyle name="Title 2 2 2 6 2 2 2 49" xfId="50694"/>
    <cellStyle name="Title 2 2 2 6 2 2 2 5" xfId="50695"/>
    <cellStyle name="Title 2 2 2 6 2 2 2 50" xfId="50696"/>
    <cellStyle name="Title 2 2 2 6 2 2 2 51" xfId="50697"/>
    <cellStyle name="Title 2 2 2 6 2 2 2 52" xfId="50698"/>
    <cellStyle name="Title 2 2 2 6 2 2 2 53" xfId="50699"/>
    <cellStyle name="Title 2 2 2 6 2 2 2 54" xfId="50700"/>
    <cellStyle name="Title 2 2 2 6 2 2 2 55" xfId="50701"/>
    <cellStyle name="Title 2 2 2 6 2 2 2 56" xfId="50702"/>
    <cellStyle name="Title 2 2 2 6 2 2 2 57" xfId="50703"/>
    <cellStyle name="Title 2 2 2 6 2 2 2 58" xfId="50704"/>
    <cellStyle name="Title 2 2 2 6 2 2 2 59" xfId="50705"/>
    <cellStyle name="Title 2 2 2 6 2 2 2 6" xfId="50706"/>
    <cellStyle name="Title 2 2 2 6 2 2 2 60" xfId="50707"/>
    <cellStyle name="Title 2 2 2 6 2 2 2 61" xfId="50708"/>
    <cellStyle name="Title 2 2 2 6 2 2 2 62" xfId="50709"/>
    <cellStyle name="Title 2 2 2 6 2 2 2 63" xfId="50710"/>
    <cellStyle name="Title 2 2 2 6 2 2 2 64" xfId="50711"/>
    <cellStyle name="Title 2 2 2 6 2 2 2 65" xfId="50712"/>
    <cellStyle name="Title 2 2 2 6 2 2 2 66" xfId="50713"/>
    <cellStyle name="Title 2 2 2 6 2 2 2 67" xfId="50714"/>
    <cellStyle name="Title 2 2 2 6 2 2 2 68" xfId="50715"/>
    <cellStyle name="Title 2 2 2 6 2 2 2 69" xfId="50716"/>
    <cellStyle name="Title 2 2 2 6 2 2 2 7" xfId="50717"/>
    <cellStyle name="Title 2 2 2 6 2 2 2 70" xfId="50718"/>
    <cellStyle name="Title 2 2 2 6 2 2 2 71" xfId="50719"/>
    <cellStyle name="Title 2 2 2 6 2 2 2 72" xfId="50720"/>
    <cellStyle name="Title 2 2 2 6 2 2 2 73" xfId="50721"/>
    <cellStyle name="Title 2 2 2 6 2 2 2 74" xfId="50722"/>
    <cellStyle name="Title 2 2 2 6 2 2 2 75" xfId="50723"/>
    <cellStyle name="Title 2 2 2 6 2 2 2 76" xfId="50724"/>
    <cellStyle name="Title 2 2 2 6 2 2 2 77" xfId="50725"/>
    <cellStyle name="Title 2 2 2 6 2 2 2 78" xfId="50726"/>
    <cellStyle name="Title 2 2 2 6 2 2 2 79" xfId="50727"/>
    <cellStyle name="Title 2 2 2 6 2 2 2 8" xfId="50728"/>
    <cellStyle name="Title 2 2 2 6 2 2 2 80" xfId="50729"/>
    <cellStyle name="Title 2 2 2 6 2 2 2 81" xfId="50730"/>
    <cellStyle name="Title 2 2 2 6 2 2 2 82" xfId="50731"/>
    <cellStyle name="Title 2 2 2 6 2 2 2 83" xfId="50732"/>
    <cellStyle name="Title 2 2 2 6 2 2 2 84" xfId="50733"/>
    <cellStyle name="Title 2 2 2 6 2 2 2 85" xfId="50734"/>
    <cellStyle name="Title 2 2 2 6 2 2 2 86" xfId="50735"/>
    <cellStyle name="Title 2 2 2 6 2 2 2 87" xfId="50736"/>
    <cellStyle name="Title 2 2 2 6 2 2 2 88" xfId="50737"/>
    <cellStyle name="Title 2 2 2 6 2 2 2 9" xfId="50738"/>
    <cellStyle name="Title 2 2 2 6 2 2 20" xfId="50739"/>
    <cellStyle name="Title 2 2 2 6 2 2 21" xfId="50740"/>
    <cellStyle name="Title 2 2 2 6 2 2 22" xfId="50741"/>
    <cellStyle name="Title 2 2 2 6 2 2 23" xfId="50742"/>
    <cellStyle name="Title 2 2 2 6 2 2 24" xfId="50743"/>
    <cellStyle name="Title 2 2 2 6 2 2 25" xfId="50744"/>
    <cellStyle name="Title 2 2 2 6 2 2 26" xfId="50745"/>
    <cellStyle name="Title 2 2 2 6 2 2 27" xfId="50746"/>
    <cellStyle name="Title 2 2 2 6 2 2 28" xfId="50747"/>
    <cellStyle name="Title 2 2 2 6 2 2 29" xfId="50748"/>
    <cellStyle name="Title 2 2 2 6 2 2 3" xfId="50749"/>
    <cellStyle name="Title 2 2 2 6 2 2 3 2" xfId="50750"/>
    <cellStyle name="Title 2 2 2 6 2 2 30" xfId="50751"/>
    <cellStyle name="Title 2 2 2 6 2 2 31" xfId="50752"/>
    <cellStyle name="Title 2 2 2 6 2 2 32" xfId="50753"/>
    <cellStyle name="Title 2 2 2 6 2 2 33" xfId="50754"/>
    <cellStyle name="Title 2 2 2 6 2 2 34" xfId="50755"/>
    <cellStyle name="Title 2 2 2 6 2 2 35" xfId="50756"/>
    <cellStyle name="Title 2 2 2 6 2 2 36" xfId="50757"/>
    <cellStyle name="Title 2 2 2 6 2 2 37" xfId="50758"/>
    <cellStyle name="Title 2 2 2 6 2 2 38" xfId="50759"/>
    <cellStyle name="Title 2 2 2 6 2 2 39" xfId="50760"/>
    <cellStyle name="Title 2 2 2 6 2 2 4" xfId="50761"/>
    <cellStyle name="Title 2 2 2 6 2 2 40" xfId="50762"/>
    <cellStyle name="Title 2 2 2 6 2 2 41" xfId="50763"/>
    <cellStyle name="Title 2 2 2 6 2 2 42" xfId="50764"/>
    <cellStyle name="Title 2 2 2 6 2 2 43" xfId="50765"/>
    <cellStyle name="Title 2 2 2 6 2 2 44" xfId="50766"/>
    <cellStyle name="Title 2 2 2 6 2 2 45" xfId="50767"/>
    <cellStyle name="Title 2 2 2 6 2 2 46" xfId="50768"/>
    <cellStyle name="Title 2 2 2 6 2 2 47" xfId="50769"/>
    <cellStyle name="Title 2 2 2 6 2 2 48" xfId="50770"/>
    <cellStyle name="Title 2 2 2 6 2 2 49" xfId="50771"/>
    <cellStyle name="Title 2 2 2 6 2 2 5" xfId="50772"/>
    <cellStyle name="Title 2 2 2 6 2 2 50" xfId="50773"/>
    <cellStyle name="Title 2 2 2 6 2 2 51" xfId="50774"/>
    <cellStyle name="Title 2 2 2 6 2 2 52" xfId="50775"/>
    <cellStyle name="Title 2 2 2 6 2 2 53" xfId="50776"/>
    <cellStyle name="Title 2 2 2 6 2 2 54" xfId="50777"/>
    <cellStyle name="Title 2 2 2 6 2 2 55" xfId="50778"/>
    <cellStyle name="Title 2 2 2 6 2 2 56" xfId="50779"/>
    <cellStyle name="Title 2 2 2 6 2 2 57" xfId="50780"/>
    <cellStyle name="Title 2 2 2 6 2 2 58" xfId="50781"/>
    <cellStyle name="Title 2 2 2 6 2 2 59" xfId="50782"/>
    <cellStyle name="Title 2 2 2 6 2 2 6" xfId="50783"/>
    <cellStyle name="Title 2 2 2 6 2 2 60" xfId="50784"/>
    <cellStyle name="Title 2 2 2 6 2 2 61" xfId="50785"/>
    <cellStyle name="Title 2 2 2 6 2 2 62" xfId="50786"/>
    <cellStyle name="Title 2 2 2 6 2 2 63" xfId="50787"/>
    <cellStyle name="Title 2 2 2 6 2 2 64" xfId="50788"/>
    <cellStyle name="Title 2 2 2 6 2 2 65" xfId="50789"/>
    <cellStyle name="Title 2 2 2 6 2 2 66" xfId="50790"/>
    <cellStyle name="Title 2 2 2 6 2 2 67" xfId="50791"/>
    <cellStyle name="Title 2 2 2 6 2 2 68" xfId="50792"/>
    <cellStyle name="Title 2 2 2 6 2 2 69" xfId="50793"/>
    <cellStyle name="Title 2 2 2 6 2 2 7" xfId="50794"/>
    <cellStyle name="Title 2 2 2 6 2 2 70" xfId="50795"/>
    <cellStyle name="Title 2 2 2 6 2 2 71" xfId="50796"/>
    <cellStyle name="Title 2 2 2 6 2 2 72" xfId="50797"/>
    <cellStyle name="Title 2 2 2 6 2 2 73" xfId="50798"/>
    <cellStyle name="Title 2 2 2 6 2 2 74" xfId="50799"/>
    <cellStyle name="Title 2 2 2 6 2 2 75" xfId="50800"/>
    <cellStyle name="Title 2 2 2 6 2 2 76" xfId="50801"/>
    <cellStyle name="Title 2 2 2 6 2 2 77" xfId="50802"/>
    <cellStyle name="Title 2 2 2 6 2 2 78" xfId="50803"/>
    <cellStyle name="Title 2 2 2 6 2 2 79" xfId="50804"/>
    <cellStyle name="Title 2 2 2 6 2 2 8" xfId="50805"/>
    <cellStyle name="Title 2 2 2 6 2 2 80" xfId="50806"/>
    <cellStyle name="Title 2 2 2 6 2 2 81" xfId="50807"/>
    <cellStyle name="Title 2 2 2 6 2 2 82" xfId="50808"/>
    <cellStyle name="Title 2 2 2 6 2 2 83" xfId="50809"/>
    <cellStyle name="Title 2 2 2 6 2 2 84" xfId="50810"/>
    <cellStyle name="Title 2 2 2 6 2 2 85" xfId="50811"/>
    <cellStyle name="Title 2 2 2 6 2 2 86" xfId="50812"/>
    <cellStyle name="Title 2 2 2 6 2 2 87" xfId="50813"/>
    <cellStyle name="Title 2 2 2 6 2 2 88" xfId="50814"/>
    <cellStyle name="Title 2 2 2 6 2 2 9" xfId="50815"/>
    <cellStyle name="Title 2 2 2 6 2 20" xfId="50816"/>
    <cellStyle name="Title 2 2 2 6 2 21" xfId="50817"/>
    <cellStyle name="Title 2 2 2 6 2 22" xfId="50818"/>
    <cellStyle name="Title 2 2 2 6 2 23" xfId="50819"/>
    <cellStyle name="Title 2 2 2 6 2 24" xfId="50820"/>
    <cellStyle name="Title 2 2 2 6 2 25" xfId="50821"/>
    <cellStyle name="Title 2 2 2 6 2 26" xfId="50822"/>
    <cellStyle name="Title 2 2 2 6 2 27" xfId="50823"/>
    <cellStyle name="Title 2 2 2 6 2 28" xfId="50824"/>
    <cellStyle name="Title 2 2 2 6 2 29" xfId="50825"/>
    <cellStyle name="Title 2 2 2 6 2 3" xfId="50826"/>
    <cellStyle name="Title 2 2 2 6 2 30" xfId="50827"/>
    <cellStyle name="Title 2 2 2 6 2 31" xfId="50828"/>
    <cellStyle name="Title 2 2 2 6 2 32" xfId="50829"/>
    <cellStyle name="Title 2 2 2 6 2 33" xfId="50830"/>
    <cellStyle name="Title 2 2 2 6 2 34" xfId="50831"/>
    <cellStyle name="Title 2 2 2 6 2 35" xfId="50832"/>
    <cellStyle name="Title 2 2 2 6 2 36" xfId="50833"/>
    <cellStyle name="Title 2 2 2 6 2 37" xfId="50834"/>
    <cellStyle name="Title 2 2 2 6 2 38" xfId="50835"/>
    <cellStyle name="Title 2 2 2 6 2 39" xfId="50836"/>
    <cellStyle name="Title 2 2 2 6 2 4" xfId="50837"/>
    <cellStyle name="Title 2 2 2 6 2 40" xfId="50838"/>
    <cellStyle name="Title 2 2 2 6 2 41" xfId="50839"/>
    <cellStyle name="Title 2 2 2 6 2 42" xfId="50840"/>
    <cellStyle name="Title 2 2 2 6 2 43" xfId="50841"/>
    <cellStyle name="Title 2 2 2 6 2 44" xfId="50842"/>
    <cellStyle name="Title 2 2 2 6 2 45" xfId="50843"/>
    <cellStyle name="Title 2 2 2 6 2 46" xfId="50844"/>
    <cellStyle name="Title 2 2 2 6 2 47" xfId="50845"/>
    <cellStyle name="Title 2 2 2 6 2 48" xfId="50846"/>
    <cellStyle name="Title 2 2 2 6 2 49" xfId="50847"/>
    <cellStyle name="Title 2 2 2 6 2 5" xfId="50848"/>
    <cellStyle name="Title 2 2 2 6 2 50" xfId="50849"/>
    <cellStyle name="Title 2 2 2 6 2 51" xfId="50850"/>
    <cellStyle name="Title 2 2 2 6 2 52" xfId="50851"/>
    <cellStyle name="Title 2 2 2 6 2 53" xfId="50852"/>
    <cellStyle name="Title 2 2 2 6 2 54" xfId="50853"/>
    <cellStyle name="Title 2 2 2 6 2 55" xfId="50854"/>
    <cellStyle name="Title 2 2 2 6 2 56" xfId="50855"/>
    <cellStyle name="Title 2 2 2 6 2 57" xfId="50856"/>
    <cellStyle name="Title 2 2 2 6 2 58" xfId="50857"/>
    <cellStyle name="Title 2 2 2 6 2 59" xfId="50858"/>
    <cellStyle name="Title 2 2 2 6 2 6" xfId="50859"/>
    <cellStyle name="Title 2 2 2 6 2 60" xfId="50860"/>
    <cellStyle name="Title 2 2 2 6 2 61" xfId="50861"/>
    <cellStyle name="Title 2 2 2 6 2 62" xfId="50862"/>
    <cellStyle name="Title 2 2 2 6 2 63" xfId="50863"/>
    <cellStyle name="Title 2 2 2 6 2 64" xfId="50864"/>
    <cellStyle name="Title 2 2 2 6 2 65" xfId="50865"/>
    <cellStyle name="Title 2 2 2 6 2 66" xfId="50866"/>
    <cellStyle name="Title 2 2 2 6 2 67" xfId="50867"/>
    <cellStyle name="Title 2 2 2 6 2 68" xfId="50868"/>
    <cellStyle name="Title 2 2 2 6 2 69" xfId="50869"/>
    <cellStyle name="Title 2 2 2 6 2 7" xfId="50870"/>
    <cellStyle name="Title 2 2 2 6 2 70" xfId="50871"/>
    <cellStyle name="Title 2 2 2 6 2 71" xfId="50872"/>
    <cellStyle name="Title 2 2 2 6 2 72" xfId="50873"/>
    <cellStyle name="Title 2 2 2 6 2 73" xfId="50874"/>
    <cellStyle name="Title 2 2 2 6 2 74" xfId="50875"/>
    <cellStyle name="Title 2 2 2 6 2 75" xfId="50876"/>
    <cellStyle name="Title 2 2 2 6 2 76" xfId="50877"/>
    <cellStyle name="Title 2 2 2 6 2 77" xfId="50878"/>
    <cellStyle name="Title 2 2 2 6 2 78" xfId="50879"/>
    <cellStyle name="Title 2 2 2 6 2 79" xfId="50880"/>
    <cellStyle name="Title 2 2 2 6 2 8" xfId="50881"/>
    <cellStyle name="Title 2 2 2 6 2 80" xfId="50882"/>
    <cellStyle name="Title 2 2 2 6 2 81" xfId="50883"/>
    <cellStyle name="Title 2 2 2 6 2 82" xfId="50884"/>
    <cellStyle name="Title 2 2 2 6 2 83" xfId="50885"/>
    <cellStyle name="Title 2 2 2 6 2 84" xfId="50886"/>
    <cellStyle name="Title 2 2 2 6 2 85" xfId="50887"/>
    <cellStyle name="Title 2 2 2 6 2 86" xfId="50888"/>
    <cellStyle name="Title 2 2 2 6 2 87" xfId="50889"/>
    <cellStyle name="Title 2 2 2 6 2 88" xfId="50890"/>
    <cellStyle name="Title 2 2 2 6 2 89" xfId="50891"/>
    <cellStyle name="Title 2 2 2 6 2 9" xfId="50892"/>
    <cellStyle name="Title 2 2 2 6 2 90" xfId="50893"/>
    <cellStyle name="Title 2 2 2 6 2 91" xfId="50894"/>
    <cellStyle name="Title 2 2 2 6 2 92" xfId="50895"/>
    <cellStyle name="Title 2 2 2 6 2 93" xfId="50896"/>
    <cellStyle name="Title 2 2 2 6 2 94" xfId="50897"/>
    <cellStyle name="Title 2 2 2 6 2 95" xfId="50898"/>
    <cellStyle name="Title 2 2 2 6 2 96" xfId="50899"/>
    <cellStyle name="Title 2 2 2 6 2 97" xfId="50900"/>
    <cellStyle name="Title 2 2 2 6 2 98" xfId="50901"/>
    <cellStyle name="Title 2 2 2 6 20" xfId="50902"/>
    <cellStyle name="Title 2 2 2 6 21" xfId="50903"/>
    <cellStyle name="Title 2 2 2 6 22" xfId="50904"/>
    <cellStyle name="Title 2 2 2 6 23" xfId="50905"/>
    <cellStyle name="Title 2 2 2 6 24" xfId="50906"/>
    <cellStyle name="Title 2 2 2 6 25" xfId="50907"/>
    <cellStyle name="Title 2 2 2 6 25 2" xfId="50908"/>
    <cellStyle name="Title 2 2 2 6 26" xfId="50909"/>
    <cellStyle name="Title 2 2 2 6 27" xfId="50910"/>
    <cellStyle name="Title 2 2 2 6 28" xfId="50911"/>
    <cellStyle name="Title 2 2 2 6 29" xfId="50912"/>
    <cellStyle name="Title 2 2 2 6 3" xfId="50913"/>
    <cellStyle name="Title 2 2 2 6 30" xfId="50914"/>
    <cellStyle name="Title 2 2 2 6 31" xfId="50915"/>
    <cellStyle name="Title 2 2 2 6 32" xfId="50916"/>
    <cellStyle name="Title 2 2 2 6 33" xfId="50917"/>
    <cellStyle name="Title 2 2 2 6 34" xfId="50918"/>
    <cellStyle name="Title 2 2 2 6 35" xfId="50919"/>
    <cellStyle name="Title 2 2 2 6 36" xfId="50920"/>
    <cellStyle name="Title 2 2 2 6 37" xfId="50921"/>
    <cellStyle name="Title 2 2 2 6 38" xfId="50922"/>
    <cellStyle name="Title 2 2 2 6 39" xfId="50923"/>
    <cellStyle name="Title 2 2 2 6 4" xfId="50924"/>
    <cellStyle name="Title 2 2 2 6 4 10" xfId="50925"/>
    <cellStyle name="Title 2 2 2 6 4 11" xfId="50926"/>
    <cellStyle name="Title 2 2 2 6 4 12" xfId="50927"/>
    <cellStyle name="Title 2 2 2 6 4 13" xfId="50928"/>
    <cellStyle name="Title 2 2 2 6 4 14" xfId="50929"/>
    <cellStyle name="Title 2 2 2 6 4 15" xfId="50930"/>
    <cellStyle name="Title 2 2 2 6 4 16" xfId="50931"/>
    <cellStyle name="Title 2 2 2 6 4 17" xfId="50932"/>
    <cellStyle name="Title 2 2 2 6 4 18" xfId="50933"/>
    <cellStyle name="Title 2 2 2 6 4 19" xfId="50934"/>
    <cellStyle name="Title 2 2 2 6 4 2" xfId="50935"/>
    <cellStyle name="Title 2 2 2 6 4 2 10" xfId="50936"/>
    <cellStyle name="Title 2 2 2 6 4 2 11" xfId="50937"/>
    <cellStyle name="Title 2 2 2 6 4 2 12" xfId="50938"/>
    <cellStyle name="Title 2 2 2 6 4 2 13" xfId="50939"/>
    <cellStyle name="Title 2 2 2 6 4 2 14" xfId="50940"/>
    <cellStyle name="Title 2 2 2 6 4 2 15" xfId="50941"/>
    <cellStyle name="Title 2 2 2 6 4 2 16" xfId="50942"/>
    <cellStyle name="Title 2 2 2 6 4 2 17" xfId="50943"/>
    <cellStyle name="Title 2 2 2 6 4 2 18" xfId="50944"/>
    <cellStyle name="Title 2 2 2 6 4 2 19" xfId="50945"/>
    <cellStyle name="Title 2 2 2 6 4 2 2" xfId="50946"/>
    <cellStyle name="Title 2 2 2 6 4 2 2 2" xfId="50947"/>
    <cellStyle name="Title 2 2 2 6 4 2 20" xfId="50948"/>
    <cellStyle name="Title 2 2 2 6 4 2 21" xfId="50949"/>
    <cellStyle name="Title 2 2 2 6 4 2 22" xfId="50950"/>
    <cellStyle name="Title 2 2 2 6 4 2 23" xfId="50951"/>
    <cellStyle name="Title 2 2 2 6 4 2 24" xfId="50952"/>
    <cellStyle name="Title 2 2 2 6 4 2 25" xfId="50953"/>
    <cellStyle name="Title 2 2 2 6 4 2 26" xfId="50954"/>
    <cellStyle name="Title 2 2 2 6 4 2 27" xfId="50955"/>
    <cellStyle name="Title 2 2 2 6 4 2 28" xfId="50956"/>
    <cellStyle name="Title 2 2 2 6 4 2 29" xfId="50957"/>
    <cellStyle name="Title 2 2 2 6 4 2 3" xfId="50958"/>
    <cellStyle name="Title 2 2 2 6 4 2 30" xfId="50959"/>
    <cellStyle name="Title 2 2 2 6 4 2 31" xfId="50960"/>
    <cellStyle name="Title 2 2 2 6 4 2 32" xfId="50961"/>
    <cellStyle name="Title 2 2 2 6 4 2 33" xfId="50962"/>
    <cellStyle name="Title 2 2 2 6 4 2 34" xfId="50963"/>
    <cellStyle name="Title 2 2 2 6 4 2 35" xfId="50964"/>
    <cellStyle name="Title 2 2 2 6 4 2 36" xfId="50965"/>
    <cellStyle name="Title 2 2 2 6 4 2 37" xfId="50966"/>
    <cellStyle name="Title 2 2 2 6 4 2 38" xfId="50967"/>
    <cellStyle name="Title 2 2 2 6 4 2 39" xfId="50968"/>
    <cellStyle name="Title 2 2 2 6 4 2 4" xfId="50969"/>
    <cellStyle name="Title 2 2 2 6 4 2 40" xfId="50970"/>
    <cellStyle name="Title 2 2 2 6 4 2 41" xfId="50971"/>
    <cellStyle name="Title 2 2 2 6 4 2 42" xfId="50972"/>
    <cellStyle name="Title 2 2 2 6 4 2 43" xfId="50973"/>
    <cellStyle name="Title 2 2 2 6 4 2 44" xfId="50974"/>
    <cellStyle name="Title 2 2 2 6 4 2 45" xfId="50975"/>
    <cellStyle name="Title 2 2 2 6 4 2 46" xfId="50976"/>
    <cellStyle name="Title 2 2 2 6 4 2 47" xfId="50977"/>
    <cellStyle name="Title 2 2 2 6 4 2 48" xfId="50978"/>
    <cellStyle name="Title 2 2 2 6 4 2 49" xfId="50979"/>
    <cellStyle name="Title 2 2 2 6 4 2 5" xfId="50980"/>
    <cellStyle name="Title 2 2 2 6 4 2 50" xfId="50981"/>
    <cellStyle name="Title 2 2 2 6 4 2 51" xfId="50982"/>
    <cellStyle name="Title 2 2 2 6 4 2 52" xfId="50983"/>
    <cellStyle name="Title 2 2 2 6 4 2 53" xfId="50984"/>
    <cellStyle name="Title 2 2 2 6 4 2 54" xfId="50985"/>
    <cellStyle name="Title 2 2 2 6 4 2 55" xfId="50986"/>
    <cellStyle name="Title 2 2 2 6 4 2 56" xfId="50987"/>
    <cellStyle name="Title 2 2 2 6 4 2 57" xfId="50988"/>
    <cellStyle name="Title 2 2 2 6 4 2 58" xfId="50989"/>
    <cellStyle name="Title 2 2 2 6 4 2 59" xfId="50990"/>
    <cellStyle name="Title 2 2 2 6 4 2 6" xfId="50991"/>
    <cellStyle name="Title 2 2 2 6 4 2 60" xfId="50992"/>
    <cellStyle name="Title 2 2 2 6 4 2 61" xfId="50993"/>
    <cellStyle name="Title 2 2 2 6 4 2 62" xfId="50994"/>
    <cellStyle name="Title 2 2 2 6 4 2 63" xfId="50995"/>
    <cellStyle name="Title 2 2 2 6 4 2 64" xfId="50996"/>
    <cellStyle name="Title 2 2 2 6 4 2 65" xfId="50997"/>
    <cellStyle name="Title 2 2 2 6 4 2 66" xfId="50998"/>
    <cellStyle name="Title 2 2 2 6 4 2 67" xfId="50999"/>
    <cellStyle name="Title 2 2 2 6 4 2 68" xfId="51000"/>
    <cellStyle name="Title 2 2 2 6 4 2 69" xfId="51001"/>
    <cellStyle name="Title 2 2 2 6 4 2 7" xfId="51002"/>
    <cellStyle name="Title 2 2 2 6 4 2 70" xfId="51003"/>
    <cellStyle name="Title 2 2 2 6 4 2 71" xfId="51004"/>
    <cellStyle name="Title 2 2 2 6 4 2 72" xfId="51005"/>
    <cellStyle name="Title 2 2 2 6 4 2 73" xfId="51006"/>
    <cellStyle name="Title 2 2 2 6 4 2 74" xfId="51007"/>
    <cellStyle name="Title 2 2 2 6 4 2 8" xfId="51008"/>
    <cellStyle name="Title 2 2 2 6 4 2 9" xfId="51009"/>
    <cellStyle name="Title 2 2 2 6 4 20" xfId="51010"/>
    <cellStyle name="Title 2 2 2 6 4 21" xfId="51011"/>
    <cellStyle name="Title 2 2 2 6 4 22" xfId="51012"/>
    <cellStyle name="Title 2 2 2 6 4 23" xfId="51013"/>
    <cellStyle name="Title 2 2 2 6 4 24" xfId="51014"/>
    <cellStyle name="Title 2 2 2 6 4 25" xfId="51015"/>
    <cellStyle name="Title 2 2 2 6 4 26" xfId="51016"/>
    <cellStyle name="Title 2 2 2 6 4 27" xfId="51017"/>
    <cellStyle name="Title 2 2 2 6 4 28" xfId="51018"/>
    <cellStyle name="Title 2 2 2 6 4 29" xfId="51019"/>
    <cellStyle name="Title 2 2 2 6 4 3" xfId="51020"/>
    <cellStyle name="Title 2 2 2 6 4 3 2" xfId="51021"/>
    <cellStyle name="Title 2 2 2 6 4 30" xfId="51022"/>
    <cellStyle name="Title 2 2 2 6 4 31" xfId="51023"/>
    <cellStyle name="Title 2 2 2 6 4 32" xfId="51024"/>
    <cellStyle name="Title 2 2 2 6 4 33" xfId="51025"/>
    <cellStyle name="Title 2 2 2 6 4 34" xfId="51026"/>
    <cellStyle name="Title 2 2 2 6 4 35" xfId="51027"/>
    <cellStyle name="Title 2 2 2 6 4 36" xfId="51028"/>
    <cellStyle name="Title 2 2 2 6 4 37" xfId="51029"/>
    <cellStyle name="Title 2 2 2 6 4 38" xfId="51030"/>
    <cellStyle name="Title 2 2 2 6 4 39" xfId="51031"/>
    <cellStyle name="Title 2 2 2 6 4 4" xfId="51032"/>
    <cellStyle name="Title 2 2 2 6 4 40" xfId="51033"/>
    <cellStyle name="Title 2 2 2 6 4 41" xfId="51034"/>
    <cellStyle name="Title 2 2 2 6 4 42" xfId="51035"/>
    <cellStyle name="Title 2 2 2 6 4 43" xfId="51036"/>
    <cellStyle name="Title 2 2 2 6 4 44" xfId="51037"/>
    <cellStyle name="Title 2 2 2 6 4 45" xfId="51038"/>
    <cellStyle name="Title 2 2 2 6 4 46" xfId="51039"/>
    <cellStyle name="Title 2 2 2 6 4 47" xfId="51040"/>
    <cellStyle name="Title 2 2 2 6 4 48" xfId="51041"/>
    <cellStyle name="Title 2 2 2 6 4 49" xfId="51042"/>
    <cellStyle name="Title 2 2 2 6 4 5" xfId="51043"/>
    <cellStyle name="Title 2 2 2 6 4 50" xfId="51044"/>
    <cellStyle name="Title 2 2 2 6 4 51" xfId="51045"/>
    <cellStyle name="Title 2 2 2 6 4 52" xfId="51046"/>
    <cellStyle name="Title 2 2 2 6 4 53" xfId="51047"/>
    <cellStyle name="Title 2 2 2 6 4 54" xfId="51048"/>
    <cellStyle name="Title 2 2 2 6 4 55" xfId="51049"/>
    <cellStyle name="Title 2 2 2 6 4 56" xfId="51050"/>
    <cellStyle name="Title 2 2 2 6 4 57" xfId="51051"/>
    <cellStyle name="Title 2 2 2 6 4 58" xfId="51052"/>
    <cellStyle name="Title 2 2 2 6 4 59" xfId="51053"/>
    <cellStyle name="Title 2 2 2 6 4 6" xfId="51054"/>
    <cellStyle name="Title 2 2 2 6 4 60" xfId="51055"/>
    <cellStyle name="Title 2 2 2 6 4 61" xfId="51056"/>
    <cellStyle name="Title 2 2 2 6 4 62" xfId="51057"/>
    <cellStyle name="Title 2 2 2 6 4 63" xfId="51058"/>
    <cellStyle name="Title 2 2 2 6 4 64" xfId="51059"/>
    <cellStyle name="Title 2 2 2 6 4 65" xfId="51060"/>
    <cellStyle name="Title 2 2 2 6 4 66" xfId="51061"/>
    <cellStyle name="Title 2 2 2 6 4 67" xfId="51062"/>
    <cellStyle name="Title 2 2 2 6 4 68" xfId="51063"/>
    <cellStyle name="Title 2 2 2 6 4 69" xfId="51064"/>
    <cellStyle name="Title 2 2 2 6 4 7" xfId="51065"/>
    <cellStyle name="Title 2 2 2 6 4 70" xfId="51066"/>
    <cellStyle name="Title 2 2 2 6 4 71" xfId="51067"/>
    <cellStyle name="Title 2 2 2 6 4 72" xfId="51068"/>
    <cellStyle name="Title 2 2 2 6 4 73" xfId="51069"/>
    <cellStyle name="Title 2 2 2 6 4 74" xfId="51070"/>
    <cellStyle name="Title 2 2 2 6 4 8" xfId="51071"/>
    <cellStyle name="Title 2 2 2 6 4 9" xfId="51072"/>
    <cellStyle name="Title 2 2 2 6 40" xfId="51073"/>
    <cellStyle name="Title 2 2 2 6 41" xfId="51074"/>
    <cellStyle name="Title 2 2 2 6 42" xfId="51075"/>
    <cellStyle name="Title 2 2 2 6 43" xfId="51076"/>
    <cellStyle name="Title 2 2 2 6 44" xfId="51077"/>
    <cellStyle name="Title 2 2 2 6 45" xfId="51078"/>
    <cellStyle name="Title 2 2 2 6 46" xfId="51079"/>
    <cellStyle name="Title 2 2 2 6 47" xfId="51080"/>
    <cellStyle name="Title 2 2 2 6 48" xfId="51081"/>
    <cellStyle name="Title 2 2 2 6 49" xfId="51082"/>
    <cellStyle name="Title 2 2 2 6 5" xfId="51083"/>
    <cellStyle name="Title 2 2 2 6 50" xfId="51084"/>
    <cellStyle name="Title 2 2 2 6 51" xfId="51085"/>
    <cellStyle name="Title 2 2 2 6 52" xfId="51086"/>
    <cellStyle name="Title 2 2 2 6 53" xfId="51087"/>
    <cellStyle name="Title 2 2 2 6 54" xfId="51088"/>
    <cellStyle name="Title 2 2 2 6 55" xfId="51089"/>
    <cellStyle name="Title 2 2 2 6 56" xfId="51090"/>
    <cellStyle name="Title 2 2 2 6 57" xfId="51091"/>
    <cellStyle name="Title 2 2 2 6 58" xfId="51092"/>
    <cellStyle name="Title 2 2 2 6 59" xfId="51093"/>
    <cellStyle name="Title 2 2 2 6 6" xfId="51094"/>
    <cellStyle name="Title 2 2 2 6 60" xfId="51095"/>
    <cellStyle name="Title 2 2 2 6 61" xfId="51096"/>
    <cellStyle name="Title 2 2 2 6 62" xfId="51097"/>
    <cellStyle name="Title 2 2 2 6 63" xfId="51098"/>
    <cellStyle name="Title 2 2 2 6 64" xfId="51099"/>
    <cellStyle name="Title 2 2 2 6 65" xfId="51100"/>
    <cellStyle name="Title 2 2 2 6 66" xfId="51101"/>
    <cellStyle name="Title 2 2 2 6 67" xfId="51102"/>
    <cellStyle name="Title 2 2 2 6 68" xfId="51103"/>
    <cellStyle name="Title 2 2 2 6 69" xfId="51104"/>
    <cellStyle name="Title 2 2 2 6 7" xfId="51105"/>
    <cellStyle name="Title 2 2 2 6 70" xfId="51106"/>
    <cellStyle name="Title 2 2 2 6 71" xfId="51107"/>
    <cellStyle name="Title 2 2 2 6 72" xfId="51108"/>
    <cellStyle name="Title 2 2 2 6 73" xfId="51109"/>
    <cellStyle name="Title 2 2 2 6 74" xfId="51110"/>
    <cellStyle name="Title 2 2 2 6 75" xfId="51111"/>
    <cellStyle name="Title 2 2 2 6 76" xfId="51112"/>
    <cellStyle name="Title 2 2 2 6 77" xfId="51113"/>
    <cellStyle name="Title 2 2 2 6 78" xfId="51114"/>
    <cellStyle name="Title 2 2 2 6 79" xfId="51115"/>
    <cellStyle name="Title 2 2 2 6 8" xfId="51116"/>
    <cellStyle name="Title 2 2 2 6 80" xfId="51117"/>
    <cellStyle name="Title 2 2 2 6 81" xfId="51118"/>
    <cellStyle name="Title 2 2 2 6 82" xfId="51119"/>
    <cellStyle name="Title 2 2 2 6 83" xfId="51120"/>
    <cellStyle name="Title 2 2 2 6 84" xfId="51121"/>
    <cellStyle name="Title 2 2 2 6 85" xfId="51122"/>
    <cellStyle name="Title 2 2 2 6 86" xfId="51123"/>
    <cellStyle name="Title 2 2 2 6 87" xfId="51124"/>
    <cellStyle name="Title 2 2 2 6 88" xfId="51125"/>
    <cellStyle name="Title 2 2 2 6 89" xfId="51126"/>
    <cellStyle name="Title 2 2 2 6 9" xfId="51127"/>
    <cellStyle name="Title 2 2 2 6 90" xfId="51128"/>
    <cellStyle name="Title 2 2 2 6 91" xfId="51129"/>
    <cellStyle name="Title 2 2 2 6 92" xfId="51130"/>
    <cellStyle name="Title 2 2 2 6 93" xfId="51131"/>
    <cellStyle name="Title 2 2 2 6 94" xfId="51132"/>
    <cellStyle name="Title 2 2 2 6 95" xfId="51133"/>
    <cellStyle name="Title 2 2 2 6 96" xfId="51134"/>
    <cellStyle name="Title 2 2 2 6 97" xfId="51135"/>
    <cellStyle name="Title 2 2 2 6 98" xfId="51136"/>
    <cellStyle name="Title 2 2 2 6 99" xfId="51137"/>
    <cellStyle name="Title 2 2 2 60" xfId="51138"/>
    <cellStyle name="Title 2 2 2 60 2" xfId="51139"/>
    <cellStyle name="Title 2 2 2 61" xfId="51140"/>
    <cellStyle name="Title 2 2 2 61 2" xfId="51141"/>
    <cellStyle name="Title 2 2 2 62" xfId="51142"/>
    <cellStyle name="Title 2 2 2 62 2" xfId="51143"/>
    <cellStyle name="Title 2 2 2 63" xfId="51144"/>
    <cellStyle name="Title 2 2 2 63 2" xfId="51145"/>
    <cellStyle name="Title 2 2 2 64" xfId="51146"/>
    <cellStyle name="Title 2 2 2 64 2" xfId="51147"/>
    <cellStyle name="Title 2 2 2 65" xfId="51148"/>
    <cellStyle name="Title 2 2 2 65 2" xfId="51149"/>
    <cellStyle name="Title 2 2 2 66" xfId="51150"/>
    <cellStyle name="Title 2 2 2 66 2" xfId="51151"/>
    <cellStyle name="Title 2 2 2 67" xfId="51152"/>
    <cellStyle name="Title 2 2 2 67 2" xfId="51153"/>
    <cellStyle name="Title 2 2 2 68" xfId="51154"/>
    <cellStyle name="Title 2 2 2 68 2" xfId="51155"/>
    <cellStyle name="Title 2 2 2 69" xfId="51156"/>
    <cellStyle name="Title 2 2 2 69 2" xfId="51157"/>
    <cellStyle name="Title 2 2 2 7" xfId="51158"/>
    <cellStyle name="Title 2 2 2 7 10" xfId="51159"/>
    <cellStyle name="Title 2 2 2 7 10 2" xfId="51160"/>
    <cellStyle name="Title 2 2 2 7 100" xfId="51161"/>
    <cellStyle name="Title 2 2 2 7 101" xfId="51162"/>
    <cellStyle name="Title 2 2 2 7 102" xfId="51163"/>
    <cellStyle name="Title 2 2 2 7 103" xfId="51164"/>
    <cellStyle name="Title 2 2 2 7 104" xfId="51165"/>
    <cellStyle name="Title 2 2 2 7 105" xfId="51166"/>
    <cellStyle name="Title 2 2 2 7 106" xfId="51167"/>
    <cellStyle name="Title 2 2 2 7 107" xfId="51168"/>
    <cellStyle name="Title 2 2 2 7 108" xfId="51169"/>
    <cellStyle name="Title 2 2 2 7 109" xfId="51170"/>
    <cellStyle name="Title 2 2 2 7 11" xfId="51171"/>
    <cellStyle name="Title 2 2 2 7 11 2" xfId="51172"/>
    <cellStyle name="Title 2 2 2 7 12" xfId="51173"/>
    <cellStyle name="Title 2 2 2 7 12 2" xfId="51174"/>
    <cellStyle name="Title 2 2 2 7 13" xfId="51175"/>
    <cellStyle name="Title 2 2 2 7 13 2" xfId="51176"/>
    <cellStyle name="Title 2 2 2 7 14" xfId="51177"/>
    <cellStyle name="Title 2 2 2 7 14 2" xfId="51178"/>
    <cellStyle name="Title 2 2 2 7 15" xfId="51179"/>
    <cellStyle name="Title 2 2 2 7 15 2" xfId="51180"/>
    <cellStyle name="Title 2 2 2 7 16" xfId="51181"/>
    <cellStyle name="Title 2 2 2 7 16 2" xfId="51182"/>
    <cellStyle name="Title 2 2 2 7 17" xfId="51183"/>
    <cellStyle name="Title 2 2 2 7 17 2" xfId="51184"/>
    <cellStyle name="Title 2 2 2 7 18" xfId="51185"/>
    <cellStyle name="Title 2 2 2 7 18 2" xfId="51186"/>
    <cellStyle name="Title 2 2 2 7 19" xfId="51187"/>
    <cellStyle name="Title 2 2 2 7 19 2" xfId="51188"/>
    <cellStyle name="Title 2 2 2 7 2" xfId="51189"/>
    <cellStyle name="Title 2 2 2 7 2 10" xfId="51190"/>
    <cellStyle name="Title 2 2 2 7 2 11" xfId="51191"/>
    <cellStyle name="Title 2 2 2 7 2 12" xfId="51192"/>
    <cellStyle name="Title 2 2 2 7 2 13" xfId="51193"/>
    <cellStyle name="Title 2 2 2 7 2 14" xfId="51194"/>
    <cellStyle name="Title 2 2 2 7 2 15" xfId="51195"/>
    <cellStyle name="Title 2 2 2 7 2 16" xfId="51196"/>
    <cellStyle name="Title 2 2 2 7 2 17" xfId="51197"/>
    <cellStyle name="Title 2 2 2 7 2 18" xfId="51198"/>
    <cellStyle name="Title 2 2 2 7 2 19" xfId="51199"/>
    <cellStyle name="Title 2 2 2 7 2 2" xfId="51200"/>
    <cellStyle name="Title 2 2 2 7 2 2 10" xfId="51201"/>
    <cellStyle name="Title 2 2 2 7 2 2 11" xfId="51202"/>
    <cellStyle name="Title 2 2 2 7 2 2 12" xfId="51203"/>
    <cellStyle name="Title 2 2 2 7 2 2 13" xfId="51204"/>
    <cellStyle name="Title 2 2 2 7 2 2 14" xfId="51205"/>
    <cellStyle name="Title 2 2 2 7 2 2 15" xfId="51206"/>
    <cellStyle name="Title 2 2 2 7 2 2 16" xfId="51207"/>
    <cellStyle name="Title 2 2 2 7 2 2 17" xfId="51208"/>
    <cellStyle name="Title 2 2 2 7 2 2 18" xfId="51209"/>
    <cellStyle name="Title 2 2 2 7 2 2 19" xfId="51210"/>
    <cellStyle name="Title 2 2 2 7 2 2 2" xfId="51211"/>
    <cellStyle name="Title 2 2 2 7 2 2 2 10" xfId="51212"/>
    <cellStyle name="Title 2 2 2 7 2 2 2 11" xfId="51213"/>
    <cellStyle name="Title 2 2 2 7 2 2 2 12" xfId="51214"/>
    <cellStyle name="Title 2 2 2 7 2 2 2 13" xfId="51215"/>
    <cellStyle name="Title 2 2 2 7 2 2 2 14" xfId="51216"/>
    <cellStyle name="Title 2 2 2 7 2 2 2 15" xfId="51217"/>
    <cellStyle name="Title 2 2 2 7 2 2 2 16" xfId="51218"/>
    <cellStyle name="Title 2 2 2 7 2 2 2 17" xfId="51219"/>
    <cellStyle name="Title 2 2 2 7 2 2 2 18" xfId="51220"/>
    <cellStyle name="Title 2 2 2 7 2 2 2 19" xfId="51221"/>
    <cellStyle name="Title 2 2 2 7 2 2 2 2" xfId="51222"/>
    <cellStyle name="Title 2 2 2 7 2 2 2 2 10" xfId="51223"/>
    <cellStyle name="Title 2 2 2 7 2 2 2 2 11" xfId="51224"/>
    <cellStyle name="Title 2 2 2 7 2 2 2 2 12" xfId="51225"/>
    <cellStyle name="Title 2 2 2 7 2 2 2 2 13" xfId="51226"/>
    <cellStyle name="Title 2 2 2 7 2 2 2 2 14" xfId="51227"/>
    <cellStyle name="Title 2 2 2 7 2 2 2 2 15" xfId="51228"/>
    <cellStyle name="Title 2 2 2 7 2 2 2 2 16" xfId="51229"/>
    <cellStyle name="Title 2 2 2 7 2 2 2 2 17" xfId="51230"/>
    <cellStyle name="Title 2 2 2 7 2 2 2 2 18" xfId="51231"/>
    <cellStyle name="Title 2 2 2 7 2 2 2 2 19" xfId="51232"/>
    <cellStyle name="Title 2 2 2 7 2 2 2 2 2" xfId="51233"/>
    <cellStyle name="Title 2 2 2 7 2 2 2 2 2 2" xfId="51234"/>
    <cellStyle name="Title 2 2 2 7 2 2 2 2 20" xfId="51235"/>
    <cellStyle name="Title 2 2 2 7 2 2 2 2 21" xfId="51236"/>
    <cellStyle name="Title 2 2 2 7 2 2 2 2 22" xfId="51237"/>
    <cellStyle name="Title 2 2 2 7 2 2 2 2 23" xfId="51238"/>
    <cellStyle name="Title 2 2 2 7 2 2 2 2 24" xfId="51239"/>
    <cellStyle name="Title 2 2 2 7 2 2 2 2 25" xfId="51240"/>
    <cellStyle name="Title 2 2 2 7 2 2 2 2 26" xfId="51241"/>
    <cellStyle name="Title 2 2 2 7 2 2 2 2 27" xfId="51242"/>
    <cellStyle name="Title 2 2 2 7 2 2 2 2 28" xfId="51243"/>
    <cellStyle name="Title 2 2 2 7 2 2 2 2 29" xfId="51244"/>
    <cellStyle name="Title 2 2 2 7 2 2 2 2 3" xfId="51245"/>
    <cellStyle name="Title 2 2 2 7 2 2 2 2 30" xfId="51246"/>
    <cellStyle name="Title 2 2 2 7 2 2 2 2 31" xfId="51247"/>
    <cellStyle name="Title 2 2 2 7 2 2 2 2 32" xfId="51248"/>
    <cellStyle name="Title 2 2 2 7 2 2 2 2 33" xfId="51249"/>
    <cellStyle name="Title 2 2 2 7 2 2 2 2 34" xfId="51250"/>
    <cellStyle name="Title 2 2 2 7 2 2 2 2 35" xfId="51251"/>
    <cellStyle name="Title 2 2 2 7 2 2 2 2 36" xfId="51252"/>
    <cellStyle name="Title 2 2 2 7 2 2 2 2 37" xfId="51253"/>
    <cellStyle name="Title 2 2 2 7 2 2 2 2 38" xfId="51254"/>
    <cellStyle name="Title 2 2 2 7 2 2 2 2 39" xfId="51255"/>
    <cellStyle name="Title 2 2 2 7 2 2 2 2 4" xfId="51256"/>
    <cellStyle name="Title 2 2 2 7 2 2 2 2 40" xfId="51257"/>
    <cellStyle name="Title 2 2 2 7 2 2 2 2 41" xfId="51258"/>
    <cellStyle name="Title 2 2 2 7 2 2 2 2 42" xfId="51259"/>
    <cellStyle name="Title 2 2 2 7 2 2 2 2 43" xfId="51260"/>
    <cellStyle name="Title 2 2 2 7 2 2 2 2 44" xfId="51261"/>
    <cellStyle name="Title 2 2 2 7 2 2 2 2 45" xfId="51262"/>
    <cellStyle name="Title 2 2 2 7 2 2 2 2 46" xfId="51263"/>
    <cellStyle name="Title 2 2 2 7 2 2 2 2 47" xfId="51264"/>
    <cellStyle name="Title 2 2 2 7 2 2 2 2 48" xfId="51265"/>
    <cellStyle name="Title 2 2 2 7 2 2 2 2 49" xfId="51266"/>
    <cellStyle name="Title 2 2 2 7 2 2 2 2 5" xfId="51267"/>
    <cellStyle name="Title 2 2 2 7 2 2 2 2 50" xfId="51268"/>
    <cellStyle name="Title 2 2 2 7 2 2 2 2 51" xfId="51269"/>
    <cellStyle name="Title 2 2 2 7 2 2 2 2 52" xfId="51270"/>
    <cellStyle name="Title 2 2 2 7 2 2 2 2 53" xfId="51271"/>
    <cellStyle name="Title 2 2 2 7 2 2 2 2 54" xfId="51272"/>
    <cellStyle name="Title 2 2 2 7 2 2 2 2 55" xfId="51273"/>
    <cellStyle name="Title 2 2 2 7 2 2 2 2 56" xfId="51274"/>
    <cellStyle name="Title 2 2 2 7 2 2 2 2 57" xfId="51275"/>
    <cellStyle name="Title 2 2 2 7 2 2 2 2 58" xfId="51276"/>
    <cellStyle name="Title 2 2 2 7 2 2 2 2 59" xfId="51277"/>
    <cellStyle name="Title 2 2 2 7 2 2 2 2 6" xfId="51278"/>
    <cellStyle name="Title 2 2 2 7 2 2 2 2 60" xfId="51279"/>
    <cellStyle name="Title 2 2 2 7 2 2 2 2 61" xfId="51280"/>
    <cellStyle name="Title 2 2 2 7 2 2 2 2 62" xfId="51281"/>
    <cellStyle name="Title 2 2 2 7 2 2 2 2 63" xfId="51282"/>
    <cellStyle name="Title 2 2 2 7 2 2 2 2 64" xfId="51283"/>
    <cellStyle name="Title 2 2 2 7 2 2 2 2 65" xfId="51284"/>
    <cellStyle name="Title 2 2 2 7 2 2 2 2 66" xfId="51285"/>
    <cellStyle name="Title 2 2 2 7 2 2 2 2 67" xfId="51286"/>
    <cellStyle name="Title 2 2 2 7 2 2 2 2 68" xfId="51287"/>
    <cellStyle name="Title 2 2 2 7 2 2 2 2 69" xfId="51288"/>
    <cellStyle name="Title 2 2 2 7 2 2 2 2 7" xfId="51289"/>
    <cellStyle name="Title 2 2 2 7 2 2 2 2 70" xfId="51290"/>
    <cellStyle name="Title 2 2 2 7 2 2 2 2 71" xfId="51291"/>
    <cellStyle name="Title 2 2 2 7 2 2 2 2 72" xfId="51292"/>
    <cellStyle name="Title 2 2 2 7 2 2 2 2 73" xfId="51293"/>
    <cellStyle name="Title 2 2 2 7 2 2 2 2 74" xfId="51294"/>
    <cellStyle name="Title 2 2 2 7 2 2 2 2 8" xfId="51295"/>
    <cellStyle name="Title 2 2 2 7 2 2 2 2 9" xfId="51296"/>
    <cellStyle name="Title 2 2 2 7 2 2 2 20" xfId="51297"/>
    <cellStyle name="Title 2 2 2 7 2 2 2 21" xfId="51298"/>
    <cellStyle name="Title 2 2 2 7 2 2 2 22" xfId="51299"/>
    <cellStyle name="Title 2 2 2 7 2 2 2 23" xfId="51300"/>
    <cellStyle name="Title 2 2 2 7 2 2 2 24" xfId="51301"/>
    <cellStyle name="Title 2 2 2 7 2 2 2 25" xfId="51302"/>
    <cellStyle name="Title 2 2 2 7 2 2 2 26" xfId="51303"/>
    <cellStyle name="Title 2 2 2 7 2 2 2 27" xfId="51304"/>
    <cellStyle name="Title 2 2 2 7 2 2 2 28" xfId="51305"/>
    <cellStyle name="Title 2 2 2 7 2 2 2 29" xfId="51306"/>
    <cellStyle name="Title 2 2 2 7 2 2 2 3" xfId="51307"/>
    <cellStyle name="Title 2 2 2 7 2 2 2 3 2" xfId="51308"/>
    <cellStyle name="Title 2 2 2 7 2 2 2 30" xfId="51309"/>
    <cellStyle name="Title 2 2 2 7 2 2 2 31" xfId="51310"/>
    <cellStyle name="Title 2 2 2 7 2 2 2 32" xfId="51311"/>
    <cellStyle name="Title 2 2 2 7 2 2 2 33" xfId="51312"/>
    <cellStyle name="Title 2 2 2 7 2 2 2 34" xfId="51313"/>
    <cellStyle name="Title 2 2 2 7 2 2 2 35" xfId="51314"/>
    <cellStyle name="Title 2 2 2 7 2 2 2 36" xfId="51315"/>
    <cellStyle name="Title 2 2 2 7 2 2 2 37" xfId="51316"/>
    <cellStyle name="Title 2 2 2 7 2 2 2 38" xfId="51317"/>
    <cellStyle name="Title 2 2 2 7 2 2 2 39" xfId="51318"/>
    <cellStyle name="Title 2 2 2 7 2 2 2 4" xfId="51319"/>
    <cellStyle name="Title 2 2 2 7 2 2 2 40" xfId="51320"/>
    <cellStyle name="Title 2 2 2 7 2 2 2 41" xfId="51321"/>
    <cellStyle name="Title 2 2 2 7 2 2 2 42" xfId="51322"/>
    <cellStyle name="Title 2 2 2 7 2 2 2 43" xfId="51323"/>
    <cellStyle name="Title 2 2 2 7 2 2 2 44" xfId="51324"/>
    <cellStyle name="Title 2 2 2 7 2 2 2 45" xfId="51325"/>
    <cellStyle name="Title 2 2 2 7 2 2 2 46" xfId="51326"/>
    <cellStyle name="Title 2 2 2 7 2 2 2 47" xfId="51327"/>
    <cellStyle name="Title 2 2 2 7 2 2 2 48" xfId="51328"/>
    <cellStyle name="Title 2 2 2 7 2 2 2 49" xfId="51329"/>
    <cellStyle name="Title 2 2 2 7 2 2 2 5" xfId="51330"/>
    <cellStyle name="Title 2 2 2 7 2 2 2 50" xfId="51331"/>
    <cellStyle name="Title 2 2 2 7 2 2 2 51" xfId="51332"/>
    <cellStyle name="Title 2 2 2 7 2 2 2 52" xfId="51333"/>
    <cellStyle name="Title 2 2 2 7 2 2 2 53" xfId="51334"/>
    <cellStyle name="Title 2 2 2 7 2 2 2 54" xfId="51335"/>
    <cellStyle name="Title 2 2 2 7 2 2 2 55" xfId="51336"/>
    <cellStyle name="Title 2 2 2 7 2 2 2 56" xfId="51337"/>
    <cellStyle name="Title 2 2 2 7 2 2 2 57" xfId="51338"/>
    <cellStyle name="Title 2 2 2 7 2 2 2 58" xfId="51339"/>
    <cellStyle name="Title 2 2 2 7 2 2 2 59" xfId="51340"/>
    <cellStyle name="Title 2 2 2 7 2 2 2 6" xfId="51341"/>
    <cellStyle name="Title 2 2 2 7 2 2 2 60" xfId="51342"/>
    <cellStyle name="Title 2 2 2 7 2 2 2 61" xfId="51343"/>
    <cellStyle name="Title 2 2 2 7 2 2 2 62" xfId="51344"/>
    <cellStyle name="Title 2 2 2 7 2 2 2 63" xfId="51345"/>
    <cellStyle name="Title 2 2 2 7 2 2 2 64" xfId="51346"/>
    <cellStyle name="Title 2 2 2 7 2 2 2 65" xfId="51347"/>
    <cellStyle name="Title 2 2 2 7 2 2 2 66" xfId="51348"/>
    <cellStyle name="Title 2 2 2 7 2 2 2 67" xfId="51349"/>
    <cellStyle name="Title 2 2 2 7 2 2 2 68" xfId="51350"/>
    <cellStyle name="Title 2 2 2 7 2 2 2 69" xfId="51351"/>
    <cellStyle name="Title 2 2 2 7 2 2 2 7" xfId="51352"/>
    <cellStyle name="Title 2 2 2 7 2 2 2 70" xfId="51353"/>
    <cellStyle name="Title 2 2 2 7 2 2 2 71" xfId="51354"/>
    <cellStyle name="Title 2 2 2 7 2 2 2 72" xfId="51355"/>
    <cellStyle name="Title 2 2 2 7 2 2 2 73" xfId="51356"/>
    <cellStyle name="Title 2 2 2 7 2 2 2 74" xfId="51357"/>
    <cellStyle name="Title 2 2 2 7 2 2 2 8" xfId="51358"/>
    <cellStyle name="Title 2 2 2 7 2 2 2 9" xfId="51359"/>
    <cellStyle name="Title 2 2 2 7 2 2 20" xfId="51360"/>
    <cellStyle name="Title 2 2 2 7 2 2 21" xfId="51361"/>
    <cellStyle name="Title 2 2 2 7 2 2 22" xfId="51362"/>
    <cellStyle name="Title 2 2 2 7 2 2 23" xfId="51363"/>
    <cellStyle name="Title 2 2 2 7 2 2 24" xfId="51364"/>
    <cellStyle name="Title 2 2 2 7 2 2 25" xfId="51365"/>
    <cellStyle name="Title 2 2 2 7 2 2 26" xfId="51366"/>
    <cellStyle name="Title 2 2 2 7 2 2 27" xfId="51367"/>
    <cellStyle name="Title 2 2 2 7 2 2 28" xfId="51368"/>
    <cellStyle name="Title 2 2 2 7 2 2 29" xfId="51369"/>
    <cellStyle name="Title 2 2 2 7 2 2 3" xfId="51370"/>
    <cellStyle name="Title 2 2 2 7 2 2 3 2" xfId="51371"/>
    <cellStyle name="Title 2 2 2 7 2 2 30" xfId="51372"/>
    <cellStyle name="Title 2 2 2 7 2 2 31" xfId="51373"/>
    <cellStyle name="Title 2 2 2 7 2 2 32" xfId="51374"/>
    <cellStyle name="Title 2 2 2 7 2 2 33" xfId="51375"/>
    <cellStyle name="Title 2 2 2 7 2 2 34" xfId="51376"/>
    <cellStyle name="Title 2 2 2 7 2 2 35" xfId="51377"/>
    <cellStyle name="Title 2 2 2 7 2 2 36" xfId="51378"/>
    <cellStyle name="Title 2 2 2 7 2 2 37" xfId="51379"/>
    <cellStyle name="Title 2 2 2 7 2 2 38" xfId="51380"/>
    <cellStyle name="Title 2 2 2 7 2 2 39" xfId="51381"/>
    <cellStyle name="Title 2 2 2 7 2 2 4" xfId="51382"/>
    <cellStyle name="Title 2 2 2 7 2 2 40" xfId="51383"/>
    <cellStyle name="Title 2 2 2 7 2 2 41" xfId="51384"/>
    <cellStyle name="Title 2 2 2 7 2 2 42" xfId="51385"/>
    <cellStyle name="Title 2 2 2 7 2 2 43" xfId="51386"/>
    <cellStyle name="Title 2 2 2 7 2 2 44" xfId="51387"/>
    <cellStyle name="Title 2 2 2 7 2 2 45" xfId="51388"/>
    <cellStyle name="Title 2 2 2 7 2 2 46" xfId="51389"/>
    <cellStyle name="Title 2 2 2 7 2 2 47" xfId="51390"/>
    <cellStyle name="Title 2 2 2 7 2 2 48" xfId="51391"/>
    <cellStyle name="Title 2 2 2 7 2 2 49" xfId="51392"/>
    <cellStyle name="Title 2 2 2 7 2 2 5" xfId="51393"/>
    <cellStyle name="Title 2 2 2 7 2 2 50" xfId="51394"/>
    <cellStyle name="Title 2 2 2 7 2 2 51" xfId="51395"/>
    <cellStyle name="Title 2 2 2 7 2 2 52" xfId="51396"/>
    <cellStyle name="Title 2 2 2 7 2 2 53" xfId="51397"/>
    <cellStyle name="Title 2 2 2 7 2 2 54" xfId="51398"/>
    <cellStyle name="Title 2 2 2 7 2 2 55" xfId="51399"/>
    <cellStyle name="Title 2 2 2 7 2 2 56" xfId="51400"/>
    <cellStyle name="Title 2 2 2 7 2 2 57" xfId="51401"/>
    <cellStyle name="Title 2 2 2 7 2 2 58" xfId="51402"/>
    <cellStyle name="Title 2 2 2 7 2 2 59" xfId="51403"/>
    <cellStyle name="Title 2 2 2 7 2 2 6" xfId="51404"/>
    <cellStyle name="Title 2 2 2 7 2 2 60" xfId="51405"/>
    <cellStyle name="Title 2 2 2 7 2 2 61" xfId="51406"/>
    <cellStyle name="Title 2 2 2 7 2 2 62" xfId="51407"/>
    <cellStyle name="Title 2 2 2 7 2 2 63" xfId="51408"/>
    <cellStyle name="Title 2 2 2 7 2 2 64" xfId="51409"/>
    <cellStyle name="Title 2 2 2 7 2 2 65" xfId="51410"/>
    <cellStyle name="Title 2 2 2 7 2 2 66" xfId="51411"/>
    <cellStyle name="Title 2 2 2 7 2 2 67" xfId="51412"/>
    <cellStyle name="Title 2 2 2 7 2 2 68" xfId="51413"/>
    <cellStyle name="Title 2 2 2 7 2 2 69" xfId="51414"/>
    <cellStyle name="Title 2 2 2 7 2 2 7" xfId="51415"/>
    <cellStyle name="Title 2 2 2 7 2 2 70" xfId="51416"/>
    <cellStyle name="Title 2 2 2 7 2 2 71" xfId="51417"/>
    <cellStyle name="Title 2 2 2 7 2 2 72" xfId="51418"/>
    <cellStyle name="Title 2 2 2 7 2 2 73" xfId="51419"/>
    <cellStyle name="Title 2 2 2 7 2 2 74" xfId="51420"/>
    <cellStyle name="Title 2 2 2 7 2 2 75" xfId="51421"/>
    <cellStyle name="Title 2 2 2 7 2 2 76" xfId="51422"/>
    <cellStyle name="Title 2 2 2 7 2 2 77" xfId="51423"/>
    <cellStyle name="Title 2 2 2 7 2 2 78" xfId="51424"/>
    <cellStyle name="Title 2 2 2 7 2 2 79" xfId="51425"/>
    <cellStyle name="Title 2 2 2 7 2 2 8" xfId="51426"/>
    <cellStyle name="Title 2 2 2 7 2 2 80" xfId="51427"/>
    <cellStyle name="Title 2 2 2 7 2 2 81" xfId="51428"/>
    <cellStyle name="Title 2 2 2 7 2 2 82" xfId="51429"/>
    <cellStyle name="Title 2 2 2 7 2 2 83" xfId="51430"/>
    <cellStyle name="Title 2 2 2 7 2 2 84" xfId="51431"/>
    <cellStyle name="Title 2 2 2 7 2 2 85" xfId="51432"/>
    <cellStyle name="Title 2 2 2 7 2 2 86" xfId="51433"/>
    <cellStyle name="Title 2 2 2 7 2 2 87" xfId="51434"/>
    <cellStyle name="Title 2 2 2 7 2 2 88" xfId="51435"/>
    <cellStyle name="Title 2 2 2 7 2 2 9" xfId="51436"/>
    <cellStyle name="Title 2 2 2 7 2 20" xfId="51437"/>
    <cellStyle name="Title 2 2 2 7 2 21" xfId="51438"/>
    <cellStyle name="Title 2 2 2 7 2 22" xfId="51439"/>
    <cellStyle name="Title 2 2 2 7 2 23" xfId="51440"/>
    <cellStyle name="Title 2 2 2 7 2 24" xfId="51441"/>
    <cellStyle name="Title 2 2 2 7 2 25" xfId="51442"/>
    <cellStyle name="Title 2 2 2 7 2 26" xfId="51443"/>
    <cellStyle name="Title 2 2 2 7 2 27" xfId="51444"/>
    <cellStyle name="Title 2 2 2 7 2 28" xfId="51445"/>
    <cellStyle name="Title 2 2 2 7 2 29" xfId="51446"/>
    <cellStyle name="Title 2 2 2 7 2 3" xfId="51447"/>
    <cellStyle name="Title 2 2 2 7 2 3 2" xfId="51448"/>
    <cellStyle name="Title 2 2 2 7 2 30" xfId="51449"/>
    <cellStyle name="Title 2 2 2 7 2 31" xfId="51450"/>
    <cellStyle name="Title 2 2 2 7 2 32" xfId="51451"/>
    <cellStyle name="Title 2 2 2 7 2 33" xfId="51452"/>
    <cellStyle name="Title 2 2 2 7 2 34" xfId="51453"/>
    <cellStyle name="Title 2 2 2 7 2 35" xfId="51454"/>
    <cellStyle name="Title 2 2 2 7 2 36" xfId="51455"/>
    <cellStyle name="Title 2 2 2 7 2 37" xfId="51456"/>
    <cellStyle name="Title 2 2 2 7 2 38" xfId="51457"/>
    <cellStyle name="Title 2 2 2 7 2 39" xfId="51458"/>
    <cellStyle name="Title 2 2 2 7 2 4" xfId="51459"/>
    <cellStyle name="Title 2 2 2 7 2 40" xfId="51460"/>
    <cellStyle name="Title 2 2 2 7 2 41" xfId="51461"/>
    <cellStyle name="Title 2 2 2 7 2 42" xfId="51462"/>
    <cellStyle name="Title 2 2 2 7 2 43" xfId="51463"/>
    <cellStyle name="Title 2 2 2 7 2 44" xfId="51464"/>
    <cellStyle name="Title 2 2 2 7 2 45" xfId="51465"/>
    <cellStyle name="Title 2 2 2 7 2 46" xfId="51466"/>
    <cellStyle name="Title 2 2 2 7 2 47" xfId="51467"/>
    <cellStyle name="Title 2 2 2 7 2 48" xfId="51468"/>
    <cellStyle name="Title 2 2 2 7 2 49" xfId="51469"/>
    <cellStyle name="Title 2 2 2 7 2 5" xfId="51470"/>
    <cellStyle name="Title 2 2 2 7 2 50" xfId="51471"/>
    <cellStyle name="Title 2 2 2 7 2 51" xfId="51472"/>
    <cellStyle name="Title 2 2 2 7 2 52" xfId="51473"/>
    <cellStyle name="Title 2 2 2 7 2 53" xfId="51474"/>
    <cellStyle name="Title 2 2 2 7 2 54" xfId="51475"/>
    <cellStyle name="Title 2 2 2 7 2 55" xfId="51476"/>
    <cellStyle name="Title 2 2 2 7 2 56" xfId="51477"/>
    <cellStyle name="Title 2 2 2 7 2 57" xfId="51478"/>
    <cellStyle name="Title 2 2 2 7 2 58" xfId="51479"/>
    <cellStyle name="Title 2 2 2 7 2 59" xfId="51480"/>
    <cellStyle name="Title 2 2 2 7 2 6" xfId="51481"/>
    <cellStyle name="Title 2 2 2 7 2 60" xfId="51482"/>
    <cellStyle name="Title 2 2 2 7 2 61" xfId="51483"/>
    <cellStyle name="Title 2 2 2 7 2 62" xfId="51484"/>
    <cellStyle name="Title 2 2 2 7 2 63" xfId="51485"/>
    <cellStyle name="Title 2 2 2 7 2 64" xfId="51486"/>
    <cellStyle name="Title 2 2 2 7 2 65" xfId="51487"/>
    <cellStyle name="Title 2 2 2 7 2 66" xfId="51488"/>
    <cellStyle name="Title 2 2 2 7 2 67" xfId="51489"/>
    <cellStyle name="Title 2 2 2 7 2 68" xfId="51490"/>
    <cellStyle name="Title 2 2 2 7 2 69" xfId="51491"/>
    <cellStyle name="Title 2 2 2 7 2 7" xfId="51492"/>
    <cellStyle name="Title 2 2 2 7 2 70" xfId="51493"/>
    <cellStyle name="Title 2 2 2 7 2 71" xfId="51494"/>
    <cellStyle name="Title 2 2 2 7 2 72" xfId="51495"/>
    <cellStyle name="Title 2 2 2 7 2 73" xfId="51496"/>
    <cellStyle name="Title 2 2 2 7 2 74" xfId="51497"/>
    <cellStyle name="Title 2 2 2 7 2 75" xfId="51498"/>
    <cellStyle name="Title 2 2 2 7 2 76" xfId="51499"/>
    <cellStyle name="Title 2 2 2 7 2 77" xfId="51500"/>
    <cellStyle name="Title 2 2 2 7 2 78" xfId="51501"/>
    <cellStyle name="Title 2 2 2 7 2 79" xfId="51502"/>
    <cellStyle name="Title 2 2 2 7 2 8" xfId="51503"/>
    <cellStyle name="Title 2 2 2 7 2 80" xfId="51504"/>
    <cellStyle name="Title 2 2 2 7 2 81" xfId="51505"/>
    <cellStyle name="Title 2 2 2 7 2 82" xfId="51506"/>
    <cellStyle name="Title 2 2 2 7 2 83" xfId="51507"/>
    <cellStyle name="Title 2 2 2 7 2 84" xfId="51508"/>
    <cellStyle name="Title 2 2 2 7 2 85" xfId="51509"/>
    <cellStyle name="Title 2 2 2 7 2 86" xfId="51510"/>
    <cellStyle name="Title 2 2 2 7 2 87" xfId="51511"/>
    <cellStyle name="Title 2 2 2 7 2 88" xfId="51512"/>
    <cellStyle name="Title 2 2 2 7 2 9" xfId="51513"/>
    <cellStyle name="Title 2 2 2 7 20" xfId="51514"/>
    <cellStyle name="Title 2 2 2 7 20 2" xfId="51515"/>
    <cellStyle name="Title 2 2 2 7 21" xfId="51516"/>
    <cellStyle name="Title 2 2 2 7 21 2" xfId="51517"/>
    <cellStyle name="Title 2 2 2 7 22" xfId="51518"/>
    <cellStyle name="Title 2 2 2 7 22 2" xfId="51519"/>
    <cellStyle name="Title 2 2 2 7 23" xfId="51520"/>
    <cellStyle name="Title 2 2 2 7 23 2" xfId="51521"/>
    <cellStyle name="Title 2 2 2 7 24" xfId="51522"/>
    <cellStyle name="Title 2 2 2 7 24 2" xfId="51523"/>
    <cellStyle name="Title 2 2 2 7 25" xfId="51524"/>
    <cellStyle name="Title 2 2 2 7 25 2" xfId="51525"/>
    <cellStyle name="Title 2 2 2 7 26" xfId="51526"/>
    <cellStyle name="Title 2 2 2 7 26 2" xfId="51527"/>
    <cellStyle name="Title 2 2 2 7 27" xfId="51528"/>
    <cellStyle name="Title 2 2 2 7 27 2" xfId="51529"/>
    <cellStyle name="Title 2 2 2 7 28" xfId="51530"/>
    <cellStyle name="Title 2 2 2 7 28 2" xfId="51531"/>
    <cellStyle name="Title 2 2 2 7 29" xfId="51532"/>
    <cellStyle name="Title 2 2 2 7 29 2" xfId="51533"/>
    <cellStyle name="Title 2 2 2 7 3" xfId="51534"/>
    <cellStyle name="Title 2 2 2 7 3 2" xfId="51535"/>
    <cellStyle name="Title 2 2 2 7 30" xfId="51536"/>
    <cellStyle name="Title 2 2 2 7 30 2" xfId="51537"/>
    <cellStyle name="Title 2 2 2 7 31" xfId="51538"/>
    <cellStyle name="Title 2 2 2 7 31 2" xfId="51539"/>
    <cellStyle name="Title 2 2 2 7 32" xfId="51540"/>
    <cellStyle name="Title 2 2 2 7 32 2" xfId="51541"/>
    <cellStyle name="Title 2 2 2 7 33" xfId="51542"/>
    <cellStyle name="Title 2 2 2 7 33 2" xfId="51543"/>
    <cellStyle name="Title 2 2 2 7 34" xfId="51544"/>
    <cellStyle name="Title 2 2 2 7 34 2" xfId="51545"/>
    <cellStyle name="Title 2 2 2 7 35" xfId="51546"/>
    <cellStyle name="Title 2 2 2 7 35 2" xfId="51547"/>
    <cellStyle name="Title 2 2 2 7 36" xfId="51548"/>
    <cellStyle name="Title 2 2 2 7 36 2" xfId="51549"/>
    <cellStyle name="Title 2 2 2 7 37" xfId="51550"/>
    <cellStyle name="Title 2 2 2 7 37 2" xfId="51551"/>
    <cellStyle name="Title 2 2 2 7 38" xfId="51552"/>
    <cellStyle name="Title 2 2 2 7 38 2" xfId="51553"/>
    <cellStyle name="Title 2 2 2 7 39" xfId="51554"/>
    <cellStyle name="Title 2 2 2 7 39 2" xfId="51555"/>
    <cellStyle name="Title 2 2 2 7 4" xfId="51556"/>
    <cellStyle name="Title 2 2 2 7 4 2" xfId="51557"/>
    <cellStyle name="Title 2 2 2 7 40" xfId="51558"/>
    <cellStyle name="Title 2 2 2 7 40 2" xfId="51559"/>
    <cellStyle name="Title 2 2 2 7 41" xfId="51560"/>
    <cellStyle name="Title 2 2 2 7 41 2" xfId="51561"/>
    <cellStyle name="Title 2 2 2 7 42" xfId="51562"/>
    <cellStyle name="Title 2 2 2 7 42 2" xfId="51563"/>
    <cellStyle name="Title 2 2 2 7 43" xfId="51564"/>
    <cellStyle name="Title 2 2 2 7 43 2" xfId="51565"/>
    <cellStyle name="Title 2 2 2 7 44" xfId="51566"/>
    <cellStyle name="Title 2 2 2 7 44 2" xfId="51567"/>
    <cellStyle name="Title 2 2 2 7 45" xfId="51568"/>
    <cellStyle name="Title 2 2 2 7 46" xfId="51569"/>
    <cellStyle name="Title 2 2 2 7 47" xfId="51570"/>
    <cellStyle name="Title 2 2 2 7 48" xfId="51571"/>
    <cellStyle name="Title 2 2 2 7 49" xfId="51572"/>
    <cellStyle name="Title 2 2 2 7 5" xfId="51573"/>
    <cellStyle name="Title 2 2 2 7 5 2" xfId="51574"/>
    <cellStyle name="Title 2 2 2 7 50" xfId="51575"/>
    <cellStyle name="Title 2 2 2 7 51" xfId="51576"/>
    <cellStyle name="Title 2 2 2 7 52" xfId="51577"/>
    <cellStyle name="Title 2 2 2 7 53" xfId="51578"/>
    <cellStyle name="Title 2 2 2 7 54" xfId="51579"/>
    <cellStyle name="Title 2 2 2 7 55" xfId="51580"/>
    <cellStyle name="Title 2 2 2 7 56" xfId="51581"/>
    <cellStyle name="Title 2 2 2 7 57" xfId="51582"/>
    <cellStyle name="Title 2 2 2 7 58" xfId="51583"/>
    <cellStyle name="Title 2 2 2 7 59" xfId="51584"/>
    <cellStyle name="Title 2 2 2 7 6" xfId="51585"/>
    <cellStyle name="Title 2 2 2 7 6 2" xfId="51586"/>
    <cellStyle name="Title 2 2 2 7 60" xfId="51587"/>
    <cellStyle name="Title 2 2 2 7 61" xfId="51588"/>
    <cellStyle name="Title 2 2 2 7 62" xfId="51589"/>
    <cellStyle name="Title 2 2 2 7 63" xfId="51590"/>
    <cellStyle name="Title 2 2 2 7 64" xfId="51591"/>
    <cellStyle name="Title 2 2 2 7 65" xfId="51592"/>
    <cellStyle name="Title 2 2 2 7 66" xfId="51593"/>
    <cellStyle name="Title 2 2 2 7 67" xfId="51594"/>
    <cellStyle name="Title 2 2 2 7 68" xfId="51595"/>
    <cellStyle name="Title 2 2 2 7 69" xfId="51596"/>
    <cellStyle name="Title 2 2 2 7 7" xfId="51597"/>
    <cellStyle name="Title 2 2 2 7 7 2" xfId="51598"/>
    <cellStyle name="Title 2 2 2 7 70" xfId="51599"/>
    <cellStyle name="Title 2 2 2 7 71" xfId="51600"/>
    <cellStyle name="Title 2 2 2 7 72" xfId="51601"/>
    <cellStyle name="Title 2 2 2 7 73" xfId="51602"/>
    <cellStyle name="Title 2 2 2 7 74" xfId="51603"/>
    <cellStyle name="Title 2 2 2 7 75" xfId="51604"/>
    <cellStyle name="Title 2 2 2 7 76" xfId="51605"/>
    <cellStyle name="Title 2 2 2 7 77" xfId="51606"/>
    <cellStyle name="Title 2 2 2 7 78" xfId="51607"/>
    <cellStyle name="Title 2 2 2 7 79" xfId="51608"/>
    <cellStyle name="Title 2 2 2 7 8" xfId="51609"/>
    <cellStyle name="Title 2 2 2 7 8 2" xfId="51610"/>
    <cellStyle name="Title 2 2 2 7 80" xfId="51611"/>
    <cellStyle name="Title 2 2 2 7 81" xfId="51612"/>
    <cellStyle name="Title 2 2 2 7 82" xfId="51613"/>
    <cellStyle name="Title 2 2 2 7 83" xfId="51614"/>
    <cellStyle name="Title 2 2 2 7 84" xfId="51615"/>
    <cellStyle name="Title 2 2 2 7 85" xfId="51616"/>
    <cellStyle name="Title 2 2 2 7 86" xfId="51617"/>
    <cellStyle name="Title 2 2 2 7 87" xfId="51618"/>
    <cellStyle name="Title 2 2 2 7 88" xfId="51619"/>
    <cellStyle name="Title 2 2 2 7 89" xfId="51620"/>
    <cellStyle name="Title 2 2 2 7 9" xfId="51621"/>
    <cellStyle name="Title 2 2 2 7 9 2" xfId="51622"/>
    <cellStyle name="Title 2 2 2 7 90" xfId="51623"/>
    <cellStyle name="Title 2 2 2 7 91" xfId="51624"/>
    <cellStyle name="Title 2 2 2 7 92" xfId="51625"/>
    <cellStyle name="Title 2 2 2 7 93" xfId="51626"/>
    <cellStyle name="Title 2 2 2 7 94" xfId="51627"/>
    <cellStyle name="Title 2 2 2 7 95" xfId="51628"/>
    <cellStyle name="Title 2 2 2 7 96" xfId="51629"/>
    <cellStyle name="Title 2 2 2 7 97" xfId="51630"/>
    <cellStyle name="Title 2 2 2 7 98" xfId="51631"/>
    <cellStyle name="Title 2 2 2 7 99" xfId="51632"/>
    <cellStyle name="Title 2 2 2 70" xfId="51633"/>
    <cellStyle name="Title 2 2 2 70 2" xfId="51634"/>
    <cellStyle name="Title 2 2 2 71" xfId="51635"/>
    <cellStyle name="Title 2 2 2 71 2" xfId="51636"/>
    <cellStyle name="Title 2 2 2 72" xfId="51637"/>
    <cellStyle name="Title 2 2 2 72 2" xfId="51638"/>
    <cellStyle name="Title 2 2 2 73" xfId="51639"/>
    <cellStyle name="Title 2 2 2 73 2" xfId="51640"/>
    <cellStyle name="Title 2 2 2 74" xfId="51641"/>
    <cellStyle name="Title 2 2 2 74 2" xfId="51642"/>
    <cellStyle name="Title 2 2 2 75" xfId="51643"/>
    <cellStyle name="Title 2 2 2 76" xfId="51644"/>
    <cellStyle name="Title 2 2 2 77" xfId="51645"/>
    <cellStyle name="Title 2 2 2 78" xfId="51646"/>
    <cellStyle name="Title 2 2 2 79" xfId="51647"/>
    <cellStyle name="Title 2 2 2 8" xfId="51648"/>
    <cellStyle name="Title 2 2 2 8 2" xfId="51649"/>
    <cellStyle name="Title 2 2 2 80" xfId="51650"/>
    <cellStyle name="Title 2 2 2 81" xfId="51651"/>
    <cellStyle name="Title 2 2 2 82" xfId="51652"/>
    <cellStyle name="Title 2 2 2 83" xfId="51653"/>
    <cellStyle name="Title 2 2 2 84" xfId="51654"/>
    <cellStyle name="Title 2 2 2 85" xfId="51655"/>
    <cellStyle name="Title 2 2 2 86" xfId="51656"/>
    <cellStyle name="Title 2 2 2 87" xfId="51657"/>
    <cellStyle name="Title 2 2 2 88" xfId="51658"/>
    <cellStyle name="Title 2 2 2 89" xfId="51659"/>
    <cellStyle name="Title 2 2 2 9" xfId="51660"/>
    <cellStyle name="Title 2 2 2 9 2" xfId="51661"/>
    <cellStyle name="Title 2 2 2 90" xfId="51662"/>
    <cellStyle name="Title 2 2 2 91" xfId="51663"/>
    <cellStyle name="Title 2 2 2 92" xfId="51664"/>
    <cellStyle name="Title 2 2 2 93" xfId="51665"/>
    <cellStyle name="Title 2 2 2 94" xfId="51666"/>
    <cellStyle name="Title 2 2 2 95" xfId="51667"/>
    <cellStyle name="Title 2 2 2 96" xfId="51668"/>
    <cellStyle name="Title 2 2 2 97" xfId="51669"/>
    <cellStyle name="Title 2 2 2 98" xfId="51670"/>
    <cellStyle name="Title 2 2 2 99" xfId="51671"/>
    <cellStyle name="Title 2 2 20" xfId="51672"/>
    <cellStyle name="Title 2 2 20 2" xfId="51673"/>
    <cellStyle name="Title 2 2 21" xfId="51674"/>
    <cellStyle name="Title 2 2 21 2" xfId="51675"/>
    <cellStyle name="Title 2 2 22" xfId="51676"/>
    <cellStyle name="Title 2 2 22 2" xfId="51677"/>
    <cellStyle name="Title 2 2 23" xfId="51678"/>
    <cellStyle name="Title 2 2 23 2" xfId="51679"/>
    <cellStyle name="Title 2 2 24" xfId="51680"/>
    <cellStyle name="Title 2 2 24 2" xfId="51681"/>
    <cellStyle name="Title 2 2 25" xfId="51682"/>
    <cellStyle name="Title 2 2 25 2" xfId="51683"/>
    <cellStyle name="Title 2 2 26" xfId="51684"/>
    <cellStyle name="Title 2 2 26 2" xfId="51685"/>
    <cellStyle name="Title 2 2 27" xfId="51686"/>
    <cellStyle name="Title 2 2 27 2" xfId="51687"/>
    <cellStyle name="Title 2 2 28" xfId="51688"/>
    <cellStyle name="Title 2 2 28 2" xfId="51689"/>
    <cellStyle name="Title 2 2 29" xfId="51690"/>
    <cellStyle name="Title 2 2 29 2" xfId="51691"/>
    <cellStyle name="Title 2 2 3" xfId="51692"/>
    <cellStyle name="Title 2 2 3 2" xfId="51693"/>
    <cellStyle name="Title 2 2 30" xfId="51694"/>
    <cellStyle name="Title 2 2 30 2" xfId="51695"/>
    <cellStyle name="Title 2 2 31" xfId="51696"/>
    <cellStyle name="Title 2 2 31 2" xfId="51697"/>
    <cellStyle name="Title 2 2 32" xfId="51698"/>
    <cellStyle name="Title 2 2 32 2" xfId="51699"/>
    <cellStyle name="Title 2 2 33" xfId="51700"/>
    <cellStyle name="Title 2 2 33 10" xfId="51701"/>
    <cellStyle name="Title 2 2 33 11" xfId="51702"/>
    <cellStyle name="Title 2 2 33 12" xfId="51703"/>
    <cellStyle name="Title 2 2 33 13" xfId="51704"/>
    <cellStyle name="Title 2 2 33 14" xfId="51705"/>
    <cellStyle name="Title 2 2 33 15" xfId="51706"/>
    <cellStyle name="Title 2 2 33 16" xfId="51707"/>
    <cellStyle name="Title 2 2 33 17" xfId="51708"/>
    <cellStyle name="Title 2 2 33 18" xfId="51709"/>
    <cellStyle name="Title 2 2 33 19" xfId="51710"/>
    <cellStyle name="Title 2 2 33 2" xfId="51711"/>
    <cellStyle name="Title 2 2 33 2 10" xfId="51712"/>
    <cellStyle name="Title 2 2 33 2 11" xfId="51713"/>
    <cellStyle name="Title 2 2 33 2 12" xfId="51714"/>
    <cellStyle name="Title 2 2 33 2 13" xfId="51715"/>
    <cellStyle name="Title 2 2 33 2 14" xfId="51716"/>
    <cellStyle name="Title 2 2 33 2 15" xfId="51717"/>
    <cellStyle name="Title 2 2 33 2 16" xfId="51718"/>
    <cellStyle name="Title 2 2 33 2 17" xfId="51719"/>
    <cellStyle name="Title 2 2 33 2 18" xfId="51720"/>
    <cellStyle name="Title 2 2 33 2 19" xfId="51721"/>
    <cellStyle name="Title 2 2 33 2 2" xfId="51722"/>
    <cellStyle name="Title 2 2 33 2 2 2" xfId="51723"/>
    <cellStyle name="Title 2 2 33 2 20" xfId="51724"/>
    <cellStyle name="Title 2 2 33 2 21" xfId="51725"/>
    <cellStyle name="Title 2 2 33 2 22" xfId="51726"/>
    <cellStyle name="Title 2 2 33 2 23" xfId="51727"/>
    <cellStyle name="Title 2 2 33 2 24" xfId="51728"/>
    <cellStyle name="Title 2 2 33 2 25" xfId="51729"/>
    <cellStyle name="Title 2 2 33 2 26" xfId="51730"/>
    <cellStyle name="Title 2 2 33 2 27" xfId="51731"/>
    <cellStyle name="Title 2 2 33 2 28" xfId="51732"/>
    <cellStyle name="Title 2 2 33 2 29" xfId="51733"/>
    <cellStyle name="Title 2 2 33 2 3" xfId="51734"/>
    <cellStyle name="Title 2 2 33 2 30" xfId="51735"/>
    <cellStyle name="Title 2 2 33 2 31" xfId="51736"/>
    <cellStyle name="Title 2 2 33 2 32" xfId="51737"/>
    <cellStyle name="Title 2 2 33 2 33" xfId="51738"/>
    <cellStyle name="Title 2 2 33 2 34" xfId="51739"/>
    <cellStyle name="Title 2 2 33 2 35" xfId="51740"/>
    <cellStyle name="Title 2 2 33 2 36" xfId="51741"/>
    <cellStyle name="Title 2 2 33 2 37" xfId="51742"/>
    <cellStyle name="Title 2 2 33 2 38" xfId="51743"/>
    <cellStyle name="Title 2 2 33 2 39" xfId="51744"/>
    <cellStyle name="Title 2 2 33 2 4" xfId="51745"/>
    <cellStyle name="Title 2 2 33 2 40" xfId="51746"/>
    <cellStyle name="Title 2 2 33 2 41" xfId="51747"/>
    <cellStyle name="Title 2 2 33 2 42" xfId="51748"/>
    <cellStyle name="Title 2 2 33 2 43" xfId="51749"/>
    <cellStyle name="Title 2 2 33 2 44" xfId="51750"/>
    <cellStyle name="Title 2 2 33 2 45" xfId="51751"/>
    <cellStyle name="Title 2 2 33 2 46" xfId="51752"/>
    <cellStyle name="Title 2 2 33 2 47" xfId="51753"/>
    <cellStyle name="Title 2 2 33 2 48" xfId="51754"/>
    <cellStyle name="Title 2 2 33 2 49" xfId="51755"/>
    <cellStyle name="Title 2 2 33 2 5" xfId="51756"/>
    <cellStyle name="Title 2 2 33 2 50" xfId="51757"/>
    <cellStyle name="Title 2 2 33 2 51" xfId="51758"/>
    <cellStyle name="Title 2 2 33 2 52" xfId="51759"/>
    <cellStyle name="Title 2 2 33 2 53" xfId="51760"/>
    <cellStyle name="Title 2 2 33 2 54" xfId="51761"/>
    <cellStyle name="Title 2 2 33 2 55" xfId="51762"/>
    <cellStyle name="Title 2 2 33 2 56" xfId="51763"/>
    <cellStyle name="Title 2 2 33 2 57" xfId="51764"/>
    <cellStyle name="Title 2 2 33 2 58" xfId="51765"/>
    <cellStyle name="Title 2 2 33 2 59" xfId="51766"/>
    <cellStyle name="Title 2 2 33 2 6" xfId="51767"/>
    <cellStyle name="Title 2 2 33 2 60" xfId="51768"/>
    <cellStyle name="Title 2 2 33 2 61" xfId="51769"/>
    <cellStyle name="Title 2 2 33 2 62" xfId="51770"/>
    <cellStyle name="Title 2 2 33 2 63" xfId="51771"/>
    <cellStyle name="Title 2 2 33 2 64" xfId="51772"/>
    <cellStyle name="Title 2 2 33 2 65" xfId="51773"/>
    <cellStyle name="Title 2 2 33 2 66" xfId="51774"/>
    <cellStyle name="Title 2 2 33 2 67" xfId="51775"/>
    <cellStyle name="Title 2 2 33 2 68" xfId="51776"/>
    <cellStyle name="Title 2 2 33 2 69" xfId="51777"/>
    <cellStyle name="Title 2 2 33 2 7" xfId="51778"/>
    <cellStyle name="Title 2 2 33 2 70" xfId="51779"/>
    <cellStyle name="Title 2 2 33 2 71" xfId="51780"/>
    <cellStyle name="Title 2 2 33 2 72" xfId="51781"/>
    <cellStyle name="Title 2 2 33 2 73" xfId="51782"/>
    <cellStyle name="Title 2 2 33 2 74" xfId="51783"/>
    <cellStyle name="Title 2 2 33 2 8" xfId="51784"/>
    <cellStyle name="Title 2 2 33 2 9" xfId="51785"/>
    <cellStyle name="Title 2 2 33 20" xfId="51786"/>
    <cellStyle name="Title 2 2 33 21" xfId="51787"/>
    <cellStyle name="Title 2 2 33 22" xfId="51788"/>
    <cellStyle name="Title 2 2 33 23" xfId="51789"/>
    <cellStyle name="Title 2 2 33 24" xfId="51790"/>
    <cellStyle name="Title 2 2 33 25" xfId="51791"/>
    <cellStyle name="Title 2 2 33 26" xfId="51792"/>
    <cellStyle name="Title 2 2 33 27" xfId="51793"/>
    <cellStyle name="Title 2 2 33 28" xfId="51794"/>
    <cellStyle name="Title 2 2 33 29" xfId="51795"/>
    <cellStyle name="Title 2 2 33 3" xfId="51796"/>
    <cellStyle name="Title 2 2 33 3 2" xfId="51797"/>
    <cellStyle name="Title 2 2 33 30" xfId="51798"/>
    <cellStyle name="Title 2 2 33 31" xfId="51799"/>
    <cellStyle name="Title 2 2 33 32" xfId="51800"/>
    <cellStyle name="Title 2 2 33 33" xfId="51801"/>
    <cellStyle name="Title 2 2 33 34" xfId="51802"/>
    <cellStyle name="Title 2 2 33 35" xfId="51803"/>
    <cellStyle name="Title 2 2 33 36" xfId="51804"/>
    <cellStyle name="Title 2 2 33 37" xfId="51805"/>
    <cellStyle name="Title 2 2 33 38" xfId="51806"/>
    <cellStyle name="Title 2 2 33 39" xfId="51807"/>
    <cellStyle name="Title 2 2 33 4" xfId="51808"/>
    <cellStyle name="Title 2 2 33 40" xfId="51809"/>
    <cellStyle name="Title 2 2 33 41" xfId="51810"/>
    <cellStyle name="Title 2 2 33 42" xfId="51811"/>
    <cellStyle name="Title 2 2 33 43" xfId="51812"/>
    <cellStyle name="Title 2 2 33 44" xfId="51813"/>
    <cellStyle name="Title 2 2 33 45" xfId="51814"/>
    <cellStyle name="Title 2 2 33 46" xfId="51815"/>
    <cellStyle name="Title 2 2 33 47" xfId="51816"/>
    <cellStyle name="Title 2 2 33 48" xfId="51817"/>
    <cellStyle name="Title 2 2 33 49" xfId="51818"/>
    <cellStyle name="Title 2 2 33 5" xfId="51819"/>
    <cellStyle name="Title 2 2 33 50" xfId="51820"/>
    <cellStyle name="Title 2 2 33 51" xfId="51821"/>
    <cellStyle name="Title 2 2 33 52" xfId="51822"/>
    <cellStyle name="Title 2 2 33 53" xfId="51823"/>
    <cellStyle name="Title 2 2 33 54" xfId="51824"/>
    <cellStyle name="Title 2 2 33 55" xfId="51825"/>
    <cellStyle name="Title 2 2 33 56" xfId="51826"/>
    <cellStyle name="Title 2 2 33 57" xfId="51827"/>
    <cellStyle name="Title 2 2 33 58" xfId="51828"/>
    <cellStyle name="Title 2 2 33 59" xfId="51829"/>
    <cellStyle name="Title 2 2 33 6" xfId="51830"/>
    <cellStyle name="Title 2 2 33 60" xfId="51831"/>
    <cellStyle name="Title 2 2 33 61" xfId="51832"/>
    <cellStyle name="Title 2 2 33 62" xfId="51833"/>
    <cellStyle name="Title 2 2 33 63" xfId="51834"/>
    <cellStyle name="Title 2 2 33 64" xfId="51835"/>
    <cellStyle name="Title 2 2 33 65" xfId="51836"/>
    <cellStyle name="Title 2 2 33 66" xfId="51837"/>
    <cellStyle name="Title 2 2 33 67" xfId="51838"/>
    <cellStyle name="Title 2 2 33 68" xfId="51839"/>
    <cellStyle name="Title 2 2 33 69" xfId="51840"/>
    <cellStyle name="Title 2 2 33 7" xfId="51841"/>
    <cellStyle name="Title 2 2 33 70" xfId="51842"/>
    <cellStyle name="Title 2 2 33 71" xfId="51843"/>
    <cellStyle name="Title 2 2 33 72" xfId="51844"/>
    <cellStyle name="Title 2 2 33 73" xfId="51845"/>
    <cellStyle name="Title 2 2 33 74" xfId="51846"/>
    <cellStyle name="Title 2 2 33 8" xfId="51847"/>
    <cellStyle name="Title 2 2 33 9" xfId="51848"/>
    <cellStyle name="Title 2 2 34" xfId="51849"/>
    <cellStyle name="Title 2 2 34 2" xfId="51850"/>
    <cellStyle name="Title 2 2 35" xfId="51851"/>
    <cellStyle name="Title 2 2 35 2" xfId="51852"/>
    <cellStyle name="Title 2 2 36" xfId="51853"/>
    <cellStyle name="Title 2 2 36 2" xfId="51854"/>
    <cellStyle name="Title 2 2 37" xfId="51855"/>
    <cellStyle name="Title 2 2 37 2" xfId="51856"/>
    <cellStyle name="Title 2 2 38" xfId="51857"/>
    <cellStyle name="Title 2 2 38 2" xfId="51858"/>
    <cellStyle name="Title 2 2 39" xfId="51859"/>
    <cellStyle name="Title 2 2 39 2" xfId="51860"/>
    <cellStyle name="Title 2 2 4" xfId="51861"/>
    <cellStyle name="Title 2 2 4 2" xfId="51862"/>
    <cellStyle name="Title 2 2 40" xfId="51863"/>
    <cellStyle name="Title 2 2 40 2" xfId="51864"/>
    <cellStyle name="Title 2 2 41" xfId="51865"/>
    <cellStyle name="Title 2 2 41 2" xfId="51866"/>
    <cellStyle name="Title 2 2 42" xfId="51867"/>
    <cellStyle name="Title 2 2 42 2" xfId="51868"/>
    <cellStyle name="Title 2 2 43" xfId="51869"/>
    <cellStyle name="Title 2 2 43 2" xfId="51870"/>
    <cellStyle name="Title 2 2 44" xfId="51871"/>
    <cellStyle name="Title 2 2 44 2" xfId="51872"/>
    <cellStyle name="Title 2 2 45" xfId="51873"/>
    <cellStyle name="Title 2 2 45 2" xfId="51874"/>
    <cellStyle name="Title 2 2 46" xfId="51875"/>
    <cellStyle name="Title 2 2 46 2" xfId="51876"/>
    <cellStyle name="Title 2 2 47" xfId="51877"/>
    <cellStyle name="Title 2 2 47 2" xfId="51878"/>
    <cellStyle name="Title 2 2 48" xfId="51879"/>
    <cellStyle name="Title 2 2 48 2" xfId="51880"/>
    <cellStyle name="Title 2 2 49" xfId="51881"/>
    <cellStyle name="Title 2 2 49 2" xfId="51882"/>
    <cellStyle name="Title 2 2 5" xfId="51883"/>
    <cellStyle name="Title 2 2 5 2" xfId="51884"/>
    <cellStyle name="Title 2 2 50" xfId="51885"/>
    <cellStyle name="Title 2 2 50 2" xfId="51886"/>
    <cellStyle name="Title 2 2 51" xfId="51887"/>
    <cellStyle name="Title 2 2 51 2" xfId="51888"/>
    <cellStyle name="Title 2 2 52" xfId="51889"/>
    <cellStyle name="Title 2 2 52 2" xfId="51890"/>
    <cellStyle name="Title 2 2 53" xfId="51891"/>
    <cellStyle name="Title 2 2 53 2" xfId="51892"/>
    <cellStyle name="Title 2 2 54" xfId="51893"/>
    <cellStyle name="Title 2 2 54 2" xfId="51894"/>
    <cellStyle name="Title 2 2 55" xfId="51895"/>
    <cellStyle name="Title 2 2 55 2" xfId="51896"/>
    <cellStyle name="Title 2 2 56" xfId="51897"/>
    <cellStyle name="Title 2 2 56 2" xfId="51898"/>
    <cellStyle name="Title 2 2 57" xfId="51899"/>
    <cellStyle name="Title 2 2 57 2" xfId="51900"/>
    <cellStyle name="Title 2 2 58" xfId="51901"/>
    <cellStyle name="Title 2 2 58 2" xfId="51902"/>
    <cellStyle name="Title 2 2 59" xfId="51903"/>
    <cellStyle name="Title 2 2 59 2" xfId="51904"/>
    <cellStyle name="Title 2 2 6" xfId="51905"/>
    <cellStyle name="Title 2 2 6 2" xfId="51906"/>
    <cellStyle name="Title 2 2 60" xfId="51907"/>
    <cellStyle name="Title 2 2 60 2" xfId="51908"/>
    <cellStyle name="Title 2 2 61" xfId="51909"/>
    <cellStyle name="Title 2 2 61 2" xfId="51910"/>
    <cellStyle name="Title 2 2 62" xfId="51911"/>
    <cellStyle name="Title 2 2 62 2" xfId="51912"/>
    <cellStyle name="Title 2 2 63" xfId="51913"/>
    <cellStyle name="Title 2 2 63 2" xfId="51914"/>
    <cellStyle name="Title 2 2 64" xfId="51915"/>
    <cellStyle name="Title 2 2 64 2" xfId="51916"/>
    <cellStyle name="Title 2 2 65" xfId="51917"/>
    <cellStyle name="Title 2 2 65 2" xfId="51918"/>
    <cellStyle name="Title 2 2 66" xfId="51919"/>
    <cellStyle name="Title 2 2 66 2" xfId="51920"/>
    <cellStyle name="Title 2 2 67" xfId="51921"/>
    <cellStyle name="Title 2 2 67 2" xfId="51922"/>
    <cellStyle name="Title 2 2 68" xfId="51923"/>
    <cellStyle name="Title 2 2 68 2" xfId="51924"/>
    <cellStyle name="Title 2 2 69" xfId="51925"/>
    <cellStyle name="Title 2 2 69 2" xfId="51926"/>
    <cellStyle name="Title 2 2 7" xfId="51927"/>
    <cellStyle name="Title 2 2 7 10" xfId="51928"/>
    <cellStyle name="Title 2 2 7 100" xfId="51929"/>
    <cellStyle name="Title 2 2 7 101" xfId="51930"/>
    <cellStyle name="Title 2 2 7 102" xfId="51931"/>
    <cellStyle name="Title 2 2 7 103" xfId="51932"/>
    <cellStyle name="Title 2 2 7 104" xfId="51933"/>
    <cellStyle name="Title 2 2 7 105" xfId="51934"/>
    <cellStyle name="Title 2 2 7 106" xfId="51935"/>
    <cellStyle name="Title 2 2 7 107" xfId="51936"/>
    <cellStyle name="Title 2 2 7 108" xfId="51937"/>
    <cellStyle name="Title 2 2 7 109" xfId="51938"/>
    <cellStyle name="Title 2 2 7 11" xfId="51939"/>
    <cellStyle name="Title 2 2 7 110" xfId="51940"/>
    <cellStyle name="Title 2 2 7 12" xfId="51941"/>
    <cellStyle name="Title 2 2 7 13" xfId="51942"/>
    <cellStyle name="Title 2 2 7 14" xfId="51943"/>
    <cellStyle name="Title 2 2 7 15" xfId="51944"/>
    <cellStyle name="Title 2 2 7 16" xfId="51945"/>
    <cellStyle name="Title 2 2 7 17" xfId="51946"/>
    <cellStyle name="Title 2 2 7 18" xfId="51947"/>
    <cellStyle name="Title 2 2 7 19" xfId="51948"/>
    <cellStyle name="Title 2 2 7 2" xfId="51949"/>
    <cellStyle name="Title 2 2 7 2 10" xfId="51950"/>
    <cellStyle name="Title 2 2 7 2 11" xfId="51951"/>
    <cellStyle name="Title 2 2 7 2 12" xfId="51952"/>
    <cellStyle name="Title 2 2 7 2 13" xfId="51953"/>
    <cellStyle name="Title 2 2 7 2 13 2" xfId="51954"/>
    <cellStyle name="Title 2 2 7 2 14" xfId="51955"/>
    <cellStyle name="Title 2 2 7 2 15" xfId="51956"/>
    <cellStyle name="Title 2 2 7 2 16" xfId="51957"/>
    <cellStyle name="Title 2 2 7 2 17" xfId="51958"/>
    <cellStyle name="Title 2 2 7 2 18" xfId="51959"/>
    <cellStyle name="Title 2 2 7 2 19" xfId="51960"/>
    <cellStyle name="Title 2 2 7 2 2" xfId="51961"/>
    <cellStyle name="Title 2 2 7 2 2 10" xfId="51962"/>
    <cellStyle name="Title 2 2 7 2 2 11" xfId="51963"/>
    <cellStyle name="Title 2 2 7 2 2 12" xfId="51964"/>
    <cellStyle name="Title 2 2 7 2 2 13" xfId="51965"/>
    <cellStyle name="Title 2 2 7 2 2 14" xfId="51966"/>
    <cellStyle name="Title 2 2 7 2 2 15" xfId="51967"/>
    <cellStyle name="Title 2 2 7 2 2 16" xfId="51968"/>
    <cellStyle name="Title 2 2 7 2 2 17" xfId="51969"/>
    <cellStyle name="Title 2 2 7 2 2 18" xfId="51970"/>
    <cellStyle name="Title 2 2 7 2 2 19" xfId="51971"/>
    <cellStyle name="Title 2 2 7 2 2 2" xfId="51972"/>
    <cellStyle name="Title 2 2 7 2 2 2 10" xfId="51973"/>
    <cellStyle name="Title 2 2 7 2 2 2 11" xfId="51974"/>
    <cellStyle name="Title 2 2 7 2 2 2 12" xfId="51975"/>
    <cellStyle name="Title 2 2 7 2 2 2 13" xfId="51976"/>
    <cellStyle name="Title 2 2 7 2 2 2 14" xfId="51977"/>
    <cellStyle name="Title 2 2 7 2 2 2 15" xfId="51978"/>
    <cellStyle name="Title 2 2 7 2 2 2 16" xfId="51979"/>
    <cellStyle name="Title 2 2 7 2 2 2 17" xfId="51980"/>
    <cellStyle name="Title 2 2 7 2 2 2 18" xfId="51981"/>
    <cellStyle name="Title 2 2 7 2 2 2 19" xfId="51982"/>
    <cellStyle name="Title 2 2 7 2 2 2 2" xfId="51983"/>
    <cellStyle name="Title 2 2 7 2 2 2 2 10" xfId="51984"/>
    <cellStyle name="Title 2 2 7 2 2 2 2 11" xfId="51985"/>
    <cellStyle name="Title 2 2 7 2 2 2 2 12" xfId="51986"/>
    <cellStyle name="Title 2 2 7 2 2 2 2 13" xfId="51987"/>
    <cellStyle name="Title 2 2 7 2 2 2 2 14" xfId="51988"/>
    <cellStyle name="Title 2 2 7 2 2 2 2 15" xfId="51989"/>
    <cellStyle name="Title 2 2 7 2 2 2 2 16" xfId="51990"/>
    <cellStyle name="Title 2 2 7 2 2 2 2 17" xfId="51991"/>
    <cellStyle name="Title 2 2 7 2 2 2 2 18" xfId="51992"/>
    <cellStyle name="Title 2 2 7 2 2 2 2 19" xfId="51993"/>
    <cellStyle name="Title 2 2 7 2 2 2 2 2" xfId="51994"/>
    <cellStyle name="Title 2 2 7 2 2 2 2 2 10" xfId="51995"/>
    <cellStyle name="Title 2 2 7 2 2 2 2 2 11" xfId="51996"/>
    <cellStyle name="Title 2 2 7 2 2 2 2 2 12" xfId="51997"/>
    <cellStyle name="Title 2 2 7 2 2 2 2 2 13" xfId="51998"/>
    <cellStyle name="Title 2 2 7 2 2 2 2 2 14" xfId="51999"/>
    <cellStyle name="Title 2 2 7 2 2 2 2 2 15" xfId="52000"/>
    <cellStyle name="Title 2 2 7 2 2 2 2 2 16" xfId="52001"/>
    <cellStyle name="Title 2 2 7 2 2 2 2 2 17" xfId="52002"/>
    <cellStyle name="Title 2 2 7 2 2 2 2 2 18" xfId="52003"/>
    <cellStyle name="Title 2 2 7 2 2 2 2 2 19" xfId="52004"/>
    <cellStyle name="Title 2 2 7 2 2 2 2 2 2" xfId="52005"/>
    <cellStyle name="Title 2 2 7 2 2 2 2 2 2 2" xfId="52006"/>
    <cellStyle name="Title 2 2 7 2 2 2 2 2 20" xfId="52007"/>
    <cellStyle name="Title 2 2 7 2 2 2 2 2 21" xfId="52008"/>
    <cellStyle name="Title 2 2 7 2 2 2 2 2 22" xfId="52009"/>
    <cellStyle name="Title 2 2 7 2 2 2 2 2 23" xfId="52010"/>
    <cellStyle name="Title 2 2 7 2 2 2 2 2 24" xfId="52011"/>
    <cellStyle name="Title 2 2 7 2 2 2 2 2 25" xfId="52012"/>
    <cellStyle name="Title 2 2 7 2 2 2 2 2 26" xfId="52013"/>
    <cellStyle name="Title 2 2 7 2 2 2 2 2 27" xfId="52014"/>
    <cellStyle name="Title 2 2 7 2 2 2 2 2 28" xfId="52015"/>
    <cellStyle name="Title 2 2 7 2 2 2 2 2 29" xfId="52016"/>
    <cellStyle name="Title 2 2 7 2 2 2 2 2 3" xfId="52017"/>
    <cellStyle name="Title 2 2 7 2 2 2 2 2 30" xfId="52018"/>
    <cellStyle name="Title 2 2 7 2 2 2 2 2 31" xfId="52019"/>
    <cellStyle name="Title 2 2 7 2 2 2 2 2 32" xfId="52020"/>
    <cellStyle name="Title 2 2 7 2 2 2 2 2 33" xfId="52021"/>
    <cellStyle name="Title 2 2 7 2 2 2 2 2 34" xfId="52022"/>
    <cellStyle name="Title 2 2 7 2 2 2 2 2 35" xfId="52023"/>
    <cellStyle name="Title 2 2 7 2 2 2 2 2 36" xfId="52024"/>
    <cellStyle name="Title 2 2 7 2 2 2 2 2 37" xfId="52025"/>
    <cellStyle name="Title 2 2 7 2 2 2 2 2 38" xfId="52026"/>
    <cellStyle name="Title 2 2 7 2 2 2 2 2 39" xfId="52027"/>
    <cellStyle name="Title 2 2 7 2 2 2 2 2 4" xfId="52028"/>
    <cellStyle name="Title 2 2 7 2 2 2 2 2 40" xfId="52029"/>
    <cellStyle name="Title 2 2 7 2 2 2 2 2 41" xfId="52030"/>
    <cellStyle name="Title 2 2 7 2 2 2 2 2 42" xfId="52031"/>
    <cellStyle name="Title 2 2 7 2 2 2 2 2 43" xfId="52032"/>
    <cellStyle name="Title 2 2 7 2 2 2 2 2 44" xfId="52033"/>
    <cellStyle name="Title 2 2 7 2 2 2 2 2 45" xfId="52034"/>
    <cellStyle name="Title 2 2 7 2 2 2 2 2 46" xfId="52035"/>
    <cellStyle name="Title 2 2 7 2 2 2 2 2 47" xfId="52036"/>
    <cellStyle name="Title 2 2 7 2 2 2 2 2 48" xfId="52037"/>
    <cellStyle name="Title 2 2 7 2 2 2 2 2 49" xfId="52038"/>
    <cellStyle name="Title 2 2 7 2 2 2 2 2 5" xfId="52039"/>
    <cellStyle name="Title 2 2 7 2 2 2 2 2 50" xfId="52040"/>
    <cellStyle name="Title 2 2 7 2 2 2 2 2 51" xfId="52041"/>
    <cellStyle name="Title 2 2 7 2 2 2 2 2 52" xfId="52042"/>
    <cellStyle name="Title 2 2 7 2 2 2 2 2 53" xfId="52043"/>
    <cellStyle name="Title 2 2 7 2 2 2 2 2 54" xfId="52044"/>
    <cellStyle name="Title 2 2 7 2 2 2 2 2 55" xfId="52045"/>
    <cellStyle name="Title 2 2 7 2 2 2 2 2 56" xfId="52046"/>
    <cellStyle name="Title 2 2 7 2 2 2 2 2 57" xfId="52047"/>
    <cellStyle name="Title 2 2 7 2 2 2 2 2 58" xfId="52048"/>
    <cellStyle name="Title 2 2 7 2 2 2 2 2 59" xfId="52049"/>
    <cellStyle name="Title 2 2 7 2 2 2 2 2 6" xfId="52050"/>
    <cellStyle name="Title 2 2 7 2 2 2 2 2 60" xfId="52051"/>
    <cellStyle name="Title 2 2 7 2 2 2 2 2 61" xfId="52052"/>
    <cellStyle name="Title 2 2 7 2 2 2 2 2 62" xfId="52053"/>
    <cellStyle name="Title 2 2 7 2 2 2 2 2 63" xfId="52054"/>
    <cellStyle name="Title 2 2 7 2 2 2 2 2 64" xfId="52055"/>
    <cellStyle name="Title 2 2 7 2 2 2 2 2 65" xfId="52056"/>
    <cellStyle name="Title 2 2 7 2 2 2 2 2 66" xfId="52057"/>
    <cellStyle name="Title 2 2 7 2 2 2 2 2 67" xfId="52058"/>
    <cellStyle name="Title 2 2 7 2 2 2 2 2 68" xfId="52059"/>
    <cellStyle name="Title 2 2 7 2 2 2 2 2 69" xfId="52060"/>
    <cellStyle name="Title 2 2 7 2 2 2 2 2 7" xfId="52061"/>
    <cellStyle name="Title 2 2 7 2 2 2 2 2 70" xfId="52062"/>
    <cellStyle name="Title 2 2 7 2 2 2 2 2 71" xfId="52063"/>
    <cellStyle name="Title 2 2 7 2 2 2 2 2 72" xfId="52064"/>
    <cellStyle name="Title 2 2 7 2 2 2 2 2 73" xfId="52065"/>
    <cellStyle name="Title 2 2 7 2 2 2 2 2 74" xfId="52066"/>
    <cellStyle name="Title 2 2 7 2 2 2 2 2 8" xfId="52067"/>
    <cellStyle name="Title 2 2 7 2 2 2 2 2 9" xfId="52068"/>
    <cellStyle name="Title 2 2 7 2 2 2 2 20" xfId="52069"/>
    <cellStyle name="Title 2 2 7 2 2 2 2 21" xfId="52070"/>
    <cellStyle name="Title 2 2 7 2 2 2 2 22" xfId="52071"/>
    <cellStyle name="Title 2 2 7 2 2 2 2 23" xfId="52072"/>
    <cellStyle name="Title 2 2 7 2 2 2 2 24" xfId="52073"/>
    <cellStyle name="Title 2 2 7 2 2 2 2 25" xfId="52074"/>
    <cellStyle name="Title 2 2 7 2 2 2 2 26" xfId="52075"/>
    <cellStyle name="Title 2 2 7 2 2 2 2 27" xfId="52076"/>
    <cellStyle name="Title 2 2 7 2 2 2 2 28" xfId="52077"/>
    <cellStyle name="Title 2 2 7 2 2 2 2 29" xfId="52078"/>
    <cellStyle name="Title 2 2 7 2 2 2 2 3" xfId="52079"/>
    <cellStyle name="Title 2 2 7 2 2 2 2 3 2" xfId="52080"/>
    <cellStyle name="Title 2 2 7 2 2 2 2 30" xfId="52081"/>
    <cellStyle name="Title 2 2 7 2 2 2 2 31" xfId="52082"/>
    <cellStyle name="Title 2 2 7 2 2 2 2 32" xfId="52083"/>
    <cellStyle name="Title 2 2 7 2 2 2 2 33" xfId="52084"/>
    <cellStyle name="Title 2 2 7 2 2 2 2 34" xfId="52085"/>
    <cellStyle name="Title 2 2 7 2 2 2 2 35" xfId="52086"/>
    <cellStyle name="Title 2 2 7 2 2 2 2 36" xfId="52087"/>
    <cellStyle name="Title 2 2 7 2 2 2 2 37" xfId="52088"/>
    <cellStyle name="Title 2 2 7 2 2 2 2 38" xfId="52089"/>
    <cellStyle name="Title 2 2 7 2 2 2 2 39" xfId="52090"/>
    <cellStyle name="Title 2 2 7 2 2 2 2 4" xfId="52091"/>
    <cellStyle name="Title 2 2 7 2 2 2 2 40" xfId="52092"/>
    <cellStyle name="Title 2 2 7 2 2 2 2 41" xfId="52093"/>
    <cellStyle name="Title 2 2 7 2 2 2 2 42" xfId="52094"/>
    <cellStyle name="Title 2 2 7 2 2 2 2 43" xfId="52095"/>
    <cellStyle name="Title 2 2 7 2 2 2 2 44" xfId="52096"/>
    <cellStyle name="Title 2 2 7 2 2 2 2 45" xfId="52097"/>
    <cellStyle name="Title 2 2 7 2 2 2 2 46" xfId="52098"/>
    <cellStyle name="Title 2 2 7 2 2 2 2 47" xfId="52099"/>
    <cellStyle name="Title 2 2 7 2 2 2 2 48" xfId="52100"/>
    <cellStyle name="Title 2 2 7 2 2 2 2 49" xfId="52101"/>
    <cellStyle name="Title 2 2 7 2 2 2 2 5" xfId="52102"/>
    <cellStyle name="Title 2 2 7 2 2 2 2 50" xfId="52103"/>
    <cellStyle name="Title 2 2 7 2 2 2 2 51" xfId="52104"/>
    <cellStyle name="Title 2 2 7 2 2 2 2 52" xfId="52105"/>
    <cellStyle name="Title 2 2 7 2 2 2 2 53" xfId="52106"/>
    <cellStyle name="Title 2 2 7 2 2 2 2 54" xfId="52107"/>
    <cellStyle name="Title 2 2 7 2 2 2 2 55" xfId="52108"/>
    <cellStyle name="Title 2 2 7 2 2 2 2 56" xfId="52109"/>
    <cellStyle name="Title 2 2 7 2 2 2 2 57" xfId="52110"/>
    <cellStyle name="Title 2 2 7 2 2 2 2 58" xfId="52111"/>
    <cellStyle name="Title 2 2 7 2 2 2 2 59" xfId="52112"/>
    <cellStyle name="Title 2 2 7 2 2 2 2 6" xfId="52113"/>
    <cellStyle name="Title 2 2 7 2 2 2 2 60" xfId="52114"/>
    <cellStyle name="Title 2 2 7 2 2 2 2 61" xfId="52115"/>
    <cellStyle name="Title 2 2 7 2 2 2 2 62" xfId="52116"/>
    <cellStyle name="Title 2 2 7 2 2 2 2 63" xfId="52117"/>
    <cellStyle name="Title 2 2 7 2 2 2 2 64" xfId="52118"/>
    <cellStyle name="Title 2 2 7 2 2 2 2 65" xfId="52119"/>
    <cellStyle name="Title 2 2 7 2 2 2 2 66" xfId="52120"/>
    <cellStyle name="Title 2 2 7 2 2 2 2 67" xfId="52121"/>
    <cellStyle name="Title 2 2 7 2 2 2 2 68" xfId="52122"/>
    <cellStyle name="Title 2 2 7 2 2 2 2 69" xfId="52123"/>
    <cellStyle name="Title 2 2 7 2 2 2 2 7" xfId="52124"/>
    <cellStyle name="Title 2 2 7 2 2 2 2 70" xfId="52125"/>
    <cellStyle name="Title 2 2 7 2 2 2 2 71" xfId="52126"/>
    <cellStyle name="Title 2 2 7 2 2 2 2 72" xfId="52127"/>
    <cellStyle name="Title 2 2 7 2 2 2 2 73" xfId="52128"/>
    <cellStyle name="Title 2 2 7 2 2 2 2 74" xfId="52129"/>
    <cellStyle name="Title 2 2 7 2 2 2 2 8" xfId="52130"/>
    <cellStyle name="Title 2 2 7 2 2 2 2 9" xfId="52131"/>
    <cellStyle name="Title 2 2 7 2 2 2 20" xfId="52132"/>
    <cellStyle name="Title 2 2 7 2 2 2 21" xfId="52133"/>
    <cellStyle name="Title 2 2 7 2 2 2 22" xfId="52134"/>
    <cellStyle name="Title 2 2 7 2 2 2 23" xfId="52135"/>
    <cellStyle name="Title 2 2 7 2 2 2 24" xfId="52136"/>
    <cellStyle name="Title 2 2 7 2 2 2 25" xfId="52137"/>
    <cellStyle name="Title 2 2 7 2 2 2 26" xfId="52138"/>
    <cellStyle name="Title 2 2 7 2 2 2 27" xfId="52139"/>
    <cellStyle name="Title 2 2 7 2 2 2 28" xfId="52140"/>
    <cellStyle name="Title 2 2 7 2 2 2 29" xfId="52141"/>
    <cellStyle name="Title 2 2 7 2 2 2 3" xfId="52142"/>
    <cellStyle name="Title 2 2 7 2 2 2 3 2" xfId="52143"/>
    <cellStyle name="Title 2 2 7 2 2 2 30" xfId="52144"/>
    <cellStyle name="Title 2 2 7 2 2 2 31" xfId="52145"/>
    <cellStyle name="Title 2 2 7 2 2 2 32" xfId="52146"/>
    <cellStyle name="Title 2 2 7 2 2 2 33" xfId="52147"/>
    <cellStyle name="Title 2 2 7 2 2 2 34" xfId="52148"/>
    <cellStyle name="Title 2 2 7 2 2 2 35" xfId="52149"/>
    <cellStyle name="Title 2 2 7 2 2 2 36" xfId="52150"/>
    <cellStyle name="Title 2 2 7 2 2 2 37" xfId="52151"/>
    <cellStyle name="Title 2 2 7 2 2 2 38" xfId="52152"/>
    <cellStyle name="Title 2 2 7 2 2 2 39" xfId="52153"/>
    <cellStyle name="Title 2 2 7 2 2 2 4" xfId="52154"/>
    <cellStyle name="Title 2 2 7 2 2 2 40" xfId="52155"/>
    <cellStyle name="Title 2 2 7 2 2 2 41" xfId="52156"/>
    <cellStyle name="Title 2 2 7 2 2 2 42" xfId="52157"/>
    <cellStyle name="Title 2 2 7 2 2 2 43" xfId="52158"/>
    <cellStyle name="Title 2 2 7 2 2 2 44" xfId="52159"/>
    <cellStyle name="Title 2 2 7 2 2 2 45" xfId="52160"/>
    <cellStyle name="Title 2 2 7 2 2 2 46" xfId="52161"/>
    <cellStyle name="Title 2 2 7 2 2 2 47" xfId="52162"/>
    <cellStyle name="Title 2 2 7 2 2 2 48" xfId="52163"/>
    <cellStyle name="Title 2 2 7 2 2 2 49" xfId="52164"/>
    <cellStyle name="Title 2 2 7 2 2 2 5" xfId="52165"/>
    <cellStyle name="Title 2 2 7 2 2 2 50" xfId="52166"/>
    <cellStyle name="Title 2 2 7 2 2 2 51" xfId="52167"/>
    <cellStyle name="Title 2 2 7 2 2 2 52" xfId="52168"/>
    <cellStyle name="Title 2 2 7 2 2 2 53" xfId="52169"/>
    <cellStyle name="Title 2 2 7 2 2 2 54" xfId="52170"/>
    <cellStyle name="Title 2 2 7 2 2 2 55" xfId="52171"/>
    <cellStyle name="Title 2 2 7 2 2 2 56" xfId="52172"/>
    <cellStyle name="Title 2 2 7 2 2 2 57" xfId="52173"/>
    <cellStyle name="Title 2 2 7 2 2 2 58" xfId="52174"/>
    <cellStyle name="Title 2 2 7 2 2 2 59" xfId="52175"/>
    <cellStyle name="Title 2 2 7 2 2 2 6" xfId="52176"/>
    <cellStyle name="Title 2 2 7 2 2 2 60" xfId="52177"/>
    <cellStyle name="Title 2 2 7 2 2 2 61" xfId="52178"/>
    <cellStyle name="Title 2 2 7 2 2 2 62" xfId="52179"/>
    <cellStyle name="Title 2 2 7 2 2 2 63" xfId="52180"/>
    <cellStyle name="Title 2 2 7 2 2 2 64" xfId="52181"/>
    <cellStyle name="Title 2 2 7 2 2 2 65" xfId="52182"/>
    <cellStyle name="Title 2 2 7 2 2 2 66" xfId="52183"/>
    <cellStyle name="Title 2 2 7 2 2 2 67" xfId="52184"/>
    <cellStyle name="Title 2 2 7 2 2 2 68" xfId="52185"/>
    <cellStyle name="Title 2 2 7 2 2 2 69" xfId="52186"/>
    <cellStyle name="Title 2 2 7 2 2 2 7" xfId="52187"/>
    <cellStyle name="Title 2 2 7 2 2 2 70" xfId="52188"/>
    <cellStyle name="Title 2 2 7 2 2 2 71" xfId="52189"/>
    <cellStyle name="Title 2 2 7 2 2 2 72" xfId="52190"/>
    <cellStyle name="Title 2 2 7 2 2 2 73" xfId="52191"/>
    <cellStyle name="Title 2 2 7 2 2 2 74" xfId="52192"/>
    <cellStyle name="Title 2 2 7 2 2 2 75" xfId="52193"/>
    <cellStyle name="Title 2 2 7 2 2 2 76" xfId="52194"/>
    <cellStyle name="Title 2 2 7 2 2 2 77" xfId="52195"/>
    <cellStyle name="Title 2 2 7 2 2 2 78" xfId="52196"/>
    <cellStyle name="Title 2 2 7 2 2 2 79" xfId="52197"/>
    <cellStyle name="Title 2 2 7 2 2 2 8" xfId="52198"/>
    <cellStyle name="Title 2 2 7 2 2 2 80" xfId="52199"/>
    <cellStyle name="Title 2 2 7 2 2 2 81" xfId="52200"/>
    <cellStyle name="Title 2 2 7 2 2 2 82" xfId="52201"/>
    <cellStyle name="Title 2 2 7 2 2 2 83" xfId="52202"/>
    <cellStyle name="Title 2 2 7 2 2 2 84" xfId="52203"/>
    <cellStyle name="Title 2 2 7 2 2 2 85" xfId="52204"/>
    <cellStyle name="Title 2 2 7 2 2 2 86" xfId="52205"/>
    <cellStyle name="Title 2 2 7 2 2 2 87" xfId="52206"/>
    <cellStyle name="Title 2 2 7 2 2 2 88" xfId="52207"/>
    <cellStyle name="Title 2 2 7 2 2 2 9" xfId="52208"/>
    <cellStyle name="Title 2 2 7 2 2 20" xfId="52209"/>
    <cellStyle name="Title 2 2 7 2 2 21" xfId="52210"/>
    <cellStyle name="Title 2 2 7 2 2 22" xfId="52211"/>
    <cellStyle name="Title 2 2 7 2 2 23" xfId="52212"/>
    <cellStyle name="Title 2 2 7 2 2 24" xfId="52213"/>
    <cellStyle name="Title 2 2 7 2 2 25" xfId="52214"/>
    <cellStyle name="Title 2 2 7 2 2 26" xfId="52215"/>
    <cellStyle name="Title 2 2 7 2 2 27" xfId="52216"/>
    <cellStyle name="Title 2 2 7 2 2 28" xfId="52217"/>
    <cellStyle name="Title 2 2 7 2 2 29" xfId="52218"/>
    <cellStyle name="Title 2 2 7 2 2 3" xfId="52219"/>
    <cellStyle name="Title 2 2 7 2 2 3 2" xfId="52220"/>
    <cellStyle name="Title 2 2 7 2 2 30" xfId="52221"/>
    <cellStyle name="Title 2 2 7 2 2 31" xfId="52222"/>
    <cellStyle name="Title 2 2 7 2 2 32" xfId="52223"/>
    <cellStyle name="Title 2 2 7 2 2 33" xfId="52224"/>
    <cellStyle name="Title 2 2 7 2 2 34" xfId="52225"/>
    <cellStyle name="Title 2 2 7 2 2 35" xfId="52226"/>
    <cellStyle name="Title 2 2 7 2 2 36" xfId="52227"/>
    <cellStyle name="Title 2 2 7 2 2 37" xfId="52228"/>
    <cellStyle name="Title 2 2 7 2 2 38" xfId="52229"/>
    <cellStyle name="Title 2 2 7 2 2 39" xfId="52230"/>
    <cellStyle name="Title 2 2 7 2 2 4" xfId="52231"/>
    <cellStyle name="Title 2 2 7 2 2 40" xfId="52232"/>
    <cellStyle name="Title 2 2 7 2 2 41" xfId="52233"/>
    <cellStyle name="Title 2 2 7 2 2 42" xfId="52234"/>
    <cellStyle name="Title 2 2 7 2 2 43" xfId="52235"/>
    <cellStyle name="Title 2 2 7 2 2 44" xfId="52236"/>
    <cellStyle name="Title 2 2 7 2 2 45" xfId="52237"/>
    <cellStyle name="Title 2 2 7 2 2 46" xfId="52238"/>
    <cellStyle name="Title 2 2 7 2 2 47" xfId="52239"/>
    <cellStyle name="Title 2 2 7 2 2 48" xfId="52240"/>
    <cellStyle name="Title 2 2 7 2 2 49" xfId="52241"/>
    <cellStyle name="Title 2 2 7 2 2 5" xfId="52242"/>
    <cellStyle name="Title 2 2 7 2 2 50" xfId="52243"/>
    <cellStyle name="Title 2 2 7 2 2 51" xfId="52244"/>
    <cellStyle name="Title 2 2 7 2 2 52" xfId="52245"/>
    <cellStyle name="Title 2 2 7 2 2 53" xfId="52246"/>
    <cellStyle name="Title 2 2 7 2 2 54" xfId="52247"/>
    <cellStyle name="Title 2 2 7 2 2 55" xfId="52248"/>
    <cellStyle name="Title 2 2 7 2 2 56" xfId="52249"/>
    <cellStyle name="Title 2 2 7 2 2 57" xfId="52250"/>
    <cellStyle name="Title 2 2 7 2 2 58" xfId="52251"/>
    <cellStyle name="Title 2 2 7 2 2 59" xfId="52252"/>
    <cellStyle name="Title 2 2 7 2 2 6" xfId="52253"/>
    <cellStyle name="Title 2 2 7 2 2 60" xfId="52254"/>
    <cellStyle name="Title 2 2 7 2 2 61" xfId="52255"/>
    <cellStyle name="Title 2 2 7 2 2 62" xfId="52256"/>
    <cellStyle name="Title 2 2 7 2 2 63" xfId="52257"/>
    <cellStyle name="Title 2 2 7 2 2 64" xfId="52258"/>
    <cellStyle name="Title 2 2 7 2 2 65" xfId="52259"/>
    <cellStyle name="Title 2 2 7 2 2 66" xfId="52260"/>
    <cellStyle name="Title 2 2 7 2 2 67" xfId="52261"/>
    <cellStyle name="Title 2 2 7 2 2 68" xfId="52262"/>
    <cellStyle name="Title 2 2 7 2 2 69" xfId="52263"/>
    <cellStyle name="Title 2 2 7 2 2 7" xfId="52264"/>
    <cellStyle name="Title 2 2 7 2 2 70" xfId="52265"/>
    <cellStyle name="Title 2 2 7 2 2 71" xfId="52266"/>
    <cellStyle name="Title 2 2 7 2 2 72" xfId="52267"/>
    <cellStyle name="Title 2 2 7 2 2 73" xfId="52268"/>
    <cellStyle name="Title 2 2 7 2 2 74" xfId="52269"/>
    <cellStyle name="Title 2 2 7 2 2 75" xfId="52270"/>
    <cellStyle name="Title 2 2 7 2 2 76" xfId="52271"/>
    <cellStyle name="Title 2 2 7 2 2 77" xfId="52272"/>
    <cellStyle name="Title 2 2 7 2 2 78" xfId="52273"/>
    <cellStyle name="Title 2 2 7 2 2 79" xfId="52274"/>
    <cellStyle name="Title 2 2 7 2 2 8" xfId="52275"/>
    <cellStyle name="Title 2 2 7 2 2 80" xfId="52276"/>
    <cellStyle name="Title 2 2 7 2 2 81" xfId="52277"/>
    <cellStyle name="Title 2 2 7 2 2 82" xfId="52278"/>
    <cellStyle name="Title 2 2 7 2 2 83" xfId="52279"/>
    <cellStyle name="Title 2 2 7 2 2 84" xfId="52280"/>
    <cellStyle name="Title 2 2 7 2 2 85" xfId="52281"/>
    <cellStyle name="Title 2 2 7 2 2 86" xfId="52282"/>
    <cellStyle name="Title 2 2 7 2 2 87" xfId="52283"/>
    <cellStyle name="Title 2 2 7 2 2 88" xfId="52284"/>
    <cellStyle name="Title 2 2 7 2 2 9" xfId="52285"/>
    <cellStyle name="Title 2 2 7 2 20" xfId="52286"/>
    <cellStyle name="Title 2 2 7 2 21" xfId="52287"/>
    <cellStyle name="Title 2 2 7 2 22" xfId="52288"/>
    <cellStyle name="Title 2 2 7 2 23" xfId="52289"/>
    <cellStyle name="Title 2 2 7 2 24" xfId="52290"/>
    <cellStyle name="Title 2 2 7 2 25" xfId="52291"/>
    <cellStyle name="Title 2 2 7 2 26" xfId="52292"/>
    <cellStyle name="Title 2 2 7 2 27" xfId="52293"/>
    <cellStyle name="Title 2 2 7 2 28" xfId="52294"/>
    <cellStyle name="Title 2 2 7 2 29" xfId="52295"/>
    <cellStyle name="Title 2 2 7 2 3" xfId="52296"/>
    <cellStyle name="Title 2 2 7 2 30" xfId="52297"/>
    <cellStyle name="Title 2 2 7 2 31" xfId="52298"/>
    <cellStyle name="Title 2 2 7 2 32" xfId="52299"/>
    <cellStyle name="Title 2 2 7 2 33" xfId="52300"/>
    <cellStyle name="Title 2 2 7 2 34" xfId="52301"/>
    <cellStyle name="Title 2 2 7 2 35" xfId="52302"/>
    <cellStyle name="Title 2 2 7 2 36" xfId="52303"/>
    <cellStyle name="Title 2 2 7 2 37" xfId="52304"/>
    <cellStyle name="Title 2 2 7 2 38" xfId="52305"/>
    <cellStyle name="Title 2 2 7 2 39" xfId="52306"/>
    <cellStyle name="Title 2 2 7 2 4" xfId="52307"/>
    <cellStyle name="Title 2 2 7 2 40" xfId="52308"/>
    <cellStyle name="Title 2 2 7 2 41" xfId="52309"/>
    <cellStyle name="Title 2 2 7 2 42" xfId="52310"/>
    <cellStyle name="Title 2 2 7 2 43" xfId="52311"/>
    <cellStyle name="Title 2 2 7 2 44" xfId="52312"/>
    <cellStyle name="Title 2 2 7 2 45" xfId="52313"/>
    <cellStyle name="Title 2 2 7 2 46" xfId="52314"/>
    <cellStyle name="Title 2 2 7 2 47" xfId="52315"/>
    <cellStyle name="Title 2 2 7 2 48" xfId="52316"/>
    <cellStyle name="Title 2 2 7 2 49" xfId="52317"/>
    <cellStyle name="Title 2 2 7 2 5" xfId="52318"/>
    <cellStyle name="Title 2 2 7 2 50" xfId="52319"/>
    <cellStyle name="Title 2 2 7 2 51" xfId="52320"/>
    <cellStyle name="Title 2 2 7 2 52" xfId="52321"/>
    <cellStyle name="Title 2 2 7 2 53" xfId="52322"/>
    <cellStyle name="Title 2 2 7 2 54" xfId="52323"/>
    <cellStyle name="Title 2 2 7 2 55" xfId="52324"/>
    <cellStyle name="Title 2 2 7 2 56" xfId="52325"/>
    <cellStyle name="Title 2 2 7 2 57" xfId="52326"/>
    <cellStyle name="Title 2 2 7 2 58" xfId="52327"/>
    <cellStyle name="Title 2 2 7 2 59" xfId="52328"/>
    <cellStyle name="Title 2 2 7 2 6" xfId="52329"/>
    <cellStyle name="Title 2 2 7 2 60" xfId="52330"/>
    <cellStyle name="Title 2 2 7 2 61" xfId="52331"/>
    <cellStyle name="Title 2 2 7 2 62" xfId="52332"/>
    <cellStyle name="Title 2 2 7 2 63" xfId="52333"/>
    <cellStyle name="Title 2 2 7 2 64" xfId="52334"/>
    <cellStyle name="Title 2 2 7 2 65" xfId="52335"/>
    <cellStyle name="Title 2 2 7 2 66" xfId="52336"/>
    <cellStyle name="Title 2 2 7 2 67" xfId="52337"/>
    <cellStyle name="Title 2 2 7 2 68" xfId="52338"/>
    <cellStyle name="Title 2 2 7 2 69" xfId="52339"/>
    <cellStyle name="Title 2 2 7 2 7" xfId="52340"/>
    <cellStyle name="Title 2 2 7 2 70" xfId="52341"/>
    <cellStyle name="Title 2 2 7 2 71" xfId="52342"/>
    <cellStyle name="Title 2 2 7 2 72" xfId="52343"/>
    <cellStyle name="Title 2 2 7 2 73" xfId="52344"/>
    <cellStyle name="Title 2 2 7 2 74" xfId="52345"/>
    <cellStyle name="Title 2 2 7 2 75" xfId="52346"/>
    <cellStyle name="Title 2 2 7 2 76" xfId="52347"/>
    <cellStyle name="Title 2 2 7 2 77" xfId="52348"/>
    <cellStyle name="Title 2 2 7 2 78" xfId="52349"/>
    <cellStyle name="Title 2 2 7 2 79" xfId="52350"/>
    <cellStyle name="Title 2 2 7 2 8" xfId="52351"/>
    <cellStyle name="Title 2 2 7 2 80" xfId="52352"/>
    <cellStyle name="Title 2 2 7 2 81" xfId="52353"/>
    <cellStyle name="Title 2 2 7 2 82" xfId="52354"/>
    <cellStyle name="Title 2 2 7 2 83" xfId="52355"/>
    <cellStyle name="Title 2 2 7 2 84" xfId="52356"/>
    <cellStyle name="Title 2 2 7 2 85" xfId="52357"/>
    <cellStyle name="Title 2 2 7 2 86" xfId="52358"/>
    <cellStyle name="Title 2 2 7 2 87" xfId="52359"/>
    <cellStyle name="Title 2 2 7 2 88" xfId="52360"/>
    <cellStyle name="Title 2 2 7 2 89" xfId="52361"/>
    <cellStyle name="Title 2 2 7 2 9" xfId="52362"/>
    <cellStyle name="Title 2 2 7 2 90" xfId="52363"/>
    <cellStyle name="Title 2 2 7 2 91" xfId="52364"/>
    <cellStyle name="Title 2 2 7 2 92" xfId="52365"/>
    <cellStyle name="Title 2 2 7 2 93" xfId="52366"/>
    <cellStyle name="Title 2 2 7 2 94" xfId="52367"/>
    <cellStyle name="Title 2 2 7 2 95" xfId="52368"/>
    <cellStyle name="Title 2 2 7 2 96" xfId="52369"/>
    <cellStyle name="Title 2 2 7 2 97" xfId="52370"/>
    <cellStyle name="Title 2 2 7 2 98" xfId="52371"/>
    <cellStyle name="Title 2 2 7 20" xfId="52372"/>
    <cellStyle name="Title 2 2 7 21" xfId="52373"/>
    <cellStyle name="Title 2 2 7 22" xfId="52374"/>
    <cellStyle name="Title 2 2 7 23" xfId="52375"/>
    <cellStyle name="Title 2 2 7 24" xfId="52376"/>
    <cellStyle name="Title 2 2 7 25" xfId="52377"/>
    <cellStyle name="Title 2 2 7 25 2" xfId="52378"/>
    <cellStyle name="Title 2 2 7 26" xfId="52379"/>
    <cellStyle name="Title 2 2 7 27" xfId="52380"/>
    <cellStyle name="Title 2 2 7 28" xfId="52381"/>
    <cellStyle name="Title 2 2 7 29" xfId="52382"/>
    <cellStyle name="Title 2 2 7 3" xfId="52383"/>
    <cellStyle name="Title 2 2 7 30" xfId="52384"/>
    <cellStyle name="Title 2 2 7 31" xfId="52385"/>
    <cellStyle name="Title 2 2 7 32" xfId="52386"/>
    <cellStyle name="Title 2 2 7 33" xfId="52387"/>
    <cellStyle name="Title 2 2 7 34" xfId="52388"/>
    <cellStyle name="Title 2 2 7 35" xfId="52389"/>
    <cellStyle name="Title 2 2 7 36" xfId="52390"/>
    <cellStyle name="Title 2 2 7 37" xfId="52391"/>
    <cellStyle name="Title 2 2 7 38" xfId="52392"/>
    <cellStyle name="Title 2 2 7 39" xfId="52393"/>
    <cellStyle name="Title 2 2 7 4" xfId="52394"/>
    <cellStyle name="Title 2 2 7 4 10" xfId="52395"/>
    <cellStyle name="Title 2 2 7 4 11" xfId="52396"/>
    <cellStyle name="Title 2 2 7 4 12" xfId="52397"/>
    <cellStyle name="Title 2 2 7 4 13" xfId="52398"/>
    <cellStyle name="Title 2 2 7 4 14" xfId="52399"/>
    <cellStyle name="Title 2 2 7 4 15" xfId="52400"/>
    <cellStyle name="Title 2 2 7 4 16" xfId="52401"/>
    <cellStyle name="Title 2 2 7 4 17" xfId="52402"/>
    <cellStyle name="Title 2 2 7 4 18" xfId="52403"/>
    <cellStyle name="Title 2 2 7 4 19" xfId="52404"/>
    <cellStyle name="Title 2 2 7 4 2" xfId="52405"/>
    <cellStyle name="Title 2 2 7 4 2 10" xfId="52406"/>
    <cellStyle name="Title 2 2 7 4 2 11" xfId="52407"/>
    <cellStyle name="Title 2 2 7 4 2 12" xfId="52408"/>
    <cellStyle name="Title 2 2 7 4 2 13" xfId="52409"/>
    <cellStyle name="Title 2 2 7 4 2 14" xfId="52410"/>
    <cellStyle name="Title 2 2 7 4 2 15" xfId="52411"/>
    <cellStyle name="Title 2 2 7 4 2 16" xfId="52412"/>
    <cellStyle name="Title 2 2 7 4 2 17" xfId="52413"/>
    <cellStyle name="Title 2 2 7 4 2 18" xfId="52414"/>
    <cellStyle name="Title 2 2 7 4 2 19" xfId="52415"/>
    <cellStyle name="Title 2 2 7 4 2 2" xfId="52416"/>
    <cellStyle name="Title 2 2 7 4 2 2 2" xfId="52417"/>
    <cellStyle name="Title 2 2 7 4 2 20" xfId="52418"/>
    <cellStyle name="Title 2 2 7 4 2 21" xfId="52419"/>
    <cellStyle name="Title 2 2 7 4 2 22" xfId="52420"/>
    <cellStyle name="Title 2 2 7 4 2 23" xfId="52421"/>
    <cellStyle name="Title 2 2 7 4 2 24" xfId="52422"/>
    <cellStyle name="Title 2 2 7 4 2 25" xfId="52423"/>
    <cellStyle name="Title 2 2 7 4 2 26" xfId="52424"/>
    <cellStyle name="Title 2 2 7 4 2 27" xfId="52425"/>
    <cellStyle name="Title 2 2 7 4 2 28" xfId="52426"/>
    <cellStyle name="Title 2 2 7 4 2 29" xfId="52427"/>
    <cellStyle name="Title 2 2 7 4 2 3" xfId="52428"/>
    <cellStyle name="Title 2 2 7 4 2 30" xfId="52429"/>
    <cellStyle name="Title 2 2 7 4 2 31" xfId="52430"/>
    <cellStyle name="Title 2 2 7 4 2 32" xfId="52431"/>
    <cellStyle name="Title 2 2 7 4 2 33" xfId="52432"/>
    <cellStyle name="Title 2 2 7 4 2 34" xfId="52433"/>
    <cellStyle name="Title 2 2 7 4 2 35" xfId="52434"/>
    <cellStyle name="Title 2 2 7 4 2 36" xfId="52435"/>
    <cellStyle name="Title 2 2 7 4 2 37" xfId="52436"/>
    <cellStyle name="Title 2 2 7 4 2 38" xfId="52437"/>
    <cellStyle name="Title 2 2 7 4 2 39" xfId="52438"/>
    <cellStyle name="Title 2 2 7 4 2 4" xfId="52439"/>
    <cellStyle name="Title 2 2 7 4 2 40" xfId="52440"/>
    <cellStyle name="Title 2 2 7 4 2 41" xfId="52441"/>
    <cellStyle name="Title 2 2 7 4 2 42" xfId="52442"/>
    <cellStyle name="Title 2 2 7 4 2 43" xfId="52443"/>
    <cellStyle name="Title 2 2 7 4 2 44" xfId="52444"/>
    <cellStyle name="Title 2 2 7 4 2 45" xfId="52445"/>
    <cellStyle name="Title 2 2 7 4 2 46" xfId="52446"/>
    <cellStyle name="Title 2 2 7 4 2 47" xfId="52447"/>
    <cellStyle name="Title 2 2 7 4 2 48" xfId="52448"/>
    <cellStyle name="Title 2 2 7 4 2 49" xfId="52449"/>
    <cellStyle name="Title 2 2 7 4 2 5" xfId="52450"/>
    <cellStyle name="Title 2 2 7 4 2 50" xfId="52451"/>
    <cellStyle name="Title 2 2 7 4 2 51" xfId="52452"/>
    <cellStyle name="Title 2 2 7 4 2 52" xfId="52453"/>
    <cellStyle name="Title 2 2 7 4 2 53" xfId="52454"/>
    <cellStyle name="Title 2 2 7 4 2 54" xfId="52455"/>
    <cellStyle name="Title 2 2 7 4 2 55" xfId="52456"/>
    <cellStyle name="Title 2 2 7 4 2 56" xfId="52457"/>
    <cellStyle name="Title 2 2 7 4 2 57" xfId="52458"/>
    <cellStyle name="Title 2 2 7 4 2 58" xfId="52459"/>
    <cellStyle name="Title 2 2 7 4 2 59" xfId="52460"/>
    <cellStyle name="Title 2 2 7 4 2 6" xfId="52461"/>
    <cellStyle name="Title 2 2 7 4 2 60" xfId="52462"/>
    <cellStyle name="Title 2 2 7 4 2 61" xfId="52463"/>
    <cellStyle name="Title 2 2 7 4 2 62" xfId="52464"/>
    <cellStyle name="Title 2 2 7 4 2 63" xfId="52465"/>
    <cellStyle name="Title 2 2 7 4 2 64" xfId="52466"/>
    <cellStyle name="Title 2 2 7 4 2 65" xfId="52467"/>
    <cellStyle name="Title 2 2 7 4 2 66" xfId="52468"/>
    <cellStyle name="Title 2 2 7 4 2 67" xfId="52469"/>
    <cellStyle name="Title 2 2 7 4 2 68" xfId="52470"/>
    <cellStyle name="Title 2 2 7 4 2 69" xfId="52471"/>
    <cellStyle name="Title 2 2 7 4 2 7" xfId="52472"/>
    <cellStyle name="Title 2 2 7 4 2 70" xfId="52473"/>
    <cellStyle name="Title 2 2 7 4 2 71" xfId="52474"/>
    <cellStyle name="Title 2 2 7 4 2 72" xfId="52475"/>
    <cellStyle name="Title 2 2 7 4 2 73" xfId="52476"/>
    <cellStyle name="Title 2 2 7 4 2 74" xfId="52477"/>
    <cellStyle name="Title 2 2 7 4 2 8" xfId="52478"/>
    <cellStyle name="Title 2 2 7 4 2 9" xfId="52479"/>
    <cellStyle name="Title 2 2 7 4 20" xfId="52480"/>
    <cellStyle name="Title 2 2 7 4 21" xfId="52481"/>
    <cellStyle name="Title 2 2 7 4 22" xfId="52482"/>
    <cellStyle name="Title 2 2 7 4 23" xfId="52483"/>
    <cellStyle name="Title 2 2 7 4 24" xfId="52484"/>
    <cellStyle name="Title 2 2 7 4 25" xfId="52485"/>
    <cellStyle name="Title 2 2 7 4 26" xfId="52486"/>
    <cellStyle name="Title 2 2 7 4 27" xfId="52487"/>
    <cellStyle name="Title 2 2 7 4 28" xfId="52488"/>
    <cellStyle name="Title 2 2 7 4 29" xfId="52489"/>
    <cellStyle name="Title 2 2 7 4 3" xfId="52490"/>
    <cellStyle name="Title 2 2 7 4 3 2" xfId="52491"/>
    <cellStyle name="Title 2 2 7 4 30" xfId="52492"/>
    <cellStyle name="Title 2 2 7 4 31" xfId="52493"/>
    <cellStyle name="Title 2 2 7 4 32" xfId="52494"/>
    <cellStyle name="Title 2 2 7 4 33" xfId="52495"/>
    <cellStyle name="Title 2 2 7 4 34" xfId="52496"/>
    <cellStyle name="Title 2 2 7 4 35" xfId="52497"/>
    <cellStyle name="Title 2 2 7 4 36" xfId="52498"/>
    <cellStyle name="Title 2 2 7 4 37" xfId="52499"/>
    <cellStyle name="Title 2 2 7 4 38" xfId="52500"/>
    <cellStyle name="Title 2 2 7 4 39" xfId="52501"/>
    <cellStyle name="Title 2 2 7 4 4" xfId="52502"/>
    <cellStyle name="Title 2 2 7 4 40" xfId="52503"/>
    <cellStyle name="Title 2 2 7 4 41" xfId="52504"/>
    <cellStyle name="Title 2 2 7 4 42" xfId="52505"/>
    <cellStyle name="Title 2 2 7 4 43" xfId="52506"/>
    <cellStyle name="Title 2 2 7 4 44" xfId="52507"/>
    <cellStyle name="Title 2 2 7 4 45" xfId="52508"/>
    <cellStyle name="Title 2 2 7 4 46" xfId="52509"/>
    <cellStyle name="Title 2 2 7 4 47" xfId="52510"/>
    <cellStyle name="Title 2 2 7 4 48" xfId="52511"/>
    <cellStyle name="Title 2 2 7 4 49" xfId="52512"/>
    <cellStyle name="Title 2 2 7 4 5" xfId="52513"/>
    <cellStyle name="Title 2 2 7 4 50" xfId="52514"/>
    <cellStyle name="Title 2 2 7 4 51" xfId="52515"/>
    <cellStyle name="Title 2 2 7 4 52" xfId="52516"/>
    <cellStyle name="Title 2 2 7 4 53" xfId="52517"/>
    <cellStyle name="Title 2 2 7 4 54" xfId="52518"/>
    <cellStyle name="Title 2 2 7 4 55" xfId="52519"/>
    <cellStyle name="Title 2 2 7 4 56" xfId="52520"/>
    <cellStyle name="Title 2 2 7 4 57" xfId="52521"/>
    <cellStyle name="Title 2 2 7 4 58" xfId="52522"/>
    <cellStyle name="Title 2 2 7 4 59" xfId="52523"/>
    <cellStyle name="Title 2 2 7 4 6" xfId="52524"/>
    <cellStyle name="Title 2 2 7 4 60" xfId="52525"/>
    <cellStyle name="Title 2 2 7 4 61" xfId="52526"/>
    <cellStyle name="Title 2 2 7 4 62" xfId="52527"/>
    <cellStyle name="Title 2 2 7 4 63" xfId="52528"/>
    <cellStyle name="Title 2 2 7 4 64" xfId="52529"/>
    <cellStyle name="Title 2 2 7 4 65" xfId="52530"/>
    <cellStyle name="Title 2 2 7 4 66" xfId="52531"/>
    <cellStyle name="Title 2 2 7 4 67" xfId="52532"/>
    <cellStyle name="Title 2 2 7 4 68" xfId="52533"/>
    <cellStyle name="Title 2 2 7 4 69" xfId="52534"/>
    <cellStyle name="Title 2 2 7 4 7" xfId="52535"/>
    <cellStyle name="Title 2 2 7 4 70" xfId="52536"/>
    <cellStyle name="Title 2 2 7 4 71" xfId="52537"/>
    <cellStyle name="Title 2 2 7 4 72" xfId="52538"/>
    <cellStyle name="Title 2 2 7 4 73" xfId="52539"/>
    <cellStyle name="Title 2 2 7 4 74" xfId="52540"/>
    <cellStyle name="Title 2 2 7 4 8" xfId="52541"/>
    <cellStyle name="Title 2 2 7 4 9" xfId="52542"/>
    <cellStyle name="Title 2 2 7 40" xfId="52543"/>
    <cellStyle name="Title 2 2 7 41" xfId="52544"/>
    <cellStyle name="Title 2 2 7 42" xfId="52545"/>
    <cellStyle name="Title 2 2 7 43" xfId="52546"/>
    <cellStyle name="Title 2 2 7 44" xfId="52547"/>
    <cellStyle name="Title 2 2 7 45" xfId="52548"/>
    <cellStyle name="Title 2 2 7 46" xfId="52549"/>
    <cellStyle name="Title 2 2 7 47" xfId="52550"/>
    <cellStyle name="Title 2 2 7 48" xfId="52551"/>
    <cellStyle name="Title 2 2 7 49" xfId="52552"/>
    <cellStyle name="Title 2 2 7 5" xfId="52553"/>
    <cellStyle name="Title 2 2 7 50" xfId="52554"/>
    <cellStyle name="Title 2 2 7 51" xfId="52555"/>
    <cellStyle name="Title 2 2 7 52" xfId="52556"/>
    <cellStyle name="Title 2 2 7 53" xfId="52557"/>
    <cellStyle name="Title 2 2 7 54" xfId="52558"/>
    <cellStyle name="Title 2 2 7 55" xfId="52559"/>
    <cellStyle name="Title 2 2 7 56" xfId="52560"/>
    <cellStyle name="Title 2 2 7 57" xfId="52561"/>
    <cellStyle name="Title 2 2 7 58" xfId="52562"/>
    <cellStyle name="Title 2 2 7 59" xfId="52563"/>
    <cellStyle name="Title 2 2 7 6" xfId="52564"/>
    <cellStyle name="Title 2 2 7 60" xfId="52565"/>
    <cellStyle name="Title 2 2 7 61" xfId="52566"/>
    <cellStyle name="Title 2 2 7 62" xfId="52567"/>
    <cellStyle name="Title 2 2 7 63" xfId="52568"/>
    <cellStyle name="Title 2 2 7 64" xfId="52569"/>
    <cellStyle name="Title 2 2 7 65" xfId="52570"/>
    <cellStyle name="Title 2 2 7 66" xfId="52571"/>
    <cellStyle name="Title 2 2 7 67" xfId="52572"/>
    <cellStyle name="Title 2 2 7 68" xfId="52573"/>
    <cellStyle name="Title 2 2 7 69" xfId="52574"/>
    <cellStyle name="Title 2 2 7 7" xfId="52575"/>
    <cellStyle name="Title 2 2 7 70" xfId="52576"/>
    <cellStyle name="Title 2 2 7 71" xfId="52577"/>
    <cellStyle name="Title 2 2 7 72" xfId="52578"/>
    <cellStyle name="Title 2 2 7 73" xfId="52579"/>
    <cellStyle name="Title 2 2 7 74" xfId="52580"/>
    <cellStyle name="Title 2 2 7 75" xfId="52581"/>
    <cellStyle name="Title 2 2 7 76" xfId="52582"/>
    <cellStyle name="Title 2 2 7 77" xfId="52583"/>
    <cellStyle name="Title 2 2 7 78" xfId="52584"/>
    <cellStyle name="Title 2 2 7 79" xfId="52585"/>
    <cellStyle name="Title 2 2 7 8" xfId="52586"/>
    <cellStyle name="Title 2 2 7 80" xfId="52587"/>
    <cellStyle name="Title 2 2 7 81" xfId="52588"/>
    <cellStyle name="Title 2 2 7 82" xfId="52589"/>
    <cellStyle name="Title 2 2 7 83" xfId="52590"/>
    <cellStyle name="Title 2 2 7 84" xfId="52591"/>
    <cellStyle name="Title 2 2 7 85" xfId="52592"/>
    <cellStyle name="Title 2 2 7 86" xfId="52593"/>
    <cellStyle name="Title 2 2 7 87" xfId="52594"/>
    <cellStyle name="Title 2 2 7 88" xfId="52595"/>
    <cellStyle name="Title 2 2 7 89" xfId="52596"/>
    <cellStyle name="Title 2 2 7 9" xfId="52597"/>
    <cellStyle name="Title 2 2 7 90" xfId="52598"/>
    <cellStyle name="Title 2 2 7 91" xfId="52599"/>
    <cellStyle name="Title 2 2 7 92" xfId="52600"/>
    <cellStyle name="Title 2 2 7 93" xfId="52601"/>
    <cellStyle name="Title 2 2 7 94" xfId="52602"/>
    <cellStyle name="Title 2 2 7 95" xfId="52603"/>
    <cellStyle name="Title 2 2 7 96" xfId="52604"/>
    <cellStyle name="Title 2 2 7 97" xfId="52605"/>
    <cellStyle name="Title 2 2 7 98" xfId="52606"/>
    <cellStyle name="Title 2 2 7 99" xfId="52607"/>
    <cellStyle name="Title 2 2 70" xfId="52608"/>
    <cellStyle name="Title 2 2 70 2" xfId="52609"/>
    <cellStyle name="Title 2 2 71" xfId="52610"/>
    <cellStyle name="Title 2 2 71 2" xfId="52611"/>
    <cellStyle name="Title 2 2 72" xfId="52612"/>
    <cellStyle name="Title 2 2 72 2" xfId="52613"/>
    <cellStyle name="Title 2 2 73" xfId="52614"/>
    <cellStyle name="Title 2 2 73 2" xfId="52615"/>
    <cellStyle name="Title 2 2 74" xfId="52616"/>
    <cellStyle name="Title 2 2 74 2" xfId="52617"/>
    <cellStyle name="Title 2 2 75" xfId="52618"/>
    <cellStyle name="Title 2 2 75 2" xfId="52619"/>
    <cellStyle name="Title 2 2 76" xfId="52620"/>
    <cellStyle name="Title 2 2 76 2" xfId="52621"/>
    <cellStyle name="Title 2 2 77" xfId="52622"/>
    <cellStyle name="Title 2 2 78" xfId="52623"/>
    <cellStyle name="Title 2 2 79" xfId="52624"/>
    <cellStyle name="Title 2 2 8" xfId="52625"/>
    <cellStyle name="Title 2 2 8 10" xfId="52626"/>
    <cellStyle name="Title 2 2 8 100" xfId="52627"/>
    <cellStyle name="Title 2 2 8 101" xfId="52628"/>
    <cellStyle name="Title 2 2 8 102" xfId="52629"/>
    <cellStyle name="Title 2 2 8 103" xfId="52630"/>
    <cellStyle name="Title 2 2 8 104" xfId="52631"/>
    <cellStyle name="Title 2 2 8 105" xfId="52632"/>
    <cellStyle name="Title 2 2 8 106" xfId="52633"/>
    <cellStyle name="Title 2 2 8 107" xfId="52634"/>
    <cellStyle name="Title 2 2 8 108" xfId="52635"/>
    <cellStyle name="Title 2 2 8 109" xfId="52636"/>
    <cellStyle name="Title 2 2 8 11" xfId="52637"/>
    <cellStyle name="Title 2 2 8 110" xfId="52638"/>
    <cellStyle name="Title 2 2 8 12" xfId="52639"/>
    <cellStyle name="Title 2 2 8 13" xfId="52640"/>
    <cellStyle name="Title 2 2 8 14" xfId="52641"/>
    <cellStyle name="Title 2 2 8 15" xfId="52642"/>
    <cellStyle name="Title 2 2 8 16" xfId="52643"/>
    <cellStyle name="Title 2 2 8 17" xfId="52644"/>
    <cellStyle name="Title 2 2 8 18" xfId="52645"/>
    <cellStyle name="Title 2 2 8 19" xfId="52646"/>
    <cellStyle name="Title 2 2 8 2" xfId="52647"/>
    <cellStyle name="Title 2 2 8 2 10" xfId="52648"/>
    <cellStyle name="Title 2 2 8 2 11" xfId="52649"/>
    <cellStyle name="Title 2 2 8 2 12" xfId="52650"/>
    <cellStyle name="Title 2 2 8 2 13" xfId="52651"/>
    <cellStyle name="Title 2 2 8 2 13 2" xfId="52652"/>
    <cellStyle name="Title 2 2 8 2 14" xfId="52653"/>
    <cellStyle name="Title 2 2 8 2 15" xfId="52654"/>
    <cellStyle name="Title 2 2 8 2 16" xfId="52655"/>
    <cellStyle name="Title 2 2 8 2 17" xfId="52656"/>
    <cellStyle name="Title 2 2 8 2 18" xfId="52657"/>
    <cellStyle name="Title 2 2 8 2 19" xfId="52658"/>
    <cellStyle name="Title 2 2 8 2 2" xfId="52659"/>
    <cellStyle name="Title 2 2 8 2 2 10" xfId="52660"/>
    <cellStyle name="Title 2 2 8 2 2 11" xfId="52661"/>
    <cellStyle name="Title 2 2 8 2 2 12" xfId="52662"/>
    <cellStyle name="Title 2 2 8 2 2 13" xfId="52663"/>
    <cellStyle name="Title 2 2 8 2 2 14" xfId="52664"/>
    <cellStyle name="Title 2 2 8 2 2 15" xfId="52665"/>
    <cellStyle name="Title 2 2 8 2 2 16" xfId="52666"/>
    <cellStyle name="Title 2 2 8 2 2 17" xfId="52667"/>
    <cellStyle name="Title 2 2 8 2 2 18" xfId="52668"/>
    <cellStyle name="Title 2 2 8 2 2 19" xfId="52669"/>
    <cellStyle name="Title 2 2 8 2 2 2" xfId="52670"/>
    <cellStyle name="Title 2 2 8 2 2 2 10" xfId="52671"/>
    <cellStyle name="Title 2 2 8 2 2 2 11" xfId="52672"/>
    <cellStyle name="Title 2 2 8 2 2 2 12" xfId="52673"/>
    <cellStyle name="Title 2 2 8 2 2 2 13" xfId="52674"/>
    <cellStyle name="Title 2 2 8 2 2 2 14" xfId="52675"/>
    <cellStyle name="Title 2 2 8 2 2 2 15" xfId="52676"/>
    <cellStyle name="Title 2 2 8 2 2 2 16" xfId="52677"/>
    <cellStyle name="Title 2 2 8 2 2 2 17" xfId="52678"/>
    <cellStyle name="Title 2 2 8 2 2 2 18" xfId="52679"/>
    <cellStyle name="Title 2 2 8 2 2 2 19" xfId="52680"/>
    <cellStyle name="Title 2 2 8 2 2 2 2" xfId="52681"/>
    <cellStyle name="Title 2 2 8 2 2 2 2 10" xfId="52682"/>
    <cellStyle name="Title 2 2 8 2 2 2 2 11" xfId="52683"/>
    <cellStyle name="Title 2 2 8 2 2 2 2 12" xfId="52684"/>
    <cellStyle name="Title 2 2 8 2 2 2 2 13" xfId="52685"/>
    <cellStyle name="Title 2 2 8 2 2 2 2 14" xfId="52686"/>
    <cellStyle name="Title 2 2 8 2 2 2 2 15" xfId="52687"/>
    <cellStyle name="Title 2 2 8 2 2 2 2 16" xfId="52688"/>
    <cellStyle name="Title 2 2 8 2 2 2 2 17" xfId="52689"/>
    <cellStyle name="Title 2 2 8 2 2 2 2 18" xfId="52690"/>
    <cellStyle name="Title 2 2 8 2 2 2 2 19" xfId="52691"/>
    <cellStyle name="Title 2 2 8 2 2 2 2 2" xfId="52692"/>
    <cellStyle name="Title 2 2 8 2 2 2 2 2 10" xfId="52693"/>
    <cellStyle name="Title 2 2 8 2 2 2 2 2 11" xfId="52694"/>
    <cellStyle name="Title 2 2 8 2 2 2 2 2 12" xfId="52695"/>
    <cellStyle name="Title 2 2 8 2 2 2 2 2 13" xfId="52696"/>
    <cellStyle name="Title 2 2 8 2 2 2 2 2 14" xfId="52697"/>
    <cellStyle name="Title 2 2 8 2 2 2 2 2 15" xfId="52698"/>
    <cellStyle name="Title 2 2 8 2 2 2 2 2 16" xfId="52699"/>
    <cellStyle name="Title 2 2 8 2 2 2 2 2 17" xfId="52700"/>
    <cellStyle name="Title 2 2 8 2 2 2 2 2 18" xfId="52701"/>
    <cellStyle name="Title 2 2 8 2 2 2 2 2 19" xfId="52702"/>
    <cellStyle name="Title 2 2 8 2 2 2 2 2 2" xfId="52703"/>
    <cellStyle name="Title 2 2 8 2 2 2 2 2 2 2" xfId="52704"/>
    <cellStyle name="Title 2 2 8 2 2 2 2 2 20" xfId="52705"/>
    <cellStyle name="Title 2 2 8 2 2 2 2 2 21" xfId="52706"/>
    <cellStyle name="Title 2 2 8 2 2 2 2 2 22" xfId="52707"/>
    <cellStyle name="Title 2 2 8 2 2 2 2 2 23" xfId="52708"/>
    <cellStyle name="Title 2 2 8 2 2 2 2 2 24" xfId="52709"/>
    <cellStyle name="Title 2 2 8 2 2 2 2 2 25" xfId="52710"/>
    <cellStyle name="Title 2 2 8 2 2 2 2 2 26" xfId="52711"/>
    <cellStyle name="Title 2 2 8 2 2 2 2 2 27" xfId="52712"/>
    <cellStyle name="Title 2 2 8 2 2 2 2 2 28" xfId="52713"/>
    <cellStyle name="Title 2 2 8 2 2 2 2 2 29" xfId="52714"/>
    <cellStyle name="Title 2 2 8 2 2 2 2 2 3" xfId="52715"/>
    <cellStyle name="Title 2 2 8 2 2 2 2 2 30" xfId="52716"/>
    <cellStyle name="Title 2 2 8 2 2 2 2 2 31" xfId="52717"/>
    <cellStyle name="Title 2 2 8 2 2 2 2 2 32" xfId="52718"/>
    <cellStyle name="Title 2 2 8 2 2 2 2 2 33" xfId="52719"/>
    <cellStyle name="Title 2 2 8 2 2 2 2 2 34" xfId="52720"/>
    <cellStyle name="Title 2 2 8 2 2 2 2 2 35" xfId="52721"/>
    <cellStyle name="Title 2 2 8 2 2 2 2 2 36" xfId="52722"/>
    <cellStyle name="Title 2 2 8 2 2 2 2 2 37" xfId="52723"/>
    <cellStyle name="Title 2 2 8 2 2 2 2 2 38" xfId="52724"/>
    <cellStyle name="Title 2 2 8 2 2 2 2 2 39" xfId="52725"/>
    <cellStyle name="Title 2 2 8 2 2 2 2 2 4" xfId="52726"/>
    <cellStyle name="Title 2 2 8 2 2 2 2 2 40" xfId="52727"/>
    <cellStyle name="Title 2 2 8 2 2 2 2 2 41" xfId="52728"/>
    <cellStyle name="Title 2 2 8 2 2 2 2 2 42" xfId="52729"/>
    <cellStyle name="Title 2 2 8 2 2 2 2 2 43" xfId="52730"/>
    <cellStyle name="Title 2 2 8 2 2 2 2 2 44" xfId="52731"/>
    <cellStyle name="Title 2 2 8 2 2 2 2 2 45" xfId="52732"/>
    <cellStyle name="Title 2 2 8 2 2 2 2 2 46" xfId="52733"/>
    <cellStyle name="Title 2 2 8 2 2 2 2 2 47" xfId="52734"/>
    <cellStyle name="Title 2 2 8 2 2 2 2 2 48" xfId="52735"/>
    <cellStyle name="Title 2 2 8 2 2 2 2 2 49" xfId="52736"/>
    <cellStyle name="Title 2 2 8 2 2 2 2 2 5" xfId="52737"/>
    <cellStyle name="Title 2 2 8 2 2 2 2 2 50" xfId="52738"/>
    <cellStyle name="Title 2 2 8 2 2 2 2 2 51" xfId="52739"/>
    <cellStyle name="Title 2 2 8 2 2 2 2 2 52" xfId="52740"/>
    <cellStyle name="Title 2 2 8 2 2 2 2 2 53" xfId="52741"/>
    <cellStyle name="Title 2 2 8 2 2 2 2 2 54" xfId="52742"/>
    <cellStyle name="Title 2 2 8 2 2 2 2 2 55" xfId="52743"/>
    <cellStyle name="Title 2 2 8 2 2 2 2 2 56" xfId="52744"/>
    <cellStyle name="Title 2 2 8 2 2 2 2 2 57" xfId="52745"/>
    <cellStyle name="Title 2 2 8 2 2 2 2 2 58" xfId="52746"/>
    <cellStyle name="Title 2 2 8 2 2 2 2 2 59" xfId="52747"/>
    <cellStyle name="Title 2 2 8 2 2 2 2 2 6" xfId="52748"/>
    <cellStyle name="Title 2 2 8 2 2 2 2 2 60" xfId="52749"/>
    <cellStyle name="Title 2 2 8 2 2 2 2 2 61" xfId="52750"/>
    <cellStyle name="Title 2 2 8 2 2 2 2 2 62" xfId="52751"/>
    <cellStyle name="Title 2 2 8 2 2 2 2 2 63" xfId="52752"/>
    <cellStyle name="Title 2 2 8 2 2 2 2 2 64" xfId="52753"/>
    <cellStyle name="Title 2 2 8 2 2 2 2 2 65" xfId="52754"/>
    <cellStyle name="Title 2 2 8 2 2 2 2 2 66" xfId="52755"/>
    <cellStyle name="Title 2 2 8 2 2 2 2 2 67" xfId="52756"/>
    <cellStyle name="Title 2 2 8 2 2 2 2 2 68" xfId="52757"/>
    <cellStyle name="Title 2 2 8 2 2 2 2 2 69" xfId="52758"/>
    <cellStyle name="Title 2 2 8 2 2 2 2 2 7" xfId="52759"/>
    <cellStyle name="Title 2 2 8 2 2 2 2 2 70" xfId="52760"/>
    <cellStyle name="Title 2 2 8 2 2 2 2 2 71" xfId="52761"/>
    <cellStyle name="Title 2 2 8 2 2 2 2 2 72" xfId="52762"/>
    <cellStyle name="Title 2 2 8 2 2 2 2 2 73" xfId="52763"/>
    <cellStyle name="Title 2 2 8 2 2 2 2 2 74" xfId="52764"/>
    <cellStyle name="Title 2 2 8 2 2 2 2 2 8" xfId="52765"/>
    <cellStyle name="Title 2 2 8 2 2 2 2 2 9" xfId="52766"/>
    <cellStyle name="Title 2 2 8 2 2 2 2 20" xfId="52767"/>
    <cellStyle name="Title 2 2 8 2 2 2 2 21" xfId="52768"/>
    <cellStyle name="Title 2 2 8 2 2 2 2 22" xfId="52769"/>
    <cellStyle name="Title 2 2 8 2 2 2 2 23" xfId="52770"/>
    <cellStyle name="Title 2 2 8 2 2 2 2 24" xfId="52771"/>
    <cellStyle name="Title 2 2 8 2 2 2 2 25" xfId="52772"/>
    <cellStyle name="Title 2 2 8 2 2 2 2 26" xfId="52773"/>
    <cellStyle name="Title 2 2 8 2 2 2 2 27" xfId="52774"/>
    <cellStyle name="Title 2 2 8 2 2 2 2 28" xfId="52775"/>
    <cellStyle name="Title 2 2 8 2 2 2 2 29" xfId="52776"/>
    <cellStyle name="Title 2 2 8 2 2 2 2 3" xfId="52777"/>
    <cellStyle name="Title 2 2 8 2 2 2 2 3 2" xfId="52778"/>
    <cellStyle name="Title 2 2 8 2 2 2 2 30" xfId="52779"/>
    <cellStyle name="Title 2 2 8 2 2 2 2 31" xfId="52780"/>
    <cellStyle name="Title 2 2 8 2 2 2 2 32" xfId="52781"/>
    <cellStyle name="Title 2 2 8 2 2 2 2 33" xfId="52782"/>
    <cellStyle name="Title 2 2 8 2 2 2 2 34" xfId="52783"/>
    <cellStyle name="Title 2 2 8 2 2 2 2 35" xfId="52784"/>
    <cellStyle name="Title 2 2 8 2 2 2 2 36" xfId="52785"/>
    <cellStyle name="Title 2 2 8 2 2 2 2 37" xfId="52786"/>
    <cellStyle name="Title 2 2 8 2 2 2 2 38" xfId="52787"/>
    <cellStyle name="Title 2 2 8 2 2 2 2 39" xfId="52788"/>
    <cellStyle name="Title 2 2 8 2 2 2 2 4" xfId="52789"/>
    <cellStyle name="Title 2 2 8 2 2 2 2 40" xfId="52790"/>
    <cellStyle name="Title 2 2 8 2 2 2 2 41" xfId="52791"/>
    <cellStyle name="Title 2 2 8 2 2 2 2 42" xfId="52792"/>
    <cellStyle name="Title 2 2 8 2 2 2 2 43" xfId="52793"/>
    <cellStyle name="Title 2 2 8 2 2 2 2 44" xfId="52794"/>
    <cellStyle name="Title 2 2 8 2 2 2 2 45" xfId="52795"/>
    <cellStyle name="Title 2 2 8 2 2 2 2 46" xfId="52796"/>
    <cellStyle name="Title 2 2 8 2 2 2 2 47" xfId="52797"/>
    <cellStyle name="Title 2 2 8 2 2 2 2 48" xfId="52798"/>
    <cellStyle name="Title 2 2 8 2 2 2 2 49" xfId="52799"/>
    <cellStyle name="Title 2 2 8 2 2 2 2 5" xfId="52800"/>
    <cellStyle name="Title 2 2 8 2 2 2 2 50" xfId="52801"/>
    <cellStyle name="Title 2 2 8 2 2 2 2 51" xfId="52802"/>
    <cellStyle name="Title 2 2 8 2 2 2 2 52" xfId="52803"/>
    <cellStyle name="Title 2 2 8 2 2 2 2 53" xfId="52804"/>
    <cellStyle name="Title 2 2 8 2 2 2 2 54" xfId="52805"/>
    <cellStyle name="Title 2 2 8 2 2 2 2 55" xfId="52806"/>
    <cellStyle name="Title 2 2 8 2 2 2 2 56" xfId="52807"/>
    <cellStyle name="Title 2 2 8 2 2 2 2 57" xfId="52808"/>
    <cellStyle name="Title 2 2 8 2 2 2 2 58" xfId="52809"/>
    <cellStyle name="Title 2 2 8 2 2 2 2 59" xfId="52810"/>
    <cellStyle name="Title 2 2 8 2 2 2 2 6" xfId="52811"/>
    <cellStyle name="Title 2 2 8 2 2 2 2 60" xfId="52812"/>
    <cellStyle name="Title 2 2 8 2 2 2 2 61" xfId="52813"/>
    <cellStyle name="Title 2 2 8 2 2 2 2 62" xfId="52814"/>
    <cellStyle name="Title 2 2 8 2 2 2 2 63" xfId="52815"/>
    <cellStyle name="Title 2 2 8 2 2 2 2 64" xfId="52816"/>
    <cellStyle name="Title 2 2 8 2 2 2 2 65" xfId="52817"/>
    <cellStyle name="Title 2 2 8 2 2 2 2 66" xfId="52818"/>
    <cellStyle name="Title 2 2 8 2 2 2 2 67" xfId="52819"/>
    <cellStyle name="Title 2 2 8 2 2 2 2 68" xfId="52820"/>
    <cellStyle name="Title 2 2 8 2 2 2 2 69" xfId="52821"/>
    <cellStyle name="Title 2 2 8 2 2 2 2 7" xfId="52822"/>
    <cellStyle name="Title 2 2 8 2 2 2 2 70" xfId="52823"/>
    <cellStyle name="Title 2 2 8 2 2 2 2 71" xfId="52824"/>
    <cellStyle name="Title 2 2 8 2 2 2 2 72" xfId="52825"/>
    <cellStyle name="Title 2 2 8 2 2 2 2 73" xfId="52826"/>
    <cellStyle name="Title 2 2 8 2 2 2 2 74" xfId="52827"/>
    <cellStyle name="Title 2 2 8 2 2 2 2 8" xfId="52828"/>
    <cellStyle name="Title 2 2 8 2 2 2 2 9" xfId="52829"/>
    <cellStyle name="Title 2 2 8 2 2 2 20" xfId="52830"/>
    <cellStyle name="Title 2 2 8 2 2 2 21" xfId="52831"/>
    <cellStyle name="Title 2 2 8 2 2 2 22" xfId="52832"/>
    <cellStyle name="Title 2 2 8 2 2 2 23" xfId="52833"/>
    <cellStyle name="Title 2 2 8 2 2 2 24" xfId="52834"/>
    <cellStyle name="Title 2 2 8 2 2 2 25" xfId="52835"/>
    <cellStyle name="Title 2 2 8 2 2 2 26" xfId="52836"/>
    <cellStyle name="Title 2 2 8 2 2 2 27" xfId="52837"/>
    <cellStyle name="Title 2 2 8 2 2 2 28" xfId="52838"/>
    <cellStyle name="Title 2 2 8 2 2 2 29" xfId="52839"/>
    <cellStyle name="Title 2 2 8 2 2 2 3" xfId="52840"/>
    <cellStyle name="Title 2 2 8 2 2 2 3 2" xfId="52841"/>
    <cellStyle name="Title 2 2 8 2 2 2 30" xfId="52842"/>
    <cellStyle name="Title 2 2 8 2 2 2 31" xfId="52843"/>
    <cellStyle name="Title 2 2 8 2 2 2 32" xfId="52844"/>
    <cellStyle name="Title 2 2 8 2 2 2 33" xfId="52845"/>
    <cellStyle name="Title 2 2 8 2 2 2 34" xfId="52846"/>
    <cellStyle name="Title 2 2 8 2 2 2 35" xfId="52847"/>
    <cellStyle name="Title 2 2 8 2 2 2 36" xfId="52848"/>
    <cellStyle name="Title 2 2 8 2 2 2 37" xfId="52849"/>
    <cellStyle name="Title 2 2 8 2 2 2 38" xfId="52850"/>
    <cellStyle name="Title 2 2 8 2 2 2 39" xfId="52851"/>
    <cellStyle name="Title 2 2 8 2 2 2 4" xfId="52852"/>
    <cellStyle name="Title 2 2 8 2 2 2 40" xfId="52853"/>
    <cellStyle name="Title 2 2 8 2 2 2 41" xfId="52854"/>
    <cellStyle name="Title 2 2 8 2 2 2 42" xfId="52855"/>
    <cellStyle name="Title 2 2 8 2 2 2 43" xfId="52856"/>
    <cellStyle name="Title 2 2 8 2 2 2 44" xfId="52857"/>
    <cellStyle name="Title 2 2 8 2 2 2 45" xfId="52858"/>
    <cellStyle name="Title 2 2 8 2 2 2 46" xfId="52859"/>
    <cellStyle name="Title 2 2 8 2 2 2 47" xfId="52860"/>
    <cellStyle name="Title 2 2 8 2 2 2 48" xfId="52861"/>
    <cellStyle name="Title 2 2 8 2 2 2 49" xfId="52862"/>
    <cellStyle name="Title 2 2 8 2 2 2 5" xfId="52863"/>
    <cellStyle name="Title 2 2 8 2 2 2 50" xfId="52864"/>
    <cellStyle name="Title 2 2 8 2 2 2 51" xfId="52865"/>
    <cellStyle name="Title 2 2 8 2 2 2 52" xfId="52866"/>
    <cellStyle name="Title 2 2 8 2 2 2 53" xfId="52867"/>
    <cellStyle name="Title 2 2 8 2 2 2 54" xfId="52868"/>
    <cellStyle name="Title 2 2 8 2 2 2 55" xfId="52869"/>
    <cellStyle name="Title 2 2 8 2 2 2 56" xfId="52870"/>
    <cellStyle name="Title 2 2 8 2 2 2 57" xfId="52871"/>
    <cellStyle name="Title 2 2 8 2 2 2 58" xfId="52872"/>
    <cellStyle name="Title 2 2 8 2 2 2 59" xfId="52873"/>
    <cellStyle name="Title 2 2 8 2 2 2 6" xfId="52874"/>
    <cellStyle name="Title 2 2 8 2 2 2 60" xfId="52875"/>
    <cellStyle name="Title 2 2 8 2 2 2 61" xfId="52876"/>
    <cellStyle name="Title 2 2 8 2 2 2 62" xfId="52877"/>
    <cellStyle name="Title 2 2 8 2 2 2 63" xfId="52878"/>
    <cellStyle name="Title 2 2 8 2 2 2 64" xfId="52879"/>
    <cellStyle name="Title 2 2 8 2 2 2 65" xfId="52880"/>
    <cellStyle name="Title 2 2 8 2 2 2 66" xfId="52881"/>
    <cellStyle name="Title 2 2 8 2 2 2 67" xfId="52882"/>
    <cellStyle name="Title 2 2 8 2 2 2 68" xfId="52883"/>
    <cellStyle name="Title 2 2 8 2 2 2 69" xfId="52884"/>
    <cellStyle name="Title 2 2 8 2 2 2 7" xfId="52885"/>
    <cellStyle name="Title 2 2 8 2 2 2 70" xfId="52886"/>
    <cellStyle name="Title 2 2 8 2 2 2 71" xfId="52887"/>
    <cellStyle name="Title 2 2 8 2 2 2 72" xfId="52888"/>
    <cellStyle name="Title 2 2 8 2 2 2 73" xfId="52889"/>
    <cellStyle name="Title 2 2 8 2 2 2 74" xfId="52890"/>
    <cellStyle name="Title 2 2 8 2 2 2 75" xfId="52891"/>
    <cellStyle name="Title 2 2 8 2 2 2 76" xfId="52892"/>
    <cellStyle name="Title 2 2 8 2 2 2 77" xfId="52893"/>
    <cellStyle name="Title 2 2 8 2 2 2 78" xfId="52894"/>
    <cellStyle name="Title 2 2 8 2 2 2 79" xfId="52895"/>
    <cellStyle name="Title 2 2 8 2 2 2 8" xfId="52896"/>
    <cellStyle name="Title 2 2 8 2 2 2 80" xfId="52897"/>
    <cellStyle name="Title 2 2 8 2 2 2 81" xfId="52898"/>
    <cellStyle name="Title 2 2 8 2 2 2 82" xfId="52899"/>
    <cellStyle name="Title 2 2 8 2 2 2 83" xfId="52900"/>
    <cellStyle name="Title 2 2 8 2 2 2 84" xfId="52901"/>
    <cellStyle name="Title 2 2 8 2 2 2 85" xfId="52902"/>
    <cellStyle name="Title 2 2 8 2 2 2 86" xfId="52903"/>
    <cellStyle name="Title 2 2 8 2 2 2 87" xfId="52904"/>
    <cellStyle name="Title 2 2 8 2 2 2 88" xfId="52905"/>
    <cellStyle name="Title 2 2 8 2 2 2 9" xfId="52906"/>
    <cellStyle name="Title 2 2 8 2 2 20" xfId="52907"/>
    <cellStyle name="Title 2 2 8 2 2 21" xfId="52908"/>
    <cellStyle name="Title 2 2 8 2 2 22" xfId="52909"/>
    <cellStyle name="Title 2 2 8 2 2 23" xfId="52910"/>
    <cellStyle name="Title 2 2 8 2 2 24" xfId="52911"/>
    <cellStyle name="Title 2 2 8 2 2 25" xfId="52912"/>
    <cellStyle name="Title 2 2 8 2 2 26" xfId="52913"/>
    <cellStyle name="Title 2 2 8 2 2 27" xfId="52914"/>
    <cellStyle name="Title 2 2 8 2 2 28" xfId="52915"/>
    <cellStyle name="Title 2 2 8 2 2 29" xfId="52916"/>
    <cellStyle name="Title 2 2 8 2 2 3" xfId="52917"/>
    <cellStyle name="Title 2 2 8 2 2 3 2" xfId="52918"/>
    <cellStyle name="Title 2 2 8 2 2 30" xfId="52919"/>
    <cellStyle name="Title 2 2 8 2 2 31" xfId="52920"/>
    <cellStyle name="Title 2 2 8 2 2 32" xfId="52921"/>
    <cellStyle name="Title 2 2 8 2 2 33" xfId="52922"/>
    <cellStyle name="Title 2 2 8 2 2 34" xfId="52923"/>
    <cellStyle name="Title 2 2 8 2 2 35" xfId="52924"/>
    <cellStyle name="Title 2 2 8 2 2 36" xfId="52925"/>
    <cellStyle name="Title 2 2 8 2 2 37" xfId="52926"/>
    <cellStyle name="Title 2 2 8 2 2 38" xfId="52927"/>
    <cellStyle name="Title 2 2 8 2 2 39" xfId="52928"/>
    <cellStyle name="Title 2 2 8 2 2 4" xfId="52929"/>
    <cellStyle name="Title 2 2 8 2 2 40" xfId="52930"/>
    <cellStyle name="Title 2 2 8 2 2 41" xfId="52931"/>
    <cellStyle name="Title 2 2 8 2 2 42" xfId="52932"/>
    <cellStyle name="Title 2 2 8 2 2 43" xfId="52933"/>
    <cellStyle name="Title 2 2 8 2 2 44" xfId="52934"/>
    <cellStyle name="Title 2 2 8 2 2 45" xfId="52935"/>
    <cellStyle name="Title 2 2 8 2 2 46" xfId="52936"/>
    <cellStyle name="Title 2 2 8 2 2 47" xfId="52937"/>
    <cellStyle name="Title 2 2 8 2 2 48" xfId="52938"/>
    <cellStyle name="Title 2 2 8 2 2 49" xfId="52939"/>
    <cellStyle name="Title 2 2 8 2 2 5" xfId="52940"/>
    <cellStyle name="Title 2 2 8 2 2 50" xfId="52941"/>
    <cellStyle name="Title 2 2 8 2 2 51" xfId="52942"/>
    <cellStyle name="Title 2 2 8 2 2 52" xfId="52943"/>
    <cellStyle name="Title 2 2 8 2 2 53" xfId="52944"/>
    <cellStyle name="Title 2 2 8 2 2 54" xfId="52945"/>
    <cellStyle name="Title 2 2 8 2 2 55" xfId="52946"/>
    <cellStyle name="Title 2 2 8 2 2 56" xfId="52947"/>
    <cellStyle name="Title 2 2 8 2 2 57" xfId="52948"/>
    <cellStyle name="Title 2 2 8 2 2 58" xfId="52949"/>
    <cellStyle name="Title 2 2 8 2 2 59" xfId="52950"/>
    <cellStyle name="Title 2 2 8 2 2 6" xfId="52951"/>
    <cellStyle name="Title 2 2 8 2 2 60" xfId="52952"/>
    <cellStyle name="Title 2 2 8 2 2 61" xfId="52953"/>
    <cellStyle name="Title 2 2 8 2 2 62" xfId="52954"/>
    <cellStyle name="Title 2 2 8 2 2 63" xfId="52955"/>
    <cellStyle name="Title 2 2 8 2 2 64" xfId="52956"/>
    <cellStyle name="Title 2 2 8 2 2 65" xfId="52957"/>
    <cellStyle name="Title 2 2 8 2 2 66" xfId="52958"/>
    <cellStyle name="Title 2 2 8 2 2 67" xfId="52959"/>
    <cellStyle name="Title 2 2 8 2 2 68" xfId="52960"/>
    <cellStyle name="Title 2 2 8 2 2 69" xfId="52961"/>
    <cellStyle name="Title 2 2 8 2 2 7" xfId="52962"/>
    <cellStyle name="Title 2 2 8 2 2 70" xfId="52963"/>
    <cellStyle name="Title 2 2 8 2 2 71" xfId="52964"/>
    <cellStyle name="Title 2 2 8 2 2 72" xfId="52965"/>
    <cellStyle name="Title 2 2 8 2 2 73" xfId="52966"/>
    <cellStyle name="Title 2 2 8 2 2 74" xfId="52967"/>
    <cellStyle name="Title 2 2 8 2 2 75" xfId="52968"/>
    <cellStyle name="Title 2 2 8 2 2 76" xfId="52969"/>
    <cellStyle name="Title 2 2 8 2 2 77" xfId="52970"/>
    <cellStyle name="Title 2 2 8 2 2 78" xfId="52971"/>
    <cellStyle name="Title 2 2 8 2 2 79" xfId="52972"/>
    <cellStyle name="Title 2 2 8 2 2 8" xfId="52973"/>
    <cellStyle name="Title 2 2 8 2 2 80" xfId="52974"/>
    <cellStyle name="Title 2 2 8 2 2 81" xfId="52975"/>
    <cellStyle name="Title 2 2 8 2 2 82" xfId="52976"/>
    <cellStyle name="Title 2 2 8 2 2 83" xfId="52977"/>
    <cellStyle name="Title 2 2 8 2 2 84" xfId="52978"/>
    <cellStyle name="Title 2 2 8 2 2 85" xfId="52979"/>
    <cellStyle name="Title 2 2 8 2 2 86" xfId="52980"/>
    <cellStyle name="Title 2 2 8 2 2 87" xfId="52981"/>
    <cellStyle name="Title 2 2 8 2 2 88" xfId="52982"/>
    <cellStyle name="Title 2 2 8 2 2 9" xfId="52983"/>
    <cellStyle name="Title 2 2 8 2 20" xfId="52984"/>
    <cellStyle name="Title 2 2 8 2 21" xfId="52985"/>
    <cellStyle name="Title 2 2 8 2 22" xfId="52986"/>
    <cellStyle name="Title 2 2 8 2 23" xfId="52987"/>
    <cellStyle name="Title 2 2 8 2 24" xfId="52988"/>
    <cellStyle name="Title 2 2 8 2 25" xfId="52989"/>
    <cellStyle name="Title 2 2 8 2 26" xfId="52990"/>
    <cellStyle name="Title 2 2 8 2 27" xfId="52991"/>
    <cellStyle name="Title 2 2 8 2 28" xfId="52992"/>
    <cellStyle name="Title 2 2 8 2 29" xfId="52993"/>
    <cellStyle name="Title 2 2 8 2 3" xfId="52994"/>
    <cellStyle name="Title 2 2 8 2 30" xfId="52995"/>
    <cellStyle name="Title 2 2 8 2 31" xfId="52996"/>
    <cellStyle name="Title 2 2 8 2 32" xfId="52997"/>
    <cellStyle name="Title 2 2 8 2 33" xfId="52998"/>
    <cellStyle name="Title 2 2 8 2 34" xfId="52999"/>
    <cellStyle name="Title 2 2 8 2 35" xfId="53000"/>
    <cellStyle name="Title 2 2 8 2 36" xfId="53001"/>
    <cellStyle name="Title 2 2 8 2 37" xfId="53002"/>
    <cellStyle name="Title 2 2 8 2 38" xfId="53003"/>
    <cellStyle name="Title 2 2 8 2 39" xfId="53004"/>
    <cellStyle name="Title 2 2 8 2 4" xfId="53005"/>
    <cellStyle name="Title 2 2 8 2 40" xfId="53006"/>
    <cellStyle name="Title 2 2 8 2 41" xfId="53007"/>
    <cellStyle name="Title 2 2 8 2 42" xfId="53008"/>
    <cellStyle name="Title 2 2 8 2 43" xfId="53009"/>
    <cellStyle name="Title 2 2 8 2 44" xfId="53010"/>
    <cellStyle name="Title 2 2 8 2 45" xfId="53011"/>
    <cellStyle name="Title 2 2 8 2 46" xfId="53012"/>
    <cellStyle name="Title 2 2 8 2 47" xfId="53013"/>
    <cellStyle name="Title 2 2 8 2 48" xfId="53014"/>
    <cellStyle name="Title 2 2 8 2 49" xfId="53015"/>
    <cellStyle name="Title 2 2 8 2 5" xfId="53016"/>
    <cellStyle name="Title 2 2 8 2 50" xfId="53017"/>
    <cellStyle name="Title 2 2 8 2 51" xfId="53018"/>
    <cellStyle name="Title 2 2 8 2 52" xfId="53019"/>
    <cellStyle name="Title 2 2 8 2 53" xfId="53020"/>
    <cellStyle name="Title 2 2 8 2 54" xfId="53021"/>
    <cellStyle name="Title 2 2 8 2 55" xfId="53022"/>
    <cellStyle name="Title 2 2 8 2 56" xfId="53023"/>
    <cellStyle name="Title 2 2 8 2 57" xfId="53024"/>
    <cellStyle name="Title 2 2 8 2 58" xfId="53025"/>
    <cellStyle name="Title 2 2 8 2 59" xfId="53026"/>
    <cellStyle name="Title 2 2 8 2 6" xfId="53027"/>
    <cellStyle name="Title 2 2 8 2 60" xfId="53028"/>
    <cellStyle name="Title 2 2 8 2 61" xfId="53029"/>
    <cellStyle name="Title 2 2 8 2 62" xfId="53030"/>
    <cellStyle name="Title 2 2 8 2 63" xfId="53031"/>
    <cellStyle name="Title 2 2 8 2 64" xfId="53032"/>
    <cellStyle name="Title 2 2 8 2 65" xfId="53033"/>
    <cellStyle name="Title 2 2 8 2 66" xfId="53034"/>
    <cellStyle name="Title 2 2 8 2 67" xfId="53035"/>
    <cellStyle name="Title 2 2 8 2 68" xfId="53036"/>
    <cellStyle name="Title 2 2 8 2 69" xfId="53037"/>
    <cellStyle name="Title 2 2 8 2 7" xfId="53038"/>
    <cellStyle name="Title 2 2 8 2 70" xfId="53039"/>
    <cellStyle name="Title 2 2 8 2 71" xfId="53040"/>
    <cellStyle name="Title 2 2 8 2 72" xfId="53041"/>
    <cellStyle name="Title 2 2 8 2 73" xfId="53042"/>
    <cellStyle name="Title 2 2 8 2 74" xfId="53043"/>
    <cellStyle name="Title 2 2 8 2 75" xfId="53044"/>
    <cellStyle name="Title 2 2 8 2 76" xfId="53045"/>
    <cellStyle name="Title 2 2 8 2 77" xfId="53046"/>
    <cellStyle name="Title 2 2 8 2 78" xfId="53047"/>
    <cellStyle name="Title 2 2 8 2 79" xfId="53048"/>
    <cellStyle name="Title 2 2 8 2 8" xfId="53049"/>
    <cellStyle name="Title 2 2 8 2 80" xfId="53050"/>
    <cellStyle name="Title 2 2 8 2 81" xfId="53051"/>
    <cellStyle name="Title 2 2 8 2 82" xfId="53052"/>
    <cellStyle name="Title 2 2 8 2 83" xfId="53053"/>
    <cellStyle name="Title 2 2 8 2 84" xfId="53054"/>
    <cellStyle name="Title 2 2 8 2 85" xfId="53055"/>
    <cellStyle name="Title 2 2 8 2 86" xfId="53056"/>
    <cellStyle name="Title 2 2 8 2 87" xfId="53057"/>
    <cellStyle name="Title 2 2 8 2 88" xfId="53058"/>
    <cellStyle name="Title 2 2 8 2 89" xfId="53059"/>
    <cellStyle name="Title 2 2 8 2 9" xfId="53060"/>
    <cellStyle name="Title 2 2 8 2 90" xfId="53061"/>
    <cellStyle name="Title 2 2 8 2 91" xfId="53062"/>
    <cellStyle name="Title 2 2 8 2 92" xfId="53063"/>
    <cellStyle name="Title 2 2 8 2 93" xfId="53064"/>
    <cellStyle name="Title 2 2 8 2 94" xfId="53065"/>
    <cellStyle name="Title 2 2 8 2 95" xfId="53066"/>
    <cellStyle name="Title 2 2 8 2 96" xfId="53067"/>
    <cellStyle name="Title 2 2 8 2 97" xfId="53068"/>
    <cellStyle name="Title 2 2 8 2 98" xfId="53069"/>
    <cellStyle name="Title 2 2 8 20" xfId="53070"/>
    <cellStyle name="Title 2 2 8 21" xfId="53071"/>
    <cellStyle name="Title 2 2 8 22" xfId="53072"/>
    <cellStyle name="Title 2 2 8 23" xfId="53073"/>
    <cellStyle name="Title 2 2 8 24" xfId="53074"/>
    <cellStyle name="Title 2 2 8 25" xfId="53075"/>
    <cellStyle name="Title 2 2 8 25 2" xfId="53076"/>
    <cellStyle name="Title 2 2 8 26" xfId="53077"/>
    <cellStyle name="Title 2 2 8 27" xfId="53078"/>
    <cellStyle name="Title 2 2 8 28" xfId="53079"/>
    <cellStyle name="Title 2 2 8 29" xfId="53080"/>
    <cellStyle name="Title 2 2 8 3" xfId="53081"/>
    <cellStyle name="Title 2 2 8 30" xfId="53082"/>
    <cellStyle name="Title 2 2 8 31" xfId="53083"/>
    <cellStyle name="Title 2 2 8 32" xfId="53084"/>
    <cellStyle name="Title 2 2 8 33" xfId="53085"/>
    <cellStyle name="Title 2 2 8 34" xfId="53086"/>
    <cellStyle name="Title 2 2 8 35" xfId="53087"/>
    <cellStyle name="Title 2 2 8 36" xfId="53088"/>
    <cellStyle name="Title 2 2 8 37" xfId="53089"/>
    <cellStyle name="Title 2 2 8 38" xfId="53090"/>
    <cellStyle name="Title 2 2 8 39" xfId="53091"/>
    <cellStyle name="Title 2 2 8 4" xfId="53092"/>
    <cellStyle name="Title 2 2 8 4 10" xfId="53093"/>
    <cellStyle name="Title 2 2 8 4 11" xfId="53094"/>
    <cellStyle name="Title 2 2 8 4 12" xfId="53095"/>
    <cellStyle name="Title 2 2 8 4 13" xfId="53096"/>
    <cellStyle name="Title 2 2 8 4 14" xfId="53097"/>
    <cellStyle name="Title 2 2 8 4 15" xfId="53098"/>
    <cellStyle name="Title 2 2 8 4 16" xfId="53099"/>
    <cellStyle name="Title 2 2 8 4 17" xfId="53100"/>
    <cellStyle name="Title 2 2 8 4 18" xfId="53101"/>
    <cellStyle name="Title 2 2 8 4 19" xfId="53102"/>
    <cellStyle name="Title 2 2 8 4 2" xfId="53103"/>
    <cellStyle name="Title 2 2 8 4 2 10" xfId="53104"/>
    <cellStyle name="Title 2 2 8 4 2 11" xfId="53105"/>
    <cellStyle name="Title 2 2 8 4 2 12" xfId="53106"/>
    <cellStyle name="Title 2 2 8 4 2 13" xfId="53107"/>
    <cellStyle name="Title 2 2 8 4 2 14" xfId="53108"/>
    <cellStyle name="Title 2 2 8 4 2 15" xfId="53109"/>
    <cellStyle name="Title 2 2 8 4 2 16" xfId="53110"/>
    <cellStyle name="Title 2 2 8 4 2 17" xfId="53111"/>
    <cellStyle name="Title 2 2 8 4 2 18" xfId="53112"/>
    <cellStyle name="Title 2 2 8 4 2 19" xfId="53113"/>
    <cellStyle name="Title 2 2 8 4 2 2" xfId="53114"/>
    <cellStyle name="Title 2 2 8 4 2 2 2" xfId="53115"/>
    <cellStyle name="Title 2 2 8 4 2 20" xfId="53116"/>
    <cellStyle name="Title 2 2 8 4 2 21" xfId="53117"/>
    <cellStyle name="Title 2 2 8 4 2 22" xfId="53118"/>
    <cellStyle name="Title 2 2 8 4 2 23" xfId="53119"/>
    <cellStyle name="Title 2 2 8 4 2 24" xfId="53120"/>
    <cellStyle name="Title 2 2 8 4 2 25" xfId="53121"/>
    <cellStyle name="Title 2 2 8 4 2 26" xfId="53122"/>
    <cellStyle name="Title 2 2 8 4 2 27" xfId="53123"/>
    <cellStyle name="Title 2 2 8 4 2 28" xfId="53124"/>
    <cellStyle name="Title 2 2 8 4 2 29" xfId="53125"/>
    <cellStyle name="Title 2 2 8 4 2 3" xfId="53126"/>
    <cellStyle name="Title 2 2 8 4 2 30" xfId="53127"/>
    <cellStyle name="Title 2 2 8 4 2 31" xfId="53128"/>
    <cellStyle name="Title 2 2 8 4 2 32" xfId="53129"/>
    <cellStyle name="Title 2 2 8 4 2 33" xfId="53130"/>
    <cellStyle name="Title 2 2 8 4 2 34" xfId="53131"/>
    <cellStyle name="Title 2 2 8 4 2 35" xfId="53132"/>
    <cellStyle name="Title 2 2 8 4 2 36" xfId="53133"/>
    <cellStyle name="Title 2 2 8 4 2 37" xfId="53134"/>
    <cellStyle name="Title 2 2 8 4 2 38" xfId="53135"/>
    <cellStyle name="Title 2 2 8 4 2 39" xfId="53136"/>
    <cellStyle name="Title 2 2 8 4 2 4" xfId="53137"/>
    <cellStyle name="Title 2 2 8 4 2 40" xfId="53138"/>
    <cellStyle name="Title 2 2 8 4 2 41" xfId="53139"/>
    <cellStyle name="Title 2 2 8 4 2 42" xfId="53140"/>
    <cellStyle name="Title 2 2 8 4 2 43" xfId="53141"/>
    <cellStyle name="Title 2 2 8 4 2 44" xfId="53142"/>
    <cellStyle name="Title 2 2 8 4 2 45" xfId="53143"/>
    <cellStyle name="Title 2 2 8 4 2 46" xfId="53144"/>
    <cellStyle name="Title 2 2 8 4 2 47" xfId="53145"/>
    <cellStyle name="Title 2 2 8 4 2 48" xfId="53146"/>
    <cellStyle name="Title 2 2 8 4 2 49" xfId="53147"/>
    <cellStyle name="Title 2 2 8 4 2 5" xfId="53148"/>
    <cellStyle name="Title 2 2 8 4 2 50" xfId="53149"/>
    <cellStyle name="Title 2 2 8 4 2 51" xfId="53150"/>
    <cellStyle name="Title 2 2 8 4 2 52" xfId="53151"/>
    <cellStyle name="Title 2 2 8 4 2 53" xfId="53152"/>
    <cellStyle name="Title 2 2 8 4 2 54" xfId="53153"/>
    <cellStyle name="Title 2 2 8 4 2 55" xfId="53154"/>
    <cellStyle name="Title 2 2 8 4 2 56" xfId="53155"/>
    <cellStyle name="Title 2 2 8 4 2 57" xfId="53156"/>
    <cellStyle name="Title 2 2 8 4 2 58" xfId="53157"/>
    <cellStyle name="Title 2 2 8 4 2 59" xfId="53158"/>
    <cellStyle name="Title 2 2 8 4 2 6" xfId="53159"/>
    <cellStyle name="Title 2 2 8 4 2 60" xfId="53160"/>
    <cellStyle name="Title 2 2 8 4 2 61" xfId="53161"/>
    <cellStyle name="Title 2 2 8 4 2 62" xfId="53162"/>
    <cellStyle name="Title 2 2 8 4 2 63" xfId="53163"/>
    <cellStyle name="Title 2 2 8 4 2 64" xfId="53164"/>
    <cellStyle name="Title 2 2 8 4 2 65" xfId="53165"/>
    <cellStyle name="Title 2 2 8 4 2 66" xfId="53166"/>
    <cellStyle name="Title 2 2 8 4 2 67" xfId="53167"/>
    <cellStyle name="Title 2 2 8 4 2 68" xfId="53168"/>
    <cellStyle name="Title 2 2 8 4 2 69" xfId="53169"/>
    <cellStyle name="Title 2 2 8 4 2 7" xfId="53170"/>
    <cellStyle name="Title 2 2 8 4 2 70" xfId="53171"/>
    <cellStyle name="Title 2 2 8 4 2 71" xfId="53172"/>
    <cellStyle name="Title 2 2 8 4 2 72" xfId="53173"/>
    <cellStyle name="Title 2 2 8 4 2 73" xfId="53174"/>
    <cellStyle name="Title 2 2 8 4 2 74" xfId="53175"/>
    <cellStyle name="Title 2 2 8 4 2 8" xfId="53176"/>
    <cellStyle name="Title 2 2 8 4 2 9" xfId="53177"/>
    <cellStyle name="Title 2 2 8 4 20" xfId="53178"/>
    <cellStyle name="Title 2 2 8 4 21" xfId="53179"/>
    <cellStyle name="Title 2 2 8 4 22" xfId="53180"/>
    <cellStyle name="Title 2 2 8 4 23" xfId="53181"/>
    <cellStyle name="Title 2 2 8 4 24" xfId="53182"/>
    <cellStyle name="Title 2 2 8 4 25" xfId="53183"/>
    <cellStyle name="Title 2 2 8 4 26" xfId="53184"/>
    <cellStyle name="Title 2 2 8 4 27" xfId="53185"/>
    <cellStyle name="Title 2 2 8 4 28" xfId="53186"/>
    <cellStyle name="Title 2 2 8 4 29" xfId="53187"/>
    <cellStyle name="Title 2 2 8 4 3" xfId="53188"/>
    <cellStyle name="Title 2 2 8 4 3 2" xfId="53189"/>
    <cellStyle name="Title 2 2 8 4 30" xfId="53190"/>
    <cellStyle name="Title 2 2 8 4 31" xfId="53191"/>
    <cellStyle name="Title 2 2 8 4 32" xfId="53192"/>
    <cellStyle name="Title 2 2 8 4 33" xfId="53193"/>
    <cellStyle name="Title 2 2 8 4 34" xfId="53194"/>
    <cellStyle name="Title 2 2 8 4 35" xfId="53195"/>
    <cellStyle name="Title 2 2 8 4 36" xfId="53196"/>
    <cellStyle name="Title 2 2 8 4 37" xfId="53197"/>
    <cellStyle name="Title 2 2 8 4 38" xfId="53198"/>
    <cellStyle name="Title 2 2 8 4 39" xfId="53199"/>
    <cellStyle name="Title 2 2 8 4 4" xfId="53200"/>
    <cellStyle name="Title 2 2 8 4 40" xfId="53201"/>
    <cellStyle name="Title 2 2 8 4 41" xfId="53202"/>
    <cellStyle name="Title 2 2 8 4 42" xfId="53203"/>
    <cellStyle name="Title 2 2 8 4 43" xfId="53204"/>
    <cellStyle name="Title 2 2 8 4 44" xfId="53205"/>
    <cellStyle name="Title 2 2 8 4 45" xfId="53206"/>
    <cellStyle name="Title 2 2 8 4 46" xfId="53207"/>
    <cellStyle name="Title 2 2 8 4 47" xfId="53208"/>
    <cellStyle name="Title 2 2 8 4 48" xfId="53209"/>
    <cellStyle name="Title 2 2 8 4 49" xfId="53210"/>
    <cellStyle name="Title 2 2 8 4 5" xfId="53211"/>
    <cellStyle name="Title 2 2 8 4 50" xfId="53212"/>
    <cellStyle name="Title 2 2 8 4 51" xfId="53213"/>
    <cellStyle name="Title 2 2 8 4 52" xfId="53214"/>
    <cellStyle name="Title 2 2 8 4 53" xfId="53215"/>
    <cellStyle name="Title 2 2 8 4 54" xfId="53216"/>
    <cellStyle name="Title 2 2 8 4 55" xfId="53217"/>
    <cellStyle name="Title 2 2 8 4 56" xfId="53218"/>
    <cellStyle name="Title 2 2 8 4 57" xfId="53219"/>
    <cellStyle name="Title 2 2 8 4 58" xfId="53220"/>
    <cellStyle name="Title 2 2 8 4 59" xfId="53221"/>
    <cellStyle name="Title 2 2 8 4 6" xfId="53222"/>
    <cellStyle name="Title 2 2 8 4 60" xfId="53223"/>
    <cellStyle name="Title 2 2 8 4 61" xfId="53224"/>
    <cellStyle name="Title 2 2 8 4 62" xfId="53225"/>
    <cellStyle name="Title 2 2 8 4 63" xfId="53226"/>
    <cellStyle name="Title 2 2 8 4 64" xfId="53227"/>
    <cellStyle name="Title 2 2 8 4 65" xfId="53228"/>
    <cellStyle name="Title 2 2 8 4 66" xfId="53229"/>
    <cellStyle name="Title 2 2 8 4 67" xfId="53230"/>
    <cellStyle name="Title 2 2 8 4 68" xfId="53231"/>
    <cellStyle name="Title 2 2 8 4 69" xfId="53232"/>
    <cellStyle name="Title 2 2 8 4 7" xfId="53233"/>
    <cellStyle name="Title 2 2 8 4 70" xfId="53234"/>
    <cellStyle name="Title 2 2 8 4 71" xfId="53235"/>
    <cellStyle name="Title 2 2 8 4 72" xfId="53236"/>
    <cellStyle name="Title 2 2 8 4 73" xfId="53237"/>
    <cellStyle name="Title 2 2 8 4 74" xfId="53238"/>
    <cellStyle name="Title 2 2 8 4 8" xfId="53239"/>
    <cellStyle name="Title 2 2 8 4 9" xfId="53240"/>
    <cellStyle name="Title 2 2 8 40" xfId="53241"/>
    <cellStyle name="Title 2 2 8 41" xfId="53242"/>
    <cellStyle name="Title 2 2 8 42" xfId="53243"/>
    <cellStyle name="Title 2 2 8 43" xfId="53244"/>
    <cellStyle name="Title 2 2 8 44" xfId="53245"/>
    <cellStyle name="Title 2 2 8 45" xfId="53246"/>
    <cellStyle name="Title 2 2 8 46" xfId="53247"/>
    <cellStyle name="Title 2 2 8 47" xfId="53248"/>
    <cellStyle name="Title 2 2 8 48" xfId="53249"/>
    <cellStyle name="Title 2 2 8 49" xfId="53250"/>
    <cellStyle name="Title 2 2 8 5" xfId="53251"/>
    <cellStyle name="Title 2 2 8 50" xfId="53252"/>
    <cellStyle name="Title 2 2 8 51" xfId="53253"/>
    <cellStyle name="Title 2 2 8 52" xfId="53254"/>
    <cellStyle name="Title 2 2 8 53" xfId="53255"/>
    <cellStyle name="Title 2 2 8 54" xfId="53256"/>
    <cellStyle name="Title 2 2 8 55" xfId="53257"/>
    <cellStyle name="Title 2 2 8 56" xfId="53258"/>
    <cellStyle name="Title 2 2 8 57" xfId="53259"/>
    <cellStyle name="Title 2 2 8 58" xfId="53260"/>
    <cellStyle name="Title 2 2 8 59" xfId="53261"/>
    <cellStyle name="Title 2 2 8 6" xfId="53262"/>
    <cellStyle name="Title 2 2 8 60" xfId="53263"/>
    <cellStyle name="Title 2 2 8 61" xfId="53264"/>
    <cellStyle name="Title 2 2 8 62" xfId="53265"/>
    <cellStyle name="Title 2 2 8 63" xfId="53266"/>
    <cellStyle name="Title 2 2 8 64" xfId="53267"/>
    <cellStyle name="Title 2 2 8 65" xfId="53268"/>
    <cellStyle name="Title 2 2 8 66" xfId="53269"/>
    <cellStyle name="Title 2 2 8 67" xfId="53270"/>
    <cellStyle name="Title 2 2 8 68" xfId="53271"/>
    <cellStyle name="Title 2 2 8 69" xfId="53272"/>
    <cellStyle name="Title 2 2 8 7" xfId="53273"/>
    <cellStyle name="Title 2 2 8 70" xfId="53274"/>
    <cellStyle name="Title 2 2 8 71" xfId="53275"/>
    <cellStyle name="Title 2 2 8 72" xfId="53276"/>
    <cellStyle name="Title 2 2 8 73" xfId="53277"/>
    <cellStyle name="Title 2 2 8 74" xfId="53278"/>
    <cellStyle name="Title 2 2 8 75" xfId="53279"/>
    <cellStyle name="Title 2 2 8 76" xfId="53280"/>
    <cellStyle name="Title 2 2 8 77" xfId="53281"/>
    <cellStyle name="Title 2 2 8 78" xfId="53282"/>
    <cellStyle name="Title 2 2 8 79" xfId="53283"/>
    <cellStyle name="Title 2 2 8 8" xfId="53284"/>
    <cellStyle name="Title 2 2 8 80" xfId="53285"/>
    <cellStyle name="Title 2 2 8 81" xfId="53286"/>
    <cellStyle name="Title 2 2 8 82" xfId="53287"/>
    <cellStyle name="Title 2 2 8 83" xfId="53288"/>
    <cellStyle name="Title 2 2 8 84" xfId="53289"/>
    <cellStyle name="Title 2 2 8 85" xfId="53290"/>
    <cellStyle name="Title 2 2 8 86" xfId="53291"/>
    <cellStyle name="Title 2 2 8 87" xfId="53292"/>
    <cellStyle name="Title 2 2 8 88" xfId="53293"/>
    <cellStyle name="Title 2 2 8 89" xfId="53294"/>
    <cellStyle name="Title 2 2 8 9" xfId="53295"/>
    <cellStyle name="Title 2 2 8 90" xfId="53296"/>
    <cellStyle name="Title 2 2 8 91" xfId="53297"/>
    <cellStyle name="Title 2 2 8 92" xfId="53298"/>
    <cellStyle name="Title 2 2 8 93" xfId="53299"/>
    <cellStyle name="Title 2 2 8 94" xfId="53300"/>
    <cellStyle name="Title 2 2 8 95" xfId="53301"/>
    <cellStyle name="Title 2 2 8 96" xfId="53302"/>
    <cellStyle name="Title 2 2 8 97" xfId="53303"/>
    <cellStyle name="Title 2 2 8 98" xfId="53304"/>
    <cellStyle name="Title 2 2 8 99" xfId="53305"/>
    <cellStyle name="Title 2 2 80" xfId="53306"/>
    <cellStyle name="Title 2 2 81" xfId="53307"/>
    <cellStyle name="Title 2 2 82" xfId="53308"/>
    <cellStyle name="Title 2 2 83" xfId="53309"/>
    <cellStyle name="Title 2 2 84" xfId="53310"/>
    <cellStyle name="Title 2 2 85" xfId="53311"/>
    <cellStyle name="Title 2 2 86" xfId="53312"/>
    <cellStyle name="Title 2 2 87" xfId="53313"/>
    <cellStyle name="Title 2 2 88" xfId="53314"/>
    <cellStyle name="Title 2 2 89" xfId="53315"/>
    <cellStyle name="Title 2 2 9" xfId="53316"/>
    <cellStyle name="Title 2 2 9 10" xfId="53317"/>
    <cellStyle name="Title 2 2 9 10 2" xfId="53318"/>
    <cellStyle name="Title 2 2 9 100" xfId="53319"/>
    <cellStyle name="Title 2 2 9 101" xfId="53320"/>
    <cellStyle name="Title 2 2 9 102" xfId="53321"/>
    <cellStyle name="Title 2 2 9 103" xfId="53322"/>
    <cellStyle name="Title 2 2 9 104" xfId="53323"/>
    <cellStyle name="Title 2 2 9 105" xfId="53324"/>
    <cellStyle name="Title 2 2 9 106" xfId="53325"/>
    <cellStyle name="Title 2 2 9 107" xfId="53326"/>
    <cellStyle name="Title 2 2 9 108" xfId="53327"/>
    <cellStyle name="Title 2 2 9 109" xfId="53328"/>
    <cellStyle name="Title 2 2 9 11" xfId="53329"/>
    <cellStyle name="Title 2 2 9 11 2" xfId="53330"/>
    <cellStyle name="Title 2 2 9 12" xfId="53331"/>
    <cellStyle name="Title 2 2 9 12 2" xfId="53332"/>
    <cellStyle name="Title 2 2 9 13" xfId="53333"/>
    <cellStyle name="Title 2 2 9 13 2" xfId="53334"/>
    <cellStyle name="Title 2 2 9 14" xfId="53335"/>
    <cellStyle name="Title 2 2 9 14 2" xfId="53336"/>
    <cellStyle name="Title 2 2 9 15" xfId="53337"/>
    <cellStyle name="Title 2 2 9 15 2" xfId="53338"/>
    <cellStyle name="Title 2 2 9 16" xfId="53339"/>
    <cellStyle name="Title 2 2 9 16 2" xfId="53340"/>
    <cellStyle name="Title 2 2 9 17" xfId="53341"/>
    <cellStyle name="Title 2 2 9 17 2" xfId="53342"/>
    <cellStyle name="Title 2 2 9 18" xfId="53343"/>
    <cellStyle name="Title 2 2 9 18 2" xfId="53344"/>
    <cellStyle name="Title 2 2 9 19" xfId="53345"/>
    <cellStyle name="Title 2 2 9 19 2" xfId="53346"/>
    <cellStyle name="Title 2 2 9 2" xfId="53347"/>
    <cellStyle name="Title 2 2 9 2 10" xfId="53348"/>
    <cellStyle name="Title 2 2 9 2 11" xfId="53349"/>
    <cellStyle name="Title 2 2 9 2 12" xfId="53350"/>
    <cellStyle name="Title 2 2 9 2 13" xfId="53351"/>
    <cellStyle name="Title 2 2 9 2 14" xfId="53352"/>
    <cellStyle name="Title 2 2 9 2 15" xfId="53353"/>
    <cellStyle name="Title 2 2 9 2 16" xfId="53354"/>
    <cellStyle name="Title 2 2 9 2 17" xfId="53355"/>
    <cellStyle name="Title 2 2 9 2 18" xfId="53356"/>
    <cellStyle name="Title 2 2 9 2 19" xfId="53357"/>
    <cellStyle name="Title 2 2 9 2 2" xfId="53358"/>
    <cellStyle name="Title 2 2 9 2 2 10" xfId="53359"/>
    <cellStyle name="Title 2 2 9 2 2 11" xfId="53360"/>
    <cellStyle name="Title 2 2 9 2 2 12" xfId="53361"/>
    <cellStyle name="Title 2 2 9 2 2 13" xfId="53362"/>
    <cellStyle name="Title 2 2 9 2 2 14" xfId="53363"/>
    <cellStyle name="Title 2 2 9 2 2 15" xfId="53364"/>
    <cellStyle name="Title 2 2 9 2 2 16" xfId="53365"/>
    <cellStyle name="Title 2 2 9 2 2 17" xfId="53366"/>
    <cellStyle name="Title 2 2 9 2 2 18" xfId="53367"/>
    <cellStyle name="Title 2 2 9 2 2 19" xfId="53368"/>
    <cellStyle name="Title 2 2 9 2 2 2" xfId="53369"/>
    <cellStyle name="Title 2 2 9 2 2 2 10" xfId="53370"/>
    <cellStyle name="Title 2 2 9 2 2 2 11" xfId="53371"/>
    <cellStyle name="Title 2 2 9 2 2 2 12" xfId="53372"/>
    <cellStyle name="Title 2 2 9 2 2 2 13" xfId="53373"/>
    <cellStyle name="Title 2 2 9 2 2 2 14" xfId="53374"/>
    <cellStyle name="Title 2 2 9 2 2 2 15" xfId="53375"/>
    <cellStyle name="Title 2 2 9 2 2 2 16" xfId="53376"/>
    <cellStyle name="Title 2 2 9 2 2 2 17" xfId="53377"/>
    <cellStyle name="Title 2 2 9 2 2 2 18" xfId="53378"/>
    <cellStyle name="Title 2 2 9 2 2 2 19" xfId="53379"/>
    <cellStyle name="Title 2 2 9 2 2 2 2" xfId="53380"/>
    <cellStyle name="Title 2 2 9 2 2 2 2 10" xfId="53381"/>
    <cellStyle name="Title 2 2 9 2 2 2 2 11" xfId="53382"/>
    <cellStyle name="Title 2 2 9 2 2 2 2 12" xfId="53383"/>
    <cellStyle name="Title 2 2 9 2 2 2 2 13" xfId="53384"/>
    <cellStyle name="Title 2 2 9 2 2 2 2 14" xfId="53385"/>
    <cellStyle name="Title 2 2 9 2 2 2 2 15" xfId="53386"/>
    <cellStyle name="Title 2 2 9 2 2 2 2 16" xfId="53387"/>
    <cellStyle name="Title 2 2 9 2 2 2 2 17" xfId="53388"/>
    <cellStyle name="Title 2 2 9 2 2 2 2 18" xfId="53389"/>
    <cellStyle name="Title 2 2 9 2 2 2 2 19" xfId="53390"/>
    <cellStyle name="Title 2 2 9 2 2 2 2 2" xfId="53391"/>
    <cellStyle name="Title 2 2 9 2 2 2 2 2 2" xfId="53392"/>
    <cellStyle name="Title 2 2 9 2 2 2 2 20" xfId="53393"/>
    <cellStyle name="Title 2 2 9 2 2 2 2 21" xfId="53394"/>
    <cellStyle name="Title 2 2 9 2 2 2 2 22" xfId="53395"/>
    <cellStyle name="Title 2 2 9 2 2 2 2 23" xfId="53396"/>
    <cellStyle name="Title 2 2 9 2 2 2 2 24" xfId="53397"/>
    <cellStyle name="Title 2 2 9 2 2 2 2 25" xfId="53398"/>
    <cellStyle name="Title 2 2 9 2 2 2 2 26" xfId="53399"/>
    <cellStyle name="Title 2 2 9 2 2 2 2 27" xfId="53400"/>
    <cellStyle name="Title 2 2 9 2 2 2 2 28" xfId="53401"/>
    <cellStyle name="Title 2 2 9 2 2 2 2 29" xfId="53402"/>
    <cellStyle name="Title 2 2 9 2 2 2 2 3" xfId="53403"/>
    <cellStyle name="Title 2 2 9 2 2 2 2 30" xfId="53404"/>
    <cellStyle name="Title 2 2 9 2 2 2 2 31" xfId="53405"/>
    <cellStyle name="Title 2 2 9 2 2 2 2 32" xfId="53406"/>
    <cellStyle name="Title 2 2 9 2 2 2 2 33" xfId="53407"/>
    <cellStyle name="Title 2 2 9 2 2 2 2 34" xfId="53408"/>
    <cellStyle name="Title 2 2 9 2 2 2 2 35" xfId="53409"/>
    <cellStyle name="Title 2 2 9 2 2 2 2 36" xfId="53410"/>
    <cellStyle name="Title 2 2 9 2 2 2 2 37" xfId="53411"/>
    <cellStyle name="Title 2 2 9 2 2 2 2 38" xfId="53412"/>
    <cellStyle name="Title 2 2 9 2 2 2 2 39" xfId="53413"/>
    <cellStyle name="Title 2 2 9 2 2 2 2 4" xfId="53414"/>
    <cellStyle name="Title 2 2 9 2 2 2 2 40" xfId="53415"/>
    <cellStyle name="Title 2 2 9 2 2 2 2 41" xfId="53416"/>
    <cellStyle name="Title 2 2 9 2 2 2 2 42" xfId="53417"/>
    <cellStyle name="Title 2 2 9 2 2 2 2 43" xfId="53418"/>
    <cellStyle name="Title 2 2 9 2 2 2 2 44" xfId="53419"/>
    <cellStyle name="Title 2 2 9 2 2 2 2 45" xfId="53420"/>
    <cellStyle name="Title 2 2 9 2 2 2 2 46" xfId="53421"/>
    <cellStyle name="Title 2 2 9 2 2 2 2 47" xfId="53422"/>
    <cellStyle name="Title 2 2 9 2 2 2 2 48" xfId="53423"/>
    <cellStyle name="Title 2 2 9 2 2 2 2 49" xfId="53424"/>
    <cellStyle name="Title 2 2 9 2 2 2 2 5" xfId="53425"/>
    <cellStyle name="Title 2 2 9 2 2 2 2 50" xfId="53426"/>
    <cellStyle name="Title 2 2 9 2 2 2 2 51" xfId="53427"/>
    <cellStyle name="Title 2 2 9 2 2 2 2 52" xfId="53428"/>
    <cellStyle name="Title 2 2 9 2 2 2 2 53" xfId="53429"/>
    <cellStyle name="Title 2 2 9 2 2 2 2 54" xfId="53430"/>
    <cellStyle name="Title 2 2 9 2 2 2 2 55" xfId="53431"/>
    <cellStyle name="Title 2 2 9 2 2 2 2 56" xfId="53432"/>
    <cellStyle name="Title 2 2 9 2 2 2 2 57" xfId="53433"/>
    <cellStyle name="Title 2 2 9 2 2 2 2 58" xfId="53434"/>
    <cellStyle name="Title 2 2 9 2 2 2 2 59" xfId="53435"/>
    <cellStyle name="Title 2 2 9 2 2 2 2 6" xfId="53436"/>
    <cellStyle name="Title 2 2 9 2 2 2 2 60" xfId="53437"/>
    <cellStyle name="Title 2 2 9 2 2 2 2 61" xfId="53438"/>
    <cellStyle name="Title 2 2 9 2 2 2 2 62" xfId="53439"/>
    <cellStyle name="Title 2 2 9 2 2 2 2 63" xfId="53440"/>
    <cellStyle name="Title 2 2 9 2 2 2 2 64" xfId="53441"/>
    <cellStyle name="Title 2 2 9 2 2 2 2 65" xfId="53442"/>
    <cellStyle name="Title 2 2 9 2 2 2 2 66" xfId="53443"/>
    <cellStyle name="Title 2 2 9 2 2 2 2 67" xfId="53444"/>
    <cellStyle name="Title 2 2 9 2 2 2 2 68" xfId="53445"/>
    <cellStyle name="Title 2 2 9 2 2 2 2 69" xfId="53446"/>
    <cellStyle name="Title 2 2 9 2 2 2 2 7" xfId="53447"/>
    <cellStyle name="Title 2 2 9 2 2 2 2 70" xfId="53448"/>
    <cellStyle name="Title 2 2 9 2 2 2 2 71" xfId="53449"/>
    <cellStyle name="Title 2 2 9 2 2 2 2 72" xfId="53450"/>
    <cellStyle name="Title 2 2 9 2 2 2 2 73" xfId="53451"/>
    <cellStyle name="Title 2 2 9 2 2 2 2 74" xfId="53452"/>
    <cellStyle name="Title 2 2 9 2 2 2 2 8" xfId="53453"/>
    <cellStyle name="Title 2 2 9 2 2 2 2 9" xfId="53454"/>
    <cellStyle name="Title 2 2 9 2 2 2 20" xfId="53455"/>
    <cellStyle name="Title 2 2 9 2 2 2 21" xfId="53456"/>
    <cellStyle name="Title 2 2 9 2 2 2 22" xfId="53457"/>
    <cellStyle name="Title 2 2 9 2 2 2 23" xfId="53458"/>
    <cellStyle name="Title 2 2 9 2 2 2 24" xfId="53459"/>
    <cellStyle name="Title 2 2 9 2 2 2 25" xfId="53460"/>
    <cellStyle name="Title 2 2 9 2 2 2 26" xfId="53461"/>
    <cellStyle name="Title 2 2 9 2 2 2 27" xfId="53462"/>
    <cellStyle name="Title 2 2 9 2 2 2 28" xfId="53463"/>
    <cellStyle name="Title 2 2 9 2 2 2 29" xfId="53464"/>
    <cellStyle name="Title 2 2 9 2 2 2 3" xfId="53465"/>
    <cellStyle name="Title 2 2 9 2 2 2 3 2" xfId="53466"/>
    <cellStyle name="Title 2 2 9 2 2 2 30" xfId="53467"/>
    <cellStyle name="Title 2 2 9 2 2 2 31" xfId="53468"/>
    <cellStyle name="Title 2 2 9 2 2 2 32" xfId="53469"/>
    <cellStyle name="Title 2 2 9 2 2 2 33" xfId="53470"/>
    <cellStyle name="Title 2 2 9 2 2 2 34" xfId="53471"/>
    <cellStyle name="Title 2 2 9 2 2 2 35" xfId="53472"/>
    <cellStyle name="Title 2 2 9 2 2 2 36" xfId="53473"/>
    <cellStyle name="Title 2 2 9 2 2 2 37" xfId="53474"/>
    <cellStyle name="Title 2 2 9 2 2 2 38" xfId="53475"/>
    <cellStyle name="Title 2 2 9 2 2 2 39" xfId="53476"/>
    <cellStyle name="Title 2 2 9 2 2 2 4" xfId="53477"/>
    <cellStyle name="Title 2 2 9 2 2 2 40" xfId="53478"/>
    <cellStyle name="Title 2 2 9 2 2 2 41" xfId="53479"/>
    <cellStyle name="Title 2 2 9 2 2 2 42" xfId="53480"/>
    <cellStyle name="Title 2 2 9 2 2 2 43" xfId="53481"/>
    <cellStyle name="Title 2 2 9 2 2 2 44" xfId="53482"/>
    <cellStyle name="Title 2 2 9 2 2 2 45" xfId="53483"/>
    <cellStyle name="Title 2 2 9 2 2 2 46" xfId="53484"/>
    <cellStyle name="Title 2 2 9 2 2 2 47" xfId="53485"/>
    <cellStyle name="Title 2 2 9 2 2 2 48" xfId="53486"/>
    <cellStyle name="Title 2 2 9 2 2 2 49" xfId="53487"/>
    <cellStyle name="Title 2 2 9 2 2 2 5" xfId="53488"/>
    <cellStyle name="Title 2 2 9 2 2 2 50" xfId="53489"/>
    <cellStyle name="Title 2 2 9 2 2 2 51" xfId="53490"/>
    <cellStyle name="Title 2 2 9 2 2 2 52" xfId="53491"/>
    <cellStyle name="Title 2 2 9 2 2 2 53" xfId="53492"/>
    <cellStyle name="Title 2 2 9 2 2 2 54" xfId="53493"/>
    <cellStyle name="Title 2 2 9 2 2 2 55" xfId="53494"/>
    <cellStyle name="Title 2 2 9 2 2 2 56" xfId="53495"/>
    <cellStyle name="Title 2 2 9 2 2 2 57" xfId="53496"/>
    <cellStyle name="Title 2 2 9 2 2 2 58" xfId="53497"/>
    <cellStyle name="Title 2 2 9 2 2 2 59" xfId="53498"/>
    <cellStyle name="Title 2 2 9 2 2 2 6" xfId="53499"/>
    <cellStyle name="Title 2 2 9 2 2 2 60" xfId="53500"/>
    <cellStyle name="Title 2 2 9 2 2 2 61" xfId="53501"/>
    <cellStyle name="Title 2 2 9 2 2 2 62" xfId="53502"/>
    <cellStyle name="Title 2 2 9 2 2 2 63" xfId="53503"/>
    <cellStyle name="Title 2 2 9 2 2 2 64" xfId="53504"/>
    <cellStyle name="Title 2 2 9 2 2 2 65" xfId="53505"/>
    <cellStyle name="Title 2 2 9 2 2 2 66" xfId="53506"/>
    <cellStyle name="Title 2 2 9 2 2 2 67" xfId="53507"/>
    <cellStyle name="Title 2 2 9 2 2 2 68" xfId="53508"/>
    <cellStyle name="Title 2 2 9 2 2 2 69" xfId="53509"/>
    <cellStyle name="Title 2 2 9 2 2 2 7" xfId="53510"/>
    <cellStyle name="Title 2 2 9 2 2 2 70" xfId="53511"/>
    <cellStyle name="Title 2 2 9 2 2 2 71" xfId="53512"/>
    <cellStyle name="Title 2 2 9 2 2 2 72" xfId="53513"/>
    <cellStyle name="Title 2 2 9 2 2 2 73" xfId="53514"/>
    <cellStyle name="Title 2 2 9 2 2 2 74" xfId="53515"/>
    <cellStyle name="Title 2 2 9 2 2 2 8" xfId="53516"/>
    <cellStyle name="Title 2 2 9 2 2 2 9" xfId="53517"/>
    <cellStyle name="Title 2 2 9 2 2 20" xfId="53518"/>
    <cellStyle name="Title 2 2 9 2 2 21" xfId="53519"/>
    <cellStyle name="Title 2 2 9 2 2 22" xfId="53520"/>
    <cellStyle name="Title 2 2 9 2 2 23" xfId="53521"/>
    <cellStyle name="Title 2 2 9 2 2 24" xfId="53522"/>
    <cellStyle name="Title 2 2 9 2 2 25" xfId="53523"/>
    <cellStyle name="Title 2 2 9 2 2 26" xfId="53524"/>
    <cellStyle name="Title 2 2 9 2 2 27" xfId="53525"/>
    <cellStyle name="Title 2 2 9 2 2 28" xfId="53526"/>
    <cellStyle name="Title 2 2 9 2 2 29" xfId="53527"/>
    <cellStyle name="Title 2 2 9 2 2 3" xfId="53528"/>
    <cellStyle name="Title 2 2 9 2 2 3 2" xfId="53529"/>
    <cellStyle name="Title 2 2 9 2 2 30" xfId="53530"/>
    <cellStyle name="Title 2 2 9 2 2 31" xfId="53531"/>
    <cellStyle name="Title 2 2 9 2 2 32" xfId="53532"/>
    <cellStyle name="Title 2 2 9 2 2 33" xfId="53533"/>
    <cellStyle name="Title 2 2 9 2 2 34" xfId="53534"/>
    <cellStyle name="Title 2 2 9 2 2 35" xfId="53535"/>
    <cellStyle name="Title 2 2 9 2 2 36" xfId="53536"/>
    <cellStyle name="Title 2 2 9 2 2 37" xfId="53537"/>
    <cellStyle name="Title 2 2 9 2 2 38" xfId="53538"/>
    <cellStyle name="Title 2 2 9 2 2 39" xfId="53539"/>
    <cellStyle name="Title 2 2 9 2 2 4" xfId="53540"/>
    <cellStyle name="Title 2 2 9 2 2 40" xfId="53541"/>
    <cellStyle name="Title 2 2 9 2 2 41" xfId="53542"/>
    <cellStyle name="Title 2 2 9 2 2 42" xfId="53543"/>
    <cellStyle name="Title 2 2 9 2 2 43" xfId="53544"/>
    <cellStyle name="Title 2 2 9 2 2 44" xfId="53545"/>
    <cellStyle name="Title 2 2 9 2 2 45" xfId="53546"/>
    <cellStyle name="Title 2 2 9 2 2 46" xfId="53547"/>
    <cellStyle name="Title 2 2 9 2 2 47" xfId="53548"/>
    <cellStyle name="Title 2 2 9 2 2 48" xfId="53549"/>
    <cellStyle name="Title 2 2 9 2 2 49" xfId="53550"/>
    <cellStyle name="Title 2 2 9 2 2 5" xfId="53551"/>
    <cellStyle name="Title 2 2 9 2 2 50" xfId="53552"/>
    <cellStyle name="Title 2 2 9 2 2 51" xfId="53553"/>
    <cellStyle name="Title 2 2 9 2 2 52" xfId="53554"/>
    <cellStyle name="Title 2 2 9 2 2 53" xfId="53555"/>
    <cellStyle name="Title 2 2 9 2 2 54" xfId="53556"/>
    <cellStyle name="Title 2 2 9 2 2 55" xfId="53557"/>
    <cellStyle name="Title 2 2 9 2 2 56" xfId="53558"/>
    <cellStyle name="Title 2 2 9 2 2 57" xfId="53559"/>
    <cellStyle name="Title 2 2 9 2 2 58" xfId="53560"/>
    <cellStyle name="Title 2 2 9 2 2 59" xfId="53561"/>
    <cellStyle name="Title 2 2 9 2 2 6" xfId="53562"/>
    <cellStyle name="Title 2 2 9 2 2 60" xfId="53563"/>
    <cellStyle name="Title 2 2 9 2 2 61" xfId="53564"/>
    <cellStyle name="Title 2 2 9 2 2 62" xfId="53565"/>
    <cellStyle name="Title 2 2 9 2 2 63" xfId="53566"/>
    <cellStyle name="Title 2 2 9 2 2 64" xfId="53567"/>
    <cellStyle name="Title 2 2 9 2 2 65" xfId="53568"/>
    <cellStyle name="Title 2 2 9 2 2 66" xfId="53569"/>
    <cellStyle name="Title 2 2 9 2 2 67" xfId="53570"/>
    <cellStyle name="Title 2 2 9 2 2 68" xfId="53571"/>
    <cellStyle name="Title 2 2 9 2 2 69" xfId="53572"/>
    <cellStyle name="Title 2 2 9 2 2 7" xfId="53573"/>
    <cellStyle name="Title 2 2 9 2 2 70" xfId="53574"/>
    <cellStyle name="Title 2 2 9 2 2 71" xfId="53575"/>
    <cellStyle name="Title 2 2 9 2 2 72" xfId="53576"/>
    <cellStyle name="Title 2 2 9 2 2 73" xfId="53577"/>
    <cellStyle name="Title 2 2 9 2 2 74" xfId="53578"/>
    <cellStyle name="Title 2 2 9 2 2 75" xfId="53579"/>
    <cellStyle name="Title 2 2 9 2 2 76" xfId="53580"/>
    <cellStyle name="Title 2 2 9 2 2 77" xfId="53581"/>
    <cellStyle name="Title 2 2 9 2 2 78" xfId="53582"/>
    <cellStyle name="Title 2 2 9 2 2 79" xfId="53583"/>
    <cellStyle name="Title 2 2 9 2 2 8" xfId="53584"/>
    <cellStyle name="Title 2 2 9 2 2 80" xfId="53585"/>
    <cellStyle name="Title 2 2 9 2 2 81" xfId="53586"/>
    <cellStyle name="Title 2 2 9 2 2 82" xfId="53587"/>
    <cellStyle name="Title 2 2 9 2 2 83" xfId="53588"/>
    <cellStyle name="Title 2 2 9 2 2 84" xfId="53589"/>
    <cellStyle name="Title 2 2 9 2 2 85" xfId="53590"/>
    <cellStyle name="Title 2 2 9 2 2 86" xfId="53591"/>
    <cellStyle name="Title 2 2 9 2 2 87" xfId="53592"/>
    <cellStyle name="Title 2 2 9 2 2 88" xfId="53593"/>
    <cellStyle name="Title 2 2 9 2 2 9" xfId="53594"/>
    <cellStyle name="Title 2 2 9 2 20" xfId="53595"/>
    <cellStyle name="Title 2 2 9 2 21" xfId="53596"/>
    <cellStyle name="Title 2 2 9 2 22" xfId="53597"/>
    <cellStyle name="Title 2 2 9 2 23" xfId="53598"/>
    <cellStyle name="Title 2 2 9 2 24" xfId="53599"/>
    <cellStyle name="Title 2 2 9 2 25" xfId="53600"/>
    <cellStyle name="Title 2 2 9 2 26" xfId="53601"/>
    <cellStyle name="Title 2 2 9 2 27" xfId="53602"/>
    <cellStyle name="Title 2 2 9 2 28" xfId="53603"/>
    <cellStyle name="Title 2 2 9 2 29" xfId="53604"/>
    <cellStyle name="Title 2 2 9 2 3" xfId="53605"/>
    <cellStyle name="Title 2 2 9 2 3 2" xfId="53606"/>
    <cellStyle name="Title 2 2 9 2 30" xfId="53607"/>
    <cellStyle name="Title 2 2 9 2 31" xfId="53608"/>
    <cellStyle name="Title 2 2 9 2 32" xfId="53609"/>
    <cellStyle name="Title 2 2 9 2 33" xfId="53610"/>
    <cellStyle name="Title 2 2 9 2 34" xfId="53611"/>
    <cellStyle name="Title 2 2 9 2 35" xfId="53612"/>
    <cellStyle name="Title 2 2 9 2 36" xfId="53613"/>
    <cellStyle name="Title 2 2 9 2 37" xfId="53614"/>
    <cellStyle name="Title 2 2 9 2 38" xfId="53615"/>
    <cellStyle name="Title 2 2 9 2 39" xfId="53616"/>
    <cellStyle name="Title 2 2 9 2 4" xfId="53617"/>
    <cellStyle name="Title 2 2 9 2 40" xfId="53618"/>
    <cellStyle name="Title 2 2 9 2 41" xfId="53619"/>
    <cellStyle name="Title 2 2 9 2 42" xfId="53620"/>
    <cellStyle name="Title 2 2 9 2 43" xfId="53621"/>
    <cellStyle name="Title 2 2 9 2 44" xfId="53622"/>
    <cellStyle name="Title 2 2 9 2 45" xfId="53623"/>
    <cellStyle name="Title 2 2 9 2 46" xfId="53624"/>
    <cellStyle name="Title 2 2 9 2 47" xfId="53625"/>
    <cellStyle name="Title 2 2 9 2 48" xfId="53626"/>
    <cellStyle name="Title 2 2 9 2 49" xfId="53627"/>
    <cellStyle name="Title 2 2 9 2 5" xfId="53628"/>
    <cellStyle name="Title 2 2 9 2 50" xfId="53629"/>
    <cellStyle name="Title 2 2 9 2 51" xfId="53630"/>
    <cellStyle name="Title 2 2 9 2 52" xfId="53631"/>
    <cellStyle name="Title 2 2 9 2 53" xfId="53632"/>
    <cellStyle name="Title 2 2 9 2 54" xfId="53633"/>
    <cellStyle name="Title 2 2 9 2 55" xfId="53634"/>
    <cellStyle name="Title 2 2 9 2 56" xfId="53635"/>
    <cellStyle name="Title 2 2 9 2 57" xfId="53636"/>
    <cellStyle name="Title 2 2 9 2 58" xfId="53637"/>
    <cellStyle name="Title 2 2 9 2 59" xfId="53638"/>
    <cellStyle name="Title 2 2 9 2 6" xfId="53639"/>
    <cellStyle name="Title 2 2 9 2 60" xfId="53640"/>
    <cellStyle name="Title 2 2 9 2 61" xfId="53641"/>
    <cellStyle name="Title 2 2 9 2 62" xfId="53642"/>
    <cellStyle name="Title 2 2 9 2 63" xfId="53643"/>
    <cellStyle name="Title 2 2 9 2 64" xfId="53644"/>
    <cellStyle name="Title 2 2 9 2 65" xfId="53645"/>
    <cellStyle name="Title 2 2 9 2 66" xfId="53646"/>
    <cellStyle name="Title 2 2 9 2 67" xfId="53647"/>
    <cellStyle name="Title 2 2 9 2 68" xfId="53648"/>
    <cellStyle name="Title 2 2 9 2 69" xfId="53649"/>
    <cellStyle name="Title 2 2 9 2 7" xfId="53650"/>
    <cellStyle name="Title 2 2 9 2 70" xfId="53651"/>
    <cellStyle name="Title 2 2 9 2 71" xfId="53652"/>
    <cellStyle name="Title 2 2 9 2 72" xfId="53653"/>
    <cellStyle name="Title 2 2 9 2 73" xfId="53654"/>
    <cellStyle name="Title 2 2 9 2 74" xfId="53655"/>
    <cellStyle name="Title 2 2 9 2 75" xfId="53656"/>
    <cellStyle name="Title 2 2 9 2 76" xfId="53657"/>
    <cellStyle name="Title 2 2 9 2 77" xfId="53658"/>
    <cellStyle name="Title 2 2 9 2 78" xfId="53659"/>
    <cellStyle name="Title 2 2 9 2 79" xfId="53660"/>
    <cellStyle name="Title 2 2 9 2 8" xfId="53661"/>
    <cellStyle name="Title 2 2 9 2 80" xfId="53662"/>
    <cellStyle name="Title 2 2 9 2 81" xfId="53663"/>
    <cellStyle name="Title 2 2 9 2 82" xfId="53664"/>
    <cellStyle name="Title 2 2 9 2 83" xfId="53665"/>
    <cellStyle name="Title 2 2 9 2 84" xfId="53666"/>
    <cellStyle name="Title 2 2 9 2 85" xfId="53667"/>
    <cellStyle name="Title 2 2 9 2 86" xfId="53668"/>
    <cellStyle name="Title 2 2 9 2 87" xfId="53669"/>
    <cellStyle name="Title 2 2 9 2 88" xfId="53670"/>
    <cellStyle name="Title 2 2 9 2 9" xfId="53671"/>
    <cellStyle name="Title 2 2 9 20" xfId="53672"/>
    <cellStyle name="Title 2 2 9 20 2" xfId="53673"/>
    <cellStyle name="Title 2 2 9 21" xfId="53674"/>
    <cellStyle name="Title 2 2 9 21 2" xfId="53675"/>
    <cellStyle name="Title 2 2 9 22" xfId="53676"/>
    <cellStyle name="Title 2 2 9 22 2" xfId="53677"/>
    <cellStyle name="Title 2 2 9 23" xfId="53678"/>
    <cellStyle name="Title 2 2 9 23 2" xfId="53679"/>
    <cellStyle name="Title 2 2 9 24" xfId="53680"/>
    <cellStyle name="Title 2 2 9 24 2" xfId="53681"/>
    <cellStyle name="Title 2 2 9 25" xfId="53682"/>
    <cellStyle name="Title 2 2 9 25 2" xfId="53683"/>
    <cellStyle name="Title 2 2 9 26" xfId="53684"/>
    <cellStyle name="Title 2 2 9 26 2" xfId="53685"/>
    <cellStyle name="Title 2 2 9 27" xfId="53686"/>
    <cellStyle name="Title 2 2 9 27 2" xfId="53687"/>
    <cellStyle name="Title 2 2 9 28" xfId="53688"/>
    <cellStyle name="Title 2 2 9 28 2" xfId="53689"/>
    <cellStyle name="Title 2 2 9 29" xfId="53690"/>
    <cellStyle name="Title 2 2 9 29 2" xfId="53691"/>
    <cellStyle name="Title 2 2 9 3" xfId="53692"/>
    <cellStyle name="Title 2 2 9 3 2" xfId="53693"/>
    <cellStyle name="Title 2 2 9 30" xfId="53694"/>
    <cellStyle name="Title 2 2 9 30 2" xfId="53695"/>
    <cellStyle name="Title 2 2 9 31" xfId="53696"/>
    <cellStyle name="Title 2 2 9 31 2" xfId="53697"/>
    <cellStyle name="Title 2 2 9 32" xfId="53698"/>
    <cellStyle name="Title 2 2 9 32 2" xfId="53699"/>
    <cellStyle name="Title 2 2 9 33" xfId="53700"/>
    <cellStyle name="Title 2 2 9 33 2" xfId="53701"/>
    <cellStyle name="Title 2 2 9 34" xfId="53702"/>
    <cellStyle name="Title 2 2 9 34 2" xfId="53703"/>
    <cellStyle name="Title 2 2 9 35" xfId="53704"/>
    <cellStyle name="Title 2 2 9 35 2" xfId="53705"/>
    <cellStyle name="Title 2 2 9 36" xfId="53706"/>
    <cellStyle name="Title 2 2 9 36 2" xfId="53707"/>
    <cellStyle name="Title 2 2 9 37" xfId="53708"/>
    <cellStyle name="Title 2 2 9 37 2" xfId="53709"/>
    <cellStyle name="Title 2 2 9 38" xfId="53710"/>
    <cellStyle name="Title 2 2 9 38 2" xfId="53711"/>
    <cellStyle name="Title 2 2 9 39" xfId="53712"/>
    <cellStyle name="Title 2 2 9 39 2" xfId="53713"/>
    <cellStyle name="Title 2 2 9 4" xfId="53714"/>
    <cellStyle name="Title 2 2 9 4 2" xfId="53715"/>
    <cellStyle name="Title 2 2 9 40" xfId="53716"/>
    <cellStyle name="Title 2 2 9 40 2" xfId="53717"/>
    <cellStyle name="Title 2 2 9 41" xfId="53718"/>
    <cellStyle name="Title 2 2 9 41 2" xfId="53719"/>
    <cellStyle name="Title 2 2 9 42" xfId="53720"/>
    <cellStyle name="Title 2 2 9 42 2" xfId="53721"/>
    <cellStyle name="Title 2 2 9 43" xfId="53722"/>
    <cellStyle name="Title 2 2 9 43 2" xfId="53723"/>
    <cellStyle name="Title 2 2 9 44" xfId="53724"/>
    <cellStyle name="Title 2 2 9 44 2" xfId="53725"/>
    <cellStyle name="Title 2 2 9 45" xfId="53726"/>
    <cellStyle name="Title 2 2 9 46" xfId="53727"/>
    <cellStyle name="Title 2 2 9 47" xfId="53728"/>
    <cellStyle name="Title 2 2 9 48" xfId="53729"/>
    <cellStyle name="Title 2 2 9 49" xfId="53730"/>
    <cellStyle name="Title 2 2 9 5" xfId="53731"/>
    <cellStyle name="Title 2 2 9 5 2" xfId="53732"/>
    <cellStyle name="Title 2 2 9 50" xfId="53733"/>
    <cellStyle name="Title 2 2 9 51" xfId="53734"/>
    <cellStyle name="Title 2 2 9 52" xfId="53735"/>
    <cellStyle name="Title 2 2 9 53" xfId="53736"/>
    <cellStyle name="Title 2 2 9 54" xfId="53737"/>
    <cellStyle name="Title 2 2 9 55" xfId="53738"/>
    <cellStyle name="Title 2 2 9 56" xfId="53739"/>
    <cellStyle name="Title 2 2 9 57" xfId="53740"/>
    <cellStyle name="Title 2 2 9 58" xfId="53741"/>
    <cellStyle name="Title 2 2 9 59" xfId="53742"/>
    <cellStyle name="Title 2 2 9 6" xfId="53743"/>
    <cellStyle name="Title 2 2 9 6 2" xfId="53744"/>
    <cellStyle name="Title 2 2 9 60" xfId="53745"/>
    <cellStyle name="Title 2 2 9 61" xfId="53746"/>
    <cellStyle name="Title 2 2 9 62" xfId="53747"/>
    <cellStyle name="Title 2 2 9 63" xfId="53748"/>
    <cellStyle name="Title 2 2 9 64" xfId="53749"/>
    <cellStyle name="Title 2 2 9 65" xfId="53750"/>
    <cellStyle name="Title 2 2 9 66" xfId="53751"/>
    <cellStyle name="Title 2 2 9 67" xfId="53752"/>
    <cellStyle name="Title 2 2 9 68" xfId="53753"/>
    <cellStyle name="Title 2 2 9 69" xfId="53754"/>
    <cellStyle name="Title 2 2 9 7" xfId="53755"/>
    <cellStyle name="Title 2 2 9 7 2" xfId="53756"/>
    <cellStyle name="Title 2 2 9 70" xfId="53757"/>
    <cellStyle name="Title 2 2 9 71" xfId="53758"/>
    <cellStyle name="Title 2 2 9 72" xfId="53759"/>
    <cellStyle name="Title 2 2 9 73" xfId="53760"/>
    <cellStyle name="Title 2 2 9 74" xfId="53761"/>
    <cellStyle name="Title 2 2 9 75" xfId="53762"/>
    <cellStyle name="Title 2 2 9 76" xfId="53763"/>
    <cellStyle name="Title 2 2 9 77" xfId="53764"/>
    <cellStyle name="Title 2 2 9 78" xfId="53765"/>
    <cellStyle name="Title 2 2 9 79" xfId="53766"/>
    <cellStyle name="Title 2 2 9 8" xfId="53767"/>
    <cellStyle name="Title 2 2 9 8 2" xfId="53768"/>
    <cellStyle name="Title 2 2 9 80" xfId="53769"/>
    <cellStyle name="Title 2 2 9 81" xfId="53770"/>
    <cellStyle name="Title 2 2 9 82" xfId="53771"/>
    <cellStyle name="Title 2 2 9 83" xfId="53772"/>
    <cellStyle name="Title 2 2 9 84" xfId="53773"/>
    <cellStyle name="Title 2 2 9 85" xfId="53774"/>
    <cellStyle name="Title 2 2 9 86" xfId="53775"/>
    <cellStyle name="Title 2 2 9 87" xfId="53776"/>
    <cellStyle name="Title 2 2 9 88" xfId="53777"/>
    <cellStyle name="Title 2 2 9 89" xfId="53778"/>
    <cellStyle name="Title 2 2 9 9" xfId="53779"/>
    <cellStyle name="Title 2 2 9 9 2" xfId="53780"/>
    <cellStyle name="Title 2 2 9 90" xfId="53781"/>
    <cellStyle name="Title 2 2 9 91" xfId="53782"/>
    <cellStyle name="Title 2 2 9 92" xfId="53783"/>
    <cellStyle name="Title 2 2 9 93" xfId="53784"/>
    <cellStyle name="Title 2 2 9 94" xfId="53785"/>
    <cellStyle name="Title 2 2 9 95" xfId="53786"/>
    <cellStyle name="Title 2 2 9 96" xfId="53787"/>
    <cellStyle name="Title 2 2 9 97" xfId="53788"/>
    <cellStyle name="Title 2 2 9 98" xfId="53789"/>
    <cellStyle name="Title 2 2 9 99" xfId="53790"/>
    <cellStyle name="Title 2 2 90" xfId="53791"/>
    <cellStyle name="Title 2 2 91" xfId="53792"/>
    <cellStyle name="Title 2 2 92" xfId="53793"/>
    <cellStyle name="Title 2 2 93" xfId="53794"/>
    <cellStyle name="Title 2 2 94" xfId="53795"/>
    <cellStyle name="Title 2 2 95" xfId="53796"/>
    <cellStyle name="Title 2 2 96" xfId="53797"/>
    <cellStyle name="Title 2 2 97" xfId="53798"/>
    <cellStyle name="Title 2 2 98" xfId="53799"/>
    <cellStyle name="Title 2 2 99" xfId="53800"/>
    <cellStyle name="Title 2 20" xfId="53801"/>
    <cellStyle name="Title 2 20 2" xfId="53802"/>
    <cellStyle name="Title 2 21" xfId="53803"/>
    <cellStyle name="Title 2 21 2" xfId="53804"/>
    <cellStyle name="Title 2 22" xfId="53805"/>
    <cellStyle name="Title 2 22 2" xfId="53806"/>
    <cellStyle name="Title 2 23" xfId="53807"/>
    <cellStyle name="Title 2 23 2" xfId="53808"/>
    <cellStyle name="Title 2 24" xfId="53809"/>
    <cellStyle name="Title 2 24 2" xfId="53810"/>
    <cellStyle name="Title 2 25" xfId="53811"/>
    <cellStyle name="Title 2 25 2" xfId="53812"/>
    <cellStyle name="Title 2 26" xfId="53813"/>
    <cellStyle name="Title 2 26 2" xfId="53814"/>
    <cellStyle name="Title 2 27" xfId="53815"/>
    <cellStyle name="Title 2 27 2" xfId="53816"/>
    <cellStyle name="Title 2 28" xfId="53817"/>
    <cellStyle name="Title 2 28 2" xfId="53818"/>
    <cellStyle name="Title 2 29" xfId="53819"/>
    <cellStyle name="Title 2 29 2" xfId="53820"/>
    <cellStyle name="Title 2 3" xfId="53821"/>
    <cellStyle name="Title 2 3 2" xfId="53822"/>
    <cellStyle name="Title 2 30" xfId="53823"/>
    <cellStyle name="Title 2 30 2" xfId="53824"/>
    <cellStyle name="Title 2 31" xfId="53825"/>
    <cellStyle name="Title 2 31 2" xfId="53826"/>
    <cellStyle name="Title 2 32" xfId="53827"/>
    <cellStyle name="Title 2 32 2" xfId="53828"/>
    <cellStyle name="Title 2 33" xfId="53829"/>
    <cellStyle name="Title 2 33 2" xfId="53830"/>
    <cellStyle name="Title 2 34" xfId="53831"/>
    <cellStyle name="Title 2 34 10" xfId="53832"/>
    <cellStyle name="Title 2 34 11" xfId="53833"/>
    <cellStyle name="Title 2 34 12" xfId="53834"/>
    <cellStyle name="Title 2 34 13" xfId="53835"/>
    <cellStyle name="Title 2 34 14" xfId="53836"/>
    <cellStyle name="Title 2 34 15" xfId="53837"/>
    <cellStyle name="Title 2 34 16" xfId="53838"/>
    <cellStyle name="Title 2 34 17" xfId="53839"/>
    <cellStyle name="Title 2 34 18" xfId="53840"/>
    <cellStyle name="Title 2 34 19" xfId="53841"/>
    <cellStyle name="Title 2 34 2" xfId="53842"/>
    <cellStyle name="Title 2 34 2 10" xfId="53843"/>
    <cellStyle name="Title 2 34 2 11" xfId="53844"/>
    <cellStyle name="Title 2 34 2 12" xfId="53845"/>
    <cellStyle name="Title 2 34 2 13" xfId="53846"/>
    <cellStyle name="Title 2 34 2 14" xfId="53847"/>
    <cellStyle name="Title 2 34 2 15" xfId="53848"/>
    <cellStyle name="Title 2 34 2 16" xfId="53849"/>
    <cellStyle name="Title 2 34 2 17" xfId="53850"/>
    <cellStyle name="Title 2 34 2 18" xfId="53851"/>
    <cellStyle name="Title 2 34 2 19" xfId="53852"/>
    <cellStyle name="Title 2 34 2 2" xfId="53853"/>
    <cellStyle name="Title 2 34 2 2 2" xfId="53854"/>
    <cellStyle name="Title 2 34 2 20" xfId="53855"/>
    <cellStyle name="Title 2 34 2 21" xfId="53856"/>
    <cellStyle name="Title 2 34 2 22" xfId="53857"/>
    <cellStyle name="Title 2 34 2 23" xfId="53858"/>
    <cellStyle name="Title 2 34 2 24" xfId="53859"/>
    <cellStyle name="Title 2 34 2 25" xfId="53860"/>
    <cellStyle name="Title 2 34 2 26" xfId="53861"/>
    <cellStyle name="Title 2 34 2 27" xfId="53862"/>
    <cellStyle name="Title 2 34 2 28" xfId="53863"/>
    <cellStyle name="Title 2 34 2 29" xfId="53864"/>
    <cellStyle name="Title 2 34 2 3" xfId="53865"/>
    <cellStyle name="Title 2 34 2 30" xfId="53866"/>
    <cellStyle name="Title 2 34 2 31" xfId="53867"/>
    <cellStyle name="Title 2 34 2 32" xfId="53868"/>
    <cellStyle name="Title 2 34 2 33" xfId="53869"/>
    <cellStyle name="Title 2 34 2 34" xfId="53870"/>
    <cellStyle name="Title 2 34 2 35" xfId="53871"/>
    <cellStyle name="Title 2 34 2 36" xfId="53872"/>
    <cellStyle name="Title 2 34 2 37" xfId="53873"/>
    <cellStyle name="Title 2 34 2 38" xfId="53874"/>
    <cellStyle name="Title 2 34 2 39" xfId="53875"/>
    <cellStyle name="Title 2 34 2 4" xfId="53876"/>
    <cellStyle name="Title 2 34 2 40" xfId="53877"/>
    <cellStyle name="Title 2 34 2 41" xfId="53878"/>
    <cellStyle name="Title 2 34 2 42" xfId="53879"/>
    <cellStyle name="Title 2 34 2 43" xfId="53880"/>
    <cellStyle name="Title 2 34 2 44" xfId="53881"/>
    <cellStyle name="Title 2 34 2 45" xfId="53882"/>
    <cellStyle name="Title 2 34 2 46" xfId="53883"/>
    <cellStyle name="Title 2 34 2 47" xfId="53884"/>
    <cellStyle name="Title 2 34 2 48" xfId="53885"/>
    <cellStyle name="Title 2 34 2 49" xfId="53886"/>
    <cellStyle name="Title 2 34 2 5" xfId="53887"/>
    <cellStyle name="Title 2 34 2 50" xfId="53888"/>
    <cellStyle name="Title 2 34 2 51" xfId="53889"/>
    <cellStyle name="Title 2 34 2 52" xfId="53890"/>
    <cellStyle name="Title 2 34 2 53" xfId="53891"/>
    <cellStyle name="Title 2 34 2 54" xfId="53892"/>
    <cellStyle name="Title 2 34 2 55" xfId="53893"/>
    <cellStyle name="Title 2 34 2 56" xfId="53894"/>
    <cellStyle name="Title 2 34 2 57" xfId="53895"/>
    <cellStyle name="Title 2 34 2 58" xfId="53896"/>
    <cellStyle name="Title 2 34 2 59" xfId="53897"/>
    <cellStyle name="Title 2 34 2 6" xfId="53898"/>
    <cellStyle name="Title 2 34 2 60" xfId="53899"/>
    <cellStyle name="Title 2 34 2 61" xfId="53900"/>
    <cellStyle name="Title 2 34 2 62" xfId="53901"/>
    <cellStyle name="Title 2 34 2 63" xfId="53902"/>
    <cellStyle name="Title 2 34 2 64" xfId="53903"/>
    <cellStyle name="Title 2 34 2 65" xfId="53904"/>
    <cellStyle name="Title 2 34 2 66" xfId="53905"/>
    <cellStyle name="Title 2 34 2 67" xfId="53906"/>
    <cellStyle name="Title 2 34 2 68" xfId="53907"/>
    <cellStyle name="Title 2 34 2 69" xfId="53908"/>
    <cellStyle name="Title 2 34 2 7" xfId="53909"/>
    <cellStyle name="Title 2 34 2 70" xfId="53910"/>
    <cellStyle name="Title 2 34 2 71" xfId="53911"/>
    <cellStyle name="Title 2 34 2 72" xfId="53912"/>
    <cellStyle name="Title 2 34 2 73" xfId="53913"/>
    <cellStyle name="Title 2 34 2 74" xfId="53914"/>
    <cellStyle name="Title 2 34 2 8" xfId="53915"/>
    <cellStyle name="Title 2 34 2 9" xfId="53916"/>
    <cellStyle name="Title 2 34 20" xfId="53917"/>
    <cellStyle name="Title 2 34 21" xfId="53918"/>
    <cellStyle name="Title 2 34 22" xfId="53919"/>
    <cellStyle name="Title 2 34 23" xfId="53920"/>
    <cellStyle name="Title 2 34 24" xfId="53921"/>
    <cellStyle name="Title 2 34 25" xfId="53922"/>
    <cellStyle name="Title 2 34 26" xfId="53923"/>
    <cellStyle name="Title 2 34 27" xfId="53924"/>
    <cellStyle name="Title 2 34 28" xfId="53925"/>
    <cellStyle name="Title 2 34 29" xfId="53926"/>
    <cellStyle name="Title 2 34 3" xfId="53927"/>
    <cellStyle name="Title 2 34 3 2" xfId="53928"/>
    <cellStyle name="Title 2 34 30" xfId="53929"/>
    <cellStyle name="Title 2 34 31" xfId="53930"/>
    <cellStyle name="Title 2 34 32" xfId="53931"/>
    <cellStyle name="Title 2 34 33" xfId="53932"/>
    <cellStyle name="Title 2 34 34" xfId="53933"/>
    <cellStyle name="Title 2 34 35" xfId="53934"/>
    <cellStyle name="Title 2 34 36" xfId="53935"/>
    <cellStyle name="Title 2 34 37" xfId="53936"/>
    <cellStyle name="Title 2 34 38" xfId="53937"/>
    <cellStyle name="Title 2 34 39" xfId="53938"/>
    <cellStyle name="Title 2 34 4" xfId="53939"/>
    <cellStyle name="Title 2 34 40" xfId="53940"/>
    <cellStyle name="Title 2 34 41" xfId="53941"/>
    <cellStyle name="Title 2 34 42" xfId="53942"/>
    <cellStyle name="Title 2 34 43" xfId="53943"/>
    <cellStyle name="Title 2 34 44" xfId="53944"/>
    <cellStyle name="Title 2 34 45" xfId="53945"/>
    <cellStyle name="Title 2 34 46" xfId="53946"/>
    <cellStyle name="Title 2 34 47" xfId="53947"/>
    <cellStyle name="Title 2 34 48" xfId="53948"/>
    <cellStyle name="Title 2 34 49" xfId="53949"/>
    <cellStyle name="Title 2 34 5" xfId="53950"/>
    <cellStyle name="Title 2 34 50" xfId="53951"/>
    <cellStyle name="Title 2 34 51" xfId="53952"/>
    <cellStyle name="Title 2 34 52" xfId="53953"/>
    <cellStyle name="Title 2 34 53" xfId="53954"/>
    <cellStyle name="Title 2 34 54" xfId="53955"/>
    <cellStyle name="Title 2 34 55" xfId="53956"/>
    <cellStyle name="Title 2 34 56" xfId="53957"/>
    <cellStyle name="Title 2 34 57" xfId="53958"/>
    <cellStyle name="Title 2 34 58" xfId="53959"/>
    <cellStyle name="Title 2 34 59" xfId="53960"/>
    <cellStyle name="Title 2 34 6" xfId="53961"/>
    <cellStyle name="Title 2 34 60" xfId="53962"/>
    <cellStyle name="Title 2 34 61" xfId="53963"/>
    <cellStyle name="Title 2 34 62" xfId="53964"/>
    <cellStyle name="Title 2 34 63" xfId="53965"/>
    <cellStyle name="Title 2 34 64" xfId="53966"/>
    <cellStyle name="Title 2 34 65" xfId="53967"/>
    <cellStyle name="Title 2 34 66" xfId="53968"/>
    <cellStyle name="Title 2 34 67" xfId="53969"/>
    <cellStyle name="Title 2 34 68" xfId="53970"/>
    <cellStyle name="Title 2 34 69" xfId="53971"/>
    <cellStyle name="Title 2 34 7" xfId="53972"/>
    <cellStyle name="Title 2 34 70" xfId="53973"/>
    <cellStyle name="Title 2 34 71" xfId="53974"/>
    <cellStyle name="Title 2 34 72" xfId="53975"/>
    <cellStyle name="Title 2 34 73" xfId="53976"/>
    <cellStyle name="Title 2 34 74" xfId="53977"/>
    <cellStyle name="Title 2 34 8" xfId="53978"/>
    <cellStyle name="Title 2 34 9" xfId="53979"/>
    <cellStyle name="Title 2 35" xfId="53980"/>
    <cellStyle name="Title 2 35 2" xfId="53981"/>
    <cellStyle name="Title 2 36" xfId="53982"/>
    <cellStyle name="Title 2 36 2" xfId="53983"/>
    <cellStyle name="Title 2 37" xfId="53984"/>
    <cellStyle name="Title 2 37 2" xfId="53985"/>
    <cellStyle name="Title 2 38" xfId="53986"/>
    <cellStyle name="Title 2 38 2" xfId="53987"/>
    <cellStyle name="Title 2 39" xfId="53988"/>
    <cellStyle name="Title 2 39 2" xfId="53989"/>
    <cellStyle name="Title 2 4" xfId="53990"/>
    <cellStyle name="Title 2 4 2" xfId="53991"/>
    <cellStyle name="Title 2 40" xfId="53992"/>
    <cellStyle name="Title 2 40 2" xfId="53993"/>
    <cellStyle name="Title 2 41" xfId="53994"/>
    <cellStyle name="Title 2 41 2" xfId="53995"/>
    <cellStyle name="Title 2 42" xfId="53996"/>
    <cellStyle name="Title 2 42 2" xfId="53997"/>
    <cellStyle name="Title 2 43" xfId="53998"/>
    <cellStyle name="Title 2 43 2" xfId="53999"/>
    <cellStyle name="Title 2 44" xfId="54000"/>
    <cellStyle name="Title 2 44 2" xfId="54001"/>
    <cellStyle name="Title 2 45" xfId="54002"/>
    <cellStyle name="Title 2 45 2" xfId="54003"/>
    <cellStyle name="Title 2 46" xfId="54004"/>
    <cellStyle name="Title 2 46 2" xfId="54005"/>
    <cellStyle name="Title 2 47" xfId="54006"/>
    <cellStyle name="Title 2 47 2" xfId="54007"/>
    <cellStyle name="Title 2 48" xfId="54008"/>
    <cellStyle name="Title 2 48 2" xfId="54009"/>
    <cellStyle name="Title 2 49" xfId="54010"/>
    <cellStyle name="Title 2 49 2" xfId="54011"/>
    <cellStyle name="Title 2 5" xfId="54012"/>
    <cellStyle name="Title 2 5 2" xfId="54013"/>
    <cellStyle name="Title 2 50" xfId="54014"/>
    <cellStyle name="Title 2 50 2" xfId="54015"/>
    <cellStyle name="Title 2 51" xfId="54016"/>
    <cellStyle name="Title 2 51 2" xfId="54017"/>
    <cellStyle name="Title 2 52" xfId="54018"/>
    <cellStyle name="Title 2 52 2" xfId="54019"/>
    <cellStyle name="Title 2 53" xfId="54020"/>
    <cellStyle name="Title 2 53 2" xfId="54021"/>
    <cellStyle name="Title 2 54" xfId="54022"/>
    <cellStyle name="Title 2 54 2" xfId="54023"/>
    <cellStyle name="Title 2 55" xfId="54024"/>
    <cellStyle name="Title 2 55 2" xfId="54025"/>
    <cellStyle name="Title 2 56" xfId="54026"/>
    <cellStyle name="Title 2 56 2" xfId="54027"/>
    <cellStyle name="Title 2 57" xfId="54028"/>
    <cellStyle name="Title 2 57 2" xfId="54029"/>
    <cellStyle name="Title 2 58" xfId="54030"/>
    <cellStyle name="Title 2 58 2" xfId="54031"/>
    <cellStyle name="Title 2 59" xfId="54032"/>
    <cellStyle name="Title 2 59 2" xfId="54033"/>
    <cellStyle name="Title 2 6" xfId="54034"/>
    <cellStyle name="Title 2 6 2" xfId="54035"/>
    <cellStyle name="Title 2 60" xfId="54036"/>
    <cellStyle name="Title 2 60 2" xfId="54037"/>
    <cellStyle name="Title 2 61" xfId="54038"/>
    <cellStyle name="Title 2 61 2" xfId="54039"/>
    <cellStyle name="Title 2 62" xfId="54040"/>
    <cellStyle name="Title 2 62 2" xfId="54041"/>
    <cellStyle name="Title 2 63" xfId="54042"/>
    <cellStyle name="Title 2 63 2" xfId="54043"/>
    <cellStyle name="Title 2 64" xfId="54044"/>
    <cellStyle name="Title 2 64 2" xfId="54045"/>
    <cellStyle name="Title 2 65" xfId="54046"/>
    <cellStyle name="Title 2 65 2" xfId="54047"/>
    <cellStyle name="Title 2 66" xfId="54048"/>
    <cellStyle name="Title 2 66 2" xfId="54049"/>
    <cellStyle name="Title 2 67" xfId="54050"/>
    <cellStyle name="Title 2 67 2" xfId="54051"/>
    <cellStyle name="Title 2 68" xfId="54052"/>
    <cellStyle name="Title 2 68 2" xfId="54053"/>
    <cellStyle name="Title 2 69" xfId="54054"/>
    <cellStyle name="Title 2 69 2" xfId="54055"/>
    <cellStyle name="Title 2 7" xfId="54056"/>
    <cellStyle name="Title 2 7 2" xfId="54057"/>
    <cellStyle name="Title 2 70" xfId="54058"/>
    <cellStyle name="Title 2 70 2" xfId="54059"/>
    <cellStyle name="Title 2 71" xfId="54060"/>
    <cellStyle name="Title 2 71 2" xfId="54061"/>
    <cellStyle name="Title 2 72" xfId="54062"/>
    <cellStyle name="Title 2 72 2" xfId="54063"/>
    <cellStyle name="Title 2 73" xfId="54064"/>
    <cellStyle name="Title 2 73 2" xfId="54065"/>
    <cellStyle name="Title 2 74" xfId="54066"/>
    <cellStyle name="Title 2 74 2" xfId="54067"/>
    <cellStyle name="Title 2 75" xfId="54068"/>
    <cellStyle name="Title 2 75 2" xfId="54069"/>
    <cellStyle name="Title 2 76" xfId="54070"/>
    <cellStyle name="Title 2 76 2" xfId="54071"/>
    <cellStyle name="Title 2 77" xfId="54072"/>
    <cellStyle name="Title 2 77 2" xfId="54073"/>
    <cellStyle name="Title 2 78" xfId="54074"/>
    <cellStyle name="Title 2 79" xfId="54075"/>
    <cellStyle name="Title 2 8" xfId="54076"/>
    <cellStyle name="Title 2 8 10" xfId="54077"/>
    <cellStyle name="Title 2 8 100" xfId="54078"/>
    <cellStyle name="Title 2 8 101" xfId="54079"/>
    <cellStyle name="Title 2 8 102" xfId="54080"/>
    <cellStyle name="Title 2 8 103" xfId="54081"/>
    <cellStyle name="Title 2 8 104" xfId="54082"/>
    <cellStyle name="Title 2 8 105" xfId="54083"/>
    <cellStyle name="Title 2 8 106" xfId="54084"/>
    <cellStyle name="Title 2 8 107" xfId="54085"/>
    <cellStyle name="Title 2 8 108" xfId="54086"/>
    <cellStyle name="Title 2 8 109" xfId="54087"/>
    <cellStyle name="Title 2 8 11" xfId="54088"/>
    <cellStyle name="Title 2 8 110" xfId="54089"/>
    <cellStyle name="Title 2 8 12" xfId="54090"/>
    <cellStyle name="Title 2 8 13" xfId="54091"/>
    <cellStyle name="Title 2 8 14" xfId="54092"/>
    <cellStyle name="Title 2 8 15" xfId="54093"/>
    <cellStyle name="Title 2 8 16" xfId="54094"/>
    <cellStyle name="Title 2 8 17" xfId="54095"/>
    <cellStyle name="Title 2 8 18" xfId="54096"/>
    <cellStyle name="Title 2 8 19" xfId="54097"/>
    <cellStyle name="Title 2 8 2" xfId="54098"/>
    <cellStyle name="Title 2 8 2 10" xfId="54099"/>
    <cellStyle name="Title 2 8 2 11" xfId="54100"/>
    <cellStyle name="Title 2 8 2 12" xfId="54101"/>
    <cellStyle name="Title 2 8 2 13" xfId="54102"/>
    <cellStyle name="Title 2 8 2 13 2" xfId="54103"/>
    <cellStyle name="Title 2 8 2 14" xfId="54104"/>
    <cellStyle name="Title 2 8 2 15" xfId="54105"/>
    <cellStyle name="Title 2 8 2 16" xfId="54106"/>
    <cellStyle name="Title 2 8 2 17" xfId="54107"/>
    <cellStyle name="Title 2 8 2 18" xfId="54108"/>
    <cellStyle name="Title 2 8 2 19" xfId="54109"/>
    <cellStyle name="Title 2 8 2 2" xfId="54110"/>
    <cellStyle name="Title 2 8 2 2 10" xfId="54111"/>
    <cellStyle name="Title 2 8 2 2 11" xfId="54112"/>
    <cellStyle name="Title 2 8 2 2 12" xfId="54113"/>
    <cellStyle name="Title 2 8 2 2 13" xfId="54114"/>
    <cellStyle name="Title 2 8 2 2 14" xfId="54115"/>
    <cellStyle name="Title 2 8 2 2 15" xfId="54116"/>
    <cellStyle name="Title 2 8 2 2 16" xfId="54117"/>
    <cellStyle name="Title 2 8 2 2 17" xfId="54118"/>
    <cellStyle name="Title 2 8 2 2 18" xfId="54119"/>
    <cellStyle name="Title 2 8 2 2 19" xfId="54120"/>
    <cellStyle name="Title 2 8 2 2 2" xfId="54121"/>
    <cellStyle name="Title 2 8 2 2 2 10" xfId="54122"/>
    <cellStyle name="Title 2 8 2 2 2 11" xfId="54123"/>
    <cellStyle name="Title 2 8 2 2 2 12" xfId="54124"/>
    <cellStyle name="Title 2 8 2 2 2 13" xfId="54125"/>
    <cellStyle name="Title 2 8 2 2 2 14" xfId="54126"/>
    <cellStyle name="Title 2 8 2 2 2 15" xfId="54127"/>
    <cellStyle name="Title 2 8 2 2 2 16" xfId="54128"/>
    <cellStyle name="Title 2 8 2 2 2 17" xfId="54129"/>
    <cellStyle name="Title 2 8 2 2 2 18" xfId="54130"/>
    <cellStyle name="Title 2 8 2 2 2 19" xfId="54131"/>
    <cellStyle name="Title 2 8 2 2 2 2" xfId="54132"/>
    <cellStyle name="Title 2 8 2 2 2 2 10" xfId="54133"/>
    <cellStyle name="Title 2 8 2 2 2 2 11" xfId="54134"/>
    <cellStyle name="Title 2 8 2 2 2 2 12" xfId="54135"/>
    <cellStyle name="Title 2 8 2 2 2 2 13" xfId="54136"/>
    <cellStyle name="Title 2 8 2 2 2 2 14" xfId="54137"/>
    <cellStyle name="Title 2 8 2 2 2 2 15" xfId="54138"/>
    <cellStyle name="Title 2 8 2 2 2 2 16" xfId="54139"/>
    <cellStyle name="Title 2 8 2 2 2 2 17" xfId="54140"/>
    <cellStyle name="Title 2 8 2 2 2 2 18" xfId="54141"/>
    <cellStyle name="Title 2 8 2 2 2 2 19" xfId="54142"/>
    <cellStyle name="Title 2 8 2 2 2 2 2" xfId="54143"/>
    <cellStyle name="Title 2 8 2 2 2 2 2 10" xfId="54144"/>
    <cellStyle name="Title 2 8 2 2 2 2 2 11" xfId="54145"/>
    <cellStyle name="Title 2 8 2 2 2 2 2 12" xfId="54146"/>
    <cellStyle name="Title 2 8 2 2 2 2 2 13" xfId="54147"/>
    <cellStyle name="Title 2 8 2 2 2 2 2 14" xfId="54148"/>
    <cellStyle name="Title 2 8 2 2 2 2 2 15" xfId="54149"/>
    <cellStyle name="Title 2 8 2 2 2 2 2 16" xfId="54150"/>
    <cellStyle name="Title 2 8 2 2 2 2 2 17" xfId="54151"/>
    <cellStyle name="Title 2 8 2 2 2 2 2 18" xfId="54152"/>
    <cellStyle name="Title 2 8 2 2 2 2 2 19" xfId="54153"/>
    <cellStyle name="Title 2 8 2 2 2 2 2 2" xfId="54154"/>
    <cellStyle name="Title 2 8 2 2 2 2 2 2 2" xfId="54155"/>
    <cellStyle name="Title 2 8 2 2 2 2 2 20" xfId="54156"/>
    <cellStyle name="Title 2 8 2 2 2 2 2 21" xfId="54157"/>
    <cellStyle name="Title 2 8 2 2 2 2 2 22" xfId="54158"/>
    <cellStyle name="Title 2 8 2 2 2 2 2 23" xfId="54159"/>
    <cellStyle name="Title 2 8 2 2 2 2 2 24" xfId="54160"/>
    <cellStyle name="Title 2 8 2 2 2 2 2 25" xfId="54161"/>
    <cellStyle name="Title 2 8 2 2 2 2 2 26" xfId="54162"/>
    <cellStyle name="Title 2 8 2 2 2 2 2 27" xfId="54163"/>
    <cellStyle name="Title 2 8 2 2 2 2 2 28" xfId="54164"/>
    <cellStyle name="Title 2 8 2 2 2 2 2 29" xfId="54165"/>
    <cellStyle name="Title 2 8 2 2 2 2 2 3" xfId="54166"/>
    <cellStyle name="Title 2 8 2 2 2 2 2 30" xfId="54167"/>
    <cellStyle name="Title 2 8 2 2 2 2 2 31" xfId="54168"/>
    <cellStyle name="Title 2 8 2 2 2 2 2 32" xfId="54169"/>
    <cellStyle name="Title 2 8 2 2 2 2 2 33" xfId="54170"/>
    <cellStyle name="Title 2 8 2 2 2 2 2 34" xfId="54171"/>
    <cellStyle name="Title 2 8 2 2 2 2 2 35" xfId="54172"/>
    <cellStyle name="Title 2 8 2 2 2 2 2 36" xfId="54173"/>
    <cellStyle name="Title 2 8 2 2 2 2 2 37" xfId="54174"/>
    <cellStyle name="Title 2 8 2 2 2 2 2 38" xfId="54175"/>
    <cellStyle name="Title 2 8 2 2 2 2 2 39" xfId="54176"/>
    <cellStyle name="Title 2 8 2 2 2 2 2 4" xfId="54177"/>
    <cellStyle name="Title 2 8 2 2 2 2 2 40" xfId="54178"/>
    <cellStyle name="Title 2 8 2 2 2 2 2 41" xfId="54179"/>
    <cellStyle name="Title 2 8 2 2 2 2 2 42" xfId="54180"/>
    <cellStyle name="Title 2 8 2 2 2 2 2 43" xfId="54181"/>
    <cellStyle name="Title 2 8 2 2 2 2 2 44" xfId="54182"/>
    <cellStyle name="Title 2 8 2 2 2 2 2 45" xfId="54183"/>
    <cellStyle name="Title 2 8 2 2 2 2 2 46" xfId="54184"/>
    <cellStyle name="Title 2 8 2 2 2 2 2 47" xfId="54185"/>
    <cellStyle name="Title 2 8 2 2 2 2 2 48" xfId="54186"/>
    <cellStyle name="Title 2 8 2 2 2 2 2 49" xfId="54187"/>
    <cellStyle name="Title 2 8 2 2 2 2 2 5" xfId="54188"/>
    <cellStyle name="Title 2 8 2 2 2 2 2 50" xfId="54189"/>
    <cellStyle name="Title 2 8 2 2 2 2 2 51" xfId="54190"/>
    <cellStyle name="Title 2 8 2 2 2 2 2 52" xfId="54191"/>
    <cellStyle name="Title 2 8 2 2 2 2 2 53" xfId="54192"/>
    <cellStyle name="Title 2 8 2 2 2 2 2 54" xfId="54193"/>
    <cellStyle name="Title 2 8 2 2 2 2 2 55" xfId="54194"/>
    <cellStyle name="Title 2 8 2 2 2 2 2 56" xfId="54195"/>
    <cellStyle name="Title 2 8 2 2 2 2 2 57" xfId="54196"/>
    <cellStyle name="Title 2 8 2 2 2 2 2 58" xfId="54197"/>
    <cellStyle name="Title 2 8 2 2 2 2 2 59" xfId="54198"/>
    <cellStyle name="Title 2 8 2 2 2 2 2 6" xfId="54199"/>
    <cellStyle name="Title 2 8 2 2 2 2 2 60" xfId="54200"/>
    <cellStyle name="Title 2 8 2 2 2 2 2 61" xfId="54201"/>
    <cellStyle name="Title 2 8 2 2 2 2 2 62" xfId="54202"/>
    <cellStyle name="Title 2 8 2 2 2 2 2 63" xfId="54203"/>
    <cellStyle name="Title 2 8 2 2 2 2 2 64" xfId="54204"/>
    <cellStyle name="Title 2 8 2 2 2 2 2 65" xfId="54205"/>
    <cellStyle name="Title 2 8 2 2 2 2 2 66" xfId="54206"/>
    <cellStyle name="Title 2 8 2 2 2 2 2 67" xfId="54207"/>
    <cellStyle name="Title 2 8 2 2 2 2 2 68" xfId="54208"/>
    <cellStyle name="Title 2 8 2 2 2 2 2 69" xfId="54209"/>
    <cellStyle name="Title 2 8 2 2 2 2 2 7" xfId="54210"/>
    <cellStyle name="Title 2 8 2 2 2 2 2 70" xfId="54211"/>
    <cellStyle name="Title 2 8 2 2 2 2 2 71" xfId="54212"/>
    <cellStyle name="Title 2 8 2 2 2 2 2 72" xfId="54213"/>
    <cellStyle name="Title 2 8 2 2 2 2 2 73" xfId="54214"/>
    <cellStyle name="Title 2 8 2 2 2 2 2 74" xfId="54215"/>
    <cellStyle name="Title 2 8 2 2 2 2 2 8" xfId="54216"/>
    <cellStyle name="Title 2 8 2 2 2 2 2 9" xfId="54217"/>
    <cellStyle name="Title 2 8 2 2 2 2 20" xfId="54218"/>
    <cellStyle name="Title 2 8 2 2 2 2 21" xfId="54219"/>
    <cellStyle name="Title 2 8 2 2 2 2 22" xfId="54220"/>
    <cellStyle name="Title 2 8 2 2 2 2 23" xfId="54221"/>
    <cellStyle name="Title 2 8 2 2 2 2 24" xfId="54222"/>
    <cellStyle name="Title 2 8 2 2 2 2 25" xfId="54223"/>
    <cellStyle name="Title 2 8 2 2 2 2 26" xfId="54224"/>
    <cellStyle name="Title 2 8 2 2 2 2 27" xfId="54225"/>
    <cellStyle name="Title 2 8 2 2 2 2 28" xfId="54226"/>
    <cellStyle name="Title 2 8 2 2 2 2 29" xfId="54227"/>
    <cellStyle name="Title 2 8 2 2 2 2 3" xfId="54228"/>
    <cellStyle name="Title 2 8 2 2 2 2 3 2" xfId="54229"/>
    <cellStyle name="Title 2 8 2 2 2 2 30" xfId="54230"/>
    <cellStyle name="Title 2 8 2 2 2 2 31" xfId="54231"/>
    <cellStyle name="Title 2 8 2 2 2 2 32" xfId="54232"/>
    <cellStyle name="Title 2 8 2 2 2 2 33" xfId="54233"/>
    <cellStyle name="Title 2 8 2 2 2 2 34" xfId="54234"/>
    <cellStyle name="Title 2 8 2 2 2 2 35" xfId="54235"/>
    <cellStyle name="Title 2 8 2 2 2 2 36" xfId="54236"/>
    <cellStyle name="Title 2 8 2 2 2 2 37" xfId="54237"/>
    <cellStyle name="Title 2 8 2 2 2 2 38" xfId="54238"/>
    <cellStyle name="Title 2 8 2 2 2 2 39" xfId="54239"/>
    <cellStyle name="Title 2 8 2 2 2 2 4" xfId="54240"/>
    <cellStyle name="Title 2 8 2 2 2 2 40" xfId="54241"/>
    <cellStyle name="Title 2 8 2 2 2 2 41" xfId="54242"/>
    <cellStyle name="Title 2 8 2 2 2 2 42" xfId="54243"/>
    <cellStyle name="Title 2 8 2 2 2 2 43" xfId="54244"/>
    <cellStyle name="Title 2 8 2 2 2 2 44" xfId="54245"/>
    <cellStyle name="Title 2 8 2 2 2 2 45" xfId="54246"/>
    <cellStyle name="Title 2 8 2 2 2 2 46" xfId="54247"/>
    <cellStyle name="Title 2 8 2 2 2 2 47" xfId="54248"/>
    <cellStyle name="Title 2 8 2 2 2 2 48" xfId="54249"/>
    <cellStyle name="Title 2 8 2 2 2 2 49" xfId="54250"/>
    <cellStyle name="Title 2 8 2 2 2 2 5" xfId="54251"/>
    <cellStyle name="Title 2 8 2 2 2 2 50" xfId="54252"/>
    <cellStyle name="Title 2 8 2 2 2 2 51" xfId="54253"/>
    <cellStyle name="Title 2 8 2 2 2 2 52" xfId="54254"/>
    <cellStyle name="Title 2 8 2 2 2 2 53" xfId="54255"/>
    <cellStyle name="Title 2 8 2 2 2 2 54" xfId="54256"/>
    <cellStyle name="Title 2 8 2 2 2 2 55" xfId="54257"/>
    <cellStyle name="Title 2 8 2 2 2 2 56" xfId="54258"/>
    <cellStyle name="Title 2 8 2 2 2 2 57" xfId="54259"/>
    <cellStyle name="Title 2 8 2 2 2 2 58" xfId="54260"/>
    <cellStyle name="Title 2 8 2 2 2 2 59" xfId="54261"/>
    <cellStyle name="Title 2 8 2 2 2 2 6" xfId="54262"/>
    <cellStyle name="Title 2 8 2 2 2 2 60" xfId="54263"/>
    <cellStyle name="Title 2 8 2 2 2 2 61" xfId="54264"/>
    <cellStyle name="Title 2 8 2 2 2 2 62" xfId="54265"/>
    <cellStyle name="Title 2 8 2 2 2 2 63" xfId="54266"/>
    <cellStyle name="Title 2 8 2 2 2 2 64" xfId="54267"/>
    <cellStyle name="Title 2 8 2 2 2 2 65" xfId="54268"/>
    <cellStyle name="Title 2 8 2 2 2 2 66" xfId="54269"/>
    <cellStyle name="Title 2 8 2 2 2 2 67" xfId="54270"/>
    <cellStyle name="Title 2 8 2 2 2 2 68" xfId="54271"/>
    <cellStyle name="Title 2 8 2 2 2 2 69" xfId="54272"/>
    <cellStyle name="Title 2 8 2 2 2 2 7" xfId="54273"/>
    <cellStyle name="Title 2 8 2 2 2 2 70" xfId="54274"/>
    <cellStyle name="Title 2 8 2 2 2 2 71" xfId="54275"/>
    <cellStyle name="Title 2 8 2 2 2 2 72" xfId="54276"/>
    <cellStyle name="Title 2 8 2 2 2 2 73" xfId="54277"/>
    <cellStyle name="Title 2 8 2 2 2 2 74" xfId="54278"/>
    <cellStyle name="Title 2 8 2 2 2 2 8" xfId="54279"/>
    <cellStyle name="Title 2 8 2 2 2 2 9" xfId="54280"/>
    <cellStyle name="Title 2 8 2 2 2 20" xfId="54281"/>
    <cellStyle name="Title 2 8 2 2 2 21" xfId="54282"/>
    <cellStyle name="Title 2 8 2 2 2 22" xfId="54283"/>
    <cellStyle name="Title 2 8 2 2 2 23" xfId="54284"/>
    <cellStyle name="Title 2 8 2 2 2 24" xfId="54285"/>
    <cellStyle name="Title 2 8 2 2 2 25" xfId="54286"/>
    <cellStyle name="Title 2 8 2 2 2 26" xfId="54287"/>
    <cellStyle name="Title 2 8 2 2 2 27" xfId="54288"/>
    <cellStyle name="Title 2 8 2 2 2 28" xfId="54289"/>
    <cellStyle name="Title 2 8 2 2 2 29" xfId="54290"/>
    <cellStyle name="Title 2 8 2 2 2 3" xfId="54291"/>
    <cellStyle name="Title 2 8 2 2 2 3 2" xfId="54292"/>
    <cellStyle name="Title 2 8 2 2 2 30" xfId="54293"/>
    <cellStyle name="Title 2 8 2 2 2 31" xfId="54294"/>
    <cellStyle name="Title 2 8 2 2 2 32" xfId="54295"/>
    <cellStyle name="Title 2 8 2 2 2 33" xfId="54296"/>
    <cellStyle name="Title 2 8 2 2 2 34" xfId="54297"/>
    <cellStyle name="Title 2 8 2 2 2 35" xfId="54298"/>
    <cellStyle name="Title 2 8 2 2 2 36" xfId="54299"/>
    <cellStyle name="Title 2 8 2 2 2 37" xfId="54300"/>
    <cellStyle name="Title 2 8 2 2 2 38" xfId="54301"/>
    <cellStyle name="Title 2 8 2 2 2 39" xfId="54302"/>
    <cellStyle name="Title 2 8 2 2 2 4" xfId="54303"/>
    <cellStyle name="Title 2 8 2 2 2 40" xfId="54304"/>
    <cellStyle name="Title 2 8 2 2 2 41" xfId="54305"/>
    <cellStyle name="Title 2 8 2 2 2 42" xfId="54306"/>
    <cellStyle name="Title 2 8 2 2 2 43" xfId="54307"/>
    <cellStyle name="Title 2 8 2 2 2 44" xfId="54308"/>
    <cellStyle name="Title 2 8 2 2 2 45" xfId="54309"/>
    <cellStyle name="Title 2 8 2 2 2 46" xfId="54310"/>
    <cellStyle name="Title 2 8 2 2 2 47" xfId="54311"/>
    <cellStyle name="Title 2 8 2 2 2 48" xfId="54312"/>
    <cellStyle name="Title 2 8 2 2 2 49" xfId="54313"/>
    <cellStyle name="Title 2 8 2 2 2 5" xfId="54314"/>
    <cellStyle name="Title 2 8 2 2 2 50" xfId="54315"/>
    <cellStyle name="Title 2 8 2 2 2 51" xfId="54316"/>
    <cellStyle name="Title 2 8 2 2 2 52" xfId="54317"/>
    <cellStyle name="Title 2 8 2 2 2 53" xfId="54318"/>
    <cellStyle name="Title 2 8 2 2 2 54" xfId="54319"/>
    <cellStyle name="Title 2 8 2 2 2 55" xfId="54320"/>
    <cellStyle name="Title 2 8 2 2 2 56" xfId="54321"/>
    <cellStyle name="Title 2 8 2 2 2 57" xfId="54322"/>
    <cellStyle name="Title 2 8 2 2 2 58" xfId="54323"/>
    <cellStyle name="Title 2 8 2 2 2 59" xfId="54324"/>
    <cellStyle name="Title 2 8 2 2 2 6" xfId="54325"/>
    <cellStyle name="Title 2 8 2 2 2 60" xfId="54326"/>
    <cellStyle name="Title 2 8 2 2 2 61" xfId="54327"/>
    <cellStyle name="Title 2 8 2 2 2 62" xfId="54328"/>
    <cellStyle name="Title 2 8 2 2 2 63" xfId="54329"/>
    <cellStyle name="Title 2 8 2 2 2 64" xfId="54330"/>
    <cellStyle name="Title 2 8 2 2 2 65" xfId="54331"/>
    <cellStyle name="Title 2 8 2 2 2 66" xfId="54332"/>
    <cellStyle name="Title 2 8 2 2 2 67" xfId="54333"/>
    <cellStyle name="Title 2 8 2 2 2 68" xfId="54334"/>
    <cellStyle name="Title 2 8 2 2 2 69" xfId="54335"/>
    <cellStyle name="Title 2 8 2 2 2 7" xfId="54336"/>
    <cellStyle name="Title 2 8 2 2 2 70" xfId="54337"/>
    <cellStyle name="Title 2 8 2 2 2 71" xfId="54338"/>
    <cellStyle name="Title 2 8 2 2 2 72" xfId="54339"/>
    <cellStyle name="Title 2 8 2 2 2 73" xfId="54340"/>
    <cellStyle name="Title 2 8 2 2 2 74" xfId="54341"/>
    <cellStyle name="Title 2 8 2 2 2 75" xfId="54342"/>
    <cellStyle name="Title 2 8 2 2 2 76" xfId="54343"/>
    <cellStyle name="Title 2 8 2 2 2 77" xfId="54344"/>
    <cellStyle name="Title 2 8 2 2 2 78" xfId="54345"/>
    <cellStyle name="Title 2 8 2 2 2 79" xfId="54346"/>
    <cellStyle name="Title 2 8 2 2 2 8" xfId="54347"/>
    <cellStyle name="Title 2 8 2 2 2 80" xfId="54348"/>
    <cellStyle name="Title 2 8 2 2 2 81" xfId="54349"/>
    <cellStyle name="Title 2 8 2 2 2 82" xfId="54350"/>
    <cellStyle name="Title 2 8 2 2 2 83" xfId="54351"/>
    <cellStyle name="Title 2 8 2 2 2 84" xfId="54352"/>
    <cellStyle name="Title 2 8 2 2 2 85" xfId="54353"/>
    <cellStyle name="Title 2 8 2 2 2 86" xfId="54354"/>
    <cellStyle name="Title 2 8 2 2 2 87" xfId="54355"/>
    <cellStyle name="Title 2 8 2 2 2 88" xfId="54356"/>
    <cellStyle name="Title 2 8 2 2 2 9" xfId="54357"/>
    <cellStyle name="Title 2 8 2 2 20" xfId="54358"/>
    <cellStyle name="Title 2 8 2 2 21" xfId="54359"/>
    <cellStyle name="Title 2 8 2 2 22" xfId="54360"/>
    <cellStyle name="Title 2 8 2 2 23" xfId="54361"/>
    <cellStyle name="Title 2 8 2 2 24" xfId="54362"/>
    <cellStyle name="Title 2 8 2 2 25" xfId="54363"/>
    <cellStyle name="Title 2 8 2 2 26" xfId="54364"/>
    <cellStyle name="Title 2 8 2 2 27" xfId="54365"/>
    <cellStyle name="Title 2 8 2 2 28" xfId="54366"/>
    <cellStyle name="Title 2 8 2 2 29" xfId="54367"/>
    <cellStyle name="Title 2 8 2 2 3" xfId="54368"/>
    <cellStyle name="Title 2 8 2 2 3 2" xfId="54369"/>
    <cellStyle name="Title 2 8 2 2 30" xfId="54370"/>
    <cellStyle name="Title 2 8 2 2 31" xfId="54371"/>
    <cellStyle name="Title 2 8 2 2 32" xfId="54372"/>
    <cellStyle name="Title 2 8 2 2 33" xfId="54373"/>
    <cellStyle name="Title 2 8 2 2 34" xfId="54374"/>
    <cellStyle name="Title 2 8 2 2 35" xfId="54375"/>
    <cellStyle name="Title 2 8 2 2 36" xfId="54376"/>
    <cellStyle name="Title 2 8 2 2 37" xfId="54377"/>
    <cellStyle name="Title 2 8 2 2 38" xfId="54378"/>
    <cellStyle name="Title 2 8 2 2 39" xfId="54379"/>
    <cellStyle name="Title 2 8 2 2 4" xfId="54380"/>
    <cellStyle name="Title 2 8 2 2 40" xfId="54381"/>
    <cellStyle name="Title 2 8 2 2 41" xfId="54382"/>
    <cellStyle name="Title 2 8 2 2 42" xfId="54383"/>
    <cellStyle name="Title 2 8 2 2 43" xfId="54384"/>
    <cellStyle name="Title 2 8 2 2 44" xfId="54385"/>
    <cellStyle name="Title 2 8 2 2 45" xfId="54386"/>
    <cellStyle name="Title 2 8 2 2 46" xfId="54387"/>
    <cellStyle name="Title 2 8 2 2 47" xfId="54388"/>
    <cellStyle name="Title 2 8 2 2 48" xfId="54389"/>
    <cellStyle name="Title 2 8 2 2 49" xfId="54390"/>
    <cellStyle name="Title 2 8 2 2 5" xfId="54391"/>
    <cellStyle name="Title 2 8 2 2 50" xfId="54392"/>
    <cellStyle name="Title 2 8 2 2 51" xfId="54393"/>
    <cellStyle name="Title 2 8 2 2 52" xfId="54394"/>
    <cellStyle name="Title 2 8 2 2 53" xfId="54395"/>
    <cellStyle name="Title 2 8 2 2 54" xfId="54396"/>
    <cellStyle name="Title 2 8 2 2 55" xfId="54397"/>
    <cellStyle name="Title 2 8 2 2 56" xfId="54398"/>
    <cellStyle name="Title 2 8 2 2 57" xfId="54399"/>
    <cellStyle name="Title 2 8 2 2 58" xfId="54400"/>
    <cellStyle name="Title 2 8 2 2 59" xfId="54401"/>
    <cellStyle name="Title 2 8 2 2 6" xfId="54402"/>
    <cellStyle name="Title 2 8 2 2 60" xfId="54403"/>
    <cellStyle name="Title 2 8 2 2 61" xfId="54404"/>
    <cellStyle name="Title 2 8 2 2 62" xfId="54405"/>
    <cellStyle name="Title 2 8 2 2 63" xfId="54406"/>
    <cellStyle name="Title 2 8 2 2 64" xfId="54407"/>
    <cellStyle name="Title 2 8 2 2 65" xfId="54408"/>
    <cellStyle name="Title 2 8 2 2 66" xfId="54409"/>
    <cellStyle name="Title 2 8 2 2 67" xfId="54410"/>
    <cellStyle name="Title 2 8 2 2 68" xfId="54411"/>
    <cellStyle name="Title 2 8 2 2 69" xfId="54412"/>
    <cellStyle name="Title 2 8 2 2 7" xfId="54413"/>
    <cellStyle name="Title 2 8 2 2 70" xfId="54414"/>
    <cellStyle name="Title 2 8 2 2 71" xfId="54415"/>
    <cellStyle name="Title 2 8 2 2 72" xfId="54416"/>
    <cellStyle name="Title 2 8 2 2 73" xfId="54417"/>
    <cellStyle name="Title 2 8 2 2 74" xfId="54418"/>
    <cellStyle name="Title 2 8 2 2 75" xfId="54419"/>
    <cellStyle name="Title 2 8 2 2 76" xfId="54420"/>
    <cellStyle name="Title 2 8 2 2 77" xfId="54421"/>
    <cellStyle name="Title 2 8 2 2 78" xfId="54422"/>
    <cellStyle name="Title 2 8 2 2 79" xfId="54423"/>
    <cellStyle name="Title 2 8 2 2 8" xfId="54424"/>
    <cellStyle name="Title 2 8 2 2 80" xfId="54425"/>
    <cellStyle name="Title 2 8 2 2 81" xfId="54426"/>
    <cellStyle name="Title 2 8 2 2 82" xfId="54427"/>
    <cellStyle name="Title 2 8 2 2 83" xfId="54428"/>
    <cellStyle name="Title 2 8 2 2 84" xfId="54429"/>
    <cellStyle name="Title 2 8 2 2 85" xfId="54430"/>
    <cellStyle name="Title 2 8 2 2 86" xfId="54431"/>
    <cellStyle name="Title 2 8 2 2 87" xfId="54432"/>
    <cellStyle name="Title 2 8 2 2 88" xfId="54433"/>
    <cellStyle name="Title 2 8 2 2 9" xfId="54434"/>
    <cellStyle name="Title 2 8 2 20" xfId="54435"/>
    <cellStyle name="Title 2 8 2 21" xfId="54436"/>
    <cellStyle name="Title 2 8 2 22" xfId="54437"/>
    <cellStyle name="Title 2 8 2 23" xfId="54438"/>
    <cellStyle name="Title 2 8 2 24" xfId="54439"/>
    <cellStyle name="Title 2 8 2 25" xfId="54440"/>
    <cellStyle name="Title 2 8 2 26" xfId="54441"/>
    <cellStyle name="Title 2 8 2 27" xfId="54442"/>
    <cellStyle name="Title 2 8 2 28" xfId="54443"/>
    <cellStyle name="Title 2 8 2 29" xfId="54444"/>
    <cellStyle name="Title 2 8 2 3" xfId="54445"/>
    <cellStyle name="Title 2 8 2 30" xfId="54446"/>
    <cellStyle name="Title 2 8 2 31" xfId="54447"/>
    <cellStyle name="Title 2 8 2 32" xfId="54448"/>
    <cellStyle name="Title 2 8 2 33" xfId="54449"/>
    <cellStyle name="Title 2 8 2 34" xfId="54450"/>
    <cellStyle name="Title 2 8 2 35" xfId="54451"/>
    <cellStyle name="Title 2 8 2 36" xfId="54452"/>
    <cellStyle name="Title 2 8 2 37" xfId="54453"/>
    <cellStyle name="Title 2 8 2 38" xfId="54454"/>
    <cellStyle name="Title 2 8 2 39" xfId="54455"/>
    <cellStyle name="Title 2 8 2 4" xfId="54456"/>
    <cellStyle name="Title 2 8 2 40" xfId="54457"/>
    <cellStyle name="Title 2 8 2 41" xfId="54458"/>
    <cellStyle name="Title 2 8 2 42" xfId="54459"/>
    <cellStyle name="Title 2 8 2 43" xfId="54460"/>
    <cellStyle name="Title 2 8 2 44" xfId="54461"/>
    <cellStyle name="Title 2 8 2 45" xfId="54462"/>
    <cellStyle name="Title 2 8 2 46" xfId="54463"/>
    <cellStyle name="Title 2 8 2 47" xfId="54464"/>
    <cellStyle name="Title 2 8 2 48" xfId="54465"/>
    <cellStyle name="Title 2 8 2 49" xfId="54466"/>
    <cellStyle name="Title 2 8 2 5" xfId="54467"/>
    <cellStyle name="Title 2 8 2 50" xfId="54468"/>
    <cellStyle name="Title 2 8 2 51" xfId="54469"/>
    <cellStyle name="Title 2 8 2 52" xfId="54470"/>
    <cellStyle name="Title 2 8 2 53" xfId="54471"/>
    <cellStyle name="Title 2 8 2 54" xfId="54472"/>
    <cellStyle name="Title 2 8 2 55" xfId="54473"/>
    <cellStyle name="Title 2 8 2 56" xfId="54474"/>
    <cellStyle name="Title 2 8 2 57" xfId="54475"/>
    <cellStyle name="Title 2 8 2 58" xfId="54476"/>
    <cellStyle name="Title 2 8 2 59" xfId="54477"/>
    <cellStyle name="Title 2 8 2 6" xfId="54478"/>
    <cellStyle name="Title 2 8 2 60" xfId="54479"/>
    <cellStyle name="Title 2 8 2 61" xfId="54480"/>
    <cellStyle name="Title 2 8 2 62" xfId="54481"/>
    <cellStyle name="Title 2 8 2 63" xfId="54482"/>
    <cellStyle name="Title 2 8 2 64" xfId="54483"/>
    <cellStyle name="Title 2 8 2 65" xfId="54484"/>
    <cellStyle name="Title 2 8 2 66" xfId="54485"/>
    <cellStyle name="Title 2 8 2 67" xfId="54486"/>
    <cellStyle name="Title 2 8 2 68" xfId="54487"/>
    <cellStyle name="Title 2 8 2 69" xfId="54488"/>
    <cellStyle name="Title 2 8 2 7" xfId="54489"/>
    <cellStyle name="Title 2 8 2 70" xfId="54490"/>
    <cellStyle name="Title 2 8 2 71" xfId="54491"/>
    <cellStyle name="Title 2 8 2 72" xfId="54492"/>
    <cellStyle name="Title 2 8 2 73" xfId="54493"/>
    <cellStyle name="Title 2 8 2 74" xfId="54494"/>
    <cellStyle name="Title 2 8 2 75" xfId="54495"/>
    <cellStyle name="Title 2 8 2 76" xfId="54496"/>
    <cellStyle name="Title 2 8 2 77" xfId="54497"/>
    <cellStyle name="Title 2 8 2 78" xfId="54498"/>
    <cellStyle name="Title 2 8 2 79" xfId="54499"/>
    <cellStyle name="Title 2 8 2 8" xfId="54500"/>
    <cellStyle name="Title 2 8 2 80" xfId="54501"/>
    <cellStyle name="Title 2 8 2 81" xfId="54502"/>
    <cellStyle name="Title 2 8 2 82" xfId="54503"/>
    <cellStyle name="Title 2 8 2 83" xfId="54504"/>
    <cellStyle name="Title 2 8 2 84" xfId="54505"/>
    <cellStyle name="Title 2 8 2 85" xfId="54506"/>
    <cellStyle name="Title 2 8 2 86" xfId="54507"/>
    <cellStyle name="Title 2 8 2 87" xfId="54508"/>
    <cellStyle name="Title 2 8 2 88" xfId="54509"/>
    <cellStyle name="Title 2 8 2 89" xfId="54510"/>
    <cellStyle name="Title 2 8 2 9" xfId="54511"/>
    <cellStyle name="Title 2 8 2 90" xfId="54512"/>
    <cellStyle name="Title 2 8 2 91" xfId="54513"/>
    <cellStyle name="Title 2 8 2 92" xfId="54514"/>
    <cellStyle name="Title 2 8 2 93" xfId="54515"/>
    <cellStyle name="Title 2 8 2 94" xfId="54516"/>
    <cellStyle name="Title 2 8 2 95" xfId="54517"/>
    <cellStyle name="Title 2 8 2 96" xfId="54518"/>
    <cellStyle name="Title 2 8 2 97" xfId="54519"/>
    <cellStyle name="Title 2 8 2 98" xfId="54520"/>
    <cellStyle name="Title 2 8 20" xfId="54521"/>
    <cellStyle name="Title 2 8 21" xfId="54522"/>
    <cellStyle name="Title 2 8 22" xfId="54523"/>
    <cellStyle name="Title 2 8 23" xfId="54524"/>
    <cellStyle name="Title 2 8 24" xfId="54525"/>
    <cellStyle name="Title 2 8 25" xfId="54526"/>
    <cellStyle name="Title 2 8 25 2" xfId="54527"/>
    <cellStyle name="Title 2 8 26" xfId="54528"/>
    <cellStyle name="Title 2 8 27" xfId="54529"/>
    <cellStyle name="Title 2 8 28" xfId="54530"/>
    <cellStyle name="Title 2 8 29" xfId="54531"/>
    <cellStyle name="Title 2 8 3" xfId="54532"/>
    <cellStyle name="Title 2 8 30" xfId="54533"/>
    <cellStyle name="Title 2 8 31" xfId="54534"/>
    <cellStyle name="Title 2 8 32" xfId="54535"/>
    <cellStyle name="Title 2 8 33" xfId="54536"/>
    <cellStyle name="Title 2 8 34" xfId="54537"/>
    <cellStyle name="Title 2 8 35" xfId="54538"/>
    <cellStyle name="Title 2 8 36" xfId="54539"/>
    <cellStyle name="Title 2 8 37" xfId="54540"/>
    <cellStyle name="Title 2 8 38" xfId="54541"/>
    <cellStyle name="Title 2 8 39" xfId="54542"/>
    <cellStyle name="Title 2 8 4" xfId="54543"/>
    <cellStyle name="Title 2 8 4 10" xfId="54544"/>
    <cellStyle name="Title 2 8 4 11" xfId="54545"/>
    <cellStyle name="Title 2 8 4 12" xfId="54546"/>
    <cellStyle name="Title 2 8 4 13" xfId="54547"/>
    <cellStyle name="Title 2 8 4 14" xfId="54548"/>
    <cellStyle name="Title 2 8 4 15" xfId="54549"/>
    <cellStyle name="Title 2 8 4 16" xfId="54550"/>
    <cellStyle name="Title 2 8 4 17" xfId="54551"/>
    <cellStyle name="Title 2 8 4 18" xfId="54552"/>
    <cellStyle name="Title 2 8 4 19" xfId="54553"/>
    <cellStyle name="Title 2 8 4 2" xfId="54554"/>
    <cellStyle name="Title 2 8 4 2 10" xfId="54555"/>
    <cellStyle name="Title 2 8 4 2 11" xfId="54556"/>
    <cellStyle name="Title 2 8 4 2 12" xfId="54557"/>
    <cellStyle name="Title 2 8 4 2 13" xfId="54558"/>
    <cellStyle name="Title 2 8 4 2 14" xfId="54559"/>
    <cellStyle name="Title 2 8 4 2 15" xfId="54560"/>
    <cellStyle name="Title 2 8 4 2 16" xfId="54561"/>
    <cellStyle name="Title 2 8 4 2 17" xfId="54562"/>
    <cellStyle name="Title 2 8 4 2 18" xfId="54563"/>
    <cellStyle name="Title 2 8 4 2 19" xfId="54564"/>
    <cellStyle name="Title 2 8 4 2 2" xfId="54565"/>
    <cellStyle name="Title 2 8 4 2 2 2" xfId="54566"/>
    <cellStyle name="Title 2 8 4 2 20" xfId="54567"/>
    <cellStyle name="Title 2 8 4 2 21" xfId="54568"/>
    <cellStyle name="Title 2 8 4 2 22" xfId="54569"/>
    <cellStyle name="Title 2 8 4 2 23" xfId="54570"/>
    <cellStyle name="Title 2 8 4 2 24" xfId="54571"/>
    <cellStyle name="Title 2 8 4 2 25" xfId="54572"/>
    <cellStyle name="Title 2 8 4 2 26" xfId="54573"/>
    <cellStyle name="Title 2 8 4 2 27" xfId="54574"/>
    <cellStyle name="Title 2 8 4 2 28" xfId="54575"/>
    <cellStyle name="Title 2 8 4 2 29" xfId="54576"/>
    <cellStyle name="Title 2 8 4 2 3" xfId="54577"/>
    <cellStyle name="Title 2 8 4 2 30" xfId="54578"/>
    <cellStyle name="Title 2 8 4 2 31" xfId="54579"/>
    <cellStyle name="Title 2 8 4 2 32" xfId="54580"/>
    <cellStyle name="Title 2 8 4 2 33" xfId="54581"/>
    <cellStyle name="Title 2 8 4 2 34" xfId="54582"/>
    <cellStyle name="Title 2 8 4 2 35" xfId="54583"/>
    <cellStyle name="Title 2 8 4 2 36" xfId="54584"/>
    <cellStyle name="Title 2 8 4 2 37" xfId="54585"/>
    <cellStyle name="Title 2 8 4 2 38" xfId="54586"/>
    <cellStyle name="Title 2 8 4 2 39" xfId="54587"/>
    <cellStyle name="Title 2 8 4 2 4" xfId="54588"/>
    <cellStyle name="Title 2 8 4 2 40" xfId="54589"/>
    <cellStyle name="Title 2 8 4 2 41" xfId="54590"/>
    <cellStyle name="Title 2 8 4 2 42" xfId="54591"/>
    <cellStyle name="Title 2 8 4 2 43" xfId="54592"/>
    <cellStyle name="Title 2 8 4 2 44" xfId="54593"/>
    <cellStyle name="Title 2 8 4 2 45" xfId="54594"/>
    <cellStyle name="Title 2 8 4 2 46" xfId="54595"/>
    <cellStyle name="Title 2 8 4 2 47" xfId="54596"/>
    <cellStyle name="Title 2 8 4 2 48" xfId="54597"/>
    <cellStyle name="Title 2 8 4 2 49" xfId="54598"/>
    <cellStyle name="Title 2 8 4 2 5" xfId="54599"/>
    <cellStyle name="Title 2 8 4 2 50" xfId="54600"/>
    <cellStyle name="Title 2 8 4 2 51" xfId="54601"/>
    <cellStyle name="Title 2 8 4 2 52" xfId="54602"/>
    <cellStyle name="Title 2 8 4 2 53" xfId="54603"/>
    <cellStyle name="Title 2 8 4 2 54" xfId="54604"/>
    <cellStyle name="Title 2 8 4 2 55" xfId="54605"/>
    <cellStyle name="Title 2 8 4 2 56" xfId="54606"/>
    <cellStyle name="Title 2 8 4 2 57" xfId="54607"/>
    <cellStyle name="Title 2 8 4 2 58" xfId="54608"/>
    <cellStyle name="Title 2 8 4 2 59" xfId="54609"/>
    <cellStyle name="Title 2 8 4 2 6" xfId="54610"/>
    <cellStyle name="Title 2 8 4 2 60" xfId="54611"/>
    <cellStyle name="Title 2 8 4 2 61" xfId="54612"/>
    <cellStyle name="Title 2 8 4 2 62" xfId="54613"/>
    <cellStyle name="Title 2 8 4 2 63" xfId="54614"/>
    <cellStyle name="Title 2 8 4 2 64" xfId="54615"/>
    <cellStyle name="Title 2 8 4 2 65" xfId="54616"/>
    <cellStyle name="Title 2 8 4 2 66" xfId="54617"/>
    <cellStyle name="Title 2 8 4 2 67" xfId="54618"/>
    <cellStyle name="Title 2 8 4 2 68" xfId="54619"/>
    <cellStyle name="Title 2 8 4 2 69" xfId="54620"/>
    <cellStyle name="Title 2 8 4 2 7" xfId="54621"/>
    <cellStyle name="Title 2 8 4 2 70" xfId="54622"/>
    <cellStyle name="Title 2 8 4 2 71" xfId="54623"/>
    <cellStyle name="Title 2 8 4 2 72" xfId="54624"/>
    <cellStyle name="Title 2 8 4 2 73" xfId="54625"/>
    <cellStyle name="Title 2 8 4 2 74" xfId="54626"/>
    <cellStyle name="Title 2 8 4 2 8" xfId="54627"/>
    <cellStyle name="Title 2 8 4 2 9" xfId="54628"/>
    <cellStyle name="Title 2 8 4 20" xfId="54629"/>
    <cellStyle name="Title 2 8 4 21" xfId="54630"/>
    <cellStyle name="Title 2 8 4 22" xfId="54631"/>
    <cellStyle name="Title 2 8 4 23" xfId="54632"/>
    <cellStyle name="Title 2 8 4 24" xfId="54633"/>
    <cellStyle name="Title 2 8 4 25" xfId="54634"/>
    <cellStyle name="Title 2 8 4 26" xfId="54635"/>
    <cellStyle name="Title 2 8 4 27" xfId="54636"/>
    <cellStyle name="Title 2 8 4 28" xfId="54637"/>
    <cellStyle name="Title 2 8 4 29" xfId="54638"/>
    <cellStyle name="Title 2 8 4 3" xfId="54639"/>
    <cellStyle name="Title 2 8 4 3 2" xfId="54640"/>
    <cellStyle name="Title 2 8 4 30" xfId="54641"/>
    <cellStyle name="Title 2 8 4 31" xfId="54642"/>
    <cellStyle name="Title 2 8 4 32" xfId="54643"/>
    <cellStyle name="Title 2 8 4 33" xfId="54644"/>
    <cellStyle name="Title 2 8 4 34" xfId="54645"/>
    <cellStyle name="Title 2 8 4 35" xfId="54646"/>
    <cellStyle name="Title 2 8 4 36" xfId="54647"/>
    <cellStyle name="Title 2 8 4 37" xfId="54648"/>
    <cellStyle name="Title 2 8 4 38" xfId="54649"/>
    <cellStyle name="Title 2 8 4 39" xfId="54650"/>
    <cellStyle name="Title 2 8 4 4" xfId="54651"/>
    <cellStyle name="Title 2 8 4 40" xfId="54652"/>
    <cellStyle name="Title 2 8 4 41" xfId="54653"/>
    <cellStyle name="Title 2 8 4 42" xfId="54654"/>
    <cellStyle name="Title 2 8 4 43" xfId="54655"/>
    <cellStyle name="Title 2 8 4 44" xfId="54656"/>
    <cellStyle name="Title 2 8 4 45" xfId="54657"/>
    <cellStyle name="Title 2 8 4 46" xfId="54658"/>
    <cellStyle name="Title 2 8 4 47" xfId="54659"/>
    <cellStyle name="Title 2 8 4 48" xfId="54660"/>
    <cellStyle name="Title 2 8 4 49" xfId="54661"/>
    <cellStyle name="Title 2 8 4 5" xfId="54662"/>
    <cellStyle name="Title 2 8 4 50" xfId="54663"/>
    <cellStyle name="Title 2 8 4 51" xfId="54664"/>
    <cellStyle name="Title 2 8 4 52" xfId="54665"/>
    <cellStyle name="Title 2 8 4 53" xfId="54666"/>
    <cellStyle name="Title 2 8 4 54" xfId="54667"/>
    <cellStyle name="Title 2 8 4 55" xfId="54668"/>
    <cellStyle name="Title 2 8 4 56" xfId="54669"/>
    <cellStyle name="Title 2 8 4 57" xfId="54670"/>
    <cellStyle name="Title 2 8 4 58" xfId="54671"/>
    <cellStyle name="Title 2 8 4 59" xfId="54672"/>
    <cellStyle name="Title 2 8 4 6" xfId="54673"/>
    <cellStyle name="Title 2 8 4 60" xfId="54674"/>
    <cellStyle name="Title 2 8 4 61" xfId="54675"/>
    <cellStyle name="Title 2 8 4 62" xfId="54676"/>
    <cellStyle name="Title 2 8 4 63" xfId="54677"/>
    <cellStyle name="Title 2 8 4 64" xfId="54678"/>
    <cellStyle name="Title 2 8 4 65" xfId="54679"/>
    <cellStyle name="Title 2 8 4 66" xfId="54680"/>
    <cellStyle name="Title 2 8 4 67" xfId="54681"/>
    <cellStyle name="Title 2 8 4 68" xfId="54682"/>
    <cellStyle name="Title 2 8 4 69" xfId="54683"/>
    <cellStyle name="Title 2 8 4 7" xfId="54684"/>
    <cellStyle name="Title 2 8 4 70" xfId="54685"/>
    <cellStyle name="Title 2 8 4 71" xfId="54686"/>
    <cellStyle name="Title 2 8 4 72" xfId="54687"/>
    <cellStyle name="Title 2 8 4 73" xfId="54688"/>
    <cellStyle name="Title 2 8 4 74" xfId="54689"/>
    <cellStyle name="Title 2 8 4 8" xfId="54690"/>
    <cellStyle name="Title 2 8 4 9" xfId="54691"/>
    <cellStyle name="Title 2 8 40" xfId="54692"/>
    <cellStyle name="Title 2 8 41" xfId="54693"/>
    <cellStyle name="Title 2 8 42" xfId="54694"/>
    <cellStyle name="Title 2 8 43" xfId="54695"/>
    <cellStyle name="Title 2 8 44" xfId="54696"/>
    <cellStyle name="Title 2 8 45" xfId="54697"/>
    <cellStyle name="Title 2 8 46" xfId="54698"/>
    <cellStyle name="Title 2 8 47" xfId="54699"/>
    <cellStyle name="Title 2 8 48" xfId="54700"/>
    <cellStyle name="Title 2 8 49" xfId="54701"/>
    <cellStyle name="Title 2 8 5" xfId="54702"/>
    <cellStyle name="Title 2 8 50" xfId="54703"/>
    <cellStyle name="Title 2 8 51" xfId="54704"/>
    <cellStyle name="Title 2 8 52" xfId="54705"/>
    <cellStyle name="Title 2 8 53" xfId="54706"/>
    <cellStyle name="Title 2 8 54" xfId="54707"/>
    <cellStyle name="Title 2 8 55" xfId="54708"/>
    <cellStyle name="Title 2 8 56" xfId="54709"/>
    <cellStyle name="Title 2 8 57" xfId="54710"/>
    <cellStyle name="Title 2 8 58" xfId="54711"/>
    <cellStyle name="Title 2 8 59" xfId="54712"/>
    <cellStyle name="Title 2 8 6" xfId="54713"/>
    <cellStyle name="Title 2 8 60" xfId="54714"/>
    <cellStyle name="Title 2 8 61" xfId="54715"/>
    <cellStyle name="Title 2 8 62" xfId="54716"/>
    <cellStyle name="Title 2 8 63" xfId="54717"/>
    <cellStyle name="Title 2 8 64" xfId="54718"/>
    <cellStyle name="Title 2 8 65" xfId="54719"/>
    <cellStyle name="Title 2 8 66" xfId="54720"/>
    <cellStyle name="Title 2 8 67" xfId="54721"/>
    <cellStyle name="Title 2 8 68" xfId="54722"/>
    <cellStyle name="Title 2 8 69" xfId="54723"/>
    <cellStyle name="Title 2 8 7" xfId="54724"/>
    <cellStyle name="Title 2 8 70" xfId="54725"/>
    <cellStyle name="Title 2 8 71" xfId="54726"/>
    <cellStyle name="Title 2 8 72" xfId="54727"/>
    <cellStyle name="Title 2 8 73" xfId="54728"/>
    <cellStyle name="Title 2 8 74" xfId="54729"/>
    <cellStyle name="Title 2 8 75" xfId="54730"/>
    <cellStyle name="Title 2 8 76" xfId="54731"/>
    <cellStyle name="Title 2 8 77" xfId="54732"/>
    <cellStyle name="Title 2 8 78" xfId="54733"/>
    <cellStyle name="Title 2 8 79" xfId="54734"/>
    <cellStyle name="Title 2 8 8" xfId="54735"/>
    <cellStyle name="Title 2 8 80" xfId="54736"/>
    <cellStyle name="Title 2 8 81" xfId="54737"/>
    <cellStyle name="Title 2 8 82" xfId="54738"/>
    <cellStyle name="Title 2 8 83" xfId="54739"/>
    <cellStyle name="Title 2 8 84" xfId="54740"/>
    <cellStyle name="Title 2 8 85" xfId="54741"/>
    <cellStyle name="Title 2 8 86" xfId="54742"/>
    <cellStyle name="Title 2 8 87" xfId="54743"/>
    <cellStyle name="Title 2 8 88" xfId="54744"/>
    <cellStyle name="Title 2 8 89" xfId="54745"/>
    <cellStyle name="Title 2 8 9" xfId="54746"/>
    <cellStyle name="Title 2 8 90" xfId="54747"/>
    <cellStyle name="Title 2 8 91" xfId="54748"/>
    <cellStyle name="Title 2 8 92" xfId="54749"/>
    <cellStyle name="Title 2 8 93" xfId="54750"/>
    <cellStyle name="Title 2 8 94" xfId="54751"/>
    <cellStyle name="Title 2 8 95" xfId="54752"/>
    <cellStyle name="Title 2 8 96" xfId="54753"/>
    <cellStyle name="Title 2 8 97" xfId="54754"/>
    <cellStyle name="Title 2 8 98" xfId="54755"/>
    <cellStyle name="Title 2 8 99" xfId="54756"/>
    <cellStyle name="Title 2 80" xfId="54757"/>
    <cellStyle name="Title 2 81" xfId="54758"/>
    <cellStyle name="Title 2 82" xfId="54759"/>
    <cellStyle name="Title 2 83" xfId="54760"/>
    <cellStyle name="Title 2 84" xfId="54761"/>
    <cellStyle name="Title 2 85" xfId="54762"/>
    <cellStyle name="Title 2 86" xfId="54763"/>
    <cellStyle name="Title 2 87" xfId="54764"/>
    <cellStyle name="Title 2 88" xfId="54765"/>
    <cellStyle name="Title 2 89" xfId="54766"/>
    <cellStyle name="Title 2 9" xfId="54767"/>
    <cellStyle name="Title 2 9 10" xfId="54768"/>
    <cellStyle name="Title 2 9 100" xfId="54769"/>
    <cellStyle name="Title 2 9 101" xfId="54770"/>
    <cellStyle name="Title 2 9 102" xfId="54771"/>
    <cellStyle name="Title 2 9 103" xfId="54772"/>
    <cellStyle name="Title 2 9 104" xfId="54773"/>
    <cellStyle name="Title 2 9 105" xfId="54774"/>
    <cellStyle name="Title 2 9 106" xfId="54775"/>
    <cellStyle name="Title 2 9 107" xfId="54776"/>
    <cellStyle name="Title 2 9 108" xfId="54777"/>
    <cellStyle name="Title 2 9 109" xfId="54778"/>
    <cellStyle name="Title 2 9 11" xfId="54779"/>
    <cellStyle name="Title 2 9 110" xfId="54780"/>
    <cellStyle name="Title 2 9 12" xfId="54781"/>
    <cellStyle name="Title 2 9 13" xfId="54782"/>
    <cellStyle name="Title 2 9 14" xfId="54783"/>
    <cellStyle name="Title 2 9 15" xfId="54784"/>
    <cellStyle name="Title 2 9 16" xfId="54785"/>
    <cellStyle name="Title 2 9 17" xfId="54786"/>
    <cellStyle name="Title 2 9 18" xfId="54787"/>
    <cellStyle name="Title 2 9 19" xfId="54788"/>
    <cellStyle name="Title 2 9 2" xfId="54789"/>
    <cellStyle name="Title 2 9 2 10" xfId="54790"/>
    <cellStyle name="Title 2 9 2 11" xfId="54791"/>
    <cellStyle name="Title 2 9 2 12" xfId="54792"/>
    <cellStyle name="Title 2 9 2 13" xfId="54793"/>
    <cellStyle name="Title 2 9 2 13 2" xfId="54794"/>
    <cellStyle name="Title 2 9 2 14" xfId="54795"/>
    <cellStyle name="Title 2 9 2 15" xfId="54796"/>
    <cellStyle name="Title 2 9 2 16" xfId="54797"/>
    <cellStyle name="Title 2 9 2 17" xfId="54798"/>
    <cellStyle name="Title 2 9 2 18" xfId="54799"/>
    <cellStyle name="Title 2 9 2 19" xfId="54800"/>
    <cellStyle name="Title 2 9 2 2" xfId="54801"/>
    <cellStyle name="Title 2 9 2 2 10" xfId="54802"/>
    <cellStyle name="Title 2 9 2 2 11" xfId="54803"/>
    <cellStyle name="Title 2 9 2 2 12" xfId="54804"/>
    <cellStyle name="Title 2 9 2 2 13" xfId="54805"/>
    <cellStyle name="Title 2 9 2 2 14" xfId="54806"/>
    <cellStyle name="Title 2 9 2 2 15" xfId="54807"/>
    <cellStyle name="Title 2 9 2 2 16" xfId="54808"/>
    <cellStyle name="Title 2 9 2 2 17" xfId="54809"/>
    <cellStyle name="Title 2 9 2 2 18" xfId="54810"/>
    <cellStyle name="Title 2 9 2 2 19" xfId="54811"/>
    <cellStyle name="Title 2 9 2 2 2" xfId="54812"/>
    <cellStyle name="Title 2 9 2 2 2 10" xfId="54813"/>
    <cellStyle name="Title 2 9 2 2 2 11" xfId="54814"/>
    <cellStyle name="Title 2 9 2 2 2 12" xfId="54815"/>
    <cellStyle name="Title 2 9 2 2 2 13" xfId="54816"/>
    <cellStyle name="Title 2 9 2 2 2 14" xfId="54817"/>
    <cellStyle name="Title 2 9 2 2 2 15" xfId="54818"/>
    <cellStyle name="Title 2 9 2 2 2 16" xfId="54819"/>
    <cellStyle name="Title 2 9 2 2 2 17" xfId="54820"/>
    <cellStyle name="Title 2 9 2 2 2 18" xfId="54821"/>
    <cellStyle name="Title 2 9 2 2 2 19" xfId="54822"/>
    <cellStyle name="Title 2 9 2 2 2 2" xfId="54823"/>
    <cellStyle name="Title 2 9 2 2 2 2 10" xfId="54824"/>
    <cellStyle name="Title 2 9 2 2 2 2 11" xfId="54825"/>
    <cellStyle name="Title 2 9 2 2 2 2 12" xfId="54826"/>
    <cellStyle name="Title 2 9 2 2 2 2 13" xfId="54827"/>
    <cellStyle name="Title 2 9 2 2 2 2 14" xfId="54828"/>
    <cellStyle name="Title 2 9 2 2 2 2 15" xfId="54829"/>
    <cellStyle name="Title 2 9 2 2 2 2 16" xfId="54830"/>
    <cellStyle name="Title 2 9 2 2 2 2 17" xfId="54831"/>
    <cellStyle name="Title 2 9 2 2 2 2 18" xfId="54832"/>
    <cellStyle name="Title 2 9 2 2 2 2 19" xfId="54833"/>
    <cellStyle name="Title 2 9 2 2 2 2 2" xfId="54834"/>
    <cellStyle name="Title 2 9 2 2 2 2 2 10" xfId="54835"/>
    <cellStyle name="Title 2 9 2 2 2 2 2 11" xfId="54836"/>
    <cellStyle name="Title 2 9 2 2 2 2 2 12" xfId="54837"/>
    <cellStyle name="Title 2 9 2 2 2 2 2 13" xfId="54838"/>
    <cellStyle name="Title 2 9 2 2 2 2 2 14" xfId="54839"/>
    <cellStyle name="Title 2 9 2 2 2 2 2 15" xfId="54840"/>
    <cellStyle name="Title 2 9 2 2 2 2 2 16" xfId="54841"/>
    <cellStyle name="Title 2 9 2 2 2 2 2 17" xfId="54842"/>
    <cellStyle name="Title 2 9 2 2 2 2 2 18" xfId="54843"/>
    <cellStyle name="Title 2 9 2 2 2 2 2 19" xfId="54844"/>
    <cellStyle name="Title 2 9 2 2 2 2 2 2" xfId="54845"/>
    <cellStyle name="Title 2 9 2 2 2 2 2 2 2" xfId="54846"/>
    <cellStyle name="Title 2 9 2 2 2 2 2 20" xfId="54847"/>
    <cellStyle name="Title 2 9 2 2 2 2 2 21" xfId="54848"/>
    <cellStyle name="Title 2 9 2 2 2 2 2 22" xfId="54849"/>
    <cellStyle name="Title 2 9 2 2 2 2 2 23" xfId="54850"/>
    <cellStyle name="Title 2 9 2 2 2 2 2 24" xfId="54851"/>
    <cellStyle name="Title 2 9 2 2 2 2 2 25" xfId="54852"/>
    <cellStyle name="Title 2 9 2 2 2 2 2 26" xfId="54853"/>
    <cellStyle name="Title 2 9 2 2 2 2 2 27" xfId="54854"/>
    <cellStyle name="Title 2 9 2 2 2 2 2 28" xfId="54855"/>
    <cellStyle name="Title 2 9 2 2 2 2 2 29" xfId="54856"/>
    <cellStyle name="Title 2 9 2 2 2 2 2 3" xfId="54857"/>
    <cellStyle name="Title 2 9 2 2 2 2 2 30" xfId="54858"/>
    <cellStyle name="Title 2 9 2 2 2 2 2 31" xfId="54859"/>
    <cellStyle name="Title 2 9 2 2 2 2 2 32" xfId="54860"/>
    <cellStyle name="Title 2 9 2 2 2 2 2 33" xfId="54861"/>
    <cellStyle name="Title 2 9 2 2 2 2 2 34" xfId="54862"/>
    <cellStyle name="Title 2 9 2 2 2 2 2 35" xfId="54863"/>
    <cellStyle name="Title 2 9 2 2 2 2 2 36" xfId="54864"/>
    <cellStyle name="Title 2 9 2 2 2 2 2 37" xfId="54865"/>
    <cellStyle name="Title 2 9 2 2 2 2 2 38" xfId="54866"/>
    <cellStyle name="Title 2 9 2 2 2 2 2 39" xfId="54867"/>
    <cellStyle name="Title 2 9 2 2 2 2 2 4" xfId="54868"/>
    <cellStyle name="Title 2 9 2 2 2 2 2 40" xfId="54869"/>
    <cellStyle name="Title 2 9 2 2 2 2 2 41" xfId="54870"/>
    <cellStyle name="Title 2 9 2 2 2 2 2 42" xfId="54871"/>
    <cellStyle name="Title 2 9 2 2 2 2 2 43" xfId="54872"/>
    <cellStyle name="Title 2 9 2 2 2 2 2 44" xfId="54873"/>
    <cellStyle name="Title 2 9 2 2 2 2 2 45" xfId="54874"/>
    <cellStyle name="Title 2 9 2 2 2 2 2 46" xfId="54875"/>
    <cellStyle name="Title 2 9 2 2 2 2 2 47" xfId="54876"/>
    <cellStyle name="Title 2 9 2 2 2 2 2 48" xfId="54877"/>
    <cellStyle name="Title 2 9 2 2 2 2 2 49" xfId="54878"/>
    <cellStyle name="Title 2 9 2 2 2 2 2 5" xfId="54879"/>
    <cellStyle name="Title 2 9 2 2 2 2 2 50" xfId="54880"/>
    <cellStyle name="Title 2 9 2 2 2 2 2 51" xfId="54881"/>
    <cellStyle name="Title 2 9 2 2 2 2 2 52" xfId="54882"/>
    <cellStyle name="Title 2 9 2 2 2 2 2 53" xfId="54883"/>
    <cellStyle name="Title 2 9 2 2 2 2 2 54" xfId="54884"/>
    <cellStyle name="Title 2 9 2 2 2 2 2 55" xfId="54885"/>
    <cellStyle name="Title 2 9 2 2 2 2 2 56" xfId="54886"/>
    <cellStyle name="Title 2 9 2 2 2 2 2 57" xfId="54887"/>
    <cellStyle name="Title 2 9 2 2 2 2 2 58" xfId="54888"/>
    <cellStyle name="Title 2 9 2 2 2 2 2 59" xfId="54889"/>
    <cellStyle name="Title 2 9 2 2 2 2 2 6" xfId="54890"/>
    <cellStyle name="Title 2 9 2 2 2 2 2 60" xfId="54891"/>
    <cellStyle name="Title 2 9 2 2 2 2 2 61" xfId="54892"/>
    <cellStyle name="Title 2 9 2 2 2 2 2 62" xfId="54893"/>
    <cellStyle name="Title 2 9 2 2 2 2 2 63" xfId="54894"/>
    <cellStyle name="Title 2 9 2 2 2 2 2 64" xfId="54895"/>
    <cellStyle name="Title 2 9 2 2 2 2 2 65" xfId="54896"/>
    <cellStyle name="Title 2 9 2 2 2 2 2 66" xfId="54897"/>
    <cellStyle name="Title 2 9 2 2 2 2 2 67" xfId="54898"/>
    <cellStyle name="Title 2 9 2 2 2 2 2 68" xfId="54899"/>
    <cellStyle name="Title 2 9 2 2 2 2 2 69" xfId="54900"/>
    <cellStyle name="Title 2 9 2 2 2 2 2 7" xfId="54901"/>
    <cellStyle name="Title 2 9 2 2 2 2 2 70" xfId="54902"/>
    <cellStyle name="Title 2 9 2 2 2 2 2 71" xfId="54903"/>
    <cellStyle name="Title 2 9 2 2 2 2 2 72" xfId="54904"/>
    <cellStyle name="Title 2 9 2 2 2 2 2 73" xfId="54905"/>
    <cellStyle name="Title 2 9 2 2 2 2 2 74" xfId="54906"/>
    <cellStyle name="Title 2 9 2 2 2 2 2 8" xfId="54907"/>
    <cellStyle name="Title 2 9 2 2 2 2 2 9" xfId="54908"/>
    <cellStyle name="Title 2 9 2 2 2 2 20" xfId="54909"/>
    <cellStyle name="Title 2 9 2 2 2 2 21" xfId="54910"/>
    <cellStyle name="Title 2 9 2 2 2 2 22" xfId="54911"/>
    <cellStyle name="Title 2 9 2 2 2 2 23" xfId="54912"/>
    <cellStyle name="Title 2 9 2 2 2 2 24" xfId="54913"/>
    <cellStyle name="Title 2 9 2 2 2 2 25" xfId="54914"/>
    <cellStyle name="Title 2 9 2 2 2 2 26" xfId="54915"/>
    <cellStyle name="Title 2 9 2 2 2 2 27" xfId="54916"/>
    <cellStyle name="Title 2 9 2 2 2 2 28" xfId="54917"/>
    <cellStyle name="Title 2 9 2 2 2 2 29" xfId="54918"/>
    <cellStyle name="Title 2 9 2 2 2 2 3" xfId="54919"/>
    <cellStyle name="Title 2 9 2 2 2 2 3 2" xfId="54920"/>
    <cellStyle name="Title 2 9 2 2 2 2 30" xfId="54921"/>
    <cellStyle name="Title 2 9 2 2 2 2 31" xfId="54922"/>
    <cellStyle name="Title 2 9 2 2 2 2 32" xfId="54923"/>
    <cellStyle name="Title 2 9 2 2 2 2 33" xfId="54924"/>
    <cellStyle name="Title 2 9 2 2 2 2 34" xfId="54925"/>
    <cellStyle name="Title 2 9 2 2 2 2 35" xfId="54926"/>
    <cellStyle name="Title 2 9 2 2 2 2 36" xfId="54927"/>
    <cellStyle name="Title 2 9 2 2 2 2 37" xfId="54928"/>
    <cellStyle name="Title 2 9 2 2 2 2 38" xfId="54929"/>
    <cellStyle name="Title 2 9 2 2 2 2 39" xfId="54930"/>
    <cellStyle name="Title 2 9 2 2 2 2 4" xfId="54931"/>
    <cellStyle name="Title 2 9 2 2 2 2 40" xfId="54932"/>
    <cellStyle name="Title 2 9 2 2 2 2 41" xfId="54933"/>
    <cellStyle name="Title 2 9 2 2 2 2 42" xfId="54934"/>
    <cellStyle name="Title 2 9 2 2 2 2 43" xfId="54935"/>
    <cellStyle name="Title 2 9 2 2 2 2 44" xfId="54936"/>
    <cellStyle name="Title 2 9 2 2 2 2 45" xfId="54937"/>
    <cellStyle name="Title 2 9 2 2 2 2 46" xfId="54938"/>
    <cellStyle name="Title 2 9 2 2 2 2 47" xfId="54939"/>
    <cellStyle name="Title 2 9 2 2 2 2 48" xfId="54940"/>
    <cellStyle name="Title 2 9 2 2 2 2 49" xfId="54941"/>
    <cellStyle name="Title 2 9 2 2 2 2 5" xfId="54942"/>
    <cellStyle name="Title 2 9 2 2 2 2 50" xfId="54943"/>
    <cellStyle name="Title 2 9 2 2 2 2 51" xfId="54944"/>
    <cellStyle name="Title 2 9 2 2 2 2 52" xfId="54945"/>
    <cellStyle name="Title 2 9 2 2 2 2 53" xfId="54946"/>
    <cellStyle name="Title 2 9 2 2 2 2 54" xfId="54947"/>
    <cellStyle name="Title 2 9 2 2 2 2 55" xfId="54948"/>
    <cellStyle name="Title 2 9 2 2 2 2 56" xfId="54949"/>
    <cellStyle name="Title 2 9 2 2 2 2 57" xfId="54950"/>
    <cellStyle name="Title 2 9 2 2 2 2 58" xfId="54951"/>
    <cellStyle name="Title 2 9 2 2 2 2 59" xfId="54952"/>
    <cellStyle name="Title 2 9 2 2 2 2 6" xfId="54953"/>
    <cellStyle name="Title 2 9 2 2 2 2 60" xfId="54954"/>
    <cellStyle name="Title 2 9 2 2 2 2 61" xfId="54955"/>
    <cellStyle name="Title 2 9 2 2 2 2 62" xfId="54956"/>
    <cellStyle name="Title 2 9 2 2 2 2 63" xfId="54957"/>
    <cellStyle name="Title 2 9 2 2 2 2 64" xfId="54958"/>
    <cellStyle name="Title 2 9 2 2 2 2 65" xfId="54959"/>
    <cellStyle name="Title 2 9 2 2 2 2 66" xfId="54960"/>
    <cellStyle name="Title 2 9 2 2 2 2 67" xfId="54961"/>
    <cellStyle name="Title 2 9 2 2 2 2 68" xfId="54962"/>
    <cellStyle name="Title 2 9 2 2 2 2 69" xfId="54963"/>
    <cellStyle name="Title 2 9 2 2 2 2 7" xfId="54964"/>
    <cellStyle name="Title 2 9 2 2 2 2 70" xfId="54965"/>
    <cellStyle name="Title 2 9 2 2 2 2 71" xfId="54966"/>
    <cellStyle name="Title 2 9 2 2 2 2 72" xfId="54967"/>
    <cellStyle name="Title 2 9 2 2 2 2 73" xfId="54968"/>
    <cellStyle name="Title 2 9 2 2 2 2 74" xfId="54969"/>
    <cellStyle name="Title 2 9 2 2 2 2 8" xfId="54970"/>
    <cellStyle name="Title 2 9 2 2 2 2 9" xfId="54971"/>
    <cellStyle name="Title 2 9 2 2 2 20" xfId="54972"/>
    <cellStyle name="Title 2 9 2 2 2 21" xfId="54973"/>
    <cellStyle name="Title 2 9 2 2 2 22" xfId="54974"/>
    <cellStyle name="Title 2 9 2 2 2 23" xfId="54975"/>
    <cellStyle name="Title 2 9 2 2 2 24" xfId="54976"/>
    <cellStyle name="Title 2 9 2 2 2 25" xfId="54977"/>
    <cellStyle name="Title 2 9 2 2 2 26" xfId="54978"/>
    <cellStyle name="Title 2 9 2 2 2 27" xfId="54979"/>
    <cellStyle name="Title 2 9 2 2 2 28" xfId="54980"/>
    <cellStyle name="Title 2 9 2 2 2 29" xfId="54981"/>
    <cellStyle name="Title 2 9 2 2 2 3" xfId="54982"/>
    <cellStyle name="Title 2 9 2 2 2 3 2" xfId="54983"/>
    <cellStyle name="Title 2 9 2 2 2 30" xfId="54984"/>
    <cellStyle name="Title 2 9 2 2 2 31" xfId="54985"/>
    <cellStyle name="Title 2 9 2 2 2 32" xfId="54986"/>
    <cellStyle name="Title 2 9 2 2 2 33" xfId="54987"/>
    <cellStyle name="Title 2 9 2 2 2 34" xfId="54988"/>
    <cellStyle name="Title 2 9 2 2 2 35" xfId="54989"/>
    <cellStyle name="Title 2 9 2 2 2 36" xfId="54990"/>
    <cellStyle name="Title 2 9 2 2 2 37" xfId="54991"/>
    <cellStyle name="Title 2 9 2 2 2 38" xfId="54992"/>
    <cellStyle name="Title 2 9 2 2 2 39" xfId="54993"/>
    <cellStyle name="Title 2 9 2 2 2 4" xfId="54994"/>
    <cellStyle name="Title 2 9 2 2 2 40" xfId="54995"/>
    <cellStyle name="Title 2 9 2 2 2 41" xfId="54996"/>
    <cellStyle name="Title 2 9 2 2 2 42" xfId="54997"/>
    <cellStyle name="Title 2 9 2 2 2 43" xfId="54998"/>
    <cellStyle name="Title 2 9 2 2 2 44" xfId="54999"/>
    <cellStyle name="Title 2 9 2 2 2 45" xfId="55000"/>
    <cellStyle name="Title 2 9 2 2 2 46" xfId="55001"/>
    <cellStyle name="Title 2 9 2 2 2 47" xfId="55002"/>
    <cellStyle name="Title 2 9 2 2 2 48" xfId="55003"/>
    <cellStyle name="Title 2 9 2 2 2 49" xfId="55004"/>
    <cellStyle name="Title 2 9 2 2 2 5" xfId="55005"/>
    <cellStyle name="Title 2 9 2 2 2 50" xfId="55006"/>
    <cellStyle name="Title 2 9 2 2 2 51" xfId="55007"/>
    <cellStyle name="Title 2 9 2 2 2 52" xfId="55008"/>
    <cellStyle name="Title 2 9 2 2 2 53" xfId="55009"/>
    <cellStyle name="Title 2 9 2 2 2 54" xfId="55010"/>
    <cellStyle name="Title 2 9 2 2 2 55" xfId="55011"/>
    <cellStyle name="Title 2 9 2 2 2 56" xfId="55012"/>
    <cellStyle name="Title 2 9 2 2 2 57" xfId="55013"/>
    <cellStyle name="Title 2 9 2 2 2 58" xfId="55014"/>
    <cellStyle name="Title 2 9 2 2 2 59" xfId="55015"/>
    <cellStyle name="Title 2 9 2 2 2 6" xfId="55016"/>
    <cellStyle name="Title 2 9 2 2 2 60" xfId="55017"/>
    <cellStyle name="Title 2 9 2 2 2 61" xfId="55018"/>
    <cellStyle name="Title 2 9 2 2 2 62" xfId="55019"/>
    <cellStyle name="Title 2 9 2 2 2 63" xfId="55020"/>
    <cellStyle name="Title 2 9 2 2 2 64" xfId="55021"/>
    <cellStyle name="Title 2 9 2 2 2 65" xfId="55022"/>
    <cellStyle name="Title 2 9 2 2 2 66" xfId="55023"/>
    <cellStyle name="Title 2 9 2 2 2 67" xfId="55024"/>
    <cellStyle name="Title 2 9 2 2 2 68" xfId="55025"/>
    <cellStyle name="Title 2 9 2 2 2 69" xfId="55026"/>
    <cellStyle name="Title 2 9 2 2 2 7" xfId="55027"/>
    <cellStyle name="Title 2 9 2 2 2 70" xfId="55028"/>
    <cellStyle name="Title 2 9 2 2 2 71" xfId="55029"/>
    <cellStyle name="Title 2 9 2 2 2 72" xfId="55030"/>
    <cellStyle name="Title 2 9 2 2 2 73" xfId="55031"/>
    <cellStyle name="Title 2 9 2 2 2 74" xfId="55032"/>
    <cellStyle name="Title 2 9 2 2 2 75" xfId="55033"/>
    <cellStyle name="Title 2 9 2 2 2 76" xfId="55034"/>
    <cellStyle name="Title 2 9 2 2 2 77" xfId="55035"/>
    <cellStyle name="Title 2 9 2 2 2 78" xfId="55036"/>
    <cellStyle name="Title 2 9 2 2 2 79" xfId="55037"/>
    <cellStyle name="Title 2 9 2 2 2 8" xfId="55038"/>
    <cellStyle name="Title 2 9 2 2 2 80" xfId="55039"/>
    <cellStyle name="Title 2 9 2 2 2 81" xfId="55040"/>
    <cellStyle name="Title 2 9 2 2 2 82" xfId="55041"/>
    <cellStyle name="Title 2 9 2 2 2 83" xfId="55042"/>
    <cellStyle name="Title 2 9 2 2 2 84" xfId="55043"/>
    <cellStyle name="Title 2 9 2 2 2 85" xfId="55044"/>
    <cellStyle name="Title 2 9 2 2 2 86" xfId="55045"/>
    <cellStyle name="Title 2 9 2 2 2 87" xfId="55046"/>
    <cellStyle name="Title 2 9 2 2 2 88" xfId="55047"/>
    <cellStyle name="Title 2 9 2 2 2 9" xfId="55048"/>
    <cellStyle name="Title 2 9 2 2 20" xfId="55049"/>
    <cellStyle name="Title 2 9 2 2 21" xfId="55050"/>
    <cellStyle name="Title 2 9 2 2 22" xfId="55051"/>
    <cellStyle name="Title 2 9 2 2 23" xfId="55052"/>
    <cellStyle name="Title 2 9 2 2 24" xfId="55053"/>
    <cellStyle name="Title 2 9 2 2 25" xfId="55054"/>
    <cellStyle name="Title 2 9 2 2 26" xfId="55055"/>
    <cellStyle name="Title 2 9 2 2 27" xfId="55056"/>
    <cellStyle name="Title 2 9 2 2 28" xfId="55057"/>
    <cellStyle name="Title 2 9 2 2 29" xfId="55058"/>
    <cellStyle name="Title 2 9 2 2 3" xfId="55059"/>
    <cellStyle name="Title 2 9 2 2 3 2" xfId="55060"/>
    <cellStyle name="Title 2 9 2 2 30" xfId="55061"/>
    <cellStyle name="Title 2 9 2 2 31" xfId="55062"/>
    <cellStyle name="Title 2 9 2 2 32" xfId="55063"/>
    <cellStyle name="Title 2 9 2 2 33" xfId="55064"/>
    <cellStyle name="Title 2 9 2 2 34" xfId="55065"/>
    <cellStyle name="Title 2 9 2 2 35" xfId="55066"/>
    <cellStyle name="Title 2 9 2 2 36" xfId="55067"/>
    <cellStyle name="Title 2 9 2 2 37" xfId="55068"/>
    <cellStyle name="Title 2 9 2 2 38" xfId="55069"/>
    <cellStyle name="Title 2 9 2 2 39" xfId="55070"/>
    <cellStyle name="Title 2 9 2 2 4" xfId="55071"/>
    <cellStyle name="Title 2 9 2 2 40" xfId="55072"/>
    <cellStyle name="Title 2 9 2 2 41" xfId="55073"/>
    <cellStyle name="Title 2 9 2 2 42" xfId="55074"/>
    <cellStyle name="Title 2 9 2 2 43" xfId="55075"/>
    <cellStyle name="Title 2 9 2 2 44" xfId="55076"/>
    <cellStyle name="Title 2 9 2 2 45" xfId="55077"/>
    <cellStyle name="Title 2 9 2 2 46" xfId="55078"/>
    <cellStyle name="Title 2 9 2 2 47" xfId="55079"/>
    <cellStyle name="Title 2 9 2 2 48" xfId="55080"/>
    <cellStyle name="Title 2 9 2 2 49" xfId="55081"/>
    <cellStyle name="Title 2 9 2 2 5" xfId="55082"/>
    <cellStyle name="Title 2 9 2 2 50" xfId="55083"/>
    <cellStyle name="Title 2 9 2 2 51" xfId="55084"/>
    <cellStyle name="Title 2 9 2 2 52" xfId="55085"/>
    <cellStyle name="Title 2 9 2 2 53" xfId="55086"/>
    <cellStyle name="Title 2 9 2 2 54" xfId="55087"/>
    <cellStyle name="Title 2 9 2 2 55" xfId="55088"/>
    <cellStyle name="Title 2 9 2 2 56" xfId="55089"/>
    <cellStyle name="Title 2 9 2 2 57" xfId="55090"/>
    <cellStyle name="Title 2 9 2 2 58" xfId="55091"/>
    <cellStyle name="Title 2 9 2 2 59" xfId="55092"/>
    <cellStyle name="Title 2 9 2 2 6" xfId="55093"/>
    <cellStyle name="Title 2 9 2 2 60" xfId="55094"/>
    <cellStyle name="Title 2 9 2 2 61" xfId="55095"/>
    <cellStyle name="Title 2 9 2 2 62" xfId="55096"/>
    <cellStyle name="Title 2 9 2 2 63" xfId="55097"/>
    <cellStyle name="Title 2 9 2 2 64" xfId="55098"/>
    <cellStyle name="Title 2 9 2 2 65" xfId="55099"/>
    <cellStyle name="Title 2 9 2 2 66" xfId="55100"/>
    <cellStyle name="Title 2 9 2 2 67" xfId="55101"/>
    <cellStyle name="Title 2 9 2 2 68" xfId="55102"/>
    <cellStyle name="Title 2 9 2 2 69" xfId="55103"/>
    <cellStyle name="Title 2 9 2 2 7" xfId="55104"/>
    <cellStyle name="Title 2 9 2 2 70" xfId="55105"/>
    <cellStyle name="Title 2 9 2 2 71" xfId="55106"/>
    <cellStyle name="Title 2 9 2 2 72" xfId="55107"/>
    <cellStyle name="Title 2 9 2 2 73" xfId="55108"/>
    <cellStyle name="Title 2 9 2 2 74" xfId="55109"/>
    <cellStyle name="Title 2 9 2 2 75" xfId="55110"/>
    <cellStyle name="Title 2 9 2 2 76" xfId="55111"/>
    <cellStyle name="Title 2 9 2 2 77" xfId="55112"/>
    <cellStyle name="Title 2 9 2 2 78" xfId="55113"/>
    <cellStyle name="Title 2 9 2 2 79" xfId="55114"/>
    <cellStyle name="Title 2 9 2 2 8" xfId="55115"/>
    <cellStyle name="Title 2 9 2 2 80" xfId="55116"/>
    <cellStyle name="Title 2 9 2 2 81" xfId="55117"/>
    <cellStyle name="Title 2 9 2 2 82" xfId="55118"/>
    <cellStyle name="Title 2 9 2 2 83" xfId="55119"/>
    <cellStyle name="Title 2 9 2 2 84" xfId="55120"/>
    <cellStyle name="Title 2 9 2 2 85" xfId="55121"/>
    <cellStyle name="Title 2 9 2 2 86" xfId="55122"/>
    <cellStyle name="Title 2 9 2 2 87" xfId="55123"/>
    <cellStyle name="Title 2 9 2 2 88" xfId="55124"/>
    <cellStyle name="Title 2 9 2 2 9" xfId="55125"/>
    <cellStyle name="Title 2 9 2 20" xfId="55126"/>
    <cellStyle name="Title 2 9 2 21" xfId="55127"/>
    <cellStyle name="Title 2 9 2 22" xfId="55128"/>
    <cellStyle name="Title 2 9 2 23" xfId="55129"/>
    <cellStyle name="Title 2 9 2 24" xfId="55130"/>
    <cellStyle name="Title 2 9 2 25" xfId="55131"/>
    <cellStyle name="Title 2 9 2 26" xfId="55132"/>
    <cellStyle name="Title 2 9 2 27" xfId="55133"/>
    <cellStyle name="Title 2 9 2 28" xfId="55134"/>
    <cellStyle name="Title 2 9 2 29" xfId="55135"/>
    <cellStyle name="Title 2 9 2 3" xfId="55136"/>
    <cellStyle name="Title 2 9 2 30" xfId="55137"/>
    <cellStyle name="Title 2 9 2 31" xfId="55138"/>
    <cellStyle name="Title 2 9 2 32" xfId="55139"/>
    <cellStyle name="Title 2 9 2 33" xfId="55140"/>
    <cellStyle name="Title 2 9 2 34" xfId="55141"/>
    <cellStyle name="Title 2 9 2 35" xfId="55142"/>
    <cellStyle name="Title 2 9 2 36" xfId="55143"/>
    <cellStyle name="Title 2 9 2 37" xfId="55144"/>
    <cellStyle name="Title 2 9 2 38" xfId="55145"/>
    <cellStyle name="Title 2 9 2 39" xfId="55146"/>
    <cellStyle name="Title 2 9 2 4" xfId="55147"/>
    <cellStyle name="Title 2 9 2 40" xfId="55148"/>
    <cellStyle name="Title 2 9 2 41" xfId="55149"/>
    <cellStyle name="Title 2 9 2 42" xfId="55150"/>
    <cellStyle name="Title 2 9 2 43" xfId="55151"/>
    <cellStyle name="Title 2 9 2 44" xfId="55152"/>
    <cellStyle name="Title 2 9 2 45" xfId="55153"/>
    <cellStyle name="Title 2 9 2 46" xfId="55154"/>
    <cellStyle name="Title 2 9 2 47" xfId="55155"/>
    <cellStyle name="Title 2 9 2 48" xfId="55156"/>
    <cellStyle name="Title 2 9 2 49" xfId="55157"/>
    <cellStyle name="Title 2 9 2 5" xfId="55158"/>
    <cellStyle name="Title 2 9 2 50" xfId="55159"/>
    <cellStyle name="Title 2 9 2 51" xfId="55160"/>
    <cellStyle name="Title 2 9 2 52" xfId="55161"/>
    <cellStyle name="Title 2 9 2 53" xfId="55162"/>
    <cellStyle name="Title 2 9 2 54" xfId="55163"/>
    <cellStyle name="Title 2 9 2 55" xfId="55164"/>
    <cellStyle name="Title 2 9 2 56" xfId="55165"/>
    <cellStyle name="Title 2 9 2 57" xfId="55166"/>
    <cellStyle name="Title 2 9 2 58" xfId="55167"/>
    <cellStyle name="Title 2 9 2 59" xfId="55168"/>
    <cellStyle name="Title 2 9 2 6" xfId="55169"/>
    <cellStyle name="Title 2 9 2 60" xfId="55170"/>
    <cellStyle name="Title 2 9 2 61" xfId="55171"/>
    <cellStyle name="Title 2 9 2 62" xfId="55172"/>
    <cellStyle name="Title 2 9 2 63" xfId="55173"/>
    <cellStyle name="Title 2 9 2 64" xfId="55174"/>
    <cellStyle name="Title 2 9 2 65" xfId="55175"/>
    <cellStyle name="Title 2 9 2 66" xfId="55176"/>
    <cellStyle name="Title 2 9 2 67" xfId="55177"/>
    <cellStyle name="Title 2 9 2 68" xfId="55178"/>
    <cellStyle name="Title 2 9 2 69" xfId="55179"/>
    <cellStyle name="Title 2 9 2 7" xfId="55180"/>
    <cellStyle name="Title 2 9 2 70" xfId="55181"/>
    <cellStyle name="Title 2 9 2 71" xfId="55182"/>
    <cellStyle name="Title 2 9 2 72" xfId="55183"/>
    <cellStyle name="Title 2 9 2 73" xfId="55184"/>
    <cellStyle name="Title 2 9 2 74" xfId="55185"/>
    <cellStyle name="Title 2 9 2 75" xfId="55186"/>
    <cellStyle name="Title 2 9 2 76" xfId="55187"/>
    <cellStyle name="Title 2 9 2 77" xfId="55188"/>
    <cellStyle name="Title 2 9 2 78" xfId="55189"/>
    <cellStyle name="Title 2 9 2 79" xfId="55190"/>
    <cellStyle name="Title 2 9 2 8" xfId="55191"/>
    <cellStyle name="Title 2 9 2 80" xfId="55192"/>
    <cellStyle name="Title 2 9 2 81" xfId="55193"/>
    <cellStyle name="Title 2 9 2 82" xfId="55194"/>
    <cellStyle name="Title 2 9 2 83" xfId="55195"/>
    <cellStyle name="Title 2 9 2 84" xfId="55196"/>
    <cellStyle name="Title 2 9 2 85" xfId="55197"/>
    <cellStyle name="Title 2 9 2 86" xfId="55198"/>
    <cellStyle name="Title 2 9 2 87" xfId="55199"/>
    <cellStyle name="Title 2 9 2 88" xfId="55200"/>
    <cellStyle name="Title 2 9 2 89" xfId="55201"/>
    <cellStyle name="Title 2 9 2 9" xfId="55202"/>
    <cellStyle name="Title 2 9 2 90" xfId="55203"/>
    <cellStyle name="Title 2 9 2 91" xfId="55204"/>
    <cellStyle name="Title 2 9 2 92" xfId="55205"/>
    <cellStyle name="Title 2 9 2 93" xfId="55206"/>
    <cellStyle name="Title 2 9 2 94" xfId="55207"/>
    <cellStyle name="Title 2 9 2 95" xfId="55208"/>
    <cellStyle name="Title 2 9 2 96" xfId="55209"/>
    <cellStyle name="Title 2 9 2 97" xfId="55210"/>
    <cellStyle name="Title 2 9 2 98" xfId="55211"/>
    <cellStyle name="Title 2 9 20" xfId="55212"/>
    <cellStyle name="Title 2 9 21" xfId="55213"/>
    <cellStyle name="Title 2 9 22" xfId="55214"/>
    <cellStyle name="Title 2 9 23" xfId="55215"/>
    <cellStyle name="Title 2 9 24" xfId="55216"/>
    <cellStyle name="Title 2 9 25" xfId="55217"/>
    <cellStyle name="Title 2 9 25 2" xfId="55218"/>
    <cellStyle name="Title 2 9 26" xfId="55219"/>
    <cellStyle name="Title 2 9 27" xfId="55220"/>
    <cellStyle name="Title 2 9 28" xfId="55221"/>
    <cellStyle name="Title 2 9 29" xfId="55222"/>
    <cellStyle name="Title 2 9 3" xfId="55223"/>
    <cellStyle name="Title 2 9 30" xfId="55224"/>
    <cellStyle name="Title 2 9 31" xfId="55225"/>
    <cellStyle name="Title 2 9 32" xfId="55226"/>
    <cellStyle name="Title 2 9 33" xfId="55227"/>
    <cellStyle name="Title 2 9 34" xfId="55228"/>
    <cellStyle name="Title 2 9 35" xfId="55229"/>
    <cellStyle name="Title 2 9 36" xfId="55230"/>
    <cellStyle name="Title 2 9 37" xfId="55231"/>
    <cellStyle name="Title 2 9 38" xfId="55232"/>
    <cellStyle name="Title 2 9 39" xfId="55233"/>
    <cellStyle name="Title 2 9 4" xfId="55234"/>
    <cellStyle name="Title 2 9 4 10" xfId="55235"/>
    <cellStyle name="Title 2 9 4 11" xfId="55236"/>
    <cellStyle name="Title 2 9 4 12" xfId="55237"/>
    <cellStyle name="Title 2 9 4 13" xfId="55238"/>
    <cellStyle name="Title 2 9 4 14" xfId="55239"/>
    <cellStyle name="Title 2 9 4 15" xfId="55240"/>
    <cellStyle name="Title 2 9 4 16" xfId="55241"/>
    <cellStyle name="Title 2 9 4 17" xfId="55242"/>
    <cellStyle name="Title 2 9 4 18" xfId="55243"/>
    <cellStyle name="Title 2 9 4 19" xfId="55244"/>
    <cellStyle name="Title 2 9 4 2" xfId="55245"/>
    <cellStyle name="Title 2 9 4 2 10" xfId="55246"/>
    <cellStyle name="Title 2 9 4 2 11" xfId="55247"/>
    <cellStyle name="Title 2 9 4 2 12" xfId="55248"/>
    <cellStyle name="Title 2 9 4 2 13" xfId="55249"/>
    <cellStyle name="Title 2 9 4 2 14" xfId="55250"/>
    <cellStyle name="Title 2 9 4 2 15" xfId="55251"/>
    <cellStyle name="Title 2 9 4 2 16" xfId="55252"/>
    <cellStyle name="Title 2 9 4 2 17" xfId="55253"/>
    <cellStyle name="Title 2 9 4 2 18" xfId="55254"/>
    <cellStyle name="Title 2 9 4 2 19" xfId="55255"/>
    <cellStyle name="Title 2 9 4 2 2" xfId="55256"/>
    <cellStyle name="Title 2 9 4 2 2 2" xfId="55257"/>
    <cellStyle name="Title 2 9 4 2 20" xfId="55258"/>
    <cellStyle name="Title 2 9 4 2 21" xfId="55259"/>
    <cellStyle name="Title 2 9 4 2 22" xfId="55260"/>
    <cellStyle name="Title 2 9 4 2 23" xfId="55261"/>
    <cellStyle name="Title 2 9 4 2 24" xfId="55262"/>
    <cellStyle name="Title 2 9 4 2 25" xfId="55263"/>
    <cellStyle name="Title 2 9 4 2 26" xfId="55264"/>
    <cellStyle name="Title 2 9 4 2 27" xfId="55265"/>
    <cellStyle name="Title 2 9 4 2 28" xfId="55266"/>
    <cellStyle name="Title 2 9 4 2 29" xfId="55267"/>
    <cellStyle name="Title 2 9 4 2 3" xfId="55268"/>
    <cellStyle name="Title 2 9 4 2 30" xfId="55269"/>
    <cellStyle name="Title 2 9 4 2 31" xfId="55270"/>
    <cellStyle name="Title 2 9 4 2 32" xfId="55271"/>
    <cellStyle name="Title 2 9 4 2 33" xfId="55272"/>
    <cellStyle name="Title 2 9 4 2 34" xfId="55273"/>
    <cellStyle name="Title 2 9 4 2 35" xfId="55274"/>
    <cellStyle name="Title 2 9 4 2 36" xfId="55275"/>
    <cellStyle name="Title 2 9 4 2 37" xfId="55276"/>
    <cellStyle name="Title 2 9 4 2 38" xfId="55277"/>
    <cellStyle name="Title 2 9 4 2 39" xfId="55278"/>
    <cellStyle name="Title 2 9 4 2 4" xfId="55279"/>
    <cellStyle name="Title 2 9 4 2 40" xfId="55280"/>
    <cellStyle name="Title 2 9 4 2 41" xfId="55281"/>
    <cellStyle name="Title 2 9 4 2 42" xfId="55282"/>
    <cellStyle name="Title 2 9 4 2 43" xfId="55283"/>
    <cellStyle name="Title 2 9 4 2 44" xfId="55284"/>
    <cellStyle name="Title 2 9 4 2 45" xfId="55285"/>
    <cellStyle name="Title 2 9 4 2 46" xfId="55286"/>
    <cellStyle name="Title 2 9 4 2 47" xfId="55287"/>
    <cellStyle name="Title 2 9 4 2 48" xfId="55288"/>
    <cellStyle name="Title 2 9 4 2 49" xfId="55289"/>
    <cellStyle name="Title 2 9 4 2 5" xfId="55290"/>
    <cellStyle name="Title 2 9 4 2 50" xfId="55291"/>
    <cellStyle name="Title 2 9 4 2 51" xfId="55292"/>
    <cellStyle name="Title 2 9 4 2 52" xfId="55293"/>
    <cellStyle name="Title 2 9 4 2 53" xfId="55294"/>
    <cellStyle name="Title 2 9 4 2 54" xfId="55295"/>
    <cellStyle name="Title 2 9 4 2 55" xfId="55296"/>
    <cellStyle name="Title 2 9 4 2 56" xfId="55297"/>
    <cellStyle name="Title 2 9 4 2 57" xfId="55298"/>
    <cellStyle name="Title 2 9 4 2 58" xfId="55299"/>
    <cellStyle name="Title 2 9 4 2 59" xfId="55300"/>
    <cellStyle name="Title 2 9 4 2 6" xfId="55301"/>
    <cellStyle name="Title 2 9 4 2 60" xfId="55302"/>
    <cellStyle name="Title 2 9 4 2 61" xfId="55303"/>
    <cellStyle name="Title 2 9 4 2 62" xfId="55304"/>
    <cellStyle name="Title 2 9 4 2 63" xfId="55305"/>
    <cellStyle name="Title 2 9 4 2 64" xfId="55306"/>
    <cellStyle name="Title 2 9 4 2 65" xfId="55307"/>
    <cellStyle name="Title 2 9 4 2 66" xfId="55308"/>
    <cellStyle name="Title 2 9 4 2 67" xfId="55309"/>
    <cellStyle name="Title 2 9 4 2 68" xfId="55310"/>
    <cellStyle name="Title 2 9 4 2 69" xfId="55311"/>
    <cellStyle name="Title 2 9 4 2 7" xfId="55312"/>
    <cellStyle name="Title 2 9 4 2 70" xfId="55313"/>
    <cellStyle name="Title 2 9 4 2 71" xfId="55314"/>
    <cellStyle name="Title 2 9 4 2 72" xfId="55315"/>
    <cellStyle name="Title 2 9 4 2 73" xfId="55316"/>
    <cellStyle name="Title 2 9 4 2 74" xfId="55317"/>
    <cellStyle name="Title 2 9 4 2 8" xfId="55318"/>
    <cellStyle name="Title 2 9 4 2 9" xfId="55319"/>
    <cellStyle name="Title 2 9 4 20" xfId="55320"/>
    <cellStyle name="Title 2 9 4 21" xfId="55321"/>
    <cellStyle name="Title 2 9 4 22" xfId="55322"/>
    <cellStyle name="Title 2 9 4 23" xfId="55323"/>
    <cellStyle name="Title 2 9 4 24" xfId="55324"/>
    <cellStyle name="Title 2 9 4 25" xfId="55325"/>
    <cellStyle name="Title 2 9 4 26" xfId="55326"/>
    <cellStyle name="Title 2 9 4 27" xfId="55327"/>
    <cellStyle name="Title 2 9 4 28" xfId="55328"/>
    <cellStyle name="Title 2 9 4 29" xfId="55329"/>
    <cellStyle name="Title 2 9 4 3" xfId="55330"/>
    <cellStyle name="Title 2 9 4 3 2" xfId="55331"/>
    <cellStyle name="Title 2 9 4 30" xfId="55332"/>
    <cellStyle name="Title 2 9 4 31" xfId="55333"/>
    <cellStyle name="Title 2 9 4 32" xfId="55334"/>
    <cellStyle name="Title 2 9 4 33" xfId="55335"/>
    <cellStyle name="Title 2 9 4 34" xfId="55336"/>
    <cellStyle name="Title 2 9 4 35" xfId="55337"/>
    <cellStyle name="Title 2 9 4 36" xfId="55338"/>
    <cellStyle name="Title 2 9 4 37" xfId="55339"/>
    <cellStyle name="Title 2 9 4 38" xfId="55340"/>
    <cellStyle name="Title 2 9 4 39" xfId="55341"/>
    <cellStyle name="Title 2 9 4 4" xfId="55342"/>
    <cellStyle name="Title 2 9 4 40" xfId="55343"/>
    <cellStyle name="Title 2 9 4 41" xfId="55344"/>
    <cellStyle name="Title 2 9 4 42" xfId="55345"/>
    <cellStyle name="Title 2 9 4 43" xfId="55346"/>
    <cellStyle name="Title 2 9 4 44" xfId="55347"/>
    <cellStyle name="Title 2 9 4 45" xfId="55348"/>
    <cellStyle name="Title 2 9 4 46" xfId="55349"/>
    <cellStyle name="Title 2 9 4 47" xfId="55350"/>
    <cellStyle name="Title 2 9 4 48" xfId="55351"/>
    <cellStyle name="Title 2 9 4 49" xfId="55352"/>
    <cellStyle name="Title 2 9 4 5" xfId="55353"/>
    <cellStyle name="Title 2 9 4 50" xfId="55354"/>
    <cellStyle name="Title 2 9 4 51" xfId="55355"/>
    <cellStyle name="Title 2 9 4 52" xfId="55356"/>
    <cellStyle name="Title 2 9 4 53" xfId="55357"/>
    <cellStyle name="Title 2 9 4 54" xfId="55358"/>
    <cellStyle name="Title 2 9 4 55" xfId="55359"/>
    <cellStyle name="Title 2 9 4 56" xfId="55360"/>
    <cellStyle name="Title 2 9 4 57" xfId="55361"/>
    <cellStyle name="Title 2 9 4 58" xfId="55362"/>
    <cellStyle name="Title 2 9 4 59" xfId="55363"/>
    <cellStyle name="Title 2 9 4 6" xfId="55364"/>
    <cellStyle name="Title 2 9 4 60" xfId="55365"/>
    <cellStyle name="Title 2 9 4 61" xfId="55366"/>
    <cellStyle name="Title 2 9 4 62" xfId="55367"/>
    <cellStyle name="Title 2 9 4 63" xfId="55368"/>
    <cellStyle name="Title 2 9 4 64" xfId="55369"/>
    <cellStyle name="Title 2 9 4 65" xfId="55370"/>
    <cellStyle name="Title 2 9 4 66" xfId="55371"/>
    <cellStyle name="Title 2 9 4 67" xfId="55372"/>
    <cellStyle name="Title 2 9 4 68" xfId="55373"/>
    <cellStyle name="Title 2 9 4 69" xfId="55374"/>
    <cellStyle name="Title 2 9 4 7" xfId="55375"/>
    <cellStyle name="Title 2 9 4 70" xfId="55376"/>
    <cellStyle name="Title 2 9 4 71" xfId="55377"/>
    <cellStyle name="Title 2 9 4 72" xfId="55378"/>
    <cellStyle name="Title 2 9 4 73" xfId="55379"/>
    <cellStyle name="Title 2 9 4 74" xfId="55380"/>
    <cellStyle name="Title 2 9 4 8" xfId="55381"/>
    <cellStyle name="Title 2 9 4 9" xfId="55382"/>
    <cellStyle name="Title 2 9 40" xfId="55383"/>
    <cellStyle name="Title 2 9 41" xfId="55384"/>
    <cellStyle name="Title 2 9 42" xfId="55385"/>
    <cellStyle name="Title 2 9 43" xfId="55386"/>
    <cellStyle name="Title 2 9 44" xfId="55387"/>
    <cellStyle name="Title 2 9 45" xfId="55388"/>
    <cellStyle name="Title 2 9 46" xfId="55389"/>
    <cellStyle name="Title 2 9 47" xfId="55390"/>
    <cellStyle name="Title 2 9 48" xfId="55391"/>
    <cellStyle name="Title 2 9 49" xfId="55392"/>
    <cellStyle name="Title 2 9 5" xfId="55393"/>
    <cellStyle name="Title 2 9 50" xfId="55394"/>
    <cellStyle name="Title 2 9 51" xfId="55395"/>
    <cellStyle name="Title 2 9 52" xfId="55396"/>
    <cellStyle name="Title 2 9 53" xfId="55397"/>
    <cellStyle name="Title 2 9 54" xfId="55398"/>
    <cellStyle name="Title 2 9 55" xfId="55399"/>
    <cellStyle name="Title 2 9 56" xfId="55400"/>
    <cellStyle name="Title 2 9 57" xfId="55401"/>
    <cellStyle name="Title 2 9 58" xfId="55402"/>
    <cellStyle name="Title 2 9 59" xfId="55403"/>
    <cellStyle name="Title 2 9 6" xfId="55404"/>
    <cellStyle name="Title 2 9 60" xfId="55405"/>
    <cellStyle name="Title 2 9 61" xfId="55406"/>
    <cellStyle name="Title 2 9 62" xfId="55407"/>
    <cellStyle name="Title 2 9 63" xfId="55408"/>
    <cellStyle name="Title 2 9 64" xfId="55409"/>
    <cellStyle name="Title 2 9 65" xfId="55410"/>
    <cellStyle name="Title 2 9 66" xfId="55411"/>
    <cellStyle name="Title 2 9 67" xfId="55412"/>
    <cellStyle name="Title 2 9 68" xfId="55413"/>
    <cellStyle name="Title 2 9 69" xfId="55414"/>
    <cellStyle name="Title 2 9 7" xfId="55415"/>
    <cellStyle name="Title 2 9 70" xfId="55416"/>
    <cellStyle name="Title 2 9 71" xfId="55417"/>
    <cellStyle name="Title 2 9 72" xfId="55418"/>
    <cellStyle name="Title 2 9 73" xfId="55419"/>
    <cellStyle name="Title 2 9 74" xfId="55420"/>
    <cellStyle name="Title 2 9 75" xfId="55421"/>
    <cellStyle name="Title 2 9 76" xfId="55422"/>
    <cellStyle name="Title 2 9 77" xfId="55423"/>
    <cellStyle name="Title 2 9 78" xfId="55424"/>
    <cellStyle name="Title 2 9 79" xfId="55425"/>
    <cellStyle name="Title 2 9 8" xfId="55426"/>
    <cellStyle name="Title 2 9 80" xfId="55427"/>
    <cellStyle name="Title 2 9 81" xfId="55428"/>
    <cellStyle name="Title 2 9 82" xfId="55429"/>
    <cellStyle name="Title 2 9 83" xfId="55430"/>
    <cellStyle name="Title 2 9 84" xfId="55431"/>
    <cellStyle name="Title 2 9 85" xfId="55432"/>
    <cellStyle name="Title 2 9 86" xfId="55433"/>
    <cellStyle name="Title 2 9 87" xfId="55434"/>
    <cellStyle name="Title 2 9 88" xfId="55435"/>
    <cellStyle name="Title 2 9 89" xfId="55436"/>
    <cellStyle name="Title 2 9 9" xfId="55437"/>
    <cellStyle name="Title 2 9 90" xfId="55438"/>
    <cellStyle name="Title 2 9 91" xfId="55439"/>
    <cellStyle name="Title 2 9 92" xfId="55440"/>
    <cellStyle name="Title 2 9 93" xfId="55441"/>
    <cellStyle name="Title 2 9 94" xfId="55442"/>
    <cellStyle name="Title 2 9 95" xfId="55443"/>
    <cellStyle name="Title 2 9 96" xfId="55444"/>
    <cellStyle name="Title 2 9 97" xfId="55445"/>
    <cellStyle name="Title 2 9 98" xfId="55446"/>
    <cellStyle name="Title 2 9 99" xfId="55447"/>
    <cellStyle name="Title 2 90" xfId="55448"/>
    <cellStyle name="Title 2 91" xfId="55449"/>
    <cellStyle name="Title 2 92" xfId="55450"/>
    <cellStyle name="Title 2 93" xfId="55451"/>
    <cellStyle name="Title 2 94" xfId="55452"/>
    <cellStyle name="Title 2 95" xfId="55453"/>
    <cellStyle name="Title 2 96" xfId="55454"/>
    <cellStyle name="Title 2 97" xfId="55455"/>
    <cellStyle name="Title 2 98" xfId="55456"/>
    <cellStyle name="Title 2 99" xfId="55457"/>
    <cellStyle name="Title 20" xfId="55458"/>
    <cellStyle name="Title 20 2" xfId="55459"/>
    <cellStyle name="Title 20 3" xfId="55460"/>
    <cellStyle name="Title 21" xfId="55461"/>
    <cellStyle name="Title 21 2" xfId="55462"/>
    <cellStyle name="Title 21 3" xfId="55463"/>
    <cellStyle name="Title 22" xfId="55464"/>
    <cellStyle name="Title 22 2" xfId="55465"/>
    <cellStyle name="Title 22 3" xfId="55466"/>
    <cellStyle name="Title 23" xfId="55467"/>
    <cellStyle name="Title 23 2" xfId="55468"/>
    <cellStyle name="Title 23 3" xfId="55469"/>
    <cellStyle name="Title 24" xfId="55470"/>
    <cellStyle name="Title 24 2" xfId="55471"/>
    <cellStyle name="Title 24 3" xfId="55472"/>
    <cellStyle name="Title 25" xfId="55473"/>
    <cellStyle name="Title 25 2" xfId="55474"/>
    <cellStyle name="Title 25 3" xfId="55475"/>
    <cellStyle name="Title 26" xfId="55476"/>
    <cellStyle name="Title 26 2" xfId="55477"/>
    <cellStyle name="Title 26 3" xfId="55478"/>
    <cellStyle name="Title 27" xfId="55479"/>
    <cellStyle name="Title 27 2" xfId="55480"/>
    <cellStyle name="Title 27 3" xfId="55481"/>
    <cellStyle name="Title 28" xfId="55482"/>
    <cellStyle name="Title 28 2" xfId="55483"/>
    <cellStyle name="Title 28 3" xfId="55484"/>
    <cellStyle name="Title 29" xfId="55485"/>
    <cellStyle name="Title 29 2" xfId="55486"/>
    <cellStyle name="Title 29 3" xfId="55487"/>
    <cellStyle name="Title 3" xfId="1749"/>
    <cellStyle name="Title 3 2" xfId="55488"/>
    <cellStyle name="Title 3 3" xfId="55489"/>
    <cellStyle name="Title 30" xfId="55490"/>
    <cellStyle name="Title 30 2" xfId="55491"/>
    <cellStyle name="Title 30 3" xfId="55492"/>
    <cellStyle name="Title 31" xfId="55493"/>
    <cellStyle name="Title 31 2" xfId="55494"/>
    <cellStyle name="Title 31 3" xfId="55495"/>
    <cellStyle name="Title 32" xfId="55496"/>
    <cellStyle name="Title 32 2" xfId="55497"/>
    <cellStyle name="Title 33" xfId="55498"/>
    <cellStyle name="Title 34" xfId="55499"/>
    <cellStyle name="Title 35" xfId="55500"/>
    <cellStyle name="Title 4" xfId="55501"/>
    <cellStyle name="Title 4 10" xfId="55502"/>
    <cellStyle name="Title 4 10 2" xfId="55503"/>
    <cellStyle name="Title 4 100" xfId="55504"/>
    <cellStyle name="Title 4 101" xfId="55505"/>
    <cellStyle name="Title 4 102" xfId="55506"/>
    <cellStyle name="Title 4 103" xfId="55507"/>
    <cellStyle name="Title 4 104" xfId="55508"/>
    <cellStyle name="Title 4 105" xfId="55509"/>
    <cellStyle name="Title 4 106" xfId="55510"/>
    <cellStyle name="Title 4 107" xfId="55511"/>
    <cellStyle name="Title 4 108" xfId="55512"/>
    <cellStyle name="Title 4 109" xfId="55513"/>
    <cellStyle name="Title 4 11" xfId="55514"/>
    <cellStyle name="Title 4 11 2" xfId="55515"/>
    <cellStyle name="Title 4 110" xfId="55516"/>
    <cellStyle name="Title 4 111" xfId="55517"/>
    <cellStyle name="Title 4 112" xfId="55518"/>
    <cellStyle name="Title 4 113" xfId="55519"/>
    <cellStyle name="Title 4 114" xfId="55520"/>
    <cellStyle name="Title 4 115" xfId="55521"/>
    <cellStyle name="Title 4 116" xfId="55522"/>
    <cellStyle name="Title 4 12" xfId="55523"/>
    <cellStyle name="Title 4 12 2" xfId="55524"/>
    <cellStyle name="Title 4 13" xfId="55525"/>
    <cellStyle name="Title 4 13 2" xfId="55526"/>
    <cellStyle name="Title 4 14" xfId="55527"/>
    <cellStyle name="Title 4 14 2" xfId="55528"/>
    <cellStyle name="Title 4 15" xfId="55529"/>
    <cellStyle name="Title 4 15 2" xfId="55530"/>
    <cellStyle name="Title 4 16" xfId="55531"/>
    <cellStyle name="Title 4 16 2" xfId="55532"/>
    <cellStyle name="Title 4 17" xfId="55533"/>
    <cellStyle name="Title 4 17 2" xfId="55534"/>
    <cellStyle name="Title 4 18" xfId="55535"/>
    <cellStyle name="Title 4 18 2" xfId="55536"/>
    <cellStyle name="Title 4 19" xfId="55537"/>
    <cellStyle name="Title 4 19 2" xfId="55538"/>
    <cellStyle name="Title 4 2" xfId="55539"/>
    <cellStyle name="Title 4 2 2" xfId="55540"/>
    <cellStyle name="Title 4 20" xfId="55541"/>
    <cellStyle name="Title 4 20 2" xfId="55542"/>
    <cellStyle name="Title 4 21" xfId="55543"/>
    <cellStyle name="Title 4 21 2" xfId="55544"/>
    <cellStyle name="Title 4 22" xfId="55545"/>
    <cellStyle name="Title 4 22 2" xfId="55546"/>
    <cellStyle name="Title 4 23" xfId="55547"/>
    <cellStyle name="Title 4 23 2" xfId="55548"/>
    <cellStyle name="Title 4 24" xfId="55549"/>
    <cellStyle name="Title 4 24 2" xfId="55550"/>
    <cellStyle name="Title 4 25" xfId="55551"/>
    <cellStyle name="Title 4 25 2" xfId="55552"/>
    <cellStyle name="Title 4 26" xfId="55553"/>
    <cellStyle name="Title 4 26 2" xfId="55554"/>
    <cellStyle name="Title 4 27" xfId="55555"/>
    <cellStyle name="Title 4 27 2" xfId="55556"/>
    <cellStyle name="Title 4 28" xfId="55557"/>
    <cellStyle name="Title 4 28 2" xfId="55558"/>
    <cellStyle name="Title 4 29" xfId="55559"/>
    <cellStyle name="Title 4 29 2" xfId="55560"/>
    <cellStyle name="Title 4 3" xfId="55561"/>
    <cellStyle name="Title 4 3 2" xfId="55562"/>
    <cellStyle name="Title 4 30" xfId="55563"/>
    <cellStyle name="Title 4 30 2" xfId="55564"/>
    <cellStyle name="Title 4 31" xfId="55565"/>
    <cellStyle name="Title 4 31 2" xfId="55566"/>
    <cellStyle name="Title 4 32" xfId="55567"/>
    <cellStyle name="Title 4 32 2" xfId="55568"/>
    <cellStyle name="Title 4 33" xfId="55569"/>
    <cellStyle name="Title 4 33 2" xfId="55570"/>
    <cellStyle name="Title 4 34" xfId="55571"/>
    <cellStyle name="Title 4 34 2" xfId="55572"/>
    <cellStyle name="Title 4 35" xfId="55573"/>
    <cellStyle name="Title 4 35 2" xfId="55574"/>
    <cellStyle name="Title 4 36" xfId="55575"/>
    <cellStyle name="Title 4 36 2" xfId="55576"/>
    <cellStyle name="Title 4 37" xfId="55577"/>
    <cellStyle name="Title 4 37 2" xfId="55578"/>
    <cellStyle name="Title 4 38" xfId="55579"/>
    <cellStyle name="Title 4 38 2" xfId="55580"/>
    <cellStyle name="Title 4 39" xfId="55581"/>
    <cellStyle name="Title 4 39 2" xfId="55582"/>
    <cellStyle name="Title 4 4" xfId="55583"/>
    <cellStyle name="Title 4 4 2" xfId="55584"/>
    <cellStyle name="Title 4 40" xfId="55585"/>
    <cellStyle name="Title 4 40 2" xfId="55586"/>
    <cellStyle name="Title 4 41" xfId="55587"/>
    <cellStyle name="Title 4 41 2" xfId="55588"/>
    <cellStyle name="Title 4 42" xfId="55589"/>
    <cellStyle name="Title 4 42 2" xfId="55590"/>
    <cellStyle name="Title 4 43" xfId="55591"/>
    <cellStyle name="Title 4 43 2" xfId="55592"/>
    <cellStyle name="Title 4 44" xfId="55593"/>
    <cellStyle name="Title 4 44 2" xfId="55594"/>
    <cellStyle name="Title 4 45" xfId="55595"/>
    <cellStyle name="Title 4 45 2" xfId="55596"/>
    <cellStyle name="Title 4 46" xfId="55597"/>
    <cellStyle name="Title 4 46 2" xfId="55598"/>
    <cellStyle name="Title 4 47" xfId="55599"/>
    <cellStyle name="Title 4 47 2" xfId="55600"/>
    <cellStyle name="Title 4 48" xfId="55601"/>
    <cellStyle name="Title 4 48 2" xfId="55602"/>
    <cellStyle name="Title 4 49" xfId="55603"/>
    <cellStyle name="Title 4 49 2" xfId="55604"/>
    <cellStyle name="Title 4 5" xfId="55605"/>
    <cellStyle name="Title 4 5 2" xfId="55606"/>
    <cellStyle name="Title 4 50" xfId="55607"/>
    <cellStyle name="Title 4 50 2" xfId="55608"/>
    <cellStyle name="Title 4 51" xfId="55609"/>
    <cellStyle name="Title 4 51 2" xfId="55610"/>
    <cellStyle name="Title 4 52" xfId="55611"/>
    <cellStyle name="Title 4 53" xfId="55612"/>
    <cellStyle name="Title 4 54" xfId="55613"/>
    <cellStyle name="Title 4 55" xfId="55614"/>
    <cellStyle name="Title 4 56" xfId="55615"/>
    <cellStyle name="Title 4 57" xfId="55616"/>
    <cellStyle name="Title 4 58" xfId="55617"/>
    <cellStyle name="Title 4 59" xfId="55618"/>
    <cellStyle name="Title 4 6" xfId="55619"/>
    <cellStyle name="Title 4 6 2" xfId="55620"/>
    <cellStyle name="Title 4 60" xfId="55621"/>
    <cellStyle name="Title 4 61" xfId="55622"/>
    <cellStyle name="Title 4 62" xfId="55623"/>
    <cellStyle name="Title 4 63" xfId="55624"/>
    <cellStyle name="Title 4 64" xfId="55625"/>
    <cellStyle name="Title 4 65" xfId="55626"/>
    <cellStyle name="Title 4 66" xfId="55627"/>
    <cellStyle name="Title 4 67" xfId="55628"/>
    <cellStyle name="Title 4 68" xfId="55629"/>
    <cellStyle name="Title 4 69" xfId="55630"/>
    <cellStyle name="Title 4 7" xfId="55631"/>
    <cellStyle name="Title 4 7 2" xfId="55632"/>
    <cellStyle name="Title 4 70" xfId="55633"/>
    <cellStyle name="Title 4 71" xfId="55634"/>
    <cellStyle name="Title 4 72" xfId="55635"/>
    <cellStyle name="Title 4 73" xfId="55636"/>
    <cellStyle name="Title 4 74" xfId="55637"/>
    <cellStyle name="Title 4 75" xfId="55638"/>
    <cellStyle name="Title 4 76" xfId="55639"/>
    <cellStyle name="Title 4 77" xfId="55640"/>
    <cellStyle name="Title 4 78" xfId="55641"/>
    <cellStyle name="Title 4 79" xfId="55642"/>
    <cellStyle name="Title 4 8" xfId="55643"/>
    <cellStyle name="Title 4 8 2" xfId="55644"/>
    <cellStyle name="Title 4 80" xfId="55645"/>
    <cellStyle name="Title 4 81" xfId="55646"/>
    <cellStyle name="Title 4 82" xfId="55647"/>
    <cellStyle name="Title 4 83" xfId="55648"/>
    <cellStyle name="Title 4 84" xfId="55649"/>
    <cellStyle name="Title 4 85" xfId="55650"/>
    <cellStyle name="Title 4 86" xfId="55651"/>
    <cellStyle name="Title 4 87" xfId="55652"/>
    <cellStyle name="Title 4 88" xfId="55653"/>
    <cellStyle name="Title 4 89" xfId="55654"/>
    <cellStyle name="Title 4 9" xfId="55655"/>
    <cellStyle name="Title 4 9 2" xfId="55656"/>
    <cellStyle name="Title 4 90" xfId="55657"/>
    <cellStyle name="Title 4 91" xfId="55658"/>
    <cellStyle name="Title 4 92" xfId="55659"/>
    <cellStyle name="Title 4 93" xfId="55660"/>
    <cellStyle name="Title 4 94" xfId="55661"/>
    <cellStyle name="Title 4 95" xfId="55662"/>
    <cellStyle name="Title 4 96" xfId="55663"/>
    <cellStyle name="Title 4 97" xfId="55664"/>
    <cellStyle name="Title 4 98" xfId="55665"/>
    <cellStyle name="Title 4 99" xfId="55666"/>
    <cellStyle name="Title 5" xfId="55667"/>
    <cellStyle name="Title 5 2" xfId="55668"/>
    <cellStyle name="Title 6" xfId="55669"/>
    <cellStyle name="Title 6 2" xfId="55670"/>
    <cellStyle name="Title 6 3" xfId="55671"/>
    <cellStyle name="Title 7" xfId="55672"/>
    <cellStyle name="Title 7 2" xfId="55673"/>
    <cellStyle name="Title 7 3" xfId="55674"/>
    <cellStyle name="Title 8" xfId="55675"/>
    <cellStyle name="Title 8 2" xfId="55676"/>
    <cellStyle name="Title 8 3" xfId="55677"/>
    <cellStyle name="Title 9" xfId="55678"/>
    <cellStyle name="Title 9 2" xfId="55679"/>
    <cellStyle name="Title 9 3" xfId="55680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81"/>
    <cellStyle name="Total 10 2" xfId="55682"/>
    <cellStyle name="Total 10 3" xfId="55683"/>
    <cellStyle name="Total 11" xfId="55684"/>
    <cellStyle name="Total 11 2" xfId="55685"/>
    <cellStyle name="Total 11 3" xfId="55686"/>
    <cellStyle name="Total 12" xfId="55687"/>
    <cellStyle name="Total 12 2" xfId="55688"/>
    <cellStyle name="Total 12 3" xfId="55689"/>
    <cellStyle name="Total 13" xfId="55690"/>
    <cellStyle name="Total 13 2" xfId="55691"/>
    <cellStyle name="Total 13 3" xfId="55692"/>
    <cellStyle name="Total 14" xfId="55693"/>
    <cellStyle name="Total 14 2" xfId="55694"/>
    <cellStyle name="Total 14 3" xfId="55695"/>
    <cellStyle name="Total 15" xfId="55696"/>
    <cellStyle name="Total 15 2" xfId="55697"/>
    <cellStyle name="Total 15 3" xfId="55698"/>
    <cellStyle name="Total 16" xfId="55699"/>
    <cellStyle name="Total 16 2" xfId="55700"/>
    <cellStyle name="Total 16 3" xfId="55701"/>
    <cellStyle name="Total 17" xfId="55702"/>
    <cellStyle name="Total 17 2" xfId="55703"/>
    <cellStyle name="Total 17 3" xfId="55704"/>
    <cellStyle name="Total 18" xfId="55705"/>
    <cellStyle name="Total 18 2" xfId="55706"/>
    <cellStyle name="Total 18 3" xfId="55707"/>
    <cellStyle name="Total 19" xfId="55708"/>
    <cellStyle name="Total 19 2" xfId="55709"/>
    <cellStyle name="Total 19 3" xfId="55710"/>
    <cellStyle name="Total 2" xfId="454"/>
    <cellStyle name="Total 2 10" xfId="55711"/>
    <cellStyle name="Total 2 10 2" xfId="55712"/>
    <cellStyle name="Total 2 11" xfId="55713"/>
    <cellStyle name="Total 2 11 2" xfId="55714"/>
    <cellStyle name="Total 2 12" xfId="55715"/>
    <cellStyle name="Total 2 12 2" xfId="55716"/>
    <cellStyle name="Total 2 13" xfId="55717"/>
    <cellStyle name="Total 2 13 2" xfId="55718"/>
    <cellStyle name="Total 2 14" xfId="55719"/>
    <cellStyle name="Total 2 14 2" xfId="55720"/>
    <cellStyle name="Total 2 15" xfId="55721"/>
    <cellStyle name="Total 2 15 2" xfId="55722"/>
    <cellStyle name="Total 2 16" xfId="55723"/>
    <cellStyle name="Total 2 16 2" xfId="55724"/>
    <cellStyle name="Total 2 17" xfId="55725"/>
    <cellStyle name="Total 2 17 2" xfId="55726"/>
    <cellStyle name="Total 2 18" xfId="55727"/>
    <cellStyle name="Total 2 18 2" xfId="55728"/>
    <cellStyle name="Total 2 19" xfId="55729"/>
    <cellStyle name="Total 2 19 2" xfId="55730"/>
    <cellStyle name="Total 2 2" xfId="1751"/>
    <cellStyle name="Total 2 2 2" xfId="55731"/>
    <cellStyle name="Total 2 2 3" xfId="55732"/>
    <cellStyle name="Total 2 20" xfId="55733"/>
    <cellStyle name="Total 2 20 2" xfId="55734"/>
    <cellStyle name="Total 2 21" xfId="55735"/>
    <cellStyle name="Total 2 21 2" xfId="55736"/>
    <cellStyle name="Total 2 22" xfId="55737"/>
    <cellStyle name="Total 2 22 2" xfId="55738"/>
    <cellStyle name="Total 2 23" xfId="55739"/>
    <cellStyle name="Total 2 23 2" xfId="55740"/>
    <cellStyle name="Total 2 24" xfId="55741"/>
    <cellStyle name="Total 2 24 2" xfId="55742"/>
    <cellStyle name="Total 2 25" xfId="55743"/>
    <cellStyle name="Total 2 25 2" xfId="55744"/>
    <cellStyle name="Total 2 26" xfId="55745"/>
    <cellStyle name="Total 2 26 2" xfId="55746"/>
    <cellStyle name="Total 2 27" xfId="55747"/>
    <cellStyle name="Total 2 27 2" xfId="55748"/>
    <cellStyle name="Total 2 28" xfId="55749"/>
    <cellStyle name="Total 2 28 2" xfId="55750"/>
    <cellStyle name="Total 2 29" xfId="55751"/>
    <cellStyle name="Total 2 3" xfId="1810"/>
    <cellStyle name="Total 2 3 2" xfId="55752"/>
    <cellStyle name="Total 2 3 3" xfId="55753"/>
    <cellStyle name="Total 2 30" xfId="55754"/>
    <cellStyle name="Total 2 31" xfId="55755"/>
    <cellStyle name="Total 2 32" xfId="55756"/>
    <cellStyle name="Total 2 33" xfId="55757"/>
    <cellStyle name="Total 2 4" xfId="55758"/>
    <cellStyle name="Total 2 4 2" xfId="55759"/>
    <cellStyle name="Total 2 5" xfId="55760"/>
    <cellStyle name="Total 2 5 2" xfId="55761"/>
    <cellStyle name="Total 2 6" xfId="55762"/>
    <cellStyle name="Total 2 6 2" xfId="55763"/>
    <cellStyle name="Total 2 7" xfId="55764"/>
    <cellStyle name="Total 2 7 2" xfId="55765"/>
    <cellStyle name="Total 2 8" xfId="55766"/>
    <cellStyle name="Total 2 8 2" xfId="55767"/>
    <cellStyle name="Total 2 9" xfId="55768"/>
    <cellStyle name="Total 2 9 2" xfId="55769"/>
    <cellStyle name="Total 20" xfId="55770"/>
    <cellStyle name="Total 20 2" xfId="55771"/>
    <cellStyle name="Total 20 3" xfId="55772"/>
    <cellStyle name="Total 21" xfId="55773"/>
    <cellStyle name="Total 21 2" xfId="55774"/>
    <cellStyle name="Total 21 3" xfId="55775"/>
    <cellStyle name="Total 22" xfId="55776"/>
    <cellStyle name="Total 22 2" xfId="55777"/>
    <cellStyle name="Total 22 3" xfId="55778"/>
    <cellStyle name="Total 23" xfId="55779"/>
    <cellStyle name="Total 23 2" xfId="55780"/>
    <cellStyle name="Total 23 3" xfId="55781"/>
    <cellStyle name="Total 24" xfId="55782"/>
    <cellStyle name="Total 24 2" xfId="55783"/>
    <cellStyle name="Total 24 3" xfId="55784"/>
    <cellStyle name="Total 25" xfId="55785"/>
    <cellStyle name="Total 25 2" xfId="55786"/>
    <cellStyle name="Total 25 3" xfId="55787"/>
    <cellStyle name="Total 26" xfId="55788"/>
    <cellStyle name="Total 26 2" xfId="55789"/>
    <cellStyle name="Total 26 3" xfId="55790"/>
    <cellStyle name="Total 27" xfId="55791"/>
    <cellStyle name="Total 27 2" xfId="55792"/>
    <cellStyle name="Total 27 3" xfId="55793"/>
    <cellStyle name="Total 28" xfId="55794"/>
    <cellStyle name="Total 28 2" xfId="55795"/>
    <cellStyle name="Total 28 3" xfId="55796"/>
    <cellStyle name="Total 29" xfId="55797"/>
    <cellStyle name="Total 29 2" xfId="55798"/>
    <cellStyle name="Total 29 3" xfId="55799"/>
    <cellStyle name="Total 3" xfId="1752"/>
    <cellStyle name="Total 3 2" xfId="55800"/>
    <cellStyle name="Total 3 3" xfId="55801"/>
    <cellStyle name="Total 30" xfId="55802"/>
    <cellStyle name="Total 30 2" xfId="55803"/>
    <cellStyle name="Total 31" xfId="55804"/>
    <cellStyle name="Total 32" xfId="55805"/>
    <cellStyle name="Total 33" xfId="55806"/>
    <cellStyle name="Total 4" xfId="55807"/>
    <cellStyle name="Total 4 2" xfId="55808"/>
    <cellStyle name="Total 4 3" xfId="55809"/>
    <cellStyle name="Total 5" xfId="55810"/>
    <cellStyle name="Total 5 2" xfId="55811"/>
    <cellStyle name="Total 5 3" xfId="55812"/>
    <cellStyle name="Total 6" xfId="55813"/>
    <cellStyle name="Total 6 2" xfId="55814"/>
    <cellStyle name="Total 6 3" xfId="55815"/>
    <cellStyle name="Total 7" xfId="55816"/>
    <cellStyle name="Total 7 2" xfId="55817"/>
    <cellStyle name="Total 7 3" xfId="55818"/>
    <cellStyle name="Total 8" xfId="55819"/>
    <cellStyle name="Total 8 2" xfId="55820"/>
    <cellStyle name="Total 8 3" xfId="55821"/>
    <cellStyle name="Total 9" xfId="55822"/>
    <cellStyle name="Total 9 2" xfId="55823"/>
    <cellStyle name="Total 9 3" xfId="55824"/>
    <cellStyle name="Totale" xfId="81"/>
    <cellStyle name="Trigger" xfId="1790"/>
    <cellStyle name="User" xfId="55825"/>
    <cellStyle name="User 2" xfId="55826"/>
    <cellStyle name="UserInput" xfId="55827"/>
    <cellStyle name="UserInput 2" xfId="55828"/>
    <cellStyle name="Valore non valido" xfId="82"/>
    <cellStyle name="Valore valido" xfId="83"/>
    <cellStyle name="Valuta (0)_Anagrafiche Mutui" xfId="1754"/>
    <cellStyle name="Valuta_BENCH2" xfId="87"/>
    <cellStyle name="VerticalText" xfId="55829"/>
    <cellStyle name="VerticalText 2" xfId="55830"/>
    <cellStyle name="Warning Text" xfId="84" builtinId="11" customBuiltin="1"/>
    <cellStyle name="Warning Text 10" xfId="55831"/>
    <cellStyle name="Warning Text 10 2" xfId="55832"/>
    <cellStyle name="Warning Text 10 3" xfId="55833"/>
    <cellStyle name="Warning Text 11" xfId="55834"/>
    <cellStyle name="Warning Text 11 2" xfId="55835"/>
    <cellStyle name="Warning Text 11 3" xfId="55836"/>
    <cellStyle name="Warning Text 12" xfId="55837"/>
    <cellStyle name="Warning Text 12 2" xfId="55838"/>
    <cellStyle name="Warning Text 12 3" xfId="55839"/>
    <cellStyle name="Warning Text 13" xfId="55840"/>
    <cellStyle name="Warning Text 13 2" xfId="55841"/>
    <cellStyle name="Warning Text 13 3" xfId="55842"/>
    <cellStyle name="Warning Text 14" xfId="55843"/>
    <cellStyle name="Warning Text 14 2" xfId="55844"/>
    <cellStyle name="Warning Text 14 3" xfId="55845"/>
    <cellStyle name="Warning Text 15" xfId="55846"/>
    <cellStyle name="Warning Text 15 2" xfId="55847"/>
    <cellStyle name="Warning Text 15 3" xfId="55848"/>
    <cellStyle name="Warning Text 16" xfId="55849"/>
    <cellStyle name="Warning Text 16 2" xfId="55850"/>
    <cellStyle name="Warning Text 16 3" xfId="55851"/>
    <cellStyle name="Warning Text 17" xfId="55852"/>
    <cellStyle name="Warning Text 17 2" xfId="55853"/>
    <cellStyle name="Warning Text 17 3" xfId="55854"/>
    <cellStyle name="Warning Text 18" xfId="55855"/>
    <cellStyle name="Warning Text 18 2" xfId="55856"/>
    <cellStyle name="Warning Text 18 3" xfId="55857"/>
    <cellStyle name="Warning Text 19" xfId="55858"/>
    <cellStyle name="Warning Text 19 2" xfId="55859"/>
    <cellStyle name="Warning Text 19 3" xfId="55860"/>
    <cellStyle name="Warning Text 2" xfId="455"/>
    <cellStyle name="Warning Text 2 10" xfId="55861"/>
    <cellStyle name="Warning Text 2 10 2" xfId="55862"/>
    <cellStyle name="Warning Text 2 11" xfId="55863"/>
    <cellStyle name="Warning Text 2 11 2" xfId="55864"/>
    <cellStyle name="Warning Text 2 12" xfId="55865"/>
    <cellStyle name="Warning Text 2 12 2" xfId="55866"/>
    <cellStyle name="Warning Text 2 13" xfId="55867"/>
    <cellStyle name="Warning Text 2 13 2" xfId="55868"/>
    <cellStyle name="Warning Text 2 14" xfId="55869"/>
    <cellStyle name="Warning Text 2 14 2" xfId="55870"/>
    <cellStyle name="Warning Text 2 15" xfId="55871"/>
    <cellStyle name="Warning Text 2 15 2" xfId="55872"/>
    <cellStyle name="Warning Text 2 16" xfId="55873"/>
    <cellStyle name="Warning Text 2 16 2" xfId="55874"/>
    <cellStyle name="Warning Text 2 17" xfId="55875"/>
    <cellStyle name="Warning Text 2 17 2" xfId="55876"/>
    <cellStyle name="Warning Text 2 18" xfId="55877"/>
    <cellStyle name="Warning Text 2 18 2" xfId="55878"/>
    <cellStyle name="Warning Text 2 19" xfId="55879"/>
    <cellStyle name="Warning Text 2 19 2" xfId="55880"/>
    <cellStyle name="Warning Text 2 2" xfId="1756"/>
    <cellStyle name="Warning Text 2 2 2" xfId="55881"/>
    <cellStyle name="Warning Text 2 2 3" xfId="55882"/>
    <cellStyle name="Warning Text 2 20" xfId="55883"/>
    <cellStyle name="Warning Text 2 20 2" xfId="55884"/>
    <cellStyle name="Warning Text 2 21" xfId="55885"/>
    <cellStyle name="Warning Text 2 21 2" xfId="55886"/>
    <cellStyle name="Warning Text 2 22" xfId="55887"/>
    <cellStyle name="Warning Text 2 22 2" xfId="55888"/>
    <cellStyle name="Warning Text 2 23" xfId="55889"/>
    <cellStyle name="Warning Text 2 23 2" xfId="55890"/>
    <cellStyle name="Warning Text 2 24" xfId="55891"/>
    <cellStyle name="Warning Text 2 24 2" xfId="55892"/>
    <cellStyle name="Warning Text 2 25" xfId="55893"/>
    <cellStyle name="Warning Text 2 25 2" xfId="55894"/>
    <cellStyle name="Warning Text 2 26" xfId="55895"/>
    <cellStyle name="Warning Text 2 26 2" xfId="55896"/>
    <cellStyle name="Warning Text 2 27" xfId="55897"/>
    <cellStyle name="Warning Text 2 27 2" xfId="55898"/>
    <cellStyle name="Warning Text 2 28" xfId="55899"/>
    <cellStyle name="Warning Text 2 28 2" xfId="55900"/>
    <cellStyle name="Warning Text 2 29" xfId="55901"/>
    <cellStyle name="Warning Text 2 3" xfId="55902"/>
    <cellStyle name="Warning Text 2 3 2" xfId="55903"/>
    <cellStyle name="Warning Text 2 30" xfId="55904"/>
    <cellStyle name="Warning Text 2 31" xfId="55905"/>
    <cellStyle name="Warning Text 2 32" xfId="55906"/>
    <cellStyle name="Warning Text 2 33" xfId="55907"/>
    <cellStyle name="Warning Text 2 4" xfId="55908"/>
    <cellStyle name="Warning Text 2 4 2" xfId="55909"/>
    <cellStyle name="Warning Text 2 5" xfId="55910"/>
    <cellStyle name="Warning Text 2 5 2" xfId="55911"/>
    <cellStyle name="Warning Text 2 6" xfId="55912"/>
    <cellStyle name="Warning Text 2 6 2" xfId="55913"/>
    <cellStyle name="Warning Text 2 7" xfId="55914"/>
    <cellStyle name="Warning Text 2 7 2" xfId="55915"/>
    <cellStyle name="Warning Text 2 8" xfId="55916"/>
    <cellStyle name="Warning Text 2 8 2" xfId="55917"/>
    <cellStyle name="Warning Text 2 9" xfId="55918"/>
    <cellStyle name="Warning Text 2 9 2" xfId="55919"/>
    <cellStyle name="Warning Text 20" xfId="55920"/>
    <cellStyle name="Warning Text 20 2" xfId="55921"/>
    <cellStyle name="Warning Text 20 3" xfId="55922"/>
    <cellStyle name="Warning Text 21" xfId="55923"/>
    <cellStyle name="Warning Text 21 2" xfId="55924"/>
    <cellStyle name="Warning Text 21 3" xfId="55925"/>
    <cellStyle name="Warning Text 22" xfId="55926"/>
    <cellStyle name="Warning Text 22 2" xfId="55927"/>
    <cellStyle name="Warning Text 22 3" xfId="55928"/>
    <cellStyle name="Warning Text 23" xfId="55929"/>
    <cellStyle name="Warning Text 23 2" xfId="55930"/>
    <cellStyle name="Warning Text 23 3" xfId="55931"/>
    <cellStyle name="Warning Text 24" xfId="55932"/>
    <cellStyle name="Warning Text 24 2" xfId="55933"/>
    <cellStyle name="Warning Text 24 3" xfId="55934"/>
    <cellStyle name="Warning Text 25" xfId="55935"/>
    <cellStyle name="Warning Text 25 2" xfId="55936"/>
    <cellStyle name="Warning Text 25 3" xfId="55937"/>
    <cellStyle name="Warning Text 26" xfId="55938"/>
    <cellStyle name="Warning Text 26 2" xfId="55939"/>
    <cellStyle name="Warning Text 26 3" xfId="55940"/>
    <cellStyle name="Warning Text 27" xfId="55941"/>
    <cellStyle name="Warning Text 27 2" xfId="55942"/>
    <cellStyle name="Warning Text 27 3" xfId="55943"/>
    <cellStyle name="Warning Text 28" xfId="55944"/>
    <cellStyle name="Warning Text 28 2" xfId="55945"/>
    <cellStyle name="Warning Text 28 3" xfId="55946"/>
    <cellStyle name="Warning Text 29" xfId="55947"/>
    <cellStyle name="Warning Text 29 2" xfId="55948"/>
    <cellStyle name="Warning Text 29 3" xfId="55949"/>
    <cellStyle name="Warning Text 3" xfId="1757"/>
    <cellStyle name="Warning Text 3 2" xfId="55950"/>
    <cellStyle name="Warning Text 3 3" xfId="55951"/>
    <cellStyle name="Warning Text 30" xfId="55952"/>
    <cellStyle name="Warning Text 30 2" xfId="55953"/>
    <cellStyle name="Warning Text 31" xfId="55954"/>
    <cellStyle name="Warning Text 32" xfId="55955"/>
    <cellStyle name="Warning Text 4" xfId="55956"/>
    <cellStyle name="Warning Text 4 2" xfId="55957"/>
    <cellStyle name="Warning Text 4 3" xfId="55958"/>
    <cellStyle name="Warning Text 5" xfId="55959"/>
    <cellStyle name="Warning Text 5 2" xfId="55960"/>
    <cellStyle name="Warning Text 5 3" xfId="55961"/>
    <cellStyle name="Warning Text 6" xfId="55962"/>
    <cellStyle name="Warning Text 6 2" xfId="55963"/>
    <cellStyle name="Warning Text 6 3" xfId="55964"/>
    <cellStyle name="Warning Text 7" xfId="55965"/>
    <cellStyle name="Warning Text 7 2" xfId="55966"/>
    <cellStyle name="Warning Text 7 3" xfId="55967"/>
    <cellStyle name="Warning Text 8" xfId="55968"/>
    <cellStyle name="Warning Text 8 2" xfId="55969"/>
    <cellStyle name="Warning Text 8 3" xfId="55970"/>
    <cellStyle name="Warning Text 9" xfId="55971"/>
    <cellStyle name="Warning Text 9 2" xfId="55972"/>
    <cellStyle name="Warning Text 9 3" xfId="55973"/>
  </cellStyles>
  <dxfs count="62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DBR 1 3/4 02/15/24</v>
        <stp/>
        <stp>##V3_BDPV12</stp>
        <stp>DE0001102333 Corp</stp>
        <stp>security des</stp>
        <stp>[NEW BONDS ASW_VINCE2018BIS.xlsm]Isin!R36C9</stp>
        <tr r="I36" s="41"/>
      </tp>
      <tp t="s">
        <v>SPGB 0.4 04/30/22</v>
        <stp/>
        <stp>##V3_BDPV12</stp>
        <stp>ES00000128O1 Corp</stp>
        <stp>security des</stp>
        <stp>[NEW BONDS ASW_VINCE2018BIS.xlsm]Isin!R25C6</stp>
        <tr r="F25" s="41"/>
      </tp>
      <tp t="s">
        <v>SPGB 0 1/4 01/31/19</v>
        <stp/>
        <stp>##V3_BDPV12</stp>
        <stp>ES00000128A0 Corp</stp>
        <stp>security des</stp>
        <stp>[NEW BONDS ASW_VINCE2018BIS.xlsm]Isin!R14C6</stp>
        <tr r="F14" s="41"/>
      </tp>
      <tp t="s">
        <v>SPGB 3 3/4 10/31/18</v>
        <stp/>
        <stp>##V3_BDPV12</stp>
        <stp>ES00000124B7 Corp</stp>
        <stp>security des</stp>
        <stp>[NEW BONDS ASW_VINCE2018BIS.xlsm]Isin!R13C6</stp>
        <tr r="F13" s="41"/>
      </tp>
      <tp t="s">
        <v>SPGB 5.85 01/31/22</v>
        <stp/>
        <stp>##V3_BDPV12</stp>
        <stp>ES00000123K0 Corp</stp>
        <stp>security des</stp>
        <stp>[NEW BONDS ASW_VINCE2018BIS.xlsm]Isin!R24C6</stp>
        <tr r="F24" s="41"/>
      </tp>
      <tp t="s">
        <v>SPGB 4.6 07/30/19</v>
        <stp/>
        <stp>##V3_BDPV12</stp>
        <stp>ES00000121L2 Corp</stp>
        <stp>security des</stp>
        <stp>[NEW BONDS ASW_VINCE2018BIS.xlsm]Isin!R16C6</stp>
        <tr r="F16" s="41"/>
      </tp>
      <tp t="s">
        <v>BTPS 1.05 12/01/19</v>
        <stp/>
        <stp>##V3_BDPV12</stp>
        <stp>IT0005069395 Corp</stp>
        <stp>security des</stp>
        <stp>[NEW BONDS ASW_VINCE2018BIS.xlsm]Isin!R16C3</stp>
        <tr r="C16" s="41"/>
      </tp>
      <tp t="s">
        <v>DBR 4 3/4 07/04/40</v>
        <stp/>
        <stp>##V3_BDPV12</stp>
        <stp>DE0001135366 Corp</stp>
        <stp>security des</stp>
        <stp>[NEW BONDS ASW_VINCE2018BIS.xlsm]Isin!R50C9</stp>
        <tr r="I50" s="41"/>
      </tp>
      <tp t="s">
        <v>DBR 6 1/4 01/04/30</v>
        <stp/>
        <stp>##V3_BDPV12</stp>
        <stp>DE0001135143 Corp</stp>
        <stp>security des</stp>
        <stp>[NEW BONDS ASW_VINCE2018BIS.xlsm]Isin!R45C9</stp>
        <tr r="I45" s="41"/>
      </tp>
      <tp t="s">
        <v>DBR 6 1/2 07/04/27</v>
        <stp/>
        <stp>##V3_BDPV12</stp>
        <stp>DE0001135044 Corp</stp>
        <stp>security des</stp>
        <stp>[NEW BONDS ASW_VINCE2018BIS.xlsm]Isin!R42C9</stp>
        <tr r="I42" s="41"/>
      </tp>
      <tp t="s">
        <v>BTPS 6 05/01/31</v>
        <stp/>
        <stp>##V3_BDPV12</stp>
        <stp>IT0001444378 Corp</stp>
        <stp>security des</stp>
        <stp>[NEW BONDS ASW_VINCE2018BIS.xlsm]Isin!R59C3</stp>
        <tr r="C59" s="41"/>
      </tp>
      <tp t="s">
        <v>BTPS 1.85 05/15/24</v>
        <stp/>
        <stp>##V3_BDPV12</stp>
        <stp>IT0005246340 Corp</stp>
        <stp>security des</stp>
        <stp>[NEW BONDS ASW_VINCE2018BIS.xlsm]Isin!R41C3</stp>
        <tr r="C41" s="41"/>
      </tp>
      <tp t="s">
        <v>BTPS 3 3/4 09/01/24</v>
        <stp/>
        <stp>##V3_BDPV12</stp>
        <stp>IT0005001547 Corp</stp>
        <stp>security des</stp>
        <stp>[NEW BONDS ASW_VINCE2018BIS.xlsm]Isin!R42C3</stp>
        <tr r="C42" s="41"/>
      </tp>
      <tp t="s">
        <v>BTPS 2 02/01/28</v>
        <stp/>
        <stp>##V3_BDPV12</stp>
        <stp>IT0005323032 Corp</stp>
        <stp>security des</stp>
        <stp>[NEW BONDS ASW_VINCE2018BIS.xlsm]Isin!R55C3</stp>
        <tr r="C55" s="41"/>
      </tp>
      <tp t="s">
        <v>BTPS 5 03/01/25</v>
        <stp/>
        <stp>##V3_BDPV12</stp>
        <stp>IT0004513641 Corp</stp>
        <stp>security des</stp>
        <stp>[NEW BONDS ASW_VINCE2018BIS.xlsm]Isin!R45C3</stp>
        <tr r="C45" s="41"/>
      </tp>
      <tp>
        <v>135.11600000000001</v>
        <stp/>
        <stp>##V3_BDPV12</stp>
        <stp>ES00000124C5@cbbt Corp</stp>
        <stp>BID</stp>
        <stp>[NEW BONDS ASW_VINCE2018BIS.xlsm]Bonds!R120C19</stp>
        <tr r="S120" s="1"/>
      </tp>
      <tp>
        <v>135.30699999999999</v>
        <stp/>
        <stp>##V3_BDPV12</stp>
        <stp>ES00000124C5@cbbt Corp</stp>
        <stp>ASK</stp>
        <stp>[NEW BONDS ASW_VINCE2018BIS.xlsm]Bonds!R120C20</stp>
        <tr r="T120" s="1"/>
      </tp>
      <tp>
        <v>106.91200000000001</v>
        <stp/>
        <stp>##V3_BDPV12</stp>
        <stp>ES00000128C6@cbbt Corp</stp>
        <stp>BID</stp>
        <stp>[NEW BONDS ASW_VINCE2018BIS.xlsm]Bonds!R129C19</stp>
        <tr r="S129" s="1"/>
      </tp>
      <tp>
        <v>107.361</v>
        <stp/>
        <stp>##V3_BDPV12</stp>
        <stp>ES00000128C6@cbbt Corp</stp>
        <stp>ASK</stp>
        <stp>[NEW BONDS ASW_VINCE2018BIS.xlsm]Bonds!R129C20</stp>
        <tr r="T129" s="1"/>
      </tp>
      <tp>
        <v>137.273</v>
        <stp/>
        <stp>##V3_BDPV12</stp>
        <stp>ES00000123C7@cbbt Corp</stp>
        <stp>BID</stp>
        <stp>[NEW BONDS ASW_VINCE2018BIS.xlsm]Bonds!R115C19</stp>
        <tr r="S115" s="1"/>
      </tp>
      <tp>
        <v>137.44800000000001</v>
        <stp/>
        <stp>##V3_BDPV12</stp>
        <stp>ES00000123C7@cbbt Corp</stp>
        <stp>ASK</stp>
        <stp>[NEW BONDS ASW_VINCE2018BIS.xlsm]Bonds!R115C20</stp>
        <tr r="T115" s="1"/>
      </tp>
      <tp t="s">
        <v>OBL 1 02/22/19</v>
        <stp/>
        <stp>##V3_BDPV12</stp>
        <stp>DE0001141687 Corp</stp>
        <stp>security des</stp>
        <stp>[NEW BONDS ASW_VINCE2018BIS.xlsm]Isin!R17C9</stp>
        <tr r="I17" s="41"/>
      </tp>
      <tp t="s">
        <v>DBR 1 1/2 05/15/23</v>
        <stp/>
        <stp>##V3_BDPV12</stp>
        <stp>DE0001102317 Corp</stp>
        <stp>security des</stp>
        <stp>[NEW BONDS ASW_VINCE2018BIS.xlsm]Isin!R33C9</stp>
        <tr r="I33" s="41"/>
      </tp>
      <tp t="s">
        <v>SPGB 5.15 10/31/28</v>
        <stp/>
        <stp>##V3_BDPV12</stp>
        <stp>ES00000124C5 Corp</stp>
        <stp>security des</stp>
        <stp>[NEW BONDS ASW_VINCE2018BIS.xlsm]Isin!R40C6</stp>
        <tr r="F40" s="41"/>
      </tp>
      <tp t="s">
        <v>DBR 6 1/4 01/04/24</v>
        <stp/>
        <stp>##V3_BDPV12</stp>
        <stp>DE0001134922 Corp</stp>
        <stp>security des</stp>
        <stp>[NEW BONDS ASW_VINCE2018BIS.xlsm]Isin!R35C9</stp>
        <tr r="I35" s="41"/>
      </tp>
      <tp t="s">
        <v>DBR 3 1/4 07/04/21</v>
        <stp/>
        <stp>##V3_BDPV12</stp>
        <stp>DE0001135440 Corp</stp>
        <stp>security des</stp>
        <stp>[NEW BONDS ASW_VINCE2018BIS.xlsm]Isin!R27C9</stp>
        <tr r="I27" s="41"/>
      </tp>
      <tp t="s">
        <v>BTPS 5 3/4 02/01/33</v>
        <stp/>
        <stp>##V3_BDPV12</stp>
        <stp>IT0003256820 Corp</stp>
        <stp>security des</stp>
        <stp>[NEW BONDS ASW_VINCE2018BIS.xlsm]Isin!R61C3</stp>
        <tr r="C61" s="41"/>
      </tp>
      <tp t="s">
        <v>BTPS 3 3/4 05/01/21</v>
        <stp/>
        <stp>##V3_BDPV12</stp>
        <stp>IT0004966401 Corp</stp>
        <stp>security des</stp>
        <stp>[NEW BONDS ASW_VINCE2018BIS.xlsm]Isin!R23C3</stp>
        <tr r="C23" s="41"/>
      </tp>
      <tp>
        <v>102.291</v>
        <stp/>
        <stp>##V3_BDPV12</stp>
        <stp>ES00000128B8@cbbt Corp</stp>
        <stp>BID</stp>
        <stp>[NEW BONDS ASW_VINCE2018BIS.xlsm]Bonds!R102C19</stp>
        <tr r="S102" s="1"/>
      </tp>
      <tp>
        <v>102.379</v>
        <stp/>
        <stp>##V3_BDPV12</stp>
        <stp>ES00000128B8@cbbt Corp</stp>
        <stp>ASK</stp>
        <stp>[NEW BONDS ASW_VINCE2018BIS.xlsm]Bonds!R102C20</stp>
        <tr r="T102" s="1"/>
      </tp>
      <tp>
        <v>117.205</v>
        <stp/>
        <stp>##V3_BDPV12</stp>
        <stp>ES00000123B9@cbbt Corp</stp>
        <stp>BID</stp>
        <stp>[NEW BONDS ASW_VINCE2018BIS.xlsm]Bonds!R101C19</stp>
        <tr r="S101" s="1"/>
      </tp>
      <tp>
        <v>117.316</v>
        <stp/>
        <stp>##V3_BDPV12</stp>
        <stp>ES00000123B9@cbbt Corp</stp>
        <stp>ASK</stp>
        <stp>[NEW BONDS ASW_VINCE2018BIS.xlsm]Bonds!R101C20</stp>
        <tr r="T101" s="1"/>
      </tp>
      <tp>
        <v>112.13500000000001</v>
        <stp/>
        <stp>##V3_BDPV12</stp>
        <stp>ES00000126B2@cbbt Corp</stp>
        <stp>BID</stp>
        <stp>[NEW BONDS ASW_VINCE2018BIS.xlsm]Bonds!R110C19</stp>
        <tr r="S110" s="1"/>
      </tp>
      <tp>
        <v>112.268</v>
        <stp/>
        <stp>##V3_BDPV12</stp>
        <stp>ES00000126B2@cbbt Corp</stp>
        <stp>ASK</stp>
        <stp>[NEW BONDS ASW_VINCE2018BIS.xlsm]Bonds!R110C20</stp>
        <tr r="T110" s="1"/>
      </tp>
      <tp t="s">
        <v>OBL 0 04/17/20</v>
        <stp/>
        <stp>##V3_BDPV12</stp>
        <stp>DE0001141711 Corp</stp>
        <stp>security des</stp>
        <stp>[NEW BONDS ASW_VINCE2018BIS.xlsm]Isin!R22C9</stp>
        <tr r="I22" s="41"/>
      </tp>
      <tp t="s">
        <v>OBL 0 1/4 10/11/19</v>
        <stp/>
        <stp>##V3_BDPV12</stp>
        <stp>DE0001141703 Corp</stp>
        <stp>security des</stp>
        <stp>[NEW BONDS ASW_VINCE2018BIS.xlsm]Isin!R20C9</stp>
        <tr r="I20" s="41"/>
      </tp>
      <tp t="s">
        <v>OBL 0 1/4 04/13/18</v>
        <stp/>
        <stp>##V3_BDPV12</stp>
        <stp>DE0001141661 Corp</stp>
        <stp>security des</stp>
        <stp>[NEW BONDS ASW_VINCE2018BIS.xlsm]Isin!R12C9</stp>
        <tr r="I12" s="41"/>
      </tp>
      <tp t="s">
        <v>SPGB 4.65 07/30/25</v>
        <stp/>
        <stp>##V3_BDPV12</stp>
        <stp>ES00000122E5 Corp</stp>
        <stp>security des</stp>
        <stp>[NEW BONDS ASW_VINCE2018BIS.xlsm]Isin!R33C6</stp>
        <tr r="F33" s="41"/>
      </tp>
      <tp t="s">
        <v>SPGB 4.9 07/30/40</v>
        <stp/>
        <stp>##V3_BDPV12</stp>
        <stp>ES00000120N0 Corp</stp>
        <stp>security des</stp>
        <stp>[NEW BONDS ASW_VINCE2018BIS.xlsm]Isin!R46C6</stp>
        <tr r="F46" s="41"/>
      </tp>
      <tp t="s">
        <v>BKO 0 06/15/18</v>
        <stp/>
        <stp>##V3_BDPV12</stp>
        <stp>DE0001104644 Corp</stp>
        <stp>security des</stp>
        <stp>[NEW BONDS ASW_VINCE2018BIS.xlsm]Isin!R13C9</stp>
        <tr r="I13" s="41"/>
      </tp>
      <tp t="s">
        <v>BTPS 5 08/01/34</v>
        <stp/>
        <stp>##V3_BDPV12</stp>
        <stp>IT0003535157 Corp</stp>
        <stp>security des</stp>
        <stp>[NEW BONDS ASW_VINCE2018BIS.xlsm]Isin!R63C3</stp>
        <tr r="C63" s="41"/>
      </tp>
      <tp t="s">
        <v>BTPS 0.35 11/01/21</v>
        <stp/>
        <stp>##V3_BDPV12</stp>
        <stp>IT0005216491 Corp</stp>
        <stp>security des</stp>
        <stp>[NEW BONDS ASW_VINCE2018BIS.xlsm]Isin!R27C3</stp>
        <tr r="C27" s="41"/>
      </tp>
      <tp t="s">
        <v>BTPS 1.6 06/01/26</v>
        <stp/>
        <stp>##V3_BDPV12</stp>
        <stp>IT0005170839 Corp</stp>
        <stp>security des</stp>
        <stp>[NEW BONDS ASW_VINCE2018BIS.xlsm]Isin!R49C3</stp>
        <tr r="C49" s="41"/>
      </tp>
      <tp t="s">
        <v>BTPS 1 1/2 06/01/25</v>
        <stp/>
        <stp>##V3_BDPV12</stp>
        <stp>IT0005090318 Corp</stp>
        <stp>security des</stp>
        <stp>[NEW BONDS ASW_VINCE2018BIS.xlsm]Isin!R46C3</stp>
        <tr r="C46" s="41"/>
      </tp>
      <tp t="s">
        <v>BTPS 4 1/2 03/01/19</v>
        <stp/>
        <stp>##V3_BDPV12</stp>
        <stp>IT0004423957 Corp</stp>
        <stp>security des</stp>
        <stp>[NEW BONDS ASW_VINCE2018BIS.xlsm]Isin!R12C3</stp>
        <tr r="C12" s="41"/>
      </tp>
      <tp>
        <v>101.93300000000001</v>
        <stp/>
        <stp>##V3_BDPV12</stp>
        <stp>ES00000127A2@cbbt Corp</stp>
        <stp>BID</stp>
        <stp>[NEW BONDS ASW_VINCE2018BIS.xlsm]Bonds!R122C19</stp>
        <tr r="S122" s="1"/>
      </tp>
      <tp>
        <v>102.176</v>
        <stp/>
        <stp>##V3_BDPV12</stp>
        <stp>ES00000127A2@cbbt Corp</stp>
        <stp>ASK</stp>
        <stp>[NEW BONDS ASW_VINCE2018BIS.xlsm]Bonds!R122C20</stp>
        <tr r="T122" s="1"/>
      </tp>
    </main>
    <main first="pldatasource.rtgetrtdserver">
      <tp>
        <v>43159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100.678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</main>
    <main first="bloomberg.rtd">
      <tp t="s">
        <v>OBL 0 1/2 02/23/18</v>
        <stp/>
        <stp>##V3_BDPV12</stp>
        <stp>DE0001141653 Corp</stp>
        <stp>security des</stp>
        <stp>[NEW BONDS ASW_VINCE2018BIS.xlsm]Isin!R11C9</stp>
        <tr r="I11" s="41"/>
      </tp>
      <tp t="s">
        <v>SPGB 4.2 01/31/37</v>
        <stp/>
        <stp>##V3_BDPV12</stp>
        <stp>ES0000012932 Corp</stp>
        <stp>security des</stp>
        <stp>[NEW BONDS ASW_VINCE2018BIS.xlsm]Isin!R45C6</stp>
        <tr r="F45" s="41"/>
      </tp>
      <tp t="s">
        <v>SPGB 1.15 07/30/20</v>
        <stp/>
        <stp>##V3_BDPV12</stp>
        <stp>ES00000127H7 Corp</stp>
        <stp>security des</stp>
        <stp>[NEW BONDS ASW_VINCE2018BIS.xlsm]Isin!R20C6</stp>
        <tr r="F20" s="41"/>
      </tp>
      <tp t="s">
        <v>SPGB 0 1/4 04/30/18</v>
        <stp/>
        <stp>##V3_BDPV12</stp>
        <stp>ES00000127D6 Corp</stp>
        <stp>security des</stp>
        <stp>[NEW BONDS ASW_VINCE2018BIS.xlsm]Isin!R11C6</stp>
        <tr r="F11" s="41"/>
      </tp>
      <tp t="s">
        <v>SPGB 4 1/2 01/31/18</v>
        <stp/>
        <stp>##V3_BDPV12</stp>
        <stp>ES00000123Q7 Corp</stp>
        <stp>security des</stp>
        <stp>[NEW BONDS ASW_VINCE2018BIS.xlsm]Isin!R10C6</stp>
        <tr r="F10" s="41"/>
      </tp>
      <tp t="s">
        <v>SPGB 4.1 07/30/18</v>
        <stp/>
        <stp>##V3_BDPV12</stp>
        <stp>ES00000121A5 Corp</stp>
        <stp>security des</stp>
        <stp>[NEW BONDS ASW_VINCE2018BIS.xlsm]Isin!R12C6</stp>
        <tr r="F12" s="41"/>
      </tp>
      <tp t="s">
        <v>BTPS 3 3/4 08/01/21</v>
        <stp/>
        <stp>##V3_BDPV12</stp>
        <stp>IT0004009673 Corp</stp>
        <stp>security des</stp>
        <stp>[NEW BONDS ASW_VINCE2018BIS.xlsm]Isin!R25C3</stp>
        <tr r="C25" s="41"/>
      </tp>
      <tp t="s">
        <v>BTPS 5 1/2 11/01/22</v>
        <stp/>
        <stp>##V3_BDPV12</stp>
        <stp>IT0004848831 Corp</stp>
        <stp>security des</stp>
        <stp>[NEW BONDS ASW_VINCE2018BIS.xlsm]Isin!R33C3</stp>
        <tr r="C33" s="41"/>
      </tp>
      <tp t="s">
        <v>BTPS 2.2 06/01/27</v>
        <stp/>
        <stp>##V3_BDPV12</stp>
        <stp>IT0005240830 Corp</stp>
        <stp>security des</stp>
        <stp>[NEW BONDS ASW_VINCE2018BIS.xlsm]Isin!R52C3</stp>
        <tr r="C52" s="41"/>
      </tp>
      <tp t="s">
        <v>BTPS 2.45 09/01/33</v>
        <stp/>
        <stp>##V3_BDPV12</stp>
        <stp>IT0005240350 Corp</stp>
        <stp>security des</stp>
        <stp>[NEW BONDS ASW_VINCE2018BIS.xlsm]Isin!R62C3</stp>
        <tr r="C62" s="41"/>
      </tp>
      <tp t="s">
        <v>BTPS 3 1/4 09/01/46</v>
        <stp/>
        <stp>##V3_BDPV12</stp>
        <stp>IT0005083057 Corp</stp>
        <stp>security des</stp>
        <stp>[NEW BONDS ASW_VINCE2018BIS.xlsm]Isin!R69C3</stp>
        <tr r="C69" s="41"/>
      </tp>
      <tp t="s">
        <v>BTPS 0.65 11/01/20</v>
        <stp/>
        <stp>##V3_BDPV12</stp>
        <stp>IT0005142143 Corp</stp>
        <stp>security des</stp>
        <stp>[NEW BONDS ASW_VINCE2018BIS.xlsm]Isin!R21C3</stp>
        <tr r="C21" s="41"/>
      </tp>
    </main>
    <main first="pldatasource.rtgetrtdserver">
      <tp>
        <v>105.596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127.91500000000001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104.79900000000001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</main>
    <main first="bloomberg.rtd">
      <tp t="s">
        <v>DBR 0 1/2 02/15/26</v>
        <stp/>
        <stp>##V3_BDPV12</stp>
        <stp>DE0001102390 Corp</stp>
        <stp>security des</stp>
        <stp>[NEW BONDS ASW_VINCE2018BIS.xlsm]Isin!R41C9</stp>
        <tr r="I41" s="41"/>
      </tp>
      <tp t="s">
        <v>DBR 2 08/15/23</v>
        <stp/>
        <stp>##V3_BDPV12</stp>
        <stp>DE0001102325 Corp</stp>
        <stp>security des</stp>
        <stp>[NEW BONDS ASW_VINCE2018BIS.xlsm]Isin!R34C9</stp>
        <tr r="I34" s="41"/>
      </tp>
      <tp t="s">
        <v>SPGB 1 1/2 04/30/27</v>
        <stp/>
        <stp>##V3_BDPV12</stp>
        <stp>ES00000128P8 Corp</stp>
        <stp>security des</stp>
        <stp>[NEW BONDS ASW_VINCE2018BIS.xlsm]Isin!R38C6</stp>
        <tr r="F38" s="41"/>
      </tp>
      <tp t="s">
        <v>SPGB 1.95 07/30/30</v>
        <stp/>
        <stp>##V3_BDPV12</stp>
        <stp>ES00000127A2 Corp</stp>
        <stp>security des</stp>
        <stp>[NEW BONDS ASW_VINCE2018BIS.xlsm]Isin!R42C6</stp>
        <tr r="F42" s="41"/>
      </tp>
      <tp t="s">
        <v>SPGB 2 3/4 04/30/19</v>
        <stp/>
        <stp>##V3_BDPV12</stp>
        <stp>ES00000124V5 Corp</stp>
        <stp>security des</stp>
        <stp>[NEW BONDS ASW_VINCE2018BIS.xlsm]Isin!R15C6</stp>
        <tr r="F15" s="41"/>
      </tp>
      <tp t="s">
        <v>SPGB 4.7 07/30/41</v>
        <stp/>
        <stp>##V3_BDPV12</stp>
        <stp>ES00000121S7 Corp</stp>
        <stp>security des</stp>
        <stp>[NEW BONDS ASW_VINCE2018BIS.xlsm]Isin!R47C6</stp>
        <tr r="F47" s="41"/>
      </tp>
      <tp t="s">
        <v>SPGB 1.45 10/31/27</v>
        <stp/>
        <stp>##V3_BDPV12</stp>
        <stp>ES0000012A89 Corp</stp>
        <stp>security des</stp>
        <stp>[NEW BONDS ASW_VINCE2018BIS.xlsm]Isin!R39C6</stp>
        <tr r="F39" s="41"/>
      </tp>
      <tp t="s">
        <v>BTPS 5 1/4 11/01/29</v>
        <stp/>
        <stp>##V3_BDPV12</stp>
        <stp>IT0001278511 Corp</stp>
        <stp>security des</stp>
        <stp>[NEW BONDS ASW_VINCE2018BIS.xlsm]Isin!R57C3</stp>
        <tr r="C57" s="41"/>
      </tp>
      <tp t="s">
        <v>DBR 2 1/2 01/04/21</v>
        <stp/>
        <stp>##V3_BDPV12</stp>
        <stp>DE0001135424 Corp</stp>
        <stp>security des</stp>
        <stp>[NEW BONDS ASW_VINCE2018BIS.xlsm]Isin!R26C9</stp>
        <tr r="I26" s="41"/>
      </tp>
      <tp t="s">
        <v>DBR 2 1/4 09/04/20</v>
        <stp/>
        <stp>##V3_BDPV12</stp>
        <stp>DE0001135416 Corp</stp>
        <stp>security des</stp>
        <stp>[NEW BONDS ASW_VINCE2018BIS.xlsm]Isin!R24C9</stp>
        <tr r="I24" s="41"/>
      </tp>
      <tp t="s">
        <v>DBR 3 3/4 01/04/19</v>
        <stp/>
        <stp>##V3_BDPV12</stp>
        <stp>DE0001135374 Corp</stp>
        <stp>security des</stp>
        <stp>[NEW BONDS ASW_VINCE2018BIS.xlsm]Isin!R16C9</stp>
        <tr r="I16" s="41"/>
      </tp>
      <tp t="s">
        <v>BTPS 1.45 09/15/22</v>
        <stp/>
        <stp>##V3_BDPV12</stp>
        <stp>IT0005135840 Corp</stp>
        <stp>security des</stp>
        <stp>[NEW BONDS ASW_VINCE2018BIS.xlsm]Isin!R32C3</stp>
        <tr r="C32" s="41"/>
      </tp>
      <tp t="s">
        <v>BTPS 0.95 03/01/23</v>
        <stp/>
        <stp>##V3_BDPV12</stp>
        <stp>IT0005325946 Corp</stp>
        <stp>security des</stp>
        <stp>[NEW BONDS ASW_VINCE2018BIS.xlsm]Isin!R35C3</stp>
        <tr r="C35" s="41"/>
      </tp>
      <tp t="s">
        <v>BTPS 2.05 08/01/27</v>
        <stp/>
        <stp>##V3_BDPV12</stp>
        <stp>IT0005274805 Corp</stp>
        <stp>security des</stp>
        <stp>[NEW BONDS ASW_VINCE2018BIS.xlsm]Isin!R53C3</stp>
        <tr r="C53" s="41"/>
      </tp>
      <tp t="s">
        <v>BTPS 1.65 03/01/32</v>
        <stp/>
        <stp>##V3_BDPV12</stp>
        <stp>IT0005094088 Corp</stp>
        <stp>security des</stp>
        <stp>[NEW BONDS ASW_VINCE2018BIS.xlsm]Isin!R60C3</stp>
        <tr r="C60" s="41"/>
      </tp>
      <tp t="s">
        <v>BTPS 4 02/01/37</v>
        <stp/>
        <stp>##V3_BDPV12</stp>
        <stp>IT0003934657 Corp</stp>
        <stp>security des</stp>
        <stp>[NEW BONDS ASW_VINCE2018BIS.xlsm]Isin!R65C3</stp>
        <tr r="C65" s="41"/>
      </tp>
      <tp t="s">
        <v>BTPS 3 1/2 12/01/18</v>
        <stp/>
        <stp>##V3_BDPV12</stp>
        <stp>IT0004957574 Corp</stp>
        <stp>security des</stp>
        <stp>[NEW BONDS ASW_VINCE2018BIS.xlsm]Isin!R10C3</stp>
        <tr r="C10" s="41"/>
      </tp>
      <tp t="s">
        <v>BTPS 0.7 05/01/20</v>
        <stp/>
        <stp>##V3_BDPV12</stp>
        <stp>IT0005107708 Corp</stp>
        <stp>security des</stp>
        <stp>[NEW BONDS ASW_VINCE2018BIS.xlsm]Isin!R19C3</stp>
        <tr r="C19" s="41"/>
      </tp>
      <tp t="s">
        <v>BTPS 4 3/4 08/01/23</v>
        <stp/>
        <stp>##V3_BDPV12</stp>
        <stp>IT0004356843 Corp</stp>
        <stp>security des</stp>
        <stp>[NEW BONDS ASW_VINCE2018BIS.xlsm]Isin!R37C3</stp>
        <tr r="C37" s="41"/>
      </tp>
      <tp t="s">
        <v>BTPS 0.95 03/15/23</v>
        <stp/>
        <stp>##V3_BDPV12</stp>
        <stp>IT0005172322 Corp</stp>
        <stp>security des</stp>
        <stp>[NEW BONDS ASW_VINCE2018BIS.xlsm]Isin!R34C3</stp>
        <tr r="C34" s="41"/>
      </tp>
      <tp>
        <v>107.691</v>
        <stp/>
        <stp>##V3_BDPV12</stp>
        <stp>ES00000127G9@cbbt Corp</stp>
        <stp>BID</stp>
        <stp>[NEW BONDS ASW_VINCE2018BIS.xlsm]Bonds!R113C19</stp>
        <tr r="S113" s="1"/>
      </tp>
      <tp>
        <v>107.813</v>
        <stp/>
        <stp>##V3_BDPV12</stp>
        <stp>ES00000127G9@cbbt Corp</stp>
        <stp>ASK</stp>
        <stp>[NEW BONDS ASW_VINCE2018BIS.xlsm]Bonds!R113C20</stp>
        <tr r="T113" s="1"/>
      </tp>
      <tp>
        <v>123.70699999999999</v>
        <stp/>
        <stp>##V3_BDPV12</stp>
        <stp>ES00000121G2@cbbt Corp</stp>
        <stp>BID</stp>
        <stp>[NEW BONDS ASW_VINCE2018BIS.xlsm]Bonds!R108C19</stp>
        <tr r="S108" s="1"/>
      </tp>
      <tp>
        <v>123.848</v>
        <stp/>
        <stp>##V3_BDPV12</stp>
        <stp>ES00000121G2@cbbt Corp</stp>
        <stp>ASK</stp>
        <stp>[NEW BONDS ASW_VINCE2018BIS.xlsm]Bonds!R108C20</stp>
        <tr r="T108" s="1"/>
      </tp>
      <tp>
        <v>100.124</v>
        <stp/>
        <stp>##V3_BDPV12</stp>
        <stp>IT0004716319 Corp</stp>
        <stp>PX_BID</stp>
        <stp>[NEW BONDS ASW_VINCE2018BIS.xlsm]CCT!R6C7</stp>
        <tr r="G6" s="44"/>
      </tp>
      <tp>
        <v>102.07599999999999</v>
        <stp/>
        <stp>##V3_BDPV12</stp>
        <stp>IT0005009839 Corp</stp>
        <stp>PX_ASK</stp>
        <stp>[NEW BONDS ASW_VINCE2018BIS.xlsm]CCT!R8C9</stp>
        <tr r="I8" s="44"/>
      </tp>
      <tp t="s">
        <v>SPGB 5.9 07/30/26</v>
        <stp/>
        <stp>##V3_BDPV12</stp>
        <stp>ES00000123C7 Corp</stp>
        <stp>security des</stp>
        <stp>[NEW BONDS ASW_VINCE2018BIS.xlsm]Isin!R36C6</stp>
        <tr r="F36" s="41"/>
      </tp>
      <tp t="s">
        <v>SPGB 4.3 10/31/19</v>
        <stp/>
        <stp>##V3_BDPV12</stp>
        <stp>ES00000121O6 Corp</stp>
        <stp>security des</stp>
        <stp>[NEW BONDS ASW_VINCE2018BIS.xlsm]Isin!R17C6</stp>
        <tr r="F17" s="41"/>
      </tp>
      <tp t="s">
        <v>SPGB 0.45 10/31/22</v>
        <stp/>
        <stp>##V3_BDPV12</stp>
        <stp>ES0000012A97 Corp</stp>
        <stp>security des</stp>
        <stp>[NEW BONDS ASW_VINCE2018BIS.xlsm]Isin!R26C6</stp>
        <tr r="F26" s="41"/>
      </tp>
      <tp t="s">
        <v>DBR 2 1/2 07/04/44</v>
        <stp/>
        <stp>##V3_BDPV12</stp>
        <stp>DE0001135481 Corp</stp>
        <stp>security des</stp>
        <stp>[NEW BONDS ASW_VINCE2018BIS.xlsm]Isin!R52C9</stp>
        <tr r="I52" s="41"/>
      </tp>
      <tp t="s">
        <v>DBR 1 3/4 07/04/22</v>
        <stp/>
        <stp>##V3_BDPV12</stp>
        <stp>DE0001135473 Corp</stp>
        <stp>security des</stp>
        <stp>[NEW BONDS ASW_VINCE2018BIS.xlsm]Isin!R30C9</stp>
        <tr r="I30" s="41"/>
      </tp>
      <tp t="s">
        <v>DBR 3 1/4 07/04/42</v>
        <stp/>
        <stp>##V3_BDPV12</stp>
        <stp>DE0001135432 Corp</stp>
        <stp>security des</stp>
        <stp>[NEW BONDS ASW_VINCE2018BIS.xlsm]Isin!R51C9</stp>
        <tr r="I51" s="41"/>
      </tp>
      <tp t="s">
        <v>BTPS 2 1/2 12/01/24</v>
        <stp/>
        <stp>##V3_BDPV12</stp>
        <stp>IT0005045270 Corp</stp>
        <stp>security des</stp>
        <stp>[NEW BONDS ASW_VINCE2018BIS.xlsm]Isin!R44C3</stp>
        <tr r="C44" s="41"/>
      </tp>
      <tp t="s">
        <v>BTPS 5 1/2 09/01/22</v>
        <stp/>
        <stp>##V3_BDPV12</stp>
        <stp>IT0004801541 Corp</stp>
        <stp>security des</stp>
        <stp>[NEW BONDS ASW_VINCE2018BIS.xlsm]Isin!R31C3</stp>
        <tr r="C31" s="41"/>
      </tp>
      <tp t="s">
        <v>BTPS 1 1/4 12/01/26</v>
        <stp/>
        <stp>##V3_BDPV12</stp>
        <stp>IT0005210650 Corp</stp>
        <stp>security des</stp>
        <stp>[NEW BONDS ASW_VINCE2018BIS.xlsm]Isin!R51C3</stp>
        <tr r="C51" s="41"/>
      </tp>
      <tp t="s">
        <v>BTPS 4 1/4 02/01/19</v>
        <stp/>
        <stp>##V3_BDPV12</stp>
        <stp>IT0003493258 Corp</stp>
        <stp>security des</stp>
        <stp>[NEW BONDS ASW_VINCE2018BIS.xlsm]Isin!R11C3</stp>
        <tr r="C11" s="41"/>
      </tp>
      <tp>
        <v>101.803</v>
        <stp/>
        <stp>##V3_BDPV12</stp>
        <stp>IT0005056541 Corp</stp>
        <stp>PX_BID</stp>
        <stp>[NEW BONDS ASW_VINCE2018BIS.xlsm]CCT!R9C7</stp>
        <tr r="G9" s="44"/>
      </tp>
      <tp t="s">
        <v>SPGB 1.3 10/31/26</v>
        <stp/>
        <stp>##V3_BDPV12</stp>
        <stp>ES00000128H5 Corp</stp>
        <stp>security des</stp>
        <stp>[NEW BONDS ASW_VINCE2018BIS.xlsm]Isin!R37C6</stp>
        <tr r="F37" s="41"/>
      </tp>
      <tp t="s">
        <v>SPGB 2.35 07/30/33</v>
        <stp/>
        <stp>##V3_BDPV12</stp>
        <stp>ES00000128Q6 Corp</stp>
        <stp>security des</stp>
        <stp>[NEW BONDS ASW_VINCE2018BIS.xlsm]Isin!R44C6</stp>
        <tr r="F44" s="41"/>
      </tp>
      <tp t="s">
        <v>SPGB 5 3/4 07/30/32</v>
        <stp/>
        <stp>##V3_BDPV12</stp>
        <stp>ES0000012411 Corp</stp>
        <stp>security des</stp>
        <stp>[NEW BONDS ASW_VINCE2018BIS.xlsm]Isin!R43C6</stp>
        <tr r="F43" s="41"/>
      </tp>
      <tp t="s">
        <v>SPGB 4.85 10/31/20</v>
        <stp/>
        <stp>##V3_BDPV12</stp>
        <stp>ES00000122T3 Corp</stp>
        <stp>security des</stp>
        <stp>[NEW BONDS ASW_VINCE2018BIS.xlsm]Isin!R21C6</stp>
        <tr r="F21" s="41"/>
      </tp>
      <tp t="s">
        <v>DBR 5 1/2 01/04/31</v>
        <stp/>
        <stp>##V3_BDPV12</stp>
        <stp>DE0001135176 Corp</stp>
        <stp>security des</stp>
        <stp>[NEW BONDS ASW_VINCE2018BIS.xlsm]Isin!R46C9</stp>
        <tr r="I46" s="41"/>
      </tp>
      <tp t="s">
        <v>BTPS 3 3/4 03/01/21</v>
        <stp/>
        <stp>##V3_BDPV12</stp>
        <stp>IT0004634132 Corp</stp>
        <stp>security des</stp>
        <stp>[NEW BONDS ASW_VINCE2018BIS.xlsm]Isin!R22C3</stp>
        <tr r="C22" s="41"/>
      </tp>
      <tp t="s">
        <v>BTPS 2 12/01/25</v>
        <stp/>
        <stp>##V3_BDPV12</stp>
        <stp>IT0005127086 Corp</stp>
        <stp>security des</stp>
        <stp>[NEW BONDS ASW_VINCE2018BIS.xlsm]Isin!R47C3</stp>
        <tr r="C47" s="41"/>
      </tp>
      <tp t="s">
        <v>BTPS 1 1/2 08/01/19</v>
        <stp/>
        <stp>##V3_BDPV12</stp>
        <stp>IT0005030504 Corp</stp>
        <stp>security des</stp>
        <stp>[NEW BONDS ASW_VINCE2018BIS.xlsm]Isin!R14C3</stp>
        <tr r="C14" s="41"/>
      </tp>
      <tp>
        <v>126.065</v>
        <stp/>
        <stp>##V3_BDPV12</stp>
        <stp>ES00000122E5@cbbt Corp</stp>
        <stp>BID</stp>
        <stp>[NEW BONDS ASW_VINCE2018BIS.xlsm]Bonds!R112C19</stp>
        <tr r="S112" s="1"/>
      </tp>
      <tp>
        <v>126.179</v>
        <stp/>
        <stp>##V3_BDPV12</stp>
        <stp>ES00000122E5@cbbt Corp</stp>
        <stp>ASK</stp>
        <stp>[NEW BONDS ASW_VINCE2018BIS.xlsm]Bonds!R112C20</stp>
        <tr r="T112" s="1"/>
      </tp>
      <tp>
        <v>115.182</v>
        <stp/>
        <stp>##V3_BDPV12</stp>
        <stp>ES00000128E2@cbbt Corp</stp>
        <stp>BID</stp>
        <stp>[NEW BONDS ASW_VINCE2018BIS.xlsm]Bonds!R131C19</stp>
        <tr r="S131" s="1"/>
      </tp>
      <tp>
        <v>115.919</v>
        <stp/>
        <stp>##V3_BDPV12</stp>
        <stp>ES00000128E2@cbbt Corp</stp>
        <stp>ASK</stp>
        <stp>[NEW BONDS ASW_VINCE2018BIS.xlsm]Bonds!R131C20</stp>
        <tr r="T131" s="1"/>
      </tp>
      <tp>
        <v>101.298</v>
        <stp/>
        <stp>##V3_BDPV12</stp>
        <stp>IT0004922909 Corp</stp>
        <stp>PX_BID</stp>
        <stp>[NEW BONDS ASW_VINCE2018BIS.xlsm]CCT!R7C7</stp>
        <tr r="G7" s="44"/>
      </tp>
      <tp t="s">
        <v>DBR 1 08/15/25</v>
        <stp/>
        <stp>##V3_BDPV12</stp>
        <stp>DE0001102382 Corp</stp>
        <stp>security des</stp>
        <stp>[NEW BONDS ASW_VINCE2018BIS.xlsm]Isin!R40C9</stp>
        <tr r="I40" s="41"/>
      </tp>
      <tp t="s">
        <v>DBR 2 1/2 08/15/46</v>
        <stp/>
        <stp>##V3_BDPV12</stp>
        <stp>DE0001102341 Corp</stp>
        <stp>security des</stp>
        <stp>[NEW BONDS ASW_VINCE2018BIS.xlsm]Isin!R53C9</stp>
        <tr r="I53" s="41"/>
      </tp>
      <tp t="s">
        <v>SPGB 2 3/4 10/31/24</v>
        <stp/>
        <stp>##V3_BDPV12</stp>
        <stp>ES00000126B2 Corp</stp>
        <stp>security des</stp>
        <stp>[NEW BONDS ASW_VINCE2018BIS.xlsm]Isin!R31C6</stp>
        <tr r="F31" s="41"/>
      </tp>
      <tp t="s">
        <v>SPGB 1.6 04/30/25</v>
        <stp/>
        <stp>##V3_BDPV12</stp>
        <stp>ES00000126Z1 Corp</stp>
        <stp>security des</stp>
        <stp>[NEW BONDS ASW_VINCE2018BIS.xlsm]Isin!R32C6</stp>
        <tr r="F32" s="41"/>
      </tp>
      <tp t="s">
        <v>SPGB 3.8 04/30/24</v>
        <stp/>
        <stp>##V3_BDPV12</stp>
        <stp>ES00000124W3 Corp</stp>
        <stp>security des</stp>
        <stp>[NEW BONDS ASW_VINCE2018BIS.xlsm]Isin!R30C6</stp>
        <tr r="F30" s="41"/>
      </tp>
      <tp t="s">
        <v>DBR 3 1/4 01/04/20</v>
        <stp/>
        <stp>##V3_BDPV12</stp>
        <stp>DE0001135390 Corp</stp>
        <stp>security des</stp>
        <stp>[NEW BONDS ASW_VINCE2018BIS.xlsm]Isin!R21C9</stp>
        <tr r="I21" s="41"/>
      </tp>
      <tp t="s">
        <v>DBR 4 01/04/18</v>
        <stp/>
        <stp>##V3_BDPV12</stp>
        <stp>DE0001135341 Corp</stp>
        <stp>security des</stp>
        <stp>[NEW BONDS ASW_VINCE2018BIS.xlsm]Isin!R10C9</stp>
        <tr r="I10" s="41"/>
      </tp>
      <tp t="s">
        <v>DBR 4 3/4 07/04/34</v>
        <stp/>
        <stp>##V3_BDPV12</stp>
        <stp>DE0001135226 Corp</stp>
        <stp>security des</stp>
        <stp>[NEW BONDS ASW_VINCE2018BIS.xlsm]Isin!R47C9</stp>
        <tr r="I47" s="41"/>
      </tp>
      <tp t="s">
        <v>DBR 4 3/4 07/04/28</v>
        <stp/>
        <stp>##V3_BDPV12</stp>
        <stp>DE0001135085 Corp</stp>
        <stp>security des</stp>
        <stp>[NEW BONDS ASW_VINCE2018BIS.xlsm]Isin!R44C9</stp>
        <tr r="I44" s="41"/>
      </tp>
      <tp t="s">
        <v>BTPS 6 1/2 11/01/27</v>
        <stp/>
        <stp>##V3_BDPV12</stp>
        <stp>IT0001174611 Corp</stp>
        <stp>security des</stp>
        <stp>[NEW BONDS ASW_VINCE2018BIS.xlsm]Isin!R54C3</stp>
        <tr r="C54" s="41"/>
      </tp>
      <tp t="s">
        <v>BTPS 4 1/4 03/01/20</v>
        <stp/>
        <stp>##V3_BDPV12</stp>
        <stp>IT0004536949 Corp</stp>
        <stp>security des</stp>
        <stp>[NEW BONDS ASW_VINCE2018BIS.xlsm]Isin!R18C3</stp>
        <tr r="C18" s="41"/>
      </tp>
      <tp t="s">
        <v>BTPS 4 3/4 09/01/44</v>
        <stp/>
        <stp>##V3_BDPV12</stp>
        <stp>IT0004923998 Corp</stp>
        <stp>security des</stp>
        <stp>[NEW BONDS ASW_VINCE2018BIS.xlsm]Isin!R68C3</stp>
        <tr r="C68" s="41"/>
      </tp>
      <tp t="s">
        <v>BTPS 4 1/2 03/01/24</v>
        <stp/>
        <stp>##V3_BDPV12</stp>
        <stp>IT0004953417 Corp</stp>
        <stp>security des</stp>
        <stp>[NEW BONDS ASW_VINCE2018BIS.xlsm]Isin!R40C3</stp>
        <tr r="C40" s="41"/>
      </tp>
      <tp t="s">
        <v>BTPS 2 1/2 05/01/19</v>
        <stp/>
        <stp>##V3_BDPV12</stp>
        <stp>IT0004992308 Corp</stp>
        <stp>security des</stp>
        <stp>[NEW BONDS ASW_VINCE2018BIS.xlsm]Isin!R13C3</stp>
        <tr r="C13" s="41"/>
      </tp>
      <tp>
        <v>101.333</v>
        <stp/>
        <stp>##V3_BDPV12</stp>
        <stp>IT0004922909 Corp</stp>
        <stp>PX_ASK</stp>
        <stp>[NEW BONDS ASW_VINCE2018BIS.xlsm]CCT!R7C9</stp>
        <tr r="I7" s="44"/>
      </tp>
      <tp t="s">
        <v>DBR 0 1/2 02/15/25</v>
        <stp/>
        <stp>##V3_BDPV12</stp>
        <stp>DE0001102374 Corp</stp>
        <stp>security des</stp>
        <stp>[NEW BONDS ASW_VINCE2018BIS.xlsm]Isin!R39C9</stp>
        <tr r="I39" s="41"/>
      </tp>
      <tp t="s">
        <v>SPGB 1.95 04/30/26</v>
        <stp/>
        <stp>##V3_BDPV12</stp>
        <stp>ES00000127Z9 Corp</stp>
        <stp>security des</stp>
        <stp>[NEW BONDS ASW_VINCE2018BIS.xlsm]Isin!R35C6</stp>
        <tr r="F35" s="41"/>
      </tp>
      <tp t="s">
        <v>SPGB 5.15 10/31/44</v>
        <stp/>
        <stp>##V3_BDPV12</stp>
        <stp>ES00000124H4 Corp</stp>
        <stp>security des</stp>
        <stp>[NEW BONDS ASW_VINCE2018BIS.xlsm]Isin!R48C6</stp>
        <tr r="F48" s="41"/>
      </tp>
      <tp t="s">
        <v>BTPS 4 3/4 09/01/28</v>
        <stp/>
        <stp>##V3_BDPV12</stp>
        <stp>IT0004889033 Corp</stp>
        <stp>security des</stp>
        <stp>[NEW BONDS ASW_VINCE2018BIS.xlsm]Isin!R56C3</stp>
        <tr r="C56" s="41"/>
      </tp>
      <tp t="s">
        <v>BTPS 4 1/4 09/01/19</v>
        <stp/>
        <stp>##V3_BDPV12</stp>
        <stp>IT0004489610 Corp</stp>
        <stp>security des</stp>
        <stp>[NEW BONDS ASW_VINCE2018BIS.xlsm]Isin!R15C3</stp>
        <tr r="C15" s="41"/>
      </tp>
      <tp t="s">
        <v>BTPS 5 09/01/40</v>
        <stp/>
        <stp>##V3_BDPV12</stp>
        <stp>IT0004532559 Corp</stp>
        <stp>security des</stp>
        <stp>[NEW BONDS ASW_VINCE2018BIS.xlsm]Isin!R67C3</stp>
        <tr r="C67" s="41"/>
      </tp>
      <tp>
        <v>122.01300000000001</v>
        <stp/>
        <stp>##V3_BDPV12</stp>
        <stp>ES00000123K0@cbbt Corp</stp>
        <stp>BID</stp>
        <stp>[NEW BONDS ASW_VINCE2018BIS.xlsm]Bonds!R103C19</stp>
        <tr r="S103" s="1"/>
      </tp>
      <tp>
        <v>122.116</v>
        <stp/>
        <stp>##V3_BDPV12</stp>
        <stp>ES00000123K0@cbbt Corp</stp>
        <stp>ASK</stp>
        <stp>[NEW BONDS ASW_VINCE2018BIS.xlsm]Bonds!R103C20</stp>
        <tr r="T103" s="1"/>
      </tp>
    </main>
    <main first="pldatasource.rtgetrtdserver">
      <tp>
        <v>142.99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109.465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98.56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</main>
    <main first="bloomberg.rtd">
      <tp>
        <v>101.869</v>
        <stp/>
        <stp>##V3_BDPV12</stp>
        <stp>IT0005056541 Corp</stp>
        <stp>PX_ASK</stp>
        <stp>[NEW BONDS ASW_VINCE2018BIS.xlsm]CCT!R9C9</stp>
        <tr r="I9" s="44"/>
      </tp>
      <tp t="s">
        <v>SPGB 2.15 10/31/25</v>
        <stp/>
        <stp>##V3_BDPV12</stp>
        <stp>ES00000127G9 Corp</stp>
        <stp>security des</stp>
        <stp>[NEW BONDS ASW_VINCE2018BIS.xlsm]Isin!R34C6</stp>
        <tr r="F34" s="41"/>
      </tp>
      <tp t="s">
        <v>DBR 2 1/4 09/04/21</v>
        <stp/>
        <stp>##V3_BDPV12</stp>
        <stp>DE0001135457 Corp</stp>
        <stp>security des</stp>
        <stp>[NEW BONDS ASW_VINCE2018BIS.xlsm]Isin!R28C9</stp>
        <tr r="I28" s="41"/>
      </tp>
      <tp t="s">
        <v>BTPS 1.45 11/15/24</v>
        <stp/>
        <stp>##V3_BDPV12</stp>
        <stp>IT0005282527 Corp</stp>
        <stp>security des</stp>
        <stp>[NEW BONDS ASW_VINCE2018BIS.xlsm]Isin!R43C3</stp>
        <tr r="C43" s="41"/>
      </tp>
    </main>
    <main first="pldatasource.rtgetrtdserver">
      <tp>
        <v>135.59800000000001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156.874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159.20500000000001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108.416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110.52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101.911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</main>
    <main first="bloomberg.rtd">
      <tp>
        <v>100.157</v>
        <stp/>
        <stp>##V3_BDPV12</stp>
        <stp>IT0004716319 Corp</stp>
        <stp>PX_ASK</stp>
        <stp>[NEW BONDS ASW_VINCE2018BIS.xlsm]CCT!R6C9</stp>
        <tr r="I6" s="44"/>
      </tp>
      <tp>
        <v>102.015</v>
        <stp/>
        <stp>##V3_BDPV12</stp>
        <stp>IT0005009839 Corp</stp>
        <stp>PX_BID</stp>
        <stp>[NEW BONDS ASW_VINCE2018BIS.xlsm]CCT!R8C7</stp>
        <tr r="G8" s="44"/>
      </tp>
      <tp t="s">
        <v>DBR 1 1/2 05/15/24</v>
        <stp/>
        <stp>##V3_BDPV12</stp>
        <stp>DE0001102358 Corp</stp>
        <stp>security des</stp>
        <stp>[NEW BONDS ASW_VINCE2018BIS.xlsm]Isin!R37C9</stp>
        <tr r="I37" s="41"/>
      </tp>
      <tp t="s">
        <v>SPGB 5.4 01/31/23</v>
        <stp/>
        <stp>##V3_BDPV12</stp>
        <stp>ES00000123U9 Corp</stp>
        <stp>security des</stp>
        <stp>[NEW BONDS ASW_VINCE2018BIS.xlsm]Isin!R27C6</stp>
        <tr r="F27" s="41"/>
      </tp>
      <tp t="s">
        <v>SPGB 4 04/30/20</v>
        <stp/>
        <stp>##V3_BDPV12</stp>
        <stp>ES00000122D7 Corp</stp>
        <stp>security des</stp>
        <stp>[NEW BONDS ASW_VINCE2018BIS.xlsm]Isin!R19C6</stp>
        <tr r="F19" s="41"/>
      </tp>
      <tp t="s">
        <v>BTPS 5 03/01/22</v>
        <stp/>
        <stp>##V3_BDPV12</stp>
        <stp>IT0004759673 Corp</stp>
        <stp>security des</stp>
        <stp>[NEW BONDS ASW_VINCE2018BIS.xlsm]Isin!R29C3</stp>
        <tr r="C29" s="41"/>
      </tp>
      <tp t="s">
        <v>DBR 2 01/04/22</v>
        <stp/>
        <stp>##V3_BDPV12</stp>
        <stp>DE0001135465 Corp</stp>
        <stp>security des</stp>
        <stp>[NEW BONDS ASW_VINCE2018BIS.xlsm]Isin!R29C9</stp>
        <tr r="I29" s="41"/>
      </tp>
      <tp t="s">
        <v>DBR 4 1/4 07/04/18</v>
        <stp/>
        <stp>##V3_BDPV12</stp>
        <stp>DE0001135358 Corp</stp>
        <stp>security des</stp>
        <stp>[NEW BONDS ASW_VINCE2018BIS.xlsm]Isin!R14C9</stp>
        <tr r="I14" s="41"/>
      </tp>
      <tp t="s">
        <v>DBR 4 1/4 07/04/39</v>
        <stp/>
        <stp>##V3_BDPV12</stp>
        <stp>DE0001135325 Corp</stp>
        <stp>security des</stp>
        <stp>[NEW BONDS ASW_VINCE2018BIS.xlsm]Isin!R49C9</stp>
        <tr r="I49" s="41"/>
      </tp>
      <tp t="s">
        <v>BTPS 0.65 10/15/23</v>
        <stp/>
        <stp>##V3_BDPV12</stp>
        <stp>IT0005215246 Corp</stp>
        <stp>security des</stp>
        <stp>[NEW BONDS ASW_VINCE2018BIS.xlsm]Isin!R38C3</stp>
        <tr r="C38" s="41"/>
      </tp>
      <tp t="s">
        <v>BTPS 7 1/4 11/01/26</v>
        <stp/>
        <stp>##V3_BDPV12</stp>
        <stp>IT0001086567 Corp</stp>
        <stp>security des</stp>
        <stp>[NEW BONDS ASW_VINCE2018BIS.xlsm]Isin!R50C3</stp>
        <tr r="C50" s="41"/>
      </tp>
    </main>
    <main first="pldatasource.rtgetrtdserver">
      <tp>
        <v>106.94200000000001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101.122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107.7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101.172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</main>
    <main first="bloomberg.rtd">
      <tp t="s">
        <v>DBR 1 08/15/24</v>
        <stp/>
        <stp>##V3_BDPV12</stp>
        <stp>DE0001102366 Corp</stp>
        <stp>security des</stp>
        <stp>[NEW BONDS ASW_VINCE2018BIS.xlsm]Isin!R38C9</stp>
        <tr r="I38" s="41"/>
      </tp>
      <tp t="s">
        <v>SPGB 2.9 10/31/46</v>
        <stp/>
        <stp>##V3_BDPV12</stp>
        <stp>ES00000128C6 Corp</stp>
        <stp>security des</stp>
        <stp>[NEW BONDS ASW_VINCE2018BIS.xlsm]Isin!R49C6</stp>
        <tr r="F49" s="41"/>
      </tp>
      <tp t="s">
        <v>DBR 4 01/04/37</v>
        <stp/>
        <stp>##V3_BDPV12</stp>
        <stp>DE0001135275 Corp</stp>
        <stp>security des</stp>
        <stp>[NEW BONDS ASW_VINCE2018BIS.xlsm]Isin!R48C9</stp>
        <tr r="I48" s="41"/>
      </tp>
      <tp t="s">
        <v>BTPS 3 1/2 03/01/30</v>
        <stp/>
        <stp>##V3_BDPV12</stp>
        <stp>IT0005024234 Corp</stp>
        <stp>security des</stp>
        <stp>[NEW BONDS ASW_VINCE2018BIS.xlsm]Isin!R58C3</stp>
        <tr r="C58" s="41"/>
      </tp>
      <tp t="s">
        <v>BTPS 1.35 04/15/22</v>
        <stp/>
        <stp>##V3_BDPV12</stp>
        <stp>IT0005086886 Corp</stp>
        <stp>security des</stp>
        <stp>[NEW BONDS ASW_VINCE2018BIS.xlsm]Isin!R30C3</stp>
        <tr r="C30" s="41"/>
      </tp>
      <tp t="s">
        <v>BTPS 2.7 03/01/47</v>
        <stp/>
        <stp>##V3_BDPV12</stp>
        <stp>IT0005162828 Corp</stp>
        <stp>security des</stp>
        <stp>[NEW BONDS ASW_VINCE2018BIS.xlsm]Isin!R70C3</stp>
        <tr r="C70" s="41"/>
      </tp>
      <tp>
        <v>151.68899999999999</v>
        <stp/>
        <stp>##V3_BDPV12</stp>
        <stp>ES00000124H4@cbbt Corp</stp>
        <stp>BID</stp>
        <stp>[NEW BONDS ASW_VINCE2018BIS.xlsm]Bonds!R128C19</stp>
        <tr r="S128" s="1"/>
      </tp>
      <tp>
        <v>152.18700000000001</v>
        <stp/>
        <stp>##V3_BDPV12</stp>
        <stp>ES00000124H4@cbbt Corp</stp>
        <stp>ASK</stp>
        <stp>[NEW BONDS ASW_VINCE2018BIS.xlsm]Bonds!R128C20</stp>
        <tr r="T128" s="1"/>
      </tp>
      <tp>
        <v>100.102</v>
        <stp/>
        <stp>##V3_BDPV12</stp>
        <stp>ES00000128H5@cbbt Corp</stp>
        <stp>BID</stp>
        <stp>[NEW BONDS ASW_VINCE2018BIS.xlsm]Bonds!R116C19</stp>
        <tr r="S116" s="1"/>
      </tp>
      <tp>
        <v>100.27500000000001</v>
        <stp/>
        <stp>##V3_BDPV12</stp>
        <stp>ES00000128H5@cbbt Corp</stp>
        <stp>ASK</stp>
        <stp>[NEW BONDS ASW_VINCE2018BIS.xlsm]Bonds!R116C20</stp>
        <tr r="T116" s="1"/>
      </tp>
    </main>
    <main first="pldatasource.rtgetrtdserver">
      <tp>
        <v>108.30800000000001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107.611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101.40600000000001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</main>
    <main first="bloomberg.rtd">
      <tp t="s">
        <v>OBL 0 1/2 04/12/19</v>
        <stp/>
        <stp>##V3_BDPV12</stp>
        <stp>DE0001141695 Corp</stp>
        <stp>security des</stp>
        <stp>[NEW BONDS ASW_VINCE2018BIS.xlsm]Isin!R18C9</stp>
        <tr r="I18" s="41"/>
      </tp>
      <tp t="s">
        <v>SPGB 1.4 01/31/20</v>
        <stp/>
        <stp>##V3_BDPV12</stp>
        <stp>ES00000126C0 Corp</stp>
        <stp>security des</stp>
        <stp>[NEW BONDS ASW_VINCE2018BIS.xlsm]Isin!R18C6</stp>
        <tr r="F18" s="41"/>
      </tp>
      <tp t="s">
        <v>BTPS 2.15 12/15/21</v>
        <stp/>
        <stp>##V3_BDPV12</stp>
        <stp>IT0005028003 Corp</stp>
        <stp>security des</stp>
        <stp>[NEW BONDS ASW_VINCE2018BIS.xlsm]Isin!R28C3</stp>
        <tr r="C28" s="41"/>
      </tp>
      <tp t="s">
        <v>DBR 5 5/8 01/04/28</v>
        <stp/>
        <stp>##V3_BDPV12</stp>
        <stp>DE0001135069 Corp</stp>
        <stp>security des</stp>
        <stp>[NEW BONDS ASW_VINCE2018BIS.xlsm]Isin!R43C9</stp>
        <tr r="I43" s="41"/>
      </tp>
      <tp t="s">
        <v>BTPS 4 09/01/20</v>
        <stp/>
        <stp>##V3_BDPV12</stp>
        <stp>IT0004594930 Corp</stp>
        <stp>security des</stp>
        <stp>[NEW BONDS ASW_VINCE2018BIS.xlsm]Isin!R20C3</stp>
        <tr r="C20" s="41"/>
      </tp>
      <tp t="s">
        <v>BTPS 4 1/2 03/01/26</v>
        <stp/>
        <stp>##V3_BDPV12</stp>
        <stp>IT0004644735 Corp</stp>
        <stp>security des</stp>
        <stp>[NEW BONDS ASW_VINCE2018BIS.xlsm]Isin!R48C3</stp>
        <tr r="C48" s="41"/>
      </tp>
      <tp>
        <v>100.46599999999999</v>
        <stp/>
        <stp>##V3_BDPV12</stp>
        <stp>ES00000128O1@cbbt Corp</stp>
        <stp>BID</stp>
        <stp>[NEW BONDS ASW_VINCE2018BIS.xlsm]Bonds!R104C19</stp>
        <tr r="S104" s="1"/>
      </tp>
      <tp>
        <v>100.565</v>
        <stp/>
        <stp>##V3_BDPV12</stp>
        <stp>ES00000128O1@cbbt Corp</stp>
        <stp>ASK</stp>
        <stp>[NEW BONDS ASW_VINCE2018BIS.xlsm]Bonds!R104C20</stp>
        <tr r="T104" s="1"/>
      </tp>
    </main>
    <main first="pldatasource.rtgetrtdserver">
      <tp>
        <v>150.08000000000001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157.07500000000002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108.36200000000001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101.45400000000001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99.92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 t="s">
        <v>SPGB 6 01/31/29</v>
        <stp/>
        <stp>##V3_BDPV12</stp>
        <stp>ES0000011868 Corp</stp>
        <stp>security des</stp>
        <stp>[NEW BONDS ASW_VINCE2018BIS.xlsm]Isin!R41C6</stp>
        <tr r="F41" s="41"/>
      </tp>
      <tp t="s">
        <v>OBL 0 1/4 10/16/20</v>
        <stp/>
        <stp>##V3_BDPV12</stp>
        <stp>DE0001141729 Corp</stp>
        <stp>security des</stp>
        <stp>[NEW BONDS ASW_VINCE2018BIS.xlsm]Isin!R25C9</stp>
        <tr r="I25" s="41"/>
      </tp>
      <tp t="s">
        <v>OBL 1 10/12/18</v>
        <stp/>
        <stp>##V3_BDPV12</stp>
        <stp>DE0001141679 Corp</stp>
        <stp>security des</stp>
        <stp>[NEW BONDS ASW_VINCE2018BIS.xlsm]Isin!R15C9</stp>
        <tr r="I15" s="41"/>
      </tp>
      <tp t="s">
        <v>DBR 3 07/04/20</v>
        <stp/>
        <stp>##V3_BDPV12</stp>
        <stp>DE0001135408 Corp</stp>
        <stp>security des</stp>
        <stp>[NEW BONDS ASW_VINCE2018BIS.xlsm]Isin!R23C9</stp>
        <tr r="I23" s="41"/>
      </tp>
      <tp t="s">
        <v>DBR 3 1/2 07/04/19</v>
        <stp/>
        <stp>##V3_BDPV12</stp>
        <stp>DE0001135382 Corp</stp>
        <stp>security des</stp>
        <stp>[NEW BONDS ASW_VINCE2018BIS.xlsm]Isin!R19C9</stp>
        <tr r="I19" s="41"/>
      </tp>
      <tp t="s">
        <v>BTPS 5 08/01/39</v>
        <stp/>
        <stp>##V3_BDPV12</stp>
        <stp>IT0004286966 Corp</stp>
        <stp>security des</stp>
        <stp>[NEW BONDS ASW_VINCE2018BIS.xlsm]Isin!R66C3</stp>
        <tr r="C66" s="41"/>
      </tp>
      <tp>
        <v>144.90799999999999</v>
        <stp/>
        <stp>##V3_BDPV12</stp>
        <stp>ES00000120N0@cbbt Corp</stp>
        <stp>BID</stp>
        <stp>[NEW BONDS ASW_VINCE2018BIS.xlsm]Bonds!R126C19</stp>
        <tr r="S126" s="1"/>
      </tp>
      <tp>
        <v>145.37100000000001</v>
        <stp/>
        <stp>##V3_BDPV12</stp>
        <stp>ES00000120N0@cbbt Corp</stp>
        <stp>ASK</stp>
        <stp>[NEW BONDS ASW_VINCE2018BIS.xlsm]Bonds!R126C20</stp>
        <tr r="T126" s="1"/>
      </tp>
    </main>
    <main first="pldatasource.rtgetrtdserver">
      <tp>
        <v>170.977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108.651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104.97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100.431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 t="s">
        <v>DBR 1 1/2 02/15/23</v>
        <stp/>
        <stp>##V3_BDPV12</stp>
        <stp>DE0001102309 Corp</stp>
        <stp>security des</stp>
        <stp>[NEW BONDS ASW_VINCE2018BIS.xlsm]Isin!R32C9</stp>
        <tr r="I32" s="41"/>
      </tp>
      <tp t="s">
        <v>BTPS 4 1/2 05/01/23</v>
        <stp/>
        <stp>##V3_BDPV12</stp>
        <stp>IT0004898034 Corp</stp>
        <stp>security des</stp>
        <stp>[NEW BONDS ASW_VINCE2018BIS.xlsm]Isin!R36C3</stp>
        <tr r="C36" s="41"/>
      </tp>
      <tp t="s">
        <v>DBR 1 1/2 09/04/22</v>
        <stp/>
        <stp>##V3_BDPV12</stp>
        <stp>DE0001135499 Corp</stp>
        <stp>security des</stp>
        <stp>[NEW BONDS ASW_VINCE2018BIS.xlsm]Isin!R31C9</stp>
        <tr r="I31" s="41"/>
      </tp>
      <tp t="s">
        <v>BTPS 0.45 06/01/21</v>
        <stp/>
        <stp>##V3_BDPV12</stp>
        <stp>IT0005175598 Corp</stp>
        <stp>security des</stp>
        <stp>[NEW BONDS ASW_VINCE2018BIS.xlsm]Isin!R24C3</stp>
        <tr r="C24" s="41"/>
      </tp>
    </main>
    <main first="pldatasource.rtgetrtdserver">
      <tp>
        <v>108.98700000000001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108.07300000000001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100.765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</main>
    <main first="bloomberg.rtd">
      <tp t="s">
        <v>SPGB 0 3/4 07/30/21</v>
        <stp/>
        <stp>##V3_BDPV12</stp>
        <stp>ES00000128B8 Corp</stp>
        <stp>security des</stp>
        <stp>[NEW BONDS ASW_VINCE2018BIS.xlsm]Isin!R23C6</stp>
        <tr r="F23" s="41"/>
      </tp>
      <tp t="s">
        <v>SPGB 5 1/2 04/30/21</v>
        <stp/>
        <stp>##V3_BDPV12</stp>
        <stp>ES00000123B9 Corp</stp>
        <stp>security des</stp>
        <stp>[NEW BONDS ASW_VINCE2018BIS.xlsm]Isin!R22C6</stp>
        <tr r="F22" s="41"/>
      </tp>
      <tp t="s">
        <v>SPGB 4.4 10/31/23</v>
        <stp/>
        <stp>##V3_BDPV12</stp>
        <stp>ES00000123X3 Corp</stp>
        <stp>security des</stp>
        <stp>[NEW BONDS ASW_VINCE2018BIS.xlsm]Isin!R28C6</stp>
        <tr r="F28" s="41"/>
      </tp>
      <tp t="s">
        <v>SPGB 4.8 01/31/24</v>
        <stp/>
        <stp>##V3_BDPV12</stp>
        <stp>ES00000121G2 Corp</stp>
        <stp>security des</stp>
        <stp>[NEW BONDS ASW_VINCE2018BIS.xlsm]Isin!R29C6</stp>
        <tr r="F29" s="41"/>
      </tp>
      <tp t="s">
        <v>BTPS 4 3/4 09/01/21</v>
        <stp/>
        <stp>##V3_BDPV12</stp>
        <stp>IT0004695075 Corp</stp>
        <stp>security des</stp>
        <stp>[NEW BONDS ASW_VINCE2018BIS.xlsm]Isin!R26C3</stp>
        <tr r="C26" s="41"/>
      </tp>
      <tp t="s">
        <v>BTPS 4 1/2 02/01/20</v>
        <stp/>
        <stp>##V3_BDPV12</stp>
        <stp>IT0003644769 Corp</stp>
        <stp>security des</stp>
        <stp>[NEW BONDS ASW_VINCE2018BIS.xlsm]Isin!R17C3</stp>
        <tr r="C17" s="41"/>
      </tp>
      <tp t="s">
        <v>BTPS 2 1/4 09/01/36</v>
        <stp/>
        <stp>##V3_BDPV12</stp>
        <stp>IT0005177909 Corp</stp>
        <stp>security des</stp>
        <stp>[NEW BONDS ASW_VINCE2018BIS.xlsm]Isin!R64C3</stp>
        <tr r="C64" s="41"/>
      </tp>
      <tp t="s">
        <v>BTPS 9 11/01/23</v>
        <stp/>
        <stp>##V3_BDPV12</stp>
        <stp>IT0000366655 Corp</stp>
        <stp>security des</stp>
        <stp>[NEW BONDS ASW_VINCE2018BIS.xlsm]Isin!R39C3</stp>
        <tr r="C39" s="41"/>
      </tp>
    </main>
    <main first="pldatasource.rtgetrtdserver">
      <tp>
        <v>154.05199999999999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162.39500000000001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129.203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98.531999999999996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</main>
    <main first="bloomberg.rtd">
      <tp t="s">
        <v>5/1/2023</v>
        <stp/>
        <stp>##V3_BDPV12</stp>
        <stp>IT0004898034 Corp</stp>
        <stp>Maturity</stp>
        <stp>[NEW BONDS ASW_VINCE2018BIS.xlsm]CCT!R35C4</stp>
        <tr r="D35" s="44"/>
      </tp>
      <tp t="s">
        <v>12/1/2024</v>
        <stp/>
        <stp>##V3_BDPV12</stp>
        <stp>IT0005045270 Corp</stp>
        <stp>Maturity</stp>
        <stp>[NEW BONDS ASW_VINCE2018BIS.xlsm]CCT!R39C4</stp>
        <tr r="D39" s="44"/>
      </tp>
      <tp>
        <v>142.16499999999999</v>
        <stp/>
        <stp>##V3_BDPV12</stp>
        <stp>ES00000121S7@cbbt Corp</stp>
        <stp>BID</stp>
        <stp>[NEW BONDS ASW_VINCE2018BIS.xlsm]Bonds!R127C19</stp>
        <tr r="S127" s="1"/>
      </tp>
      <tp>
        <v>142.63999999999999</v>
        <stp/>
        <stp>##V3_BDPV12</stp>
        <stp>ES00000121S7@cbbt Corp</stp>
        <stp>ASK</stp>
        <stp>[NEW BONDS ASW_VINCE2018BIS.xlsm]Bonds!R127C20</stp>
        <tr r="T127" s="1"/>
      </tp>
      <tp t="s">
        <v>9/1/2022</v>
        <stp/>
        <stp>##V3_BDPV12</stp>
        <stp>IT0004801541 Corp</stp>
        <stp>Maturity</stp>
        <stp>[NEW BONDS ASW_VINCE2018BIS.xlsm]CCT!R33C4</stp>
        <tr r="D33" s="44"/>
      </tp>
      <tp t="s">
        <v>3/1/2024</v>
        <stp/>
        <stp>##V3_BDPV12</stp>
        <stp>IT0004953417 Corp</stp>
        <stp>Maturity</stp>
        <stp>[NEW BONDS ASW_VINCE2018BIS.xlsm]CCT!R37C4</stp>
        <tr r="D37" s="44"/>
      </tp>
      <tp t="s">
        <v>11/1/2022</v>
        <stp/>
        <stp>##V3_BDPV12</stp>
        <stp>IT0004848831 Corp</stp>
        <stp>Maturity</stp>
        <stp>[NEW BONDS ASW_VINCE2018BIS.xlsm]CCT!R34C4</stp>
        <tr r="D34" s="44"/>
      </tp>
      <tp t="s">
        <v>11/1/2018</v>
        <stp/>
        <stp>##V3_BDPV12</stp>
        <stp>IT0004922909 Corp</stp>
        <stp>Maturity</stp>
        <stp>[NEW BONDS ASW_VINCE2018BIS.xlsm]CCT!R7C4</stp>
        <tr r="D7" s="44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</main>
    <main first="bloomberg.rtd">
      <tp t="s">
        <v>9/1/2024</v>
        <stp/>
        <stp>##V3_BDPV12</stp>
        <stp>IT0005001547 Corp</stp>
        <stp>Maturity</stp>
        <stp>[NEW BONDS ASW_VINCE2018BIS.xlsm]CCT!R38C4</stp>
        <tr r="D38" s="44"/>
      </tp>
      <tp t="s">
        <v>12/15/2020</v>
        <stp/>
        <stp>##V3_BDPV12</stp>
        <stp>IT0005056541 Corp</stp>
        <stp>Maturity</stp>
        <stp>[NEW BONDS ASW_VINCE2018BIS.xlsm]CCT!R9C4</stp>
        <tr r="D9" s="44"/>
      </tp>
      <tp>
        <v>103.955</v>
        <stp/>
        <stp>##V3_BDPV12</stp>
        <stp>ES00000128Q6@cbbt Corp</stp>
        <stp>BID</stp>
        <stp>[NEW BONDS ASW_VINCE2018BIS.xlsm]Bonds!R124C19</stp>
        <tr r="S124" s="1"/>
      </tp>
      <tp>
        <v>104.24</v>
        <stp/>
        <stp>##V3_BDPV12</stp>
        <stp>ES00000128Q6@cbbt Corp</stp>
        <stp>ASK</stp>
        <stp>[NEW BONDS ASW_VINCE2018BIS.xlsm]Bonds!R124C20</stp>
        <tr r="T124" s="1"/>
      </tp>
    </main>
    <main first="marketviewexcelplugin.mkvxp">
      <tp t="e">
        <v>#REF!</v>
        <stp/>
        <stp>0</stp>
        <stp>EUR.PRICING_MAIN.PXE.IT0005218968</stp>
        <stp>CurrentClosingPriceMid</stp>
        <tr r="X13" s="44"/>
      </tp>
    </main>
    <main first="bloomberg.rtd">
      <tp t="s">
        <v>9/1/2019</v>
        <stp/>
        <stp>##V3_BDPV12</stp>
        <stp>IT0004489610 Corp</stp>
        <stp>Maturity</stp>
        <stp>[NEW BONDS ASW_VINCE2018BIS.xlsm]CCT!R28C4</stp>
        <tr r="D28" s="44"/>
      </tp>
      <tp>
        <v>101.089</v>
        <stp/>
        <stp>##V3_BDPV12</stp>
        <stp>ES00000128P8@cbbt Corp</stp>
        <stp>BID</stp>
        <stp>[NEW BONDS ASW_VINCE2018BIS.xlsm]Bonds!R117C19</stp>
        <tr r="S117" s="1"/>
      </tp>
      <tp>
        <v>101.26600000000001</v>
        <stp/>
        <stp>##V3_BDPV12</stp>
        <stp>ES00000128P8@cbbt Corp</stp>
        <stp>ASK</stp>
        <stp>[NEW BONDS ASW_VINCE2018BIS.xlsm]Bonds!R117C20</stp>
        <tr r="T117" s="1"/>
      </tp>
    </main>
    <main first="pldatasource.rtgetrtdserver">
      <tp>
        <v>102.82000000000001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</main>
    <main first="bloomberg.rtd">
      <tp>
        <v>118.166</v>
        <stp/>
        <stp>##V3_BDPV12</stp>
        <stp>ES00000124W3@cbbt Corp</stp>
        <stp>BID</stp>
        <stp>[NEW BONDS ASW_VINCE2018BIS.xlsm]Bonds!R109C19</stp>
        <tr r="S109" s="1"/>
      </tp>
      <tp>
        <v>118.30800000000001</v>
        <stp/>
        <stp>##V3_BDPV12</stp>
        <stp>ES00000124W3@cbbt Corp</stp>
        <stp>ASK</stp>
        <stp>[NEW BONDS ASW_VINCE2018BIS.xlsm]Bonds!R109C20</stp>
        <tr r="T109" s="1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>
        <v>123.97</v>
        <stp/>
        <stp>##V3_BDPV12</stp>
        <stp>ES00000123U9@cbbt Corp</stp>
        <stp>BID</stp>
        <stp>[NEW BONDS ASW_VINCE2018BIS.xlsm]Bonds!R106C19</stp>
        <tr r="S106" s="1"/>
      </tp>
      <tp>
        <v>124.105</v>
        <stp/>
        <stp>##V3_BDPV12</stp>
        <stp>ES00000123U9@cbbt Corp</stp>
        <stp>ASK</stp>
        <stp>[NEW BONDS ASW_VINCE2018BIS.xlsm]Bonds!R106C20</stp>
        <tr r="T106" s="1"/>
      </tp>
      <tp t="s">
        <v>12/1/2018</v>
        <stp/>
        <stp>##V3_BDPV12</stp>
        <stp>IT0004957574 Corp</stp>
        <stp>Maturity</stp>
        <stp>[NEW BONDS ASW_VINCE2018BIS.xlsm]CCT!R27C4</stp>
        <tr r="D27" s="44"/>
      </tp>
      <tp t="s">
        <v>4/15/2025</v>
        <stp/>
        <stp>##V3_BDPV12</stp>
        <stp>IT0005311508 Corp</stp>
        <stp>Maturity</stp>
        <stp>[NEW BONDS ASW_VINCE2018BIS.xlsm]CCT!R15C4</stp>
        <tr r="D15" s="44"/>
      </tp>
      <tp t="s">
        <v>9/1/2020</v>
        <stp/>
        <stp>##V3_BDPV12</stp>
        <stp>IT0004594930 Corp</stp>
        <stp>Maturity</stp>
        <stp>[NEW BONDS ASW_VINCE2018BIS.xlsm]CCT!R30C4</stp>
        <tr r="D30" s="44"/>
      </tp>
      <tp t="s">
        <v>7/15/2023</v>
        <stp/>
        <stp>##V3_BDPV12</stp>
        <stp>IT0005185456 Corp</stp>
        <stp>Maturity</stp>
        <stp>[NEW BONDS ASW_VINCE2018BIS.xlsm]CCT!R12C4</stp>
        <tr r="D12" s="44"/>
      </tp>
      <tp t="s">
        <v>6/15/2022</v>
        <stp/>
        <stp>##V3_BDPV12</stp>
        <stp>IT0005104473 Corp</stp>
        <stp>Maturity</stp>
        <stp>[NEW BONDS ASW_VINCE2018BIS.xlsm]CCT!R10C4</stp>
        <tr r="D10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  <tp t="e">
        <v>#REF!</v>
        <stp/>
        <stp>0</stp>
        <stp>EUR.CM_DEPTH.VMO_REPO.IT0005185456_SN_Fixed</stp>
        <stp>TrdValueAvg</stp>
        <tr r="M12" s="44"/>
      </tp>
      <tp t="e">
        <v>#REF!</v>
        <stp/>
        <stp>0</stp>
        <stp>EUR.CM_DEPTH.VMO_REPO.IT0005056541_SN_Fixed</stp>
        <stp>TrdValueAvg</stp>
        <tr r="M9" s="44"/>
      </tp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 t="s">
        <v>2/15/2024</v>
        <stp/>
        <stp>##V3_BDPV12</stp>
        <stp>IT0005218968 Corp</stp>
        <stp>Maturity</stp>
        <stp>[NEW BONDS ASW_VINCE2018BIS.xlsm]CCT!R13C4</stp>
        <tr r="D13" s="44"/>
      </tp>
      <tp>
        <v>105.71</v>
        <stp/>
        <stp>##V3_BDPV12</stp>
        <stp>ES00000127Z9@cbbt Corp</stp>
        <stp>BID</stp>
        <stp>[NEW BONDS ASW_VINCE2018BIS.xlsm]Bonds!R114C19</stp>
        <tr r="S114" s="1"/>
      </tp>
      <tp>
        <v>105.881</v>
        <stp/>
        <stp>##V3_BDPV12</stp>
        <stp>ES00000127Z9@cbbt Corp</stp>
        <stp>ASK</stp>
        <stp>[NEW BONDS ASW_VINCE2018BIS.xlsm]Bonds!R114C20</stp>
        <tr r="T114" s="1"/>
      </tp>
      <tp t="s">
        <v>1/15/2018</v>
        <stp/>
        <stp>##V3_BDPV12</stp>
        <stp>IT0005185456 Corp</stp>
        <stp>PREV_CPN_DT</stp>
        <stp>[NEW BONDS ASW_VINCE2018BIS.xlsm]CCT!R12C26</stp>
        <tr r="Z12" s="44"/>
      </tp>
      <tp>
        <v>104.39400000000001</v>
        <stp/>
        <stp>##V3_BDPV12</stp>
        <stp>ES00000126Z1@cbbt Corp</stp>
        <stp>BID</stp>
        <stp>[NEW BONDS ASW_VINCE2018BIS.xlsm]Bonds!R111C19</stp>
        <tr r="S111" s="1"/>
      </tp>
      <tp>
        <v>104.517</v>
        <stp/>
        <stp>##V3_BDPV12</stp>
        <stp>ES00000126Z1@cbbt Corp</stp>
        <stp>ASK</stp>
        <stp>[NEW BONDS ASW_VINCE2018BIS.xlsm]Bonds!R111C20</stp>
        <tr r="T111" s="1"/>
      </tp>
      <tp t="s">
        <v>2/15/2018</v>
        <stp/>
        <stp>##V3_BDPV12</stp>
        <stp>IT0005218968 Corp</stp>
        <stp>PREV_CPN_DT</stp>
        <stp>[NEW BONDS ASW_VINCE2018BIS.xlsm]CCT!R13C26</stp>
        <tr r="Z13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</main>
    <main first="bloomberg.rtd">
      <tp t="s">
        <v>3/1/2021</v>
        <stp/>
        <stp>##V3_BDPV12</stp>
        <stp>IT0004634132 Corp</stp>
        <stp>Maturity</stp>
        <stp>[NEW BONDS ASW_VINCE2018BIS.xlsm]CCT!R31C4</stp>
        <tr r="D31" s="44"/>
      </tp>
      <tp t="s">
        <v>10/15/2024</v>
        <stp/>
        <stp>##V3_BDPV12</stp>
        <stp>IT0005252520 Corp</stp>
        <stp>Maturity</stp>
        <stp>[NEW BONDS ASW_VINCE2018BIS.xlsm]CCT!R14C4</stp>
        <tr r="D14" s="44"/>
      </tp>
      <tp t="s">
        <v>4/15/2018</v>
        <stp/>
        <stp>##V3_BDPV12</stp>
        <stp>IT0004716319 Corp</stp>
        <stp>Maturity</stp>
        <stp>[NEW BONDS ASW_VINCE2018BIS.xlsm]CCT!R6C4</stp>
        <tr r="D6" s="44"/>
      </tp>
    </main>
    <main first="marketviewexcelplugin.mkvxp"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</main>
    <main first="bloomberg.rtd">
      <tp t="s">
        <v>12/15/2017</v>
        <stp/>
        <stp>##V3_BDPV12</stp>
        <stp>IT0005104473 Corp</stp>
        <stp>PREV_CPN_DT</stp>
        <stp>[NEW BONDS ASW_VINCE2018BIS.xlsm]CCT!R10C26</stp>
        <tr r="Z10" s="44"/>
      </tp>
      <tp>
        <v>100.119</v>
        <stp/>
        <stp>##V3_BDPV12</stp>
        <stp>ES00000128X2@cbbt Corp</stp>
        <stp>BID</stp>
        <stp>[NEW BONDS ASW_VINCE2018BIS.xlsm]Bonds!R100C19</stp>
        <tr r="S100" s="1"/>
      </tp>
      <tp>
        <v>100.193</v>
        <stp/>
        <stp>##V3_BDPV12</stp>
        <stp>ES00000128X2@cbbt Corp</stp>
        <stp>ASK</stp>
        <stp>[NEW BONDS ASW_VINCE2018BIS.xlsm]Bonds!R100C20</stp>
        <tr r="T100" s="1"/>
      </tp>
      <tp>
        <v>120.956</v>
        <stp/>
        <stp>##V3_BDPV12</stp>
        <stp>ES00000123X3@cbbt Corp</stp>
        <stp>BID</stp>
        <stp>[NEW BONDS ASW_VINCE2018BIS.xlsm]Bonds!R107C19</stp>
        <tr r="S107" s="1"/>
      </tp>
      <tp>
        <v>121.08199999999999</v>
        <stp/>
        <stp>##V3_BDPV12</stp>
        <stp>ES00000123X3@cbbt Corp</stp>
        <stp>ASK</stp>
        <stp>[NEW BONDS ASW_VINCE2018BIS.xlsm]Bonds!R107C20</stp>
        <tr r="T107" s="1"/>
      </tp>
    </main>
    <main first="marketviewexcelplugin.mkvxp">
      <tp t="e">
        <v>#REF!</v>
        <stp/>
        <stp>0</stp>
        <stp>EUR.PRICING_MAIN.PXE.IT0005137614</stp>
        <stp>CurrentClosingPriceMid</stp>
        <tr r="X11" s="44"/>
      </tp>
    </main>
    <main first="bloomberg.rtd">
      <tp t="s">
        <v>3/1/2022</v>
        <stp/>
        <stp>##V3_BDPV12</stp>
        <stp>IT0004759673 Corp</stp>
        <stp>Maturity</stp>
        <stp>[NEW BONDS ASW_VINCE2018BIS.xlsm]CCT!R32C4</stp>
        <tr r="D32" s="44"/>
      </tp>
    </main>
    <main first="marketviewexcelplugin.mkvxp">
      <tp t="e">
        <v>#REF!</v>
        <stp/>
        <stp>0</stp>
        <stp>EUR.CM_DEPTH.VMO_REPO.IT0005137614_SN_Fixed</stp>
        <stp>TrdValueAvg</stp>
        <tr r="M11" s="44"/>
      </tp>
      <tp t="e">
        <v>#REF!</v>
        <stp/>
        <stp>0</stp>
        <stp>EUR.CM_DEPTH.VMO_REPO.IT0005252520_SN_Fixed</stp>
        <stp>TrdValueAvg</stp>
        <tr r="M14" s="44"/>
      </tp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</main>
    <main first="bloomberg.rtd">
      <tp t="s">
        <v>3/28/2018</v>
        <stp/>
        <stp>##V3_BDPV12</stp>
        <stp>IT0005175366 Corp</stp>
        <stp>Maturity</stp>
        <stp>[NEW BONDS ASW_VINCE2018BIS.xlsm]CCT!R24C4</stp>
        <tr r="D24" s="44"/>
      </tp>
      <tp t="s">
        <v>12/15/2017</v>
        <stp/>
        <stp>##V3_BDPV12</stp>
        <stp>IT0005137614 Corp</stp>
        <stp>PREV_CPN_DT</stp>
        <stp>[NEW BONDS ASW_VINCE2018BIS.xlsm]CCT!R11C26</stp>
        <tr r="Z11" s="44"/>
      </tp>
      <tp t="s">
        <v>10/15/2017</v>
        <stp/>
        <stp>##V3_BDPV12</stp>
        <stp>IT0005252520 Corp</stp>
        <stp>PREV_CPN_DT</stp>
        <stp>[NEW BONDS ASW_VINCE2018BIS.xlsm]CCT!R14C26</stp>
        <tr r="Z14" s="44"/>
      </tp>
    </main>
    <main first="marketviewexcelplugin.mkvxp">
      <tp t="e">
        <v>#REF!</v>
        <stp/>
        <stp>0</stp>
        <stp>EUR.PRICING_MAIN.PXE.IT0005185456</stp>
        <stp>CurrentClosingPriceMid</stp>
        <tr r="X12" s="44"/>
      </tp>
    </main>
    <main first="bloomberg.rtd">
      <tp t="s">
        <v>5/15/2018</v>
        <stp/>
        <stp>##V3_BDPV12</stp>
        <stp>IT0005106049 Corp</stp>
        <stp>Maturity</stp>
        <stp>[NEW BONDS ASW_VINCE2018BIS.xlsm]CCT!R25C4</stp>
        <tr r="D25" s="44"/>
      </tp>
      <tp t="s">
        <v>6/1/2025</v>
        <stp/>
        <stp>##V3_BDPV12</stp>
        <stp>IT0005090318 Corp</stp>
        <stp>Maturity</stp>
        <stp>[NEW BONDS ASW_VINCE2018BIS.xlsm]CCT!R41C4</stp>
        <tr r="D41" s="44"/>
      </tp>
      <tp t="s">
        <v>12/1/2019</v>
        <stp/>
        <stp>##V3_BDPV12</stp>
        <stp>IT0005069395 Corp</stp>
        <stp>Maturity</stp>
        <stp>[NEW BONDS ASW_VINCE2018BIS.xlsm]CCT!R29C4</stp>
        <tr r="D29" s="44"/>
      </tp>
      <tp t="s">
        <v>10/15/2023</v>
        <stp/>
        <stp>##V3_BDPV12</stp>
        <stp>IT0005215246 Corp</stp>
        <stp>Maturity</stp>
        <stp>[NEW BONDS ASW_VINCE2018BIS.xlsm]CCT!R36C4</stp>
        <tr r="D36" s="44"/>
      </tp>
      <tp t="s">
        <v>11/15/2019</v>
        <stp/>
        <stp>##V3_BDPV12</stp>
        <stp>IT0005009839 Corp</stp>
        <stp>Maturity</stp>
        <stp>[NEW BONDS ASW_VINCE2018BIS.xlsm]CCT!R8C4</stp>
        <tr r="D8" s="44"/>
      </tp>
      <tp t="s">
        <v>10/15/2017</v>
        <stp/>
        <stp>##V3_BDPV12</stp>
        <stp>IT0005311508 Corp</stp>
        <stp>PREV_CPN_DT</stp>
        <stp>[NEW BONDS ASW_VINCE2018BIS.xlsm]CCT!R15C26</stp>
        <tr r="Z15" s="44"/>
      </tp>
    </main>
    <main first="marketviewexcelplugin.mkvxp">
      <tp t="e">
        <v>#REF!</v>
        <stp/>
        <stp>0</stp>
        <stp>EUR.PRICING_MAIN.PXE.IT0005104473</stp>
        <stp>CurrentClosingPriceMid</stp>
        <tr r="X10" s="44"/>
      </tp>
    </main>
    <main first="bloomberg.rtd">
      <tp t="s">
        <v>3/1/2025</v>
        <stp/>
        <stp>##V3_BDPV12</stp>
        <stp>IT0004513641 Corp</stp>
        <stp>Maturity</stp>
        <stp>[NEW BONDS ASW_VINCE2018BIS.xlsm]CCT!R40C4</stp>
        <tr r="D40" s="44"/>
      </tp>
      <tp t="s">
        <v>8/1/2018</v>
        <stp/>
        <stp>##V3_BDPV12</stp>
        <stp>IT0004361041 Corp</stp>
        <stp>Maturity</stp>
        <stp>[NEW BONDS ASW_VINCE2018BIS.xlsm]CCT!R26C4</stp>
        <tr r="D26" s="44"/>
      </tp>
      <tp t="s">
        <v>12/15/2022</v>
        <stp/>
        <stp>##V3_BDPV12</stp>
        <stp>IT0005137614 Corp</stp>
        <stp>Maturity</stp>
        <stp>[NEW BONDS ASW_VINCE2018BIS.xlsm]CCT!R11C4</stp>
        <tr r="D11" s="44"/>
      </tp>
    </main>
    <main first="marketviewexcelplugin.mkvxp"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pldatasource.rtgetrtdserver">
      <tp>
        <v>0.878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pldatasource.rtgetrtdserver"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  <tp>
        <v>0.98799999999999999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  <tp>
        <v>0.98799999999999999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  <tp>
        <v>0.878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>
        <v>75</v>
        <stp/>
        <stp>##V3_BDPV12</stp>
        <stp>IT0005218968 Corp</stp>
        <stp>FLT_SPREAD</stp>
        <stp>[NEW BONDS ASW_VINCE2018BIS.xlsm]CCT!R13C5</stp>
        <tr r="E13" s="44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marketviewexcelplugin.mkvxp">
      <tp t="e">
        <v>#REF!</v>
        <stp/>
        <stp>0</stp>
        <stp>EUR.PRICING_MAIN.PXE.IT0004922909</stp>
        <stp>MDuration</stp>
        <tr r="W7" s="44"/>
      </tp>
      <tp t="e">
        <v>#REF!</v>
        <stp/>
        <stp>0</stp>
        <stp>EUR.PRICING_MAIN.PXE.IT0004716319</stp>
        <stp>MDuration</stp>
        <tr r="W6" s="44"/>
      </tp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  <tp t="e">
        <v>#REF!</v>
        <stp/>
        <stp>0</stp>
        <stp>EUR.PRICING_MAIN.PXE.IT0005311508</stp>
        <stp>MDuration</stp>
        <tr r="W15" s="44"/>
      </tp>
    </main>
    <main first="bloomberg.rtd">
      <tp>
        <v>70</v>
        <stp/>
        <stp>##V3_BDPV12</stp>
        <stp>IT0005185456 Corp</stp>
        <stp>FLT_SPREAD</stp>
        <stp>[NEW BONDS ASW_VINCE2018BIS.xlsm]CCT!R12C5</stp>
        <tr r="E12" s="44"/>
      </tp>
    </main>
    <main first="pldatasource.rtgetrtdserver">
      <tp>
        <v>7.6999999999999999E-2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>
        <v>110</v>
        <stp/>
        <stp>##V3_BDPV12</stp>
        <stp>IT0005252520 Corp</stp>
        <stp>FLT_SPREAD</stp>
        <stp>[NEW BONDS ASW_VINCE2018BIS.xlsm]CCT!R14C5</stp>
        <tr r="E14" s="44"/>
      </tp>
      <tp>
        <v>70</v>
        <stp/>
        <stp>##V3_BDPV12</stp>
        <stp>IT0005137614 Corp</stp>
        <stp>FLT_SPREAD</stp>
        <stp>[NEW BONDS ASW_VINCE2018BIS.xlsm]CCT!R11C5</stp>
        <tr r="E11" s="44"/>
      </tp>
    </main>
    <main first="pldatasource.rtgetrtdserver">
      <tp>
        <v>-0.25250223300000002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pldatasource.rtgetrtdserver">
      <tp>
        <v>-0.12088731200000001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  <tp>
        <v>-0.12088731200000001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pldatasource.rtgetrtdserver">
      <tp>
        <v>-0.25250223300000002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AP8872685</v>
        <stp/>
        <stp>##V3_BDPV12</stp>
        <stp>DUH8 Comdty</stp>
        <stp>FUT_CTD_CUSIP</stp>
        <stp>[NEW BONDS ASW_VINCE2018BIS.xlsm]Bonds!R5C30</stp>
        <tr r="AD5" s="1"/>
      </tp>
      <tp t="s">
        <v>AP8872685</v>
        <stp/>
        <stp>##V3_BDPV12</stp>
        <stp>DUH8 Comdty</stp>
        <stp>FUT_CTD_CUSIP</stp>
        <stp>[NEW BONDS ASW_VINCE2018BIS.xlsm]Bonds!R6C30</stp>
        <tr r="AD6" s="1"/>
        <tr r="AD6" s="1"/>
      </tp>
      <tp t="s">
        <v>AO1311320</v>
        <stp/>
        <stp>##V3_BDPV12</stp>
        <stp>OEH8 Comdty</stp>
        <stp>FUT_CTD_CUSIP</stp>
        <stp>[NEW BONDS ASW_VINCE2018BIS.xlsm]Bonds!R5C37</stp>
        <tr r="AK5" s="1"/>
      </tp>
      <tp t="s">
        <v>AO1311320</v>
        <stp/>
        <stp>##V3_BDPV12</stp>
        <stp>OEH8 Comdty</stp>
        <stp>FUT_CTD_CUSIP</stp>
        <stp>[NEW BONDS ASW_VINCE2018BIS.xlsm]Bonds!R6C37</stp>
        <tr r="AK6" s="1"/>
        <tr r="AK6" s="1"/>
      </tp>
      <tp t="s">
        <v>AL9975494</v>
        <stp/>
        <stp>##V3_BDPV12</stp>
        <stp>RXH8 Comdty</stp>
        <stp>FUT_CTD_CUSIP</stp>
        <stp>[NEW BONDS ASW_VINCE2018BIS.xlsm]Bonds!R5C38</stp>
        <tr r="AL5" s="1"/>
      </tp>
      <tp t="s">
        <v>AL9975494</v>
        <stp/>
        <stp>##V3_BDPV12</stp>
        <stp>RXH8 Comdty</stp>
        <stp>FUT_CTD_CUSIP</stp>
        <stp>[NEW BONDS ASW_VINCE2018BIS.xlsm]Bonds!R6C38</stp>
        <tr r="AL6" s="1"/>
        <tr r="AL6" s="1"/>
      </tp>
      <tp>
        <v>55</v>
        <stp/>
        <stp>##V3_BDPV12</stp>
        <stp>IT0005104473 Corp</stp>
        <stp>FLT_SPREAD</stp>
        <stp>[NEW BONDS ASW_VINCE2018BIS.xlsm]CCT!R10C5</stp>
        <tr r="E10" s="44"/>
      </tp>
      <tp>
        <v>95</v>
        <stp/>
        <stp>##V3_BDPV12</stp>
        <stp>IT0005311508 Corp</stp>
        <stp>FLT_SPREAD</stp>
        <stp>[NEW BONDS ASW_VINCE2018BIS.xlsm]CCT!R15C5</stp>
        <tr r="E15" s="44"/>
      </tp>
    </main>
    <main first="pldatasource.rtgetrtdserver">
      <tp>
        <v>7.6999999999999999E-2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  <tp>
        <v>0.27600000000000002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  <tp>
        <v>0.754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  <tp>
        <v>0.45400000000000001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-0.38000005000000003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  <tp>
        <v>0.61299999999999999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  <tp>
        <v>0.61299999999999999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  <tp>
        <v>-0.38000005000000003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  <tp>
        <v>0.45400000000000001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  <tp>
        <v>0.754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  <tp>
        <v>0.27600000000000002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>
        <v>3.5</v>
        <stp/>
        <stp>##V3_BDPV12</stp>
        <stp>IT0004957574 Corp</stp>
        <stp>CPN</stp>
        <stp>[NEW BONDS ASW_VINCE2018BIS.xlsm]CCT!R27C6</stp>
        <tr r="F27" s="44"/>
      </tp>
      <tp t="s">
        <v>OBL 0 1/2 10/13/17</v>
        <stp/>
        <stp>##V3_BDPV12</stp>
        <stp>DE0001141646 Corp</stp>
        <stp>security des</stp>
        <stp>[NEW BONDS ASW_VINCE2018BIS.xlsm]Isin!R8C9</stp>
        <tr r="I8" s="41"/>
      </tp>
    </main>
    <main first="pldatasource.rtgetrtdserver">
      <tp>
        <v>116.41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99.272999999999996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109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122.861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</main>
    <main first="bloomberg.rtd">
      <tp>
        <v>4.5</v>
        <stp/>
        <stp>##V3_BDPV12</stp>
        <stp>IT0004953417 Corp</stp>
        <stp>CPN</stp>
        <stp>[NEW BONDS ASW_VINCE2018BIS.xlsm]CCT!R37C6</stp>
        <tr r="F37" s="44"/>
      </tp>
      <tp>
        <v>1.5</v>
        <stp/>
        <stp>##V3_BDPV12</stp>
        <stp>IT0005090318 Corp</stp>
        <stp>CPN</stp>
        <stp>[NEW BONDS ASW_VINCE2018BIS.xlsm]CCT!R41C6</stp>
        <tr r="F41" s="44"/>
      </tp>
    </main>
    <main first="pldatasource.rtgetrtdserver">
      <tp>
        <v>-0.37776425000000002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148.25399999999999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112.79600000000001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108.41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</main>
    <main first="bloomberg.rtd">
      <tp>
        <v>3.75</v>
        <stp/>
        <stp>##V3_BDPV12</stp>
        <stp>IT0004634132 Corp</stp>
        <stp>CPN</stp>
        <stp>[NEW BONDS ASW_VINCE2018BIS.xlsm]CCT!R31C6</stp>
        <tr r="F31" s="44"/>
      </tp>
      <tp>
        <v>0.82599999999999996</v>
        <stp/>
        <stp>##V3_BDPV12</stp>
        <stp>IT0005252520 Corp</stp>
        <stp>CPN</stp>
        <stp>[NEW BONDS ASW_VINCE2018BIS.xlsm]CCT!R14C6</stp>
        <tr r="F14" s="44"/>
      </tp>
      <tp t="s">
        <v>BTPS 4 1/2 08/01/18</v>
        <stp/>
        <stp>##V3_BDPV12</stp>
        <stp>IT0004361041 Corp</stp>
        <stp>security des</stp>
        <stp>[NEW BONDS ASW_VINCE2018BIS.xlsm]Isin!R8C3</stp>
        <tr r="C8" s="41"/>
      </tp>
      <tp t="s">
        <v>BTPS 4 1/2 02/01/18</v>
        <stp/>
        <stp>##V3_BDPV12</stp>
        <stp>IT0004273493 Corp</stp>
        <stp>security des</stp>
        <stp>[NEW BONDS ASW_VINCE2018BIS.xlsm]Isin!R4C3</stp>
        <tr r="C4" s="41"/>
      </tp>
    </main>
    <main first="pldatasource.rtgetrtdserver">
      <tp>
        <v>-0.37776425000000002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</main>
    <main first="bloomberg.rtd">
      <tp t="s">
        <v>SPGB 5 1/2 07/30/17</v>
        <stp/>
        <stp>##V3_BDPV12</stp>
        <stp>ES0000012783 Corp</stp>
        <stp>security des</stp>
        <stp>[NEW BONDS ASW_VINCE2018BIS.xlsm]Isin!R7C6</stp>
        <tr r="F7" s="41"/>
      </tp>
    </main>
    <main first="pldatasource.rtgetrtdserver">
      <tp>
        <v>100.333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</main>
    <main first="bloomberg.rtd">
      <tp>
        <v>0.67600000000000005</v>
        <stp/>
        <stp>##V3_BDPV12</stp>
        <stp>IT0005311508 Corp</stp>
        <stp>CPN</stp>
        <stp>[NEW BONDS ASW_VINCE2018BIS.xlsm]CCT!R15C6</stp>
        <tr r="F15" s="44"/>
      </tp>
    </main>
    <main first="pldatasource.rtgetrtdserver">
      <tp>
        <v>112.515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161.84800000000001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</main>
    <main first="bloomberg.rtd">
      <tp>
        <v>5.5</v>
        <stp/>
        <stp>##V3_BDPV12</stp>
        <stp>IT0004801541 Corp</stp>
        <stp>CPN</stp>
        <stp>[NEW BONDS ASW_VINCE2018BIS.xlsm]CCT!R33C6</stp>
        <tr r="F33" s="44"/>
      </tp>
    </main>
    <main first="pldatasource.rtgetrtdserver"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4.5</v>
        <stp/>
        <stp>##V3_BDPV12</stp>
        <stp>IT0004361041 Corp</stp>
        <stp>CPN</stp>
        <stp>[NEW BONDS ASW_VINCE2018BIS.xlsm]CCT!R26C6</stp>
        <tr r="F26" s="44"/>
      </tp>
      <tp>
        <v>0</v>
        <stp/>
        <stp>##V3_BDPV12</stp>
        <stp>IT0005175366 Corp</stp>
        <stp>CPN</stp>
        <stp>[NEW BONDS ASW_VINCE2018BIS.xlsm]CCT!R24C6</stp>
        <tr r="F24" s="44"/>
      </tp>
      <tp>
        <v>0.42699999999999999</v>
        <stp/>
        <stp>##V3_BDPV12</stp>
        <stp>IT0005137614 Corp</stp>
        <stp>CPN</stp>
        <stp>[NEW BONDS ASW_VINCE2018BIS.xlsm]CCT!R11C6</stp>
        <tr r="F11" s="44"/>
      </tp>
      <tp>
        <v>5</v>
        <stp/>
        <stp>##V3_BDPV12</stp>
        <stp>IT0004513641 Corp</stp>
        <stp>CPN</stp>
        <stp>[NEW BONDS ASW_VINCE2018BIS.xlsm]CCT!R40C6</stp>
        <tr r="F40" s="44"/>
      </tp>
    </main>
    <main first="pldatasource.rtgetrtdserver">
      <tp>
        <v>-0.27066666700000003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104.31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108.363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98.34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</main>
    <main first="bloomberg.rtd">
      <tp>
        <v>0.42899999999999999</v>
        <stp/>
        <stp>##V3_BDPV12</stp>
        <stp>IT0005185456 Corp</stp>
        <stp>CPN</stp>
        <stp>[NEW BONDS ASW_VINCE2018BIS.xlsm]CCT!R12C6</stp>
        <tr r="F12" s="44"/>
      </tp>
    </main>
    <main first="pldatasource.rtgetrtdserver">
      <tp>
        <v>-0.38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106.58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</main>
    <main first="bloomberg.rtd">
      <tp>
        <v>0.25</v>
        <stp/>
        <stp>##V3_BDPV12</stp>
        <stp>IT0005106049 Corp</stp>
        <stp>CPN</stp>
        <stp>[NEW BONDS ASW_VINCE2018BIS.xlsm]CCT!R25C6</stp>
        <tr r="F25" s="44"/>
      </tp>
      <tp>
        <v>5</v>
        <stp/>
        <stp>##V3_BDPV12</stp>
        <stp>IT0004759673 Corp</stp>
        <stp>CPN</stp>
        <stp>[NEW BONDS ASW_VINCE2018BIS.xlsm]CCT!R32C6</stp>
        <tr r="F32" s="44"/>
      </tp>
    </main>
    <main first="pldatasource.rtgetrtdserver">
      <tp>
        <v>107.33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-0.38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 t="s">
        <v>BKO 0 03/10/17</v>
        <stp/>
        <stp>##V3_BDPV12</stp>
        <stp>DE0001137495 Corp</stp>
        <stp>security des</stp>
        <stp>[NEW BONDS ASW_VINCE2018BIS.xlsm]Isin!R3C9</stp>
        <tr r="I3" s="41"/>
      </tp>
      <tp>
        <v>4.5</v>
        <stp/>
        <stp>##V3_BDPV12</stp>
        <stp>IT0004898034 Corp</stp>
        <stp>CPN</stp>
        <stp>[NEW BONDS ASW_VINCE2018BIS.xlsm]CCT!R35C6</stp>
        <tr r="F35" s="44"/>
      </tp>
      <tp>
        <v>0.65</v>
        <stp/>
        <stp>##V3_BDPV12</stp>
        <stp>IT0005215246 Corp</stp>
        <stp>CPN</stp>
        <stp>[NEW BONDS ASW_VINCE2018BIS.xlsm]CCT!R36C6</stp>
        <tr r="F36" s="44"/>
      </tp>
      <tp>
        <v>0.27700000000000002</v>
        <stp/>
        <stp>##V3_BDPV12</stp>
        <stp>IT0005104473 Corp</stp>
        <stp>CPN</stp>
        <stp>[NEW BONDS ASW_VINCE2018BIS.xlsm]CCT!R10C6</stp>
        <tr r="F10" s="44"/>
      </tp>
      <tp t="s">
        <v>BTPS 3 1/2 06/01/18</v>
        <stp/>
        <stp>##V3_BDPV12</stp>
        <stp>IT0004907843 Corp</stp>
        <stp>security des</stp>
        <stp>[NEW BONDS ASW_VINCE2018BIS.xlsm]Isin!R7C3</stp>
        <tr r="C7" s="41"/>
      </tp>
    </main>
    <main first="pldatasource.rtgetrtdserver">
      <tp>
        <v>-0.25066666700000001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</main>
    <main first="bloomberg.rtd">
      <tp t="s">
        <v>BKO 0 12/15/17</v>
        <stp/>
        <stp>##V3_BDPV12</stp>
        <stp>DE0001104628 Corp</stp>
        <stp>security des</stp>
        <stp>[NEW BONDS ASW_VINCE2018BIS.xlsm]Isin!R9C9</stp>
        <tr r="I9" s="41"/>
      </tp>
    </main>
    <main first="pldatasource.rtgetrtdserver">
      <tp>
        <v>105.523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</main>
    <main first="bloomberg.rtd">
      <tp>
        <v>2.5</v>
        <stp/>
        <stp>##V3_BDPV12</stp>
        <stp>IT0005045270 Corp</stp>
        <stp>CPN</stp>
        <stp>[NEW BONDS ASW_VINCE2018BIS.xlsm]CCT!R39C6</stp>
        <tr r="F39" s="44"/>
      </tp>
      <tp t="s">
        <v>BTPS 0 3/4 01/15/18</v>
        <stp/>
        <stp>##V3_BDPV12</stp>
        <stp>IT0005058463 Corp</stp>
        <stp>security des</stp>
        <stp>[NEW BONDS ASW_VINCE2018BIS.xlsm]Isin!R3C3</stp>
        <tr r="C3" s="41"/>
      </tp>
    </main>
    <main first="pldatasource.rtgetrtdserver">
      <tp>
        <v>100.149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114.94800000000001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146.11500000000001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100.55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100.91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100.12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107.08800000000001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</main>
    <main first="bloomberg.rtd">
      <tp>
        <v>1.05</v>
        <stp/>
        <stp>##V3_BDPV12</stp>
        <stp>IT0005069395 Corp</stp>
        <stp>CPN</stp>
        <stp>[NEW BONDS ASW_VINCE2018BIS.xlsm]CCT!R29C6</stp>
        <tr r="F29" s="44"/>
      </tp>
      <tp>
        <v>0.47400000000000003</v>
        <stp/>
        <stp>##V3_BDPV12</stp>
        <stp>IT0005218968 Corp</stp>
        <stp>CPN</stp>
        <stp>[NEW BONDS ASW_VINCE2018BIS.xlsm]CCT!R13C6</stp>
        <tr r="F13" s="44"/>
      </tp>
      <tp t="s">
        <v>BKO 0 06/16/17</v>
        <stp/>
        <stp>##V3_BDPV12</stp>
        <stp>DE0001104602 Corp</stp>
        <stp>security des</stp>
        <stp>[NEW BONDS ASW_VINCE2018BIS.xlsm]Isin!R5C9</stp>
        <tr r="I5" s="41"/>
      </tp>
      <tp t="s">
        <v>DBR 4 1/4 07/04/17</v>
        <stp/>
        <stp>##V3_BDPV12</stp>
        <stp>DE0001135333 Corp</stp>
        <stp>security des</stp>
        <stp>[NEW BONDS ASW_VINCE2018BIS.xlsm]Isin!R6C9</stp>
        <tr r="I6" s="41"/>
      </tp>
    </main>
    <main first="pldatasource.rtgetrtdserver">
      <tp>
        <v>111.96000000000001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100.795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141.309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153.566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108.548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</main>
    <main first="bloomberg.rtd">
      <tp t="s">
        <v>BKO 0 09/15/17</v>
        <stp/>
        <stp>##V3_BDPV12</stp>
        <stp>DE0001104610 Corp</stp>
        <stp>security des</stp>
        <stp>[NEW BONDS ASW_VINCE2018BIS.xlsm]Isin!R7C9</stp>
        <tr r="I7" s="41"/>
      </tp>
    </main>
    <main first="pldatasource.rtgetrtdserver">
      <tp>
        <v>98.987000000000009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</main>
    <main first="bloomberg.rtd">
      <tp>
        <v>4</v>
        <stp/>
        <stp>##V3_BDPV12</stp>
        <stp>IT0004594930 Corp</stp>
        <stp>CPN</stp>
        <stp>[NEW BONDS ASW_VINCE2018BIS.xlsm]CCT!R30C6</stp>
        <tr r="F30" s="44"/>
      </tp>
      <tp t="s">
        <v>OBL 0 1/2 04/07/17</v>
        <stp/>
        <stp>##V3_BDPV12</stp>
        <stp>DE0001141638 Corp</stp>
        <stp>security des</stp>
        <stp>[NEW BONDS ASW_VINCE2018BIS.xlsm]Isin!R4C9</stp>
        <tr r="I4" s="41"/>
      </tp>
    </main>
    <main first="pldatasource.rtgetrtdserver">
      <tp>
        <v>107.623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103.416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101.93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158.6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101.14100000000001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123.465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</main>
    <main first="bloomberg.rtd">
      <tp>
        <v>4.25</v>
        <stp/>
        <stp>##V3_BDPV12</stp>
        <stp>IT0004489610 Corp</stp>
        <stp>CPN</stp>
        <stp>[NEW BONDS ASW_VINCE2018BIS.xlsm]CCT!R28C6</stp>
        <tr r="F28" s="44"/>
      </tp>
      <tp t="s">
        <v>BTPS 0.3 10/15/18</v>
        <stp/>
        <stp>##V3_BDPV12</stp>
        <stp>IT0005139099 Corp</stp>
        <stp>security des</stp>
        <stp>[NEW BONDS ASW_VINCE2018BIS.xlsm]Isin!R9C3</stp>
        <tr r="C9" s="41"/>
      </tp>
    </main>
    <main first="pldatasource.rtgetrtdserver">
      <tp>
        <v>159.95600000000002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  <tp>
        <v>143.06800000000001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100.98400000000001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105.24000000000001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117.99600000000001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96.103999999999999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  <tp>
        <v>134.62299999999999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99.14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100.59700000000001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110.351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100.738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</main>
    <main first="bloomberg.rtd">
      <tp>
        <v>5.5</v>
        <stp/>
        <stp>##V3_BDPV12</stp>
        <stp>IT0004848831 Corp</stp>
        <stp>CPN</stp>
        <stp>[NEW BONDS ASW_VINCE2018BIS.xlsm]CCT!R34C6</stp>
        <tr r="F34" s="44"/>
      </tp>
      <tp>
        <v>3.75</v>
        <stp/>
        <stp>##V3_BDPV12</stp>
        <stp>IT0005001547 Corp</stp>
        <stp>CPN</stp>
        <stp>[NEW BONDS ASW_VINCE2018BIS.xlsm]CCT!R38C6</stp>
        <tr r="F38" s="44"/>
      </tp>
      <tp t="s">
        <v>BTPS 0 1/4 05/15/18</v>
        <stp/>
        <stp>##V3_BDPV12</stp>
        <stp>IT0005106049 Corp</stp>
        <stp>security des</stp>
        <stp>[NEW BONDS ASW_VINCE2018BIS.xlsm]Isin!R6C3</stp>
        <tr r="C6" s="41"/>
      </tp>
    </main>
    <main first="pldatasource.rtgetrtdserver">
      <tp>
        <v>101.92700000000001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103.107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101.804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104.71000000000001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</main>
    <main first="bloomberg.rtd">
      <tp t="s">
        <v>ICTZ 0 03/28/18</v>
        <stp/>
        <stp>##V3_BDPV12</stp>
        <stp>IT0005175366 Corp</stp>
        <stp>security des</stp>
        <stp>[NEW BONDS ASW_VINCE2018BIS.xlsm]Isin!R5C3</stp>
        <tr r="C5" s="41"/>
      </tp>
    </main>
    <main first="pldatasource.rtgetrtdserver">
      <tp>
        <v>105.69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101.559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135.31700000000001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163.80000000000001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97.38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106.35000000000001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</main>
    <main first="bloomberg.rtd">
      <tp t="s">
        <v>3/5/2018</v>
        <stp/>
        <stp>##V3_BDPV12</stp>
        <stp>IT0005185456 Corp</stp>
        <stp>SETTLE_DT</stp>
        <stp>[NEW BONDS ASW_VINCE2018BIS.xlsm]CCT!R1C27</stp>
        <tr r="AA1" s="44"/>
      </tp>
      <tp>
        <v>49.723112167937288</v>
        <stp/>
        <stp>##V3_BDPV12</stp>
        <stp>IT0004898034 Corp@CBBT Corp</stp>
        <stp>Z_SPRD_MID</stp>
        <stp>[NEW BONDS ASW_VINCE2018BIS.xlsm]CCT!R35C10</stp>
        <tr r="J35" s="44"/>
      </tp>
      <tp>
        <v>69.266695283366175</v>
        <stp/>
        <stp>##V3_BDPV12</stp>
        <stp>IT0005252520 Corp@CBBT Corp</stp>
        <stp>ASSET_SWAP_SPD_MID</stp>
        <stp>[NEW BONDS ASW_VINCE2018BIS.xlsm]CCT!R14C11</stp>
        <tr r="K14" s="44"/>
      </tp>
      <tp>
        <v>100</v>
        <stp/>
        <stp>##V3_BDPV12</stp>
        <stp>IT0004716319 Corp</stp>
        <stp>FLT_SPREAD</stp>
        <stp>[NEW BONDS ASW_VINCE2018BIS.xlsm]CCT!R6C5</stp>
        <tr r="E6" s="44"/>
      </tp>
      <tp t="s">
        <v>5/1/2018</v>
        <stp/>
        <stp>##V3_BDPV12</stp>
        <stp>IT0004922909 Corp</stp>
        <stp>NXT_CPN_DT</stp>
        <stp>[NEW BONDS ASW_VINCE2018BIS.xlsm]CCT!R7C25</stp>
        <tr r="Y7" s="44"/>
      </tp>
      <tp>
        <v>19.238594973836925</v>
        <stp/>
        <stp>##V3_BDPV12</stp>
        <stp>IT0005009839 Corp@CBBT Corp</stp>
        <stp>ASSET_SWAP_SPD_MID</stp>
        <stp>[NEW BONDS ASW_VINCE2018BIS.xlsm]CCT!R8C11</stp>
        <tr r="K8" s="44"/>
      </tp>
      <tp>
        <v>0.52700000000000002</v>
        <stp/>
        <stp>##V3_BDPV12</stp>
        <stp>IT0005056541 Corp</stp>
        <stp>CPN</stp>
        <stp>[NEW BONDS ASW_VINCE2018BIS.xlsm]CCT!R9C6</stp>
        <tr r="F9" s="44"/>
      </tp>
      <tp>
        <v>80</v>
        <stp/>
        <stp>##V3_BDPV12</stp>
        <stp>IT0005056541 Corp</stp>
        <stp>FLT_SPREAD</stp>
        <stp>[NEW BONDS ASW_VINCE2018BIS.xlsm]CCT!R9C5</stp>
        <tr r="E9" s="44"/>
      </tp>
      <tp t="s">
        <v>SPGB 2.1 04/30/17</v>
        <stp/>
        <stp>##V3_BDPV12</stp>
        <stp>ES00000124I2 Corp</stp>
        <stp>security des</stp>
        <stp>[NEW BONDS ASW_VINCE2018BIS.xlsm]Isin!R6C6</stp>
        <tr r="F6" s="41"/>
      </tp>
      <tp t="s">
        <v>SPGB 3.8 01/31/17</v>
        <stp/>
        <stp>##V3_BDPV12</stp>
        <stp>ES00000120J8 Corp</stp>
        <stp>security des</stp>
        <stp>[NEW BONDS ASW_VINCE2018BIS.xlsm]Isin!R5C6</stp>
        <tr r="F5" s="41"/>
      </tp>
      <tp>
        <v>40.641450840382213</v>
        <stp/>
        <stp>##V3_BDPV12</stp>
        <stp>IT0005137614 Corp@CBBT Corp</stp>
        <stp>ASSET_SWAP_SPD_MID</stp>
        <stp>[NEW BONDS ASW_VINCE2018BIS.xlsm]CCT!R11C11</stp>
        <tr r="K11" s="44"/>
      </tp>
      <tp>
        <v>48.409540801956801</v>
        <stp/>
        <stp>##V3_BDPV12</stp>
        <stp>IT0005185456 Corp@CBBT Corp</stp>
        <stp>Z_SPRD_MID</stp>
        <stp>[NEW BONDS ASW_VINCE2018BIS.xlsm]CCT!R12C10</stp>
        <tr r="J12" s="44"/>
      </tp>
      <tp>
        <v>180</v>
        <stp/>
        <stp>##V3_BDPV12</stp>
        <stp>IT0004922909 Corp</stp>
        <stp>FLT_SPREAD</stp>
        <stp>[NEW BONDS ASW_VINCE2018BIS.xlsm]CCT!R7C5</stp>
        <tr r="E7" s="44"/>
      </tp>
      <tp t="s">
        <v>SPGB 4 1/4 10/31/16</v>
        <stp/>
        <stp>##V3_BDPV12</stp>
        <stp>ES00000123J2 Corp</stp>
        <stp>security des</stp>
        <stp>[NEW BONDS ASW_VINCE2018BIS.xlsm]Isin!R4C6</stp>
        <tr r="F4" s="41"/>
      </tp>
      <tp>
        <v>-14.279750143719143</v>
        <stp/>
        <stp>##V3_BDPV12</stp>
        <stp>IT0004922909 Corp@CBBT Corp</stp>
        <stp>Z_SPRD_MID</stp>
        <stp>[NEW BONDS ASW_VINCE2018BIS.xlsm]CCT!R7C10</stp>
        <tr r="J7" s="44"/>
      </tp>
      <tp>
        <v>57.597339981361259</v>
        <stp/>
        <stp>##V3_BDPV12</stp>
        <stp>IT0005218968 Corp@CBBT Corp</stp>
        <stp>Z_SPRD_MID</stp>
        <stp>[NEW BONDS ASW_VINCE2018BIS.xlsm]CCT!R13C10</stp>
        <tr r="J13" s="44"/>
      </tp>
      <tp>
        <v>71.753693883859881</v>
        <stp/>
        <stp>##V3_BDPV12</stp>
        <stp>IT0005311508 Corp@CBBT Corp</stp>
        <stp>Z_SPRD_MID</stp>
        <stp>[NEW BONDS ASW_VINCE2018BIS.xlsm]CCT!R15C10</stp>
        <tr r="J15" s="44"/>
      </tp>
      <tp>
        <v>6.9887419707231846</v>
        <stp/>
        <stp>##V3_BDPV12</stp>
        <stp>IT0004594930 Corp@CBBT Corp</stp>
        <stp>Z_SPRD_MID</stp>
        <stp>[NEW BONDS ASW_VINCE2018BIS.xlsm]CCT!R30C10</stp>
        <tr r="J30" s="44"/>
      </tp>
      <tp>
        <v>-14.259152401670304</v>
        <stp/>
        <stp>##V3_BDPV12</stp>
        <stp>IT0005106049 Corp@CBBT Corp</stp>
        <stp>Z_SPRD_MID</stp>
        <stp>[NEW BONDS ASW_VINCE2018BIS.xlsm]CCT!R25C10</stp>
        <tr r="J25" s="44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>
        <v>19.74476854642398</v>
        <stp/>
        <stp>##V3_BDPV12</stp>
        <stp>IT0005056541 Corp@CBBT Corp</stp>
        <stp>ASSET_SWAP_SPD_MID</stp>
        <stp>[NEW BONDS ASW_VINCE2018BIS.xlsm]CCT!R9C11</stp>
        <tr r="K9" s="44"/>
      </tp>
      <tp>
        <v>-24.754527808624029</v>
        <stp/>
        <stp>##V3_BDPV12</stp>
        <stp>IT0004489610 Corp@CBBT Corp</stp>
        <stp>Z_SPRD_MID</stp>
        <stp>[NEW BONDS ASW_VINCE2018BIS.xlsm]CCT!R28C10</stp>
        <tr r="J28" s="44"/>
      </tp>
      <tp t="s">
        <v>6/15/2018</v>
        <stp/>
        <stp>##V3_BDPV12</stp>
        <stp>IT0005056541 Corp</stp>
        <stp>NXT_CPN_DT</stp>
        <stp>[NEW BONDS ASW_VINCE2018BIS.xlsm]CCT!R9C25</stp>
        <tr r="Y9" s="44"/>
      </tp>
      <tp t="s">
        <v>4/15/2018</v>
        <stp/>
        <stp>##V3_BDPV12</stp>
        <stp>IT0004716319 Corp</stp>
        <stp>NXT_CPN_DT</stp>
        <stp>[NEW BONDS ASW_VINCE2018BIS.xlsm]CCT!R6C25</stp>
        <tr r="Y6" s="44"/>
      </tp>
      <tp>
        <v>72.022494389590037</v>
        <stp/>
        <stp>##V3_BDPV12</stp>
        <stp>IT0004716319 Corp@CBBT Corp</stp>
        <stp>ASSET_SWAP_SPD_MID</stp>
        <stp>[NEW BONDS ASW_VINCE2018BIS.xlsm]CCT!R6C11</stp>
        <tr r="K6" s="44"/>
      </tp>
      <tp>
        <v>36.078158248229421</v>
        <stp/>
        <stp>##V3_BDPV12</stp>
        <stp>IT0005104473 Corp@CBBT Corp</stp>
        <stp>ASSET_SWAP_SPD_MID</stp>
        <stp>[NEW BONDS ASW_VINCE2018BIS.xlsm]CCT!R10C11</stp>
        <tr r="K10" s="44"/>
      </tp>
      <tp>
        <v>50.392967041411332</v>
        <stp/>
        <stp>##V3_BDPV12</stp>
        <stp>IT0004922909 Corp@CBBT Corp</stp>
        <stp>ASSET_SWAP_SPD_MID</stp>
        <stp>[NEW BONDS ASW_VINCE2018BIS.xlsm]CCT!R7C11</stp>
        <tr r="K7" s="44"/>
      </tp>
      <tp>
        <v>43.047478361157026</v>
        <stp/>
        <stp>##V3_BDPV12</stp>
        <stp>IT0004848831 Corp@CBBT Corp</stp>
        <stp>Z_SPRD_MID</stp>
        <stp>[NEW BONDS ASW_VINCE2018BIS.xlsm]CCT!R34C10</stp>
        <tr r="J34" s="44"/>
      </tp>
      <tp>
        <v>66.041410883781936</v>
        <stp/>
        <stp>##V3_BDPV12</stp>
        <stp>IT0005252520 Corp@CBBT Corp</stp>
        <stp>Z_SPRD_MID</stp>
        <stp>[NEW BONDS ASW_VINCE2018BIS.xlsm]CCT!R14C10</stp>
        <tr r="J14" s="44"/>
      </tp>
      <tp>
        <v>1.524</v>
        <stp/>
        <stp>##V3_BDPV12</stp>
        <stp>IT0004922909 Corp</stp>
        <stp>CPN</stp>
        <stp>[NEW BONDS ASW_VINCE2018BIS.xlsm]CCT!R7C6</stp>
        <tr r="F7" s="44"/>
      </tp>
      <tp t="s">
        <v>5/15/2018</v>
        <stp/>
        <stp>##V3_BDPV12</stp>
        <stp>IT0005009839 Corp</stp>
        <stp>NXT_CPN_DT</stp>
        <stp>[NEW BONDS ASW_VINCE2018BIS.xlsm]CCT!R8C25</stp>
        <tr r="Y8" s="44"/>
      </tp>
      <tp>
        <v>15.340438327125401</v>
        <stp/>
        <stp>##V3_BDPV12</stp>
        <stp>IT0005056541 Corp@CBBT Corp</stp>
        <stp>Z_SPRD_MID</stp>
        <stp>[NEW BONDS ASW_VINCE2018BIS.xlsm]CCT!R9C10</stp>
        <tr r="J9" s="44"/>
      </tp>
      <tp>
        <v>72.556440317887777</v>
        <stp/>
        <stp>##V3_BDPV12</stp>
        <stp>IT0005045270 Corp@CBBT Corp</stp>
        <stp>Z_SPRD_MID</stp>
        <stp>[NEW BONDS ASW_VINCE2018BIS.xlsm]CCT!R39C10</stp>
        <tr r="J39" s="44"/>
      </tp>
    </main>
    <main first="pldatasource.rtgetrtdserver">
      <tp>
        <v>100.2625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99.867500000000007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99.527500000000003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100.2925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99.982500000000002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99.752499999999998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100.32250000000001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100.19750000000001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99.642499999999998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100.3075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100.10250000000001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102.715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</main>
    <main first="bloomberg.rtd">
      <tp>
        <v>48.992236269317218</v>
        <stp/>
        <stp>##V3_BDPV12</stp>
        <stp>IT0005185456 Corp@CBBT Corp</stp>
        <stp>ASSET_SWAP_SPD_MID</stp>
        <stp>[NEW BONDS ASW_VINCE2018BIS.xlsm]CCT!R12C11</stp>
        <tr r="K12" s="44"/>
      </tp>
      <tp>
        <v>-19.62261738184009</v>
        <stp/>
        <stp>##V3_BDPV12</stp>
        <stp>IT0004361041 Corp@CBBT Corp</stp>
        <stp>Z_SPRD_MID</stp>
        <stp>[NEW BONDS ASW_VINCE2018BIS.xlsm]CCT!R26C10</stp>
        <tr r="J26" s="44"/>
      </tp>
      <tp>
        <v>69.081282347824967</v>
        <stp/>
        <stp>##V3_BDPV12</stp>
        <stp>IT0005001547 Corp@CBBT Corp</stp>
        <stp>Z_SPRD_MID</stp>
        <stp>[NEW BONDS ASW_VINCE2018BIS.xlsm]CCT!R38C10</stp>
        <tr r="J38" s="44"/>
      </tp>
      <tp>
        <v>52.747081740563388</v>
        <stp/>
        <stp>##V3_BDPV12</stp>
        <stp>IT0005215246 Corp@CBBT Corp</stp>
        <stp>Z_SPRD_MID</stp>
        <stp>[NEW BONDS ASW_VINCE2018BIS.xlsm]CCT!R36C10</stp>
        <tr r="J36" s="44"/>
      </tp>
      <tp>
        <v>39.26171027510609</v>
        <stp/>
        <stp>##V3_BDPV12</stp>
        <stp>IT0005137614 Corp@CBBT Corp</stp>
        <stp>Z_SPRD_MID</stp>
        <stp>[NEW BONDS ASW_VINCE2018BIS.xlsm]CCT!R11C10</stp>
        <tr r="J11" s="44"/>
      </tp>
    </main>
    <main first="pldatasource.rtgetrtdserver">
      <tp>
        <v>100.19750000000001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100.32250000000001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99.752499999999998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100.10250000000001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100.3075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99.642499999999998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99.982500000000002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100.2925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99.527500000000003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99.867500000000007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100.2625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>
        <v>-15.305271578380681</v>
        <stp/>
        <stp>##V3_BDPV12</stp>
        <stp>IT0004716319 Corp@CBBT Corp</stp>
        <stp>Z_SPRD_MID</stp>
        <stp>[NEW BONDS ASW_VINCE2018BIS.xlsm]CCT!R6C10</stp>
        <tr r="J6" s="44"/>
      </tp>
      <tp>
        <v>29.157440886153207</v>
        <stp/>
        <stp>##V3_BDPV12</stp>
        <stp>IT0004759673 Corp@CBBT Corp</stp>
        <stp>Z_SPRD_MID</stp>
        <stp>[NEW BONDS ASW_VINCE2018BIS.xlsm]CCT!R32C10</stp>
        <tr r="J32" s="44"/>
      </tp>
      <tp>
        <v>77.645554706769232</v>
        <stp/>
        <stp>##V3_BDPV12</stp>
        <stp>IT0005090318 Corp@CBBT Corp</stp>
        <stp>Z_SPRD_MID</stp>
        <stp>[NEW BONDS ASW_VINCE2018BIS.xlsm]CCT!R41C10</stp>
        <tr r="J41" s="44"/>
      </tp>
      <tp>
        <v>37.803589405709658</v>
        <stp/>
        <stp>##V3_BDPV12</stp>
        <stp>IT0004801541 Corp@CBBT Corp</stp>
        <stp>Z_SPRD_MID</stp>
        <stp>[NEW BONDS ASW_VINCE2018BIS.xlsm]CCT!R33C10</stp>
        <tr r="J33" s="44"/>
      </tp>
      <tp>
        <v>0.92500000000000004</v>
        <stp/>
        <stp>##V3_BDPV12</stp>
        <stp>IT0005009839 Corp</stp>
        <stp>CPN</stp>
        <stp>[NEW BONDS ASW_VINCE2018BIS.xlsm]CCT!R8C6</stp>
        <tr r="F8" s="44"/>
      </tp>
      <tp>
        <v>11.57279488486979</v>
        <stp/>
        <stp>##V3_BDPV12</stp>
        <stp>IT0004634132 Corp@CBBT Corp</stp>
        <stp>Z_SPRD_MID</stp>
        <stp>[NEW BONDS ASW_VINCE2018BIS.xlsm]CCT!R31C10</stp>
        <tr r="J31" s="44"/>
      </tp>
      <tp>
        <v>-6.6462426189689694</v>
        <stp/>
        <stp>##V3_BDPV12</stp>
        <stp>IT0005175366 Corp@CBBT Corp</stp>
        <stp>Z_SPRD_MID</stp>
        <stp>[NEW BONDS ASW_VINCE2018BIS.xlsm]CCT!R24C10</stp>
        <tr r="J24" s="44"/>
      </tp>
      <tp>
        <v>-20.908640455539878</v>
        <stp/>
        <stp>##V3_BDPV12</stp>
        <stp>IT0004957574 Corp@CBBT Corp</stp>
        <stp>Z_SPRD_MID</stp>
        <stp>[NEW BONDS ASW_VINCE2018BIS.xlsm]CCT!R27C10</stp>
        <tr r="J27" s="44"/>
      </tp>
      <tp>
        <v>0.72599999999999998</v>
        <stp/>
        <stp>##V3_BDPV12</stp>
        <stp>IT0004716319 Corp</stp>
        <stp>CPN</stp>
        <stp>[NEW BONDS ASW_VINCE2018BIS.xlsm]CCT!R6C6</stp>
        <tr r="F6" s="44"/>
      </tp>
      <tp>
        <v>73.381481494829643</v>
        <stp/>
        <stp>##V3_BDPV12</stp>
        <stp>IT0005311508 Corp@CBBT Corp</stp>
        <stp>ASSET_SWAP_SPD_MID</stp>
        <stp>[NEW BONDS ASW_VINCE2018BIS.xlsm]CCT!R15C11</stp>
        <tr r="K15" s="44"/>
      </tp>
      <tp>
        <v>75.879958135905795</v>
        <stp/>
        <stp>##V3_BDPV12</stp>
        <stp>IT0004513641 Corp@CBBT Corp</stp>
        <stp>Z_SPRD_MID</stp>
        <stp>[NEW BONDS ASW_VINCE2018BIS.xlsm]CCT!R40C10</stp>
        <tr r="J40" s="44"/>
      </tp>
      <tp>
        <v>57.914745569674373</v>
        <stp/>
        <stp>##V3_BDPV12</stp>
        <stp>IT0005218968 Corp@CBBT Corp</stp>
        <stp>ASSET_SWAP_SPD_MID</stp>
        <stp>[NEW BONDS ASW_VINCE2018BIS.xlsm]CCT!R13C11</stp>
        <tr r="K13" s="44"/>
      </tp>
      <tp>
        <v>2.0654426799980903</v>
        <stp/>
        <stp>##V3_BDPV12</stp>
        <stp>IT0005009839 Corp@CBBT Corp</stp>
        <stp>Z_SPRD_MID</stp>
        <stp>[NEW BONDS ASW_VINCE2018BIS.xlsm]CCT!R8C10</stp>
        <tr r="J8" s="44"/>
      </tp>
      <tp>
        <v>-10.983025092921073</v>
        <stp/>
        <stp>##V3_BDPV12</stp>
        <stp>IT0005069395 Corp@CBBT Corp</stp>
        <stp>Z_SPRD_MID</stp>
        <stp>[NEW BONDS ASW_VINCE2018BIS.xlsm]CCT!R29C10</stp>
        <tr r="J29" s="44"/>
      </tp>
      <tp>
        <v>35.265388258269141</v>
        <stp/>
        <stp>##V3_BDPV12</stp>
        <stp>IT0005104473 Corp@CBBT Corp</stp>
        <stp>Z_SPRD_MID</stp>
        <stp>[NEW BONDS ASW_VINCE2018BIS.xlsm]CCT!R10C10</stp>
        <tr r="J10" s="44"/>
      </tp>
      <tp>
        <v>120</v>
        <stp/>
        <stp>##V3_BDPV12</stp>
        <stp>IT0005009839 Corp</stp>
        <stp>FLT_SPREAD</stp>
        <stp>[NEW BONDS ASW_VINCE2018BIS.xlsm]CCT!R8C5</stp>
        <tr r="E8" s="44"/>
      </tp>
      <tp>
        <v>63.8510147126972</v>
        <stp/>
        <stp>##V3_BDPV12</stp>
        <stp>IT0004953417 Corp@CBBT Corp</stp>
        <stp>Z_SPRD_MID</stp>
        <stp>[NEW BONDS ASW_VINCE2018BIS.xlsm]CCT!R37C10</stp>
        <tr r="J37" s="44"/>
      </tp>
      <tp t="s">
        <v>FRTR 2 1/2 05/25/30</v>
        <stp/>
        <stp>##V3_BDPV12</stp>
        <stp>FR0011883966 Corp</stp>
        <stp>security des</stp>
        <stp>[NEW BONDS ASW_VINCE2018BIS.xlsm]Isin!R37C12</stp>
        <tr r="L37" s="41"/>
      </tp>
      <tp t="s">
        <v>FRTR 4 1/2 04/25/41</v>
        <stp/>
        <stp>##V3_BDPV12</stp>
        <stp>FR0010773192 Corp</stp>
        <stp>security des</stp>
        <stp>[NEW BONDS ASW_VINCE2018BIS.xlsm]Isin!R43C12</stp>
        <tr r="L43" s="41"/>
      </tp>
      <tp t="s">
        <v>FRTR 0 1/2 11/25/19</v>
        <stp/>
        <stp>##V3_BDPV12</stp>
        <stp>FR0011993179 Corp</stp>
        <stp>security des</stp>
        <stp>[NEW BONDS ASW_VINCE2018BIS.xlsm]Isin!R14C12</stp>
        <tr r="L14" s="41"/>
      </tp>
      <tp t="s">
        <v>FRTR 1 1/2 05/25/31</v>
        <stp/>
        <stp>##V3_BDPV12</stp>
        <stp>FR0012993103 Corp</stp>
        <stp>security des</stp>
        <stp>[NEW BONDS ASW_VINCE2018BIS.xlsm]Isin!R38C12</stp>
        <tr r="L38" s="41"/>
      </tp>
      <tp t="s">
        <v>3/2/2018</v>
        <stp/>
        <stp>##V3_BDPV12</stp>
        <stp>IT0005185456 Corp</stp>
        <stp>T_PLUS_1_SETTLE_DT</stp>
        <stp>[NEW BONDS ASW_VINCE2018BIS.xlsm]CCT!R1C26</stp>
        <tr r="Z1" s="44"/>
      </tp>
      <tp>
        <v>113.071</v>
        <stp/>
        <stp>##V3_BDPV12</stp>
        <stp>ES00000122T3@cbbt Corp</stp>
        <stp>BID</stp>
        <stp>[NEW BONDS ASW_VINCE2018BIS.xlsm]Bonds!R99C19</stp>
        <tr r="S99" s="1"/>
      </tp>
      <tp t="s">
        <v>6/15/2018</v>
        <stp/>
        <stp>##V3_BDPV12</stp>
        <stp>IT0005137614 Corp</stp>
        <stp>NXT_CPN_DT</stp>
        <stp>[NEW BONDS ASW_VINCE2018BIS.xlsm]CCT!R11C25</stp>
        <tr r="Y11" s="44"/>
      </tp>
      <tp>
        <v>108.92</v>
        <stp/>
        <stp>##V3_BDPV12</stp>
        <stp>ES00000122D7@cbbt Corp</stp>
        <stp>BID</stp>
        <stp>[NEW BONDS ASW_VINCE2018BIS.xlsm]Bonds!R97C19</stp>
        <tr r="S97" s="1"/>
      </tp>
    </main>
    <main first="pldatasource.rtgetrtdserver">
      <tp>
        <v>104.99000000000001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171.15700000000001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108.67100000000001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100.47200000000001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</main>
    <main first="bloomberg.rtd">
      <tp t="s">
        <v>FRTR 3 3/4 04/25/21</v>
        <stp/>
        <stp>##V3_BDPV12</stp>
        <stp>FR0010192997 Corp</stp>
        <stp>security des</stp>
        <stp>[NEW BONDS ASW_VINCE2018BIS.xlsm]Isin!R18C12</stp>
        <tr r="L18" s="41"/>
      </tp>
      <tp t="s">
        <v>FRTR 1 3/4 11/25/24</v>
        <stp/>
        <stp>##V3_BDPV12</stp>
        <stp>FR0011962398 Corp</stp>
        <stp>security des</stp>
        <stp>[NEW BONDS ASW_VINCE2018BIS.xlsm]Isin!R27C12</stp>
        <tr r="L27" s="41"/>
      </tp>
    </main>
    <main first="pldatasource.rtgetrtdserver">
      <tp>
        <v>101.474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157.215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150.37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108.38800000000001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>
        <v>99.95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</main>
    <main first="bloomberg.rtd">
      <tp t="s">
        <v>FRTR 4 04/25/55</v>
        <stp/>
        <stp>##V3_BDPV12</stp>
        <stp>FR0010171975 Corp</stp>
        <stp>security des</stp>
        <stp>[NEW BONDS ASW_VINCE2018BIS.xlsm]Isin!R45C12</stp>
        <tr r="L45" s="41"/>
      </tp>
      <tp t="s">
        <v>FRTR 8 1/2 10/25/19</v>
        <stp/>
        <stp>##V3_BDPV12</stp>
        <stp>FR0000570921 Corp</stp>
        <stp>security des</stp>
        <stp>[NEW BONDS ASW_VINCE2018BIS.xlsm]Isin!R13C12</stp>
        <tr r="L13" s="41"/>
      </tp>
      <tp t="s">
        <v>FRTR 0 1/2 05/25/26</v>
        <stp/>
        <stp>##V3_BDPV12</stp>
        <stp>FR0013131877 Corp</stp>
        <stp>security des</stp>
        <stp>[NEW BONDS ASW_VINCE2018BIS.xlsm]Isin!R32C12</stp>
        <tr r="L32" s="41"/>
      </tp>
      <tp t="s">
        <v>FRTR 3 1/4 05/25/45</v>
        <stp/>
        <stp>##V3_BDPV12</stp>
        <stp>FR0011461037 Corp</stp>
        <stp>security des</stp>
        <stp>[NEW BONDS ASW_VINCE2018BIS.xlsm]Isin!R44C12</stp>
        <tr r="L44" s="41"/>
      </tp>
      <tp t="s">
        <v>FRTR 4 10/25/38</v>
        <stp/>
        <stp>##V3_BDPV12</stp>
        <stp>FR0010371401 Corp</stp>
        <stp>security des</stp>
        <stp>[NEW BONDS ASW_VINCE2018BIS.xlsm]Isin!R42C12</stp>
        <tr r="L42" s="41"/>
      </tp>
      <tp t="s">
        <v>6/15/2018</v>
        <stp/>
        <stp>##V3_BDPV12</stp>
        <stp>IT0005104473 Corp</stp>
        <stp>NXT_CPN_DT</stp>
        <stp>[NEW BONDS ASW_VINCE2018BIS.xlsm]CCT!R10C25</stp>
        <tr r="Y10" s="44"/>
      </tp>
      <tp t="s">
        <v>7/15/2018</v>
        <stp/>
        <stp>##V3_BDPV12</stp>
        <stp>IT0005185456 Corp</stp>
        <stp>NXT_CPN_DT</stp>
        <stp>[NEW BONDS ASW_VINCE2018BIS.xlsm]CCT!R12C25</stp>
        <tr r="Y12" s="44"/>
      </tp>
      <tp t="s">
        <v>10/15/2017</v>
        <stp/>
        <stp>##V3_BDPV12</stp>
        <stp>IT0004716319 Corp</stp>
        <stp>PREV_CPN_DT</stp>
        <stp>[NEW BONDS ASW_VINCE2018BIS.xlsm]CCT!R6C26</stp>
        <tr r="Z6" s="44"/>
      </tp>
      <tp t="s">
        <v>SPGB 0 1/2 10/31/17</v>
        <stp/>
        <stp>##V3_BDPV12</stp>
        <stp>ES00000126V0 Corp</stp>
        <stp>security des</stp>
        <stp>[NEW BONDS ASW_VINCE2018BIS.xlsm]Isin!R9C6</stp>
        <tr r="F9" s="41"/>
      </tp>
    </main>
    <main first="pldatasource.rtgetrtdserver">
      <tp>
        <v>129.60400000000001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98.585000000000008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154.19200000000001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162.44499999999999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</main>
    <main first="bloomberg.rtd">
      <tp t="s">
        <v>FRTR 4 04/25/60</v>
        <stp/>
        <stp>##V3_BDPV12</stp>
        <stp>FR0010870956 Corp</stp>
        <stp>security des</stp>
        <stp>[NEW BONDS ASW_VINCE2018BIS.xlsm]Isin!R46C12</stp>
        <tr r="L46" s="41"/>
      </tp>
      <tp t="s">
        <v>FRTR 0 1/4 11/25/26</v>
        <stp/>
        <stp>##V3_BDPV12</stp>
        <stp>FR0013200813 Corp</stp>
        <stp>security des</stp>
        <stp>[NEW BONDS ASW_VINCE2018BIS.xlsm]Isin!R34C12</stp>
        <tr r="L34" s="41"/>
      </tp>
      <tp t="s">
        <v>FRTR 6 10/25/25</v>
        <stp/>
        <stp>##V3_BDPV12</stp>
        <stp>FR0000571150 Corp</stp>
        <stp>security des</stp>
        <stp>[NEW BONDS ASW_VINCE2018BIS.xlsm]Isin!R29C12</stp>
        <tr r="L29" s="41"/>
      </tp>
      <tp t="s">
        <v>FRTR 8 1/2 04/25/23</v>
        <stp/>
        <stp>##V3_BDPV12</stp>
        <stp>FR0000571085 Corp</stp>
        <stp>security des</stp>
        <stp>[NEW BONDS ASW_VINCE2018BIS.xlsm]Isin!R23C12</stp>
        <tr r="L23" s="41"/>
      </tp>
      <tp t="s">
        <v>FRTR 8 1/4 04/25/22</v>
        <stp/>
        <stp>##V3_BDPV12</stp>
        <stp>FR0000571044 Corp</stp>
        <stp>security des</stp>
        <stp>[NEW BONDS ASW_VINCE2018BIS.xlsm]Isin!R20C12</stp>
        <tr r="L20" s="41"/>
      </tp>
      <tp t="s">
        <v>FRTR 4 3/4 04/25/35</v>
        <stp/>
        <stp>##V3_BDPV12</stp>
        <stp>FR0010070060 Corp</stp>
        <stp>security des</stp>
        <stp>[NEW BONDS ASW_VINCE2018BIS.xlsm]Isin!R40C12</stp>
        <tr r="L40" s="41"/>
      </tp>
      <tp>
        <v>90.602000000000004</v>
        <stp/>
        <stp>##V3_BDPV12</stp>
        <stp>IT0005217390@cbbt Corp</stp>
        <stp>BID</stp>
        <stp>[NEW BONDS ASW_VINCE2018BIS.xlsm]Bonds!R88C19</stp>
        <tr r="S88" s="1"/>
      </tp>
      <tp t="s">
        <v>FRTR 5 1/2 04/25/29</v>
        <stp/>
        <stp>##V3_BDPV12</stp>
        <stp>FR0000571218 Corp</stp>
        <stp>security des</stp>
        <stp>[NEW BONDS ASW_VINCE2018BIS.xlsm]Isin!R36C12</stp>
        <tr r="L36" s="41"/>
      </tp>
      <tp t="s">
        <v>FRTR 1 05/25/27</v>
        <stp/>
        <stp>##V3_BDPV12</stp>
        <stp>FR0013250560 Corp</stp>
        <stp>security des</stp>
        <stp>[NEW BONDS ASW_VINCE2018BIS.xlsm]Isin!R33C12</stp>
        <tr r="L33" s="41"/>
      </tp>
      <tp t="s">
        <v>4/15/2018</v>
        <stp/>
        <stp>##V3_BDPV12</stp>
        <stp>IT0005311508 Corp</stp>
        <stp>NXT_CPN_DT</stp>
        <stp>[NEW BONDS ASW_VINCE2018BIS.xlsm]CCT!R15C25</stp>
        <tr r="Y15" s="44"/>
      </tp>
      <tp t="s">
        <v>4/15/2018</v>
        <stp/>
        <stp>##V3_BDPV12</stp>
        <stp>IT0005252520 Corp</stp>
        <stp>NXT_CPN_DT</stp>
        <stp>[NEW BONDS ASW_VINCE2018BIS.xlsm]CCT!R14C25</stp>
        <tr r="Y14" s="44"/>
      </tp>
      <tp>
        <v>101.813</v>
        <stp/>
        <stp>##V3_BDPV12</stp>
        <stp>ES00000121A5@cbbt Corp</stp>
        <stp>BID</stp>
        <stp>[NEW BONDS ASW_VINCE2018BIS.xlsm]Bonds!R90C19</stp>
        <tr r="S90" s="1"/>
      </tp>
    </main>
    <main first="pldatasource.rtgetrtdserver">
      <tp>
        <v>108.114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109.017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</main>
    <main first="bloomberg.rtd">
      <tp>
        <v>107.589</v>
        <stp/>
        <stp>##V3_BDPV12</stp>
        <stp>ES00000121O6@cbbt Corp</stp>
        <stp>BID</stp>
        <stp>[NEW BONDS ASW_VINCE2018BIS.xlsm]Bonds!R95C19</stp>
        <tr r="S95" s="1"/>
      </tp>
    </main>
    <main first="pldatasource.rtgetrtdserver">
      <tp>
        <v>100.8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</main>
    <main first="bloomberg.rtd">
      <tp>
        <v>106.93</v>
        <stp/>
        <stp>##V3_BDPV12</stp>
        <stp>ES00000121L2@cbbt Corp</stp>
        <stp>BID</stp>
        <stp>[NEW BONDS ASW_VINCE2018BIS.xlsm]Bonds!R94C19</stp>
        <tr r="S94" s="1"/>
      </tp>
    </main>
    <main first="pldatasource.rtgetrtdserver">
      <tp t="s">
        <v>#N/A The record could not be found</v>
        <stp/>
        <stp>_x0014_#ERROR: Invalid ISIN_x000F_SECOND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8" s="1"/>
        <tr r="T263" s="1"/>
        <tr r="T310" s="1"/>
        <tr r="T293" s="1"/>
        <tr r="T259" s="1"/>
        <tr r="T286" s="1"/>
        <tr r="T253" s="1"/>
        <tr r="T288" s="1"/>
        <tr r="T268" s="1"/>
        <tr r="T261" s="1"/>
        <tr r="T304" s="1"/>
        <tr r="T290" s="1"/>
        <tr r="T279" s="1"/>
        <tr r="T272" s="1"/>
        <tr r="T269" s="1"/>
        <tr r="T285" s="1"/>
        <tr r="T282" s="1"/>
        <tr r="T276" s="1"/>
        <tr r="T281" s="1"/>
        <tr r="T278" s="1"/>
        <tr r="T273" s="1"/>
        <tr r="T294" s="1"/>
        <tr r="T297" s="1"/>
        <tr r="T258" s="1"/>
        <tr r="T262" s="1"/>
        <tr r="T309" s="1"/>
        <tr r="T284" s="1"/>
        <tr r="T303" s="1"/>
        <tr r="T252" s="1"/>
        <tr r="T277" s="1"/>
        <tr r="T264" s="1"/>
        <tr r="T256" s="1"/>
        <tr r="T296" s="1"/>
        <tr r="T274" s="1"/>
        <tr r="T306" s="1"/>
        <tr r="T289" s="1"/>
        <tr r="T270" s="1"/>
        <tr r="T302" s="1"/>
        <tr r="T301" s="1"/>
        <tr r="T280" s="1"/>
        <tr r="T292" s="1"/>
        <tr r="T300" s="1"/>
        <tr r="T260" s="1"/>
        <tr r="T265" s="1"/>
        <tr r="T271" s="1"/>
        <tr r="T267" s="1"/>
        <tr r="T266" s="1"/>
        <tr r="T307" s="1"/>
        <tr r="T254" s="1"/>
        <tr r="T275" s="1"/>
        <tr r="T255" s="1"/>
        <tr r="T251" s="1"/>
        <tr r="T283" s="1"/>
        <tr r="T249" s="1"/>
        <tr r="T308" s="1"/>
        <tr r="T291" s="1"/>
        <tr r="T250" s="1"/>
        <tr r="T295" s="1"/>
        <tr r="T287" s="1"/>
        <tr r="T257" s="1"/>
        <tr r="T305" s="1"/>
        <tr r="T299" s="1"/>
      </tp>
    </main>
    <main first="bloomberg.rtd">
      <tp t="s">
        <v>FRTR 2 1/4 10/25/22</v>
        <stp/>
        <stp>##V3_BDPV12</stp>
        <stp>FR0011337880 Corp</stp>
        <stp>security des</stp>
        <stp>[NEW BONDS ASW_VINCE2018BIS.xlsm]Isin!R22C12</stp>
        <tr r="L22" s="41"/>
      </tp>
      <tp t="s">
        <v>FRTR 0 05/25/20</v>
        <stp/>
        <stp>##V3_BDPV12</stp>
        <stp>FR0012557957 Corp</stp>
        <stp>security des</stp>
        <stp>[NEW BONDS ASW_VINCE2018BIS.xlsm]Isin!R16C12</stp>
        <tr r="L16" s="41"/>
      </tp>
      <tp t="s">
        <v>FRTR 0 1/2 05/25/25</v>
        <stp/>
        <stp>##V3_BDPV12</stp>
        <stp>FR0012517027 Corp</stp>
        <stp>security des</stp>
        <stp>[NEW BONDS ASW_VINCE2018BIS.xlsm]Isin!R28C12</stp>
        <tr r="L28" s="41"/>
      </tp>
      <tp t="s">
        <v>FRTR 2 3/4 10/25/27</v>
        <stp/>
        <stp>##V3_BDPV12</stp>
        <stp>FR0011317783 Corp</stp>
        <stp>security des</stp>
        <stp>[NEW BONDS ASW_VINCE2018BIS.xlsm]Isin!R35C12</stp>
        <tr r="L35" s="41"/>
      </tp>
      <tp>
        <v>103.066</v>
        <stp/>
        <stp>##V3_BDPV12</stp>
        <stp>ES00000126C0@cbbt Corp</stp>
        <stp>BID</stp>
        <stp>[NEW BONDS ASW_VINCE2018BIS.xlsm]Bonds!R96C19</stp>
        <tr r="S96" s="1"/>
      </tp>
    </main>
    <main first="pldatasource.rtgetrtdserver">
      <tp>
        <v>110.56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157.03399999999999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159.36500000000001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108.43600000000001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135.69800000000001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101.941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</main>
    <main first="bloomberg.rtd">
      <tp t="s">
        <v>FRTR 3 1/2 04/25/26</v>
        <stp/>
        <stp>##V3_BDPV12</stp>
        <stp>FR0010916924 Corp</stp>
        <stp>security des</stp>
        <stp>[NEW BONDS ASW_VINCE2018BIS.xlsm]Isin!R31C12</stp>
        <tr r="L31" s="41"/>
      </tp>
      <tp t="s">
        <v>FRTR 4 1/4 10/25/23</v>
        <stp/>
        <stp>##V3_BDPV12</stp>
        <stp>FR0010466938 Corp</stp>
        <stp>security des</stp>
        <stp>[NEW BONDS ASW_VINCE2018BIS.xlsm]Isin!R25C12</stp>
        <tr r="L25" s="41"/>
      </tp>
      <tp t="s">
        <v>FRTR 3 04/25/22</v>
        <stp/>
        <stp>##V3_BDPV12</stp>
        <stp>FR0011196856 Corp</stp>
        <stp>security des</stp>
        <stp>[NEW BONDS ASW_VINCE2018BIS.xlsm]Isin!R21C12</stp>
        <tr r="L21" s="41"/>
      </tp>
      <tp t="s">
        <v>FRTR 3 3/4 10/25/19</v>
        <stp/>
        <stp>##V3_BDPV12</stp>
        <stp>FR0010776161 Corp</stp>
        <stp>security des</stp>
        <stp>[NEW BONDS ASW_VINCE2018BIS.xlsm]Isin!R12C12</stp>
        <tr r="L12" s="41"/>
      </tp>
      <tp t="s">
        <v>FRTR 1 3/4 05/25/23</v>
        <stp/>
        <stp>##V3_BDPV12</stp>
        <stp>FR0011486067 Corp</stp>
        <stp>security des</stp>
        <stp>[NEW BONDS ASW_VINCE2018BIS.xlsm]Isin!R24C12</stp>
        <tr r="L24" s="41"/>
      </tp>
      <tp t="s">
        <v>FRTR 5 3/4 10/25/32</v>
        <stp/>
        <stp>##V3_BDPV12</stp>
        <stp>FR0000187635 Corp</stp>
        <stp>security des</stp>
        <stp>[NEW BONDS ASW_VINCE2018BIS.xlsm]Isin!R39C12</stp>
        <tr r="L39" s="41"/>
      </tp>
      <tp t="s">
        <v>12/15/2017</v>
        <stp/>
        <stp>##V3_BDPV12</stp>
        <stp>IT0005056541 Corp</stp>
        <stp>PREV_CPN_DT</stp>
        <stp>[NEW BONDS ASW_VINCE2018BIS.xlsm]CCT!R9C26</stp>
        <tr r="Z9" s="44"/>
      </tp>
      <tp>
        <v>100.623</v>
        <stp/>
        <stp>##V3_BDPV12</stp>
        <stp>ES00000128A0@cbbt Corp</stp>
        <stp>ASK</stp>
        <stp>[NEW BONDS ASW_VINCE2018BIS.xlsm]Bonds!R92C20</stp>
        <tr r="T92" s="1"/>
      </tp>
      <tp>
        <v>100.09</v>
        <stp/>
        <stp>##V3_BDPV12</stp>
        <stp>ES00000127D6@cbbt Corp</stp>
        <stp>BID</stp>
        <stp>[NEW BONDS ASW_VINCE2018BIS.xlsm]Bonds!R89C19</stp>
        <tr r="S89" s="1"/>
      </tp>
    </main>
    <main first="pldatasource.rtgetrtdserver">
      <tp>
        <v>109.52500000000001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98.95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</main>
    <main first="bloomberg.rtd">
      <tp>
        <v>103.015</v>
        <stp/>
        <stp>##V3_BDPV12</stp>
        <stp>ES00000127H7@cbbt Corp</stp>
        <stp>BID</stp>
        <stp>[NEW BONDS ASW_VINCE2018BIS.xlsm]Bonds!R98C19</stp>
        <tr r="S98" s="1"/>
      </tp>
    </main>
    <main first="pldatasource.rtgetrtdserver">
      <tp>
        <v>143.25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</main>
    <main first="bloomberg.rtd">
      <tp>
        <v>103.592</v>
        <stp/>
        <stp>##V3_BDPV12</stp>
        <stp>ES00000124V5@cbbt Corp</stp>
        <stp>BID</stp>
        <stp>[NEW BONDS ASW_VINCE2018BIS.xlsm]Bonds!R93C19</stp>
        <tr r="S93" s="1"/>
      </tp>
    </main>
    <main first="pldatasource.rtgetrtdserver">
      <tp>
        <v>107.64400000000001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108.337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101.431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</main>
    <main first="bloomberg.rtd">
      <tp t="s">
        <v>FRTR 3 1/2 04/25/20</v>
        <stp/>
        <stp>##V3_BDPV12</stp>
        <stp>FR0010854182 Corp</stp>
        <stp>security des</stp>
        <stp>[NEW BONDS ASW_VINCE2018BIS.xlsm]Isin!R15C12</stp>
        <tr r="L15" s="41"/>
      </tp>
      <tp t="s">
        <v>FRTR 1 1/4 05/25/36</v>
        <stp/>
        <stp>##V3_BDPV12</stp>
        <stp>FR0013154044 Corp</stp>
        <stp>security des</stp>
        <stp>[NEW BONDS ASW_VINCE2018BIS.xlsm]Isin!R41C12</stp>
        <tr r="L41" s="41"/>
      </tp>
      <tp t="s">
        <v>FRTR 1 3/4 05/25/66</v>
        <stp/>
        <stp>##V3_BDPV12</stp>
        <stp>FR0013154028 Corp</stp>
        <stp>security des</stp>
        <stp>[NEW BONDS ASW_VINCE2018BIS.xlsm]Isin!R47C12</stp>
        <tr r="L47" s="41"/>
      </tp>
      <tp t="s">
        <v>SPGB 4 3/4 09/30/17</v>
        <stp/>
        <stp>##V3_BDPV12</stp>
        <stp>ES00000123R5 Corp</stp>
        <stp>security des</stp>
        <stp>[NEW BONDS ASW_VINCE2018BIS.xlsm]Isin!R8C6</stp>
        <tr r="F8" s="41"/>
      </tp>
    </main>
    <main first="pldatasource.rtgetrtdserver">
      <tp>
        <v>101.142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107.74000000000001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  <tp>
        <v>106.962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  <tp>
        <v>101.19200000000001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</main>
    <main first="bloomberg.rtd">
      <tp t="s">
        <v>11/1/2017</v>
        <stp/>
        <stp>##V3_BDPV12</stp>
        <stp>IT0004922909 Corp</stp>
        <stp>PREV_CPN_DT</stp>
        <stp>[NEW BONDS ASW_VINCE2018BIS.xlsm]CCT!R7C26</stp>
        <tr r="Z7" s="44"/>
      </tp>
      <tp t="s">
        <v>11/15/2017</v>
        <stp/>
        <stp>##V3_BDPV12</stp>
        <stp>IT0005009839 Corp</stp>
        <stp>PREV_CPN_DT</stp>
        <stp>[NEW BONDS ASW_VINCE2018BIS.xlsm]CCT!R8C26</stp>
        <tr r="Z8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>
        <v>103.649</v>
        <stp/>
        <stp>##V3_BDPV12</stp>
        <stp>ES00000124V5@cbbt Corp</stp>
        <stp>ASK</stp>
        <stp>[NEW BONDS ASW_VINCE2018BIS.xlsm]Bonds!R93C20</stp>
        <tr r="T93" s="1"/>
      </tp>
      <tp t="s">
        <v>SPGB 3.3 07/30/16</v>
        <stp/>
        <stp>##V3_BDPV12</stp>
        <stp>ES00000123W5 Corp</stp>
        <stp>security des</stp>
        <stp>[NEW BONDS ASW_VINCE2018BIS.xlsm]Isin!R3C6</stp>
        <tr r="F3" s="41"/>
      </tp>
      <tp t="s">
        <v>FRTR 3 1/4 10/25/21</v>
        <stp/>
        <stp>##V3_BDPV12</stp>
        <stp>FR0011059088 Corp</stp>
        <stp>security des</stp>
        <stp>[NEW BONDS ASW_VINCE2018BIS.xlsm]Isin!R19C12</stp>
        <tr r="L19" s="41"/>
      </tp>
      <tp t="s">
        <v>FRTR 2 1/4 05/25/24</v>
        <stp/>
        <stp>##V3_BDPV12</stp>
        <stp>FR0011619436 Corp</stp>
        <stp>security des</stp>
        <stp>[NEW BONDS ASW_VINCE2018BIS.xlsm]Isin!R26C12</stp>
        <tr r="L26" s="41"/>
      </tp>
      <tp t="s">
        <v>FRTR 2 1/2 10/25/20</v>
        <stp/>
        <stp>##V3_BDPV12</stp>
        <stp>FR0010949651 Corp</stp>
        <stp>security des</stp>
        <stp>[NEW BONDS ASW_VINCE2018BIS.xlsm]Isin!R17C12</stp>
        <tr r="L17" s="41"/>
      </tp>
      <tp>
        <v>-44.18496110795418</v>
        <stp/>
        <stp>##V3_BDPV12</stp>
        <stp>AL9975494 Govt</stp>
        <stp>YAS_ASW_SPREAD</stp>
        <stp>[NEW BONDS ASW_VINCE2018BIS.xlsm]Bonds!R5C38</stp>
        <tr r="AL5" s="1"/>
      </tp>
      <tp>
        <v>-60.692999215853902</v>
        <stp/>
        <stp>##V3_BDPV12</stp>
        <stp>AP8872685 Govt</stp>
        <stp>YAS_ASW_SPREAD</stp>
        <stp>[NEW BONDS ASW_VINCE2018BIS.xlsm]Bonds!R5C30</stp>
        <tr r="AD5" s="1"/>
      </tp>
      <tp>
        <v>100.569</v>
        <stp/>
        <stp>##V3_BDPV12</stp>
        <stp>ES00000128A0@cbbt Corp</stp>
        <stp>BID</stp>
        <stp>[NEW BONDS ASW_VINCE2018BIS.xlsm]Bonds!R92C19</stp>
        <tr r="S92" s="1"/>
      </tp>
      <tp>
        <v>100.13200000000001</v>
        <stp/>
        <stp>##V3_BDPV12</stp>
        <stp>ES00000127D6@cbbt Corp</stp>
        <stp>ASK</stp>
        <stp>[NEW BONDS ASW_VINCE2018BIS.xlsm]Bonds!R89C20</stp>
        <tr r="T89" s="1"/>
      </tp>
      <tp>
        <v>103.099</v>
        <stp/>
        <stp>##V3_BDPV12</stp>
        <stp>ES00000127H7@cbbt Corp</stp>
        <stp>ASK</stp>
        <stp>[NEW BONDS ASW_VINCE2018BIS.xlsm]Bonds!R98C20</stp>
        <tr r="T98" s="1"/>
      </tp>
      <tp t="s">
        <v>FRTR 1 05/25/19</v>
        <stp/>
        <stp>##V3_BDPV12</stp>
        <stp>FR0011708080 Corp</stp>
        <stp>security des</stp>
        <stp>[NEW BONDS ASW_VINCE2018BIS.xlsm]Isin!R11C12</stp>
        <tr r="L11" s="41"/>
      </tp>
      <tp t="s">
        <v>FRTR 4 1/4 04/25/19</v>
        <stp/>
        <stp>##V3_BDPV12</stp>
        <stp>FR0000189151 Corp</stp>
        <stp>security des</stp>
        <stp>[NEW BONDS ASW_VINCE2018BIS.xlsm]Isin!R10C12</stp>
        <tr r="L10" s="41"/>
      </tp>
      <tp t="s">
        <v>FRTR 1 11/25/25</v>
        <stp/>
        <stp>##V3_BDPV12</stp>
        <stp>FR0012938116 Corp</stp>
        <stp>security des</stp>
        <stp>[NEW BONDS ASW_VINCE2018BIS.xlsm]Isin!R30C12</stp>
        <tr r="L30" s="41"/>
      </tp>
      <tp>
        <v>-48.739810390337766</v>
        <stp/>
        <stp>##V3_BDPV12</stp>
        <stp>AO1311320 Govt</stp>
        <stp>YAS_ASW_SPREAD</stp>
        <stp>[NEW BONDS ASW_VINCE2018BIS.xlsm]Bonds!R5C37</stp>
        <tr r="AK5" s="1"/>
      </tp>
      <tp>
        <v>103.143</v>
        <stp/>
        <stp>##V3_BDPV12</stp>
        <stp>ES00000126C0@cbbt Corp</stp>
        <stp>ASK</stp>
        <stp>[NEW BONDS ASW_VINCE2018BIS.xlsm]Bonds!R96C20</stp>
        <tr r="T96" s="1"/>
      </tp>
      <tp>
        <v>90.921000000000006</v>
        <stp/>
        <stp>##V3_BDPV12</stp>
        <stp>IT0005217390@cbbt Corp</stp>
        <stp>ASK</stp>
        <stp>[NEW BONDS ASW_VINCE2018BIS.xlsm]Bonds!R88C20</stp>
        <tr r="T88" s="1"/>
      </tp>
      <tp>
        <v>101.861</v>
        <stp/>
        <stp>##V3_BDPV12</stp>
        <stp>ES00000121A5@cbbt Corp</stp>
        <stp>ASK</stp>
        <stp>[NEW BONDS ASW_VINCE2018BIS.xlsm]Bonds!R90C20</stp>
        <tr r="T90" s="1"/>
      </tp>
      <tp>
        <v>106.995</v>
        <stp/>
        <stp>##V3_BDPV12</stp>
        <stp>ES00000121L2@cbbt Corp</stp>
        <stp>ASK</stp>
        <stp>[NEW BONDS ASW_VINCE2018BIS.xlsm]Bonds!R94C20</stp>
        <tr r="T94" s="1"/>
      </tp>
      <tp>
        <v>107.664</v>
        <stp/>
        <stp>##V3_BDPV12</stp>
        <stp>ES00000121O6@cbbt Corp</stp>
        <stp>ASK</stp>
        <stp>[NEW BONDS ASW_VINCE2018BIS.xlsm]Bonds!R95C20</stp>
        <tr r="T95" s="1"/>
      </tp>
    </main>
    <main first="pldatasource.rtgetrtdserver">
      <tp>
        <v>104.82900000000001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105.616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128.095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 t="s">
        <v>8/15/2018</v>
        <stp/>
        <stp>##V3_BDPV12</stp>
        <stp>IT0005218968 Corp</stp>
        <stp>NXT_CPN_DT</stp>
        <stp>[NEW BONDS ASW_VINCE2018BIS.xlsm]CCT!R13C25</stp>
        <tr r="Y13" s="44"/>
      </tp>
      <tp>
        <v>113.16500000000001</v>
        <stp/>
        <stp>##V3_BDPV12</stp>
        <stp>ES00000122T3@cbbt Corp</stp>
        <stp>ASK</stp>
        <stp>[NEW BONDS ASW_VINCE2018BIS.xlsm]Bonds!R99C20</stp>
        <tr r="T99" s="1"/>
      </tp>
      <tp>
        <v>109.00700000000001</v>
        <stp/>
        <stp>##V3_BDPV12</stp>
        <stp>ES00000122D7@cbbt Corp</stp>
        <stp>ASK</stp>
        <stp>[NEW BONDS ASW_VINCE2018BIS.xlsm]Bonds!R97C20</stp>
        <tr r="T97" s="1"/>
      </tp>
    </main>
    <main first="pldatasource.rtgetrtdserver">
      <tp>
        <v>100.69800000000001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153.79</v>
        <stp/>
        <stp>_x0006_FOAT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99.490000000000009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96.224000000000004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134.773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110.39100000000001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100.798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100.70700000000001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143.18800000000002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160.20600000000002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101.014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105.31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118.07600000000001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101.619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106.11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164.322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135.55000000000001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106.57000000000001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98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153.77000000000001</v>
        <stp/>
        <stp>_x0006_FOAT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101.997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101.864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103.14700000000001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104.91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136.91</v>
        <stp/>
        <stp>_x0006_FBTP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111.97500000000001</v>
        <stp/>
        <stp>_x0006_FGB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113.35000000000001</v>
        <stp/>
        <stp>_x0006_FBT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111.98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153.70600000000002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141.369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>
        <v>100.846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108.578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1.464000027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1.430999994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1.411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0.8869999970000001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-0.34971060300000001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0.97299999600000009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-0.34755831200000004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1.0499999950000001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1.1172503630000001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-0.34077067999999999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1.1758826180000002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-0.33580859700000004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1.2269999220000001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1.2711103800000001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-0.32318141500000003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1.3091729560000001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-0.31509907300000001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1.341730246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-0.30600000199999999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1.368854751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-0.29559379299999999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1.391000011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-0.28534532200000001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1.4086647700000001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-0.27400000000000002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1.4222897330000002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-0.26116234399999999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1.4327793230000001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-0.24856678500000001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1.4407885660000002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1.4470000000000001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1.4520397150000002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1.4560590470000001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1.459284343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1.461880904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1.4640000070000001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1.4691504080000002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</main>
    <main first="bloomberg.rtd">
      <tp t="s">
        <v>3/12/2018</v>
        <stp/>
        <stp>##V3_BDPV12</stp>
        <stp>IKH8 Comdty</stp>
        <stp>FUT_DLV_DT_LAST</stp>
        <stp>[NEW BONDS ASW_VINCE2018BIS.xlsm]Bonds!R5C4</stp>
        <tr r="D5" s="1"/>
      </tp>
    </main>
    <main first="pldatasource.rtgetrtdserver">
      <tp>
        <v>143.24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100.23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100.97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115.07900000000001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146.255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100.67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107.188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100.24000000000001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103.45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107.663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158.89000000000001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101.20100000000001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102.06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123.52500000000001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143.33000000000001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113.36</v>
        <stp/>
        <stp>_x0006_FBT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111.98</v>
        <stp/>
        <stp>_x0006_FGB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136.9</v>
        <stp/>
        <stp>_x0006_FBTP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99.037000000000006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  <tp>
        <v>106.7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104.45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98.47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108.54300000000001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105.643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1.464000027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1.430999994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1.411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-0.34077067999999999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1.1172503630000001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1.0499999950000001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-0.34755831200000004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0.97299999600000009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-0.34971060300000001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0.8869999970000001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-0.31509907300000001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1.3091729560000001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-0.32318141500000003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1.2711103800000001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1.2269999220000001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-0.33580859700000004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1.1758826180000002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-0.29559379299999999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1.368854751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-0.30600000199999999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1.341730246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-0.24856678500000001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1.4327793230000001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-0.26116234399999999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1.4222897330000002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-0.27400000000000002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1.4086647700000001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-0.28534532200000001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1.391000011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1.4560590470000001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1.4520397150000002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1.4470000000000001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1.4407885660000002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1.461880904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1.459284343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1.4640000070000001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1.4691504080000002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148.334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112.843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108.467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109.03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  <tp>
        <v>116.63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99.320999999999998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122.89100000000001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  <tp>
        <v>112.55500000000001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161.988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100.423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>
        <v>101.521</v>
        <stp/>
        <stp>##V3_BDPV12</stp>
        <stp>IT0005137614 Corp</stp>
        <stp>PX_ASK</stp>
        <stp>[NEW BONDS ASW_VINCE2018BIS.xlsm]CCT!R11C9</stp>
        <tr r="I11" s="44"/>
      </tp>
      <tp>
        <v>102.81100000000001</v>
        <stp/>
        <stp>##V3_BDPV12</stp>
        <stp>IT0005252520 Corp</stp>
        <stp>PX_BID</stp>
        <stp>[NEW BONDS ASW_VINCE2018BIS.xlsm]CCT!R14C7</stp>
        <tr r="G14" s="44"/>
      </tp>
      <tp>
        <v>102.904</v>
        <stp/>
        <stp>##V3_BDPV12</stp>
        <stp>IT0005252520 Corp</stp>
        <stp>PX_ASK</stp>
        <stp>[NEW BONDS ASW_VINCE2018BIS.xlsm]CCT!R14C9</stp>
        <tr r="I14" s="44"/>
      </tp>
      <tp>
        <v>101.44499999999999</v>
        <stp/>
        <stp>##V3_BDPV12</stp>
        <stp>IT0005137614 Corp</stp>
        <stp>PX_BID</stp>
        <stp>[NEW BONDS ASW_VINCE2018BIS.xlsm]CCT!R11C7</stp>
        <tr r="G11" s="44"/>
      </tp>
      <tp t="s">
        <v>FRTR 4 1/4 10/25/17</v>
        <stp/>
        <stp>##V3_BDPV12</stp>
        <stp>FR0010517417 Corp</stp>
        <stp>security des</stp>
        <stp>[NEW BONDS ASW_VINCE2018BIS.xlsm]Isin!R4C12</stp>
        <tr r="L4" s="41"/>
      </tp>
      <tp>
        <v>95.947999999999993</v>
        <stp/>
        <stp>##V3_BDPV12</stp>
        <stp>FR0013154028@cbbt Corp</stp>
        <stp>BID</stp>
        <stp>[NEW BONDS ASW_VINCE2018BIS.xlsm]Bonds!R248C19</stp>
        <tr r="S248" s="1"/>
      </tp>
      <tp>
        <v>96.421000000000006</v>
        <stp/>
        <stp>##V3_BDPV12</stp>
        <stp>FR0013154028@cbbt Corp</stp>
        <stp>ASK</stp>
        <stp>[NEW BONDS ASW_VINCE2018BIS.xlsm]Bonds!R248C20</stp>
        <tr r="T248" s="1"/>
      </tp>
      <tp>
        <v>98.656999999999996</v>
        <stp/>
        <stp>##V3_BDPV12</stp>
        <stp>ES0000012B39@cbbt Corp</stp>
        <stp>BID</stp>
        <stp>[NEW BONDS ASW_VINCE2018BIS.xlsm]Bonds!R119C19</stp>
        <tr r="S119" s="1"/>
      </tp>
      <tp>
        <v>98.900999999999996</v>
        <stp/>
        <stp>##V3_BDPV12</stp>
        <stp>ES0000012B39@cbbt Corp</stp>
        <stp>ASK</stp>
        <stp>[NEW BONDS ASW_VINCE2018BIS.xlsm]Bonds!R119C20</stp>
        <tr r="T119" s="1"/>
      </tp>
      <tp>
        <v>99.111999999999995</v>
        <stp/>
        <stp>##V3_BDPV12</stp>
        <stp>DE0001102424@cbbt Corp</stp>
        <stp>BID</stp>
        <stp>[NEW BONDS ASW_VINCE2018BIS.xlsm]Bonds!R178C19</stp>
        <tr r="S178" s="1"/>
      </tp>
      <tp>
        <v>99.147999999999996</v>
        <stp/>
        <stp>##V3_BDPV12</stp>
        <stp>DE0001102424@cbbt Corp</stp>
        <stp>ASK</stp>
        <stp>[NEW BONDS ASW_VINCE2018BIS.xlsm]Bonds!R178C20</stp>
        <tr r="T178" s="1"/>
      </tp>
      <tp>
        <v>131.32300000000001</v>
        <stp/>
        <stp>##V3_BDPV12</stp>
        <stp>ES0000012932@cbbt Corp</stp>
        <stp>BID</stp>
        <stp>[NEW BONDS ASW_VINCE2018BIS.xlsm]Bonds!R125C19</stp>
        <tr r="S125" s="1"/>
      </tp>
      <tp>
        <v>131.73400000000001</v>
        <stp/>
        <stp>##V3_BDPV12</stp>
        <stp>ES0000012932@cbbt Corp</stp>
        <stp>ASK</stp>
        <stp>[NEW BONDS ASW_VINCE2018BIS.xlsm]Bonds!R125C20</stp>
        <tr r="T125" s="1"/>
      </tp>
      <tp>
        <v>102.059</v>
        <stp/>
        <stp>##V3_BDPV12</stp>
        <stp>IT0004361041 Corp</stp>
        <stp>PX_BID</stp>
        <stp>[NEW BONDS ASW_VINCE2018BIS.xlsm]CCT!R26C7</stp>
        <tr r="G26" s="44"/>
      </tp>
      <tp>
        <v>102.104</v>
        <stp/>
        <stp>##V3_BDPV12</stp>
        <stp>IT0004361041 Corp</stp>
        <stp>PX_ASK</stp>
        <stp>[NEW BONDS ASW_VINCE2018BIS.xlsm]CCT!R26C9</stp>
        <tr r="I26" s="44"/>
      </tp>
      <tp>
        <v>101.134</v>
        <stp/>
        <stp>##V3_BDPV12</stp>
        <stp>IT0005185456 Corp</stp>
        <stp>PX_BID</stp>
        <stp>[NEW BONDS ASW_VINCE2018BIS.xlsm]CCT!R12C7</stp>
        <tr r="G12" s="44"/>
      </tp>
      <tp>
        <v>101.193</v>
        <stp/>
        <stp>##V3_BDPV12</stp>
        <stp>IT0005185456 Corp</stp>
        <stp>PX_ASK</stp>
        <stp>[NEW BONDS ASW_VINCE2018BIS.xlsm]CCT!R12C9</stp>
        <tr r="I12" s="44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>
        <v>99.968000000000004</v>
        <stp/>
        <stp>##V3_BDPV12</stp>
        <stp>DE0001104636@cbbt Corp</stp>
        <stp>BID</stp>
        <stp>[NEW BONDS ASW_VINCE2018BIS.xlsm]Bonds!R132C19</stp>
        <tr r="S132" s="1"/>
      </tp>
      <tp>
        <v>100.072</v>
        <stp/>
        <stp>##V3_BDPV12</stp>
        <stp>DE0001104636@cbbt Corp</stp>
        <stp>ASK</stp>
        <stp>[NEW BONDS ASW_VINCE2018BIS.xlsm]Bonds!R132C20</stp>
        <tr r="T132" s="1"/>
      </tp>
      <tp>
        <v>101.199</v>
        <stp/>
        <stp>##V3_BDPV12</stp>
        <stp>DE0001141737@cbbt Corp</stp>
        <stp>BID</stp>
        <stp>[NEW BONDS ASW_VINCE2018BIS.xlsm]Bonds!R155C19</stp>
        <tr r="S155" s="1"/>
      </tp>
      <tp>
        <v>101.232</v>
        <stp/>
        <stp>##V3_BDPV12</stp>
        <stp>DE0001141737@cbbt Corp</stp>
        <stp>ASK</stp>
        <stp>[NEW BONDS ASW_VINCE2018BIS.xlsm]Bonds!R155C20</stp>
        <tr r="T155" s="1"/>
      </tp>
      <tp>
        <v>0.53500000000000003</v>
        <stp/>
        <stp>##V3_BDPV12</stp>
        <stp>AL9975494 Govt</stp>
        <stp>BID_YIELD</stp>
        <stp>[NEW BONDS ASW_VINCE2018BIS.xlsm]Bonds!R6C38</stp>
        <tr r="AL6" s="1"/>
      </tp>
      <tp>
        <v>0.53200000000000003</v>
        <stp/>
        <stp>##V3_BDPV12</stp>
        <stp>AL9975494 Govt</stp>
        <stp>ASK_YIELD</stp>
        <stp>[NEW BONDS ASW_VINCE2018BIS.xlsm]Bonds!R6C38</stp>
        <tr r="AL6" s="1"/>
      </tp>
      <tp>
        <v>109.833</v>
        <stp/>
        <stp>##V3_BDPV12</stp>
        <stp>IT0004594930 Corp</stp>
        <stp>PX_BID</stp>
        <stp>[NEW BONDS ASW_VINCE2018BIS.xlsm]CCT!R30C7</stp>
        <tr r="G30" s="44"/>
      </tp>
      <tp>
        <v>109.877</v>
        <stp/>
        <stp>##V3_BDPV12</stp>
        <stp>IT0004594930 Corp</stp>
        <stp>PX_ASK</stp>
        <stp>[NEW BONDS ASW_VINCE2018BIS.xlsm]CCT!R30C9</stp>
        <tr r="I30" s="44"/>
      </tp>
      <tp>
        <v>100.822</v>
        <stp/>
        <stp>##V3_BDPV12</stp>
        <stp>IT0005104473 Corp</stp>
        <stp>PX_BID</stp>
        <stp>[NEW BONDS ASW_VINCE2018BIS.xlsm]CCT!R10C7</stp>
        <tr r="G10" s="44"/>
      </tp>
      <tp>
        <v>101.578</v>
        <stp/>
        <stp>##V3_BDPV12</stp>
        <stp>IT0005311508 Corp</stp>
        <stp>PX_BID</stp>
        <stp>[NEW BONDS ASW_VINCE2018BIS.xlsm]CCT!R15C7</stp>
        <tr r="G15" s="44"/>
      </tp>
      <tp>
        <v>118.92100000000001</v>
        <stp/>
        <stp>##V3_BDPV12</stp>
        <stp>IT0004953417 Corp</stp>
        <stp>PX_BID</stp>
        <stp>[NEW BONDS ASW_VINCE2018BIS.xlsm]CCT!R37C7</stp>
        <tr r="G37" s="44"/>
      </tp>
      <tp>
        <v>101.66200000000001</v>
        <stp/>
        <stp>##V3_BDPV12</stp>
        <stp>IT0005311508 Corp</stp>
        <stp>PX_ASK</stp>
        <stp>[NEW BONDS ASW_VINCE2018BIS.xlsm]CCT!R15C9</stp>
        <tr r="I15" s="44"/>
      </tp>
      <tp>
        <v>118.97199999999999</v>
        <stp/>
        <stp>##V3_BDPV12</stp>
        <stp>IT0004953417 Corp</stp>
        <stp>PX_ASK</stp>
        <stp>[NEW BONDS ASW_VINCE2018BIS.xlsm]CCT!R37C9</stp>
        <tr r="I37" s="44"/>
      </tp>
      <tp>
        <v>100.901</v>
        <stp/>
        <stp>##V3_BDPV12</stp>
        <stp>IT0005104473 Corp</stp>
        <stp>PX_ASK</stp>
        <stp>[NEW BONDS ASW_VINCE2018BIS.xlsm]CCT!R10C9</stp>
        <tr r="I10" s="44"/>
      </tp>
      <tp>
        <v>96.03</v>
        <stp/>
        <stp>##V3_BDPV12</stp>
        <stp>DE0001102408@cbbt Corp</stp>
        <stp>BID</stp>
        <stp>[NEW BONDS ASW_VINCE2018BIS.xlsm]Bonds!R175C19</stp>
        <tr r="S175" s="1"/>
      </tp>
      <tp>
        <v>96.066000000000003</v>
        <stp/>
        <stp>##V3_BDPV12</stp>
        <stp>DE0001102408@cbbt Corp</stp>
        <stp>ASK</stp>
        <stp>[NEW BONDS ASW_VINCE2018BIS.xlsm]Bonds!R175C20</stp>
        <tr r="T175" s="1"/>
      </tp>
      <tp>
        <v>101.084</v>
        <stp/>
        <stp>##V3_BDPV12</stp>
        <stp>DE0001104701@cbbt Corp</stp>
        <stp>BID</stp>
        <stp>[NEW BONDS ASW_VINCE2018BIS.xlsm]Bonds!R147C19</stp>
        <tr r="S147" s="1"/>
      </tp>
      <tp>
        <v>101.113</v>
        <stp/>
        <stp>##V3_BDPV12</stp>
        <stp>DE0001104701@cbbt Corp</stp>
        <stp>ASK</stp>
        <stp>[NEW BONDS ASW_VINCE2018BIS.xlsm]Bonds!R147C20</stp>
        <tr r="T147" s="1"/>
      </tp>
      <tp>
        <v>148.94</v>
        <stp/>
        <stp>##V3_BDPV12</stp>
        <stp>ES0000012411@cbbt Corp</stp>
        <stp>BID</stp>
        <stp>[NEW BONDS ASW_VINCE2018BIS.xlsm]Bonds!R123C19</stp>
        <tr r="S123" s="1"/>
      </tp>
      <tp>
        <v>149.233</v>
        <stp/>
        <stp>##V3_BDPV12</stp>
        <stp>ES0000012411@cbbt Corp</stp>
        <stp>ASK</stp>
        <stp>[NEW BONDS ASW_VINCE2018BIS.xlsm]Bonds!R123C20</stp>
        <tr r="T123" s="1"/>
      </tp>
      <tp>
        <v>-0.60499999999999998</v>
        <stp/>
        <stp>##V3_BDPV12</stp>
        <stp>AP8872685 Govt</stp>
        <stp>BID_YIELD</stp>
        <stp>[NEW BONDS ASW_VINCE2018BIS.xlsm]Bonds!R6C30</stp>
        <tr r="AD6" s="1"/>
      </tp>
      <tp>
        <v>-0.622</v>
        <stp/>
        <stp>##V3_BDPV12</stp>
        <stp>AP8872685 Govt</stp>
        <stp>ASK_YIELD</stp>
        <stp>[NEW BONDS ASW_VINCE2018BIS.xlsm]Bonds!R6C30</stp>
        <tr r="AD6" s="1"/>
      </tp>
      <tp>
        <v>110.633</v>
        <stp/>
        <stp>##V3_BDPV12</stp>
        <stp>IT0004634132 Corp</stp>
        <stp>PX_BID</stp>
        <stp>[NEW BONDS ASW_VINCE2018BIS.xlsm]CCT!R31C7</stp>
        <tr r="G31" s="44"/>
      </tp>
      <tp>
        <v>110.679</v>
        <stp/>
        <stp>##V3_BDPV12</stp>
        <stp>IT0004634132 Corp</stp>
        <stp>PX_ASK</stp>
        <stp>[NEW BONDS ASW_VINCE2018BIS.xlsm]CCT!R31C9</stp>
        <tr r="I31" s="44"/>
      </tp>
      <tp t="s">
        <v>FRTR 1 11/25/18</v>
        <stp/>
        <stp>##V3_BDPV12</stp>
        <stp>FR0011523257 Corp</stp>
        <stp>security des</stp>
        <stp>[NEW BONDS ASW_VINCE2018BIS.xlsm]Isin!R9C12</stp>
        <tr r="L9" s="41"/>
      </tp>
      <tp>
        <v>97.513999999999996</v>
        <stp/>
        <stp>##V3_BDPV12</stp>
        <stp>DE0001102416@cbbt Corp</stp>
        <stp>BID</stp>
        <stp>[NEW BONDS ASW_VINCE2018BIS.xlsm]Bonds!R176C19</stp>
        <tr r="S176" s="1"/>
      </tp>
      <tp>
        <v>97.545000000000002</v>
        <stp/>
        <stp>##V3_BDPV12</stp>
        <stp>DE0001102416@cbbt Corp</stp>
        <stp>ASK</stp>
        <stp>[NEW BONDS ASW_VINCE2018BIS.xlsm]Bonds!R176C20</stp>
        <tr r="T176" s="1"/>
      </tp>
      <tp>
        <v>121.13</v>
        <stp/>
        <stp>##V3_BDPV12</stp>
        <stp>IT0004801541 Corp</stp>
        <stp>PX_BID</stp>
        <stp>[NEW BONDS ASW_VINCE2018BIS.xlsm]CCT!R33C7</stp>
        <tr r="G33" s="44"/>
      </tp>
      <tp>
        <v>121.18</v>
        <stp/>
        <stp>##V3_BDPV12</stp>
        <stp>IT0004801541 Corp</stp>
        <stp>PX_ASK</stp>
        <stp>[NEW BONDS ASW_VINCE2018BIS.xlsm]CCT!R33C9</stp>
        <tr r="I33" s="44"/>
      </tp>
      <tp>
        <v>100.47799999999999</v>
        <stp/>
        <stp>##V3_BDPV12</stp>
        <stp>DE0001104669@cbbt Corp</stp>
        <stp>BID</stp>
        <stp>[NEW BONDS ASW_VINCE2018BIS.xlsm]Bonds!R138C19</stp>
        <tr r="S138" s="1"/>
      </tp>
      <tp>
        <v>100.56399999999999</v>
        <stp/>
        <stp>##V3_BDPV12</stp>
        <stp>DE0001104669@cbbt Corp</stp>
        <stp>ASK</stp>
        <stp>[NEW BONDS ASW_VINCE2018BIS.xlsm]Bonds!R138C20</stp>
        <tr r="T138" s="1"/>
      </tp>
      <tp>
        <v>147.786</v>
        <stp/>
        <stp>##V3_BDPV12</stp>
        <stp>DE0001135069@cbbt Corp</stp>
        <stp>BID</stp>
        <stp>[NEW BONDS ASW_VINCE2018BIS.xlsm]Bonds!R179C19</stp>
        <tr r="S179" s="1"/>
      </tp>
      <tp>
        <v>147.94800000000001</v>
        <stp/>
        <stp>##V3_BDPV12</stp>
        <stp>DE0001135069@cbbt Corp</stp>
        <stp>ASK</stp>
        <stp>[NEW BONDS ASW_VINCE2018BIS.xlsm]Bonds!R179C20</stp>
        <tr r="T179" s="1"/>
      </tp>
      <tp>
        <v>100.051</v>
        <stp/>
        <stp>##V3_BDPV12</stp>
        <stp>DE0001141661@cbbt Corp</stp>
        <stp>BID</stp>
        <stp>[NEW BONDS ASW_VINCE2018BIS.xlsm]Bonds!R133C19</stp>
        <tr r="S133" s="1"/>
      </tp>
      <tp>
        <v>100.15600000000001</v>
        <stp/>
        <stp>##V3_BDPV12</stp>
        <stp>DE0001141661@cbbt Corp</stp>
        <stp>ASK</stp>
        <stp>[NEW BONDS ASW_VINCE2018BIS.xlsm]Bonds!R133C20</stp>
        <tr r="T133" s="1"/>
      </tp>
      <tp>
        <v>100.124</v>
        <stp/>
        <stp>##V3_BDPV12</stp>
        <stp>IT0005106049 Corp</stp>
        <stp>PX_BID</stp>
        <stp>[NEW BONDS ASW_VINCE2018BIS.xlsm]CCT!R25C7</stp>
        <tr r="G25" s="44"/>
      </tp>
      <tp>
        <v>97.733999999999995</v>
        <stp/>
        <stp>##V3_BDPV12</stp>
        <stp>IT0005215246 Corp</stp>
        <stp>PX_ASK</stp>
        <stp>[NEW BONDS ASW_VINCE2018BIS.xlsm]CCT!R36C9</stp>
        <tr r="I36" s="44"/>
      </tp>
      <tp>
        <v>97.680999999999997</v>
        <stp/>
        <stp>##V3_BDPV12</stp>
        <stp>IT0005215246 Corp</stp>
        <stp>PX_BID</stp>
        <stp>[NEW BONDS ASW_VINCE2018BIS.xlsm]CCT!R36C7</stp>
        <tr r="G36" s="44"/>
      </tp>
      <tp>
        <v>100.15600000000001</v>
        <stp/>
        <stp>##V3_BDPV12</stp>
        <stp>IT0005106049 Corp</stp>
        <stp>PX_ASK</stp>
        <stp>[NEW BONDS ASW_VINCE2018BIS.xlsm]CCT!R25C9</stp>
        <tr r="I25" s="44"/>
      </tp>
      <tp>
        <v>123.495</v>
        <stp/>
        <stp>##V3_BDPV12</stp>
        <stp>IT0004513641 Corp</stp>
        <stp>PX_ASK</stp>
        <stp>[NEW BONDS ASW_VINCE2018BIS.xlsm]CCT!R40C9</stp>
        <tr r="I40" s="44"/>
      </tp>
      <tp>
        <v>123.432</v>
        <stp/>
        <stp>##V3_BDPV12</stp>
        <stp>IT0004513641 Corp</stp>
        <stp>PX_BID</stp>
        <stp>[NEW BONDS ASW_VINCE2018BIS.xlsm]CCT!R40C7</stp>
        <tr r="G40" s="44"/>
      </tp>
      <tp t="s">
        <v>FRTR 4 04/25/18</v>
        <stp/>
        <stp>##V3_BDPV12</stp>
        <stp>FR0010604983 Corp</stp>
        <stp>security des</stp>
        <stp>[NEW BONDS ASW_VINCE2018BIS.xlsm]Isin!R6C12</stp>
        <tr r="L6" s="41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>
        <v>100.982</v>
        <stp/>
        <stp>##V3_BDPV12</stp>
        <stp>DE0001141679@cbbt Corp</stp>
        <stp>BID</stp>
        <stp>[NEW BONDS ASW_VINCE2018BIS.xlsm]Bonds!R137C19</stp>
        <tr r="S137" s="1"/>
      </tp>
      <tp>
        <v>101.078</v>
        <stp/>
        <stp>##V3_BDPV12</stp>
        <stp>DE0001141679@cbbt Corp</stp>
        <stp>ASK</stp>
        <stp>[NEW BONDS ASW_VINCE2018BIS.xlsm]Bonds!R137C20</stp>
        <tr r="T137" s="1"/>
      </tp>
      <tp>
        <v>144.267</v>
        <stp/>
        <stp>##V3_BDPV12</stp>
        <stp>ES0000011868@cbbt Corp</stp>
        <stp>BID</stp>
        <stp>[NEW BONDS ASW_VINCE2018BIS.xlsm]Bonds!R121C19</stp>
        <tr r="S121" s="1"/>
      </tp>
      <tp>
        <v>144.48599999999999</v>
        <stp/>
        <stp>##V3_BDPV12</stp>
        <stp>ES0000011868@cbbt Corp</stp>
        <stp>ASK</stp>
        <stp>[NEW BONDS ASW_VINCE2018BIS.xlsm]Bonds!R121C20</stp>
        <tr r="T121" s="1"/>
      </tp>
      <tp>
        <v>103.72499999999999</v>
        <stp/>
        <stp>##V3_BDPV12</stp>
        <stp>DE0001135374@cbbt Corp</stp>
        <stp>BID</stp>
        <stp>[NEW BONDS ASW_VINCE2018BIS.xlsm]Bonds!R139C19</stp>
        <tr r="S139" s="1"/>
      </tp>
      <tp>
        <v>100.682</v>
        <stp/>
        <stp>##V3_BDPV12</stp>
        <stp>DE0001104677@cbbt Corp</stp>
        <stp>BID</stp>
        <stp>[NEW BONDS ASW_VINCE2018BIS.xlsm]Bonds!R141C19</stp>
        <tr r="S141" s="1"/>
      </tp>
      <tp>
        <v>103.813</v>
        <stp/>
        <stp>##V3_BDPV12</stp>
        <stp>DE0001135374@cbbt Corp</stp>
        <stp>ASK</stp>
        <stp>[NEW BONDS ASW_VINCE2018BIS.xlsm]Bonds!R139C20</stp>
        <tr r="T139" s="1"/>
      </tp>
      <tp>
        <v>100.735</v>
        <stp/>
        <stp>##V3_BDPV12</stp>
        <stp>DE0001104677@cbbt Corp</stp>
        <stp>ASK</stp>
        <stp>[NEW BONDS ASW_VINCE2018BIS.xlsm]Bonds!R141C20</stp>
        <tr r="T141" s="1"/>
      </tp>
      <tp>
        <v>102.15900000000001</v>
        <stp/>
        <stp>##V3_BDPV12</stp>
        <stp>IT0005069395 Corp</stp>
        <stp>PX_ASK</stp>
        <stp>[NEW BONDS ASW_VINCE2018BIS.xlsm]CCT!R29C9</stp>
        <tr r="I29" s="44"/>
      </tp>
      <tp>
        <v>102.107</v>
        <stp/>
        <stp>##V3_BDPV12</stp>
        <stp>IT0005069395 Corp</stp>
        <stp>PX_BID</stp>
        <stp>[NEW BONDS ASW_VINCE2018BIS.xlsm]CCT!R29C7</stp>
        <tr r="G29" s="44"/>
      </tp>
      <tp>
        <v>102.923</v>
        <stp/>
        <stp>##V3_BDPV12</stp>
        <stp>IT0004957574 Corp</stp>
        <stp>PX_BID</stp>
        <stp>[NEW BONDS ASW_VINCE2018BIS.xlsm]CCT!R27C7</stp>
        <tr r="G27" s="44"/>
      </tp>
      <tp>
        <v>102.97199999999999</v>
        <stp/>
        <stp>##V3_BDPV12</stp>
        <stp>IT0004957574 Corp</stp>
        <stp>PX_ASK</stp>
        <stp>[NEW BONDS ASW_VINCE2018BIS.xlsm]CCT!R27C9</stp>
        <tr r="I27" s="44"/>
      </tp>
      <tp t="s">
        <v>FRTR 4 1/4 10/25/18</v>
        <stp/>
        <stp>##V3_BDPV12</stp>
        <stp>FR0010670737 Corp</stp>
        <stp>security des</stp>
        <stp>[NEW BONDS ASW_VINCE2018BIS.xlsm]Isin!R8C12</stp>
        <tr r="L8" s="41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</main>
    <main first="bloomberg.rtd">
      <tp>
        <v>100.136</v>
        <stp/>
        <stp>##V3_BDPV12</stp>
        <stp>DE0001104644@cbbt Corp</stp>
        <stp>BID</stp>
        <stp>[NEW BONDS ASW_VINCE2018BIS.xlsm]Bonds!R134C19</stp>
        <tr r="S134" s="1"/>
      </tp>
      <tp>
        <v>100.22199999999999</v>
        <stp/>
        <stp>##V3_BDPV12</stp>
        <stp>DE0001104644@cbbt Corp</stp>
        <stp>ASK</stp>
        <stp>[NEW BONDS ASW_VINCE2018BIS.xlsm]Bonds!R134C20</stp>
        <tr r="T134" s="1"/>
      </tp>
      <tp>
        <v>101.02</v>
        <stp/>
        <stp>##V3_BDPV12</stp>
        <stp>DE0001141745@cbbt Corp</stp>
        <stp>BID</stp>
        <stp>[NEW BONDS ASW_VINCE2018BIS.xlsm]Bonds!R158C19</stp>
        <tr r="S158" s="1"/>
      </tp>
      <tp>
        <v>101.05200000000001</v>
        <stp/>
        <stp>##V3_BDPV12</stp>
        <stp>DE0001141745@cbbt Corp</stp>
        <stp>ASK</stp>
        <stp>[NEW BONDS ASW_VINCE2018BIS.xlsm]Bonds!R158C20</stp>
        <tr r="T158" s="1"/>
      </tp>
      <tp>
        <v>112.053</v>
        <stp/>
        <stp>##V3_BDPV12</stp>
        <stp>DE0001135440@cbbt Corp</stp>
        <stp>BID</stp>
        <stp>[NEW BONDS ASW_VINCE2018BIS.xlsm]Bonds!R156C19</stp>
        <tr r="S156" s="1"/>
      </tp>
      <tp>
        <v>112.087</v>
        <stp/>
        <stp>##V3_BDPV12</stp>
        <stp>DE0001135440@cbbt Corp</stp>
        <stp>ASK</stp>
        <stp>[NEW BONDS ASW_VINCE2018BIS.xlsm]Bonds!R156C20</stp>
        <tr r="T156" s="1"/>
      </tp>
      <tp>
        <v>100.08</v>
        <stp/>
        <stp>##V3_BDPV12</stp>
        <stp>IT0005175366 Corp</stp>
        <stp>PX_ASK</stp>
        <stp>[NEW BONDS ASW_VINCE2018BIS.xlsm]CCT!R24C9</stp>
        <tr r="I24" s="44"/>
      </tp>
      <tp>
        <v>99.730999999999995</v>
        <stp/>
        <stp>##V3_BDPV12</stp>
        <stp>IT0005090318 Corp</stp>
        <stp>PX_ASK</stp>
        <stp>[NEW BONDS ASW_VINCE2018BIS.xlsm]CCT!R41C9</stp>
        <tr r="I41" s="44"/>
      </tp>
      <tp>
        <v>99.671000000000006</v>
        <stp/>
        <stp>##V3_BDPV12</stp>
        <stp>IT0005090318 Corp</stp>
        <stp>PX_BID</stp>
        <stp>[NEW BONDS ASW_VINCE2018BIS.xlsm]CCT!R41C7</stp>
        <tr r="G41" s="44"/>
      </tp>
      <tp>
        <v>99.980999999999995</v>
        <stp/>
        <stp>##V3_BDPV12</stp>
        <stp>IT0005175366 Corp</stp>
        <stp>PX_BID</stp>
        <stp>[NEW BONDS ASW_VINCE2018BIS.xlsm]CCT!R24C7</stp>
        <tr r="G24" s="44"/>
      </tp>
      <tp>
        <v>106.783</v>
        <stp/>
        <stp>##V3_BDPV12</stp>
        <stp>IT0004489610 Corp</stp>
        <stp>PX_ASK</stp>
        <stp>[NEW BONDS ASW_VINCE2018BIS.xlsm]CCT!R28C9</stp>
        <tr r="I28" s="44"/>
      </tp>
      <tp>
        <v>106.73099999999999</v>
        <stp/>
        <stp>##V3_BDPV12</stp>
        <stp>IT0004489610 Corp</stp>
        <stp>PX_BID</stp>
        <stp>[NEW BONDS ASW_VINCE2018BIS.xlsm]CCT!R28C7</stp>
        <tr r="G28" s="44"/>
      </tp>
    </main>
    <main first="marketviewexcelplugin.mkvxp">
      <tp t="e">
        <v>#REF!</v>
        <stp/>
        <stp>0</stp>
        <stp>EUR.CM_DEPTH.VMO_REPO.IT0005252520_SN_Fixed</stp>
        <stp>VolumeMarket</stp>
        <tr r="N14" s="44"/>
      </tp>
    </main>
    <main first="bloomberg.rtd">
      <tp>
        <v>101.593</v>
        <stp/>
        <stp>##V3_BDPV12</stp>
        <stp>DE0001135358@cbbt Corp</stp>
        <stp>BID</stp>
        <stp>[NEW BONDS ASW_VINCE2018BIS.xlsm]Bonds!R135C19</stp>
        <tr r="S135" s="1"/>
      </tp>
      <tp>
        <v>101.688</v>
        <stp/>
        <stp>##V3_BDPV12</stp>
        <stp>DE0001135358@cbbt Corp</stp>
        <stp>ASK</stp>
        <stp>[NEW BONDS ASW_VINCE2018BIS.xlsm]Bonds!R135C20</stp>
        <tr r="T135" s="1"/>
      </tp>
      <tp>
        <v>101.193</v>
        <stp/>
        <stp>##V3_BDPV12</stp>
        <stp>ES0000012B47@cbbt Corp</stp>
        <stp>BID</stp>
        <stp>[NEW BONDS ASW_VINCE2018BIS.xlsm]Bonds!R130C19</stp>
        <tr r="S130" s="1"/>
      </tp>
      <tp>
        <v>101.696</v>
        <stp/>
        <stp>##V3_BDPV12</stp>
        <stp>ES0000012B47@cbbt Corp</stp>
        <stp>ASK</stp>
        <stp>[NEW BONDS ASW_VINCE2018BIS.xlsm]Bonds!R130C20</stp>
        <tr r="T130" s="1"/>
      </tp>
      <tp>
        <v>100.298</v>
        <stp/>
        <stp>##V3_BDPV12</stp>
        <stp>DE0001104651@cbbt Corp</stp>
        <stp>BID</stp>
        <stp>[NEW BONDS ASW_VINCE2018BIS.xlsm]Bonds!R136C19</stp>
        <tr r="S136" s="1"/>
      </tp>
      <tp>
        <v>100.393</v>
        <stp/>
        <stp>##V3_BDPV12</stp>
        <stp>DE0001104651@cbbt Corp</stp>
        <stp>ASK</stp>
        <stp>[NEW BONDS ASW_VINCE2018BIS.xlsm]Bonds!R136C20</stp>
        <tr r="T136" s="1"/>
      </tp>
    </main>
    <main first="pldatasource.rtgetrtdserver">
      <tp>
        <v>159.57</v>
        <stp/>
        <stp>_x0006_FGBL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  <tp>
        <v>131.11000000000001</v>
        <stp/>
        <stp>_x0006_FGBM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>
        <v>121.498</v>
        <stp/>
        <stp>##V3_BDPV12</stp>
        <stp>IT0004848831 Corp</stp>
        <stp>PX_BID</stp>
        <stp>[NEW BONDS ASW_VINCE2018BIS.xlsm]CCT!R34C7</stp>
        <tr r="G34" s="44"/>
      </tp>
      <tp>
        <v>121.54900000000001</v>
        <stp/>
        <stp>##V3_BDPV12</stp>
        <stp>IT0004848831 Corp</stp>
        <stp>PX_ASK</stp>
        <stp>[NEW BONDS ASW_VINCE2018BIS.xlsm]CCT!R34C9</stp>
        <tr r="I34" s="44"/>
      </tp>
      <tp>
        <v>106.929</v>
        <stp/>
        <stp>##V3_BDPV12</stp>
        <stp>IT0005045270 Corp</stp>
        <stp>PX_ASK</stp>
        <stp>[NEW BONDS ASW_VINCE2018BIS.xlsm]CCT!R39C9</stp>
        <tr r="I39" s="44"/>
      </tp>
      <tp>
        <v>106.87</v>
        <stp/>
        <stp>##V3_BDPV12</stp>
        <stp>IT0005045270 Corp</stp>
        <stp>PX_BID</stp>
        <stp>[NEW BONDS ASW_VINCE2018BIS.xlsm]CCT!R39C7</stp>
        <tr r="G39" s="44"/>
      </tp>
      <tp t="s">
        <v>BTNS 1 07/25/17</v>
        <stp/>
        <stp>##V3_BDPV12</stp>
        <stp>FR0120746609 Corp</stp>
        <stp>security des</stp>
        <stp>[NEW BONDS ASW_VINCE2018BIS.xlsm]Isin!R3C12</stp>
        <tr r="L3" s="41"/>
      </tp>
      <tp t="s">
        <v>FRTR 1 05/25/18</v>
        <stp/>
        <stp>##V3_BDPV12</stp>
        <stp>FR0011394345 Corp</stp>
        <stp>security des</stp>
        <stp>[NEW BONDS ASW_VINCE2018BIS.xlsm]Isin!R7C12</stp>
        <tr r="L7" s="41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131.1</v>
        <stp/>
        <stp>_x0006_FGBM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>
        <v>100.83799999999999</v>
        <stp/>
        <stp>##V3_BDPV12</stp>
        <stp>DE0001104685@cbbt Corp</stp>
        <stp>BID</stp>
        <stp>[NEW BONDS ASW_VINCE2018BIS.xlsm]Bonds!R143C19</stp>
        <tr r="S143" s="1"/>
      </tp>
      <tp>
        <v>100.88500000000001</v>
        <stp/>
        <stp>##V3_BDPV12</stp>
        <stp>DE0001104685@cbbt Corp</stp>
        <stp>ASK</stp>
        <stp>[NEW BONDS ASW_VINCE2018BIS.xlsm]Bonds!R143C20</stp>
        <tr r="T143" s="1"/>
      </tp>
      <tp>
        <v>140.93600000000001</v>
        <stp/>
        <stp>##V3_BDPV12</stp>
        <stp>DE0001135085@cbbt Corp</stp>
        <stp>BID</stp>
        <stp>[NEW BONDS ASW_VINCE2018BIS.xlsm]Bonds!R181C19</stp>
        <tr r="S181" s="1"/>
      </tp>
      <tp>
        <v>100.267</v>
        <stp/>
        <stp>##V3_BDPV12</stp>
        <stp>ES0000012A97@cbbt Corp</stp>
        <stp>BID</stp>
        <stp>[NEW BONDS ASW_VINCE2018BIS.xlsm]Bonds!R105C19</stp>
        <tr r="S105" s="1"/>
      </tp>
      <tp>
        <v>141.084</v>
        <stp/>
        <stp>##V3_BDPV12</stp>
        <stp>DE0001135085@cbbt Corp</stp>
        <stp>ASK</stp>
        <stp>[NEW BONDS ASW_VINCE2018BIS.xlsm]Bonds!R181C20</stp>
        <tr r="T181" s="1"/>
      </tp>
      <tp>
        <v>100.366</v>
        <stp/>
        <stp>##V3_BDPV12</stp>
        <stp>ES0000012A97@cbbt Corp</stp>
        <stp>ASK</stp>
        <stp>[NEW BONDS ASW_VINCE2018BIS.xlsm]Bonds!R105C20</stp>
        <tr r="T105" s="1"/>
      </tp>
      <tp>
        <v>101.621</v>
        <stp/>
        <stp>##V3_BDPV12</stp>
        <stp>DE0001141687@cbbt Corp</stp>
        <stp>BID</stp>
        <stp>[NEW BONDS ASW_VINCE2018BIS.xlsm]Bonds!R140C19</stp>
        <tr r="S140" s="1"/>
      </tp>
      <tp>
        <v>101.703</v>
        <stp/>
        <stp>##V3_BDPV12</stp>
        <stp>DE0001141687@cbbt Corp</stp>
        <stp>ASK</stp>
        <stp>[NEW BONDS ASW_VINCE2018BIS.xlsm]Bonds!R140C20</stp>
        <tr r="T140" s="1"/>
      </tp>
      <tp>
        <v>117.88800000000001</v>
        <stp/>
        <stp>##V3_BDPV12</stp>
        <stp>IT0004898034 Corp</stp>
        <stp>PX_BID</stp>
        <stp>[NEW BONDS ASW_VINCE2018BIS.xlsm]CCT!R35C7</stp>
        <tr r="G35" s="44"/>
      </tp>
      <tp>
        <v>117.93899999999999</v>
        <stp/>
        <stp>##V3_BDPV12</stp>
        <stp>IT0004898034 Corp</stp>
        <stp>PX_ASK</stp>
        <stp>[NEW BONDS ASW_VINCE2018BIS.xlsm]CCT!R35C9</stp>
        <tr r="I35" s="44"/>
      </tp>
    </main>
    <main first="pldatasource.rtgetrtdserver">
      <tp>
        <v>159.56</v>
        <stp/>
        <stp>_x0006_FGBL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</main>
    <main first="bloomberg.rtd">
      <tp>
        <v>112.723</v>
        <stp/>
        <stp>##V3_BDPV12</stp>
        <stp>FR0010192997@cbbt Corp</stp>
        <stp>BID</stp>
        <stp>[NEW BONDS ASW_VINCE2018BIS.xlsm]Bonds!R208C19</stp>
        <tr r="S208" s="1"/>
      </tp>
      <tp>
        <v>112.77500000000001</v>
        <stp/>
        <stp>##V3_BDPV12</stp>
        <stp>FR0010192997@cbbt Corp</stp>
        <stp>ASK</stp>
        <stp>[NEW BONDS ASW_VINCE2018BIS.xlsm]Bonds!R208C20</stp>
        <tr r="T208" s="1"/>
      </tp>
      <tp>
        <v>99.899000000000001</v>
        <stp/>
        <stp>##V3_BDPV12</stp>
        <stp>ES0000012A89@cbbt Corp</stp>
        <stp>BID</stp>
        <stp>[NEW BONDS ASW_VINCE2018BIS.xlsm]Bonds!R118C19</stp>
        <tr r="S118" s="1"/>
      </tp>
      <tp>
        <v>100.084</v>
        <stp/>
        <stp>##V3_BDPV12</stp>
        <stp>ES0000012A89@cbbt Corp</stp>
        <stp>ASK</stp>
        <stp>[NEW BONDS ASW_VINCE2018BIS.xlsm]Bonds!R118C20</stp>
        <tr r="T118" s="1"/>
      </tp>
      <tp>
        <v>101.312</v>
        <stp/>
        <stp>##V3_BDPV12</stp>
        <stp>DE0001141695@cbbt Corp</stp>
        <stp>BID</stp>
        <stp>[NEW BONDS ASW_VINCE2018BIS.xlsm]Bonds!R142C19</stp>
        <tr r="S142" s="1"/>
      </tp>
      <tp>
        <v>101.35899999999999</v>
        <stp/>
        <stp>##V3_BDPV12</stp>
        <stp>DE0001141695@cbbt Corp</stp>
        <stp>ASK</stp>
        <stp>[NEW BONDS ASW_VINCE2018BIS.xlsm]Bonds!R142C20</stp>
        <tr r="T142" s="1"/>
      </tp>
      <tp>
        <v>100.97</v>
        <stp/>
        <stp>##V3_BDPV12</stp>
        <stp>DE0001104693@cbbt Corp</stp>
        <stp>BID</stp>
        <stp>[NEW BONDS ASW_VINCE2018BIS.xlsm]Bonds!R145C19</stp>
        <tr r="S145" s="1"/>
      </tp>
      <tp>
        <v>107.164</v>
        <stp/>
        <stp>##V3_BDPV12</stp>
        <stp>DE0001135390@cbbt Corp</stp>
        <stp>BID</stp>
        <stp>[NEW BONDS ASW_VINCE2018BIS.xlsm]Bonds!R148C19</stp>
        <tr r="S148" s="1"/>
      </tp>
      <tp>
        <v>107.19799999999999</v>
        <stp/>
        <stp>##V3_BDPV12</stp>
        <stp>DE0001135390@cbbt Corp</stp>
        <stp>ASK</stp>
        <stp>[NEW BONDS ASW_VINCE2018BIS.xlsm]Bonds!R148C20</stp>
        <tr r="T148" s="1"/>
      </tp>
      <tp>
        <v>101.01</v>
        <stp/>
        <stp>##V3_BDPV12</stp>
        <stp>DE0001104693@cbbt Corp</stp>
        <stp>ASK</stp>
        <stp>[NEW BONDS ASW_VINCE2018BIS.xlsm]Bonds!R145C20</stp>
        <tr r="T145" s="1"/>
      </tp>
    </main>
    <main first="marketviewexcelplugin.mkvxp">
      <tp t="e">
        <v>#REF!</v>
        <stp/>
        <stp>0</stp>
        <stp>EUR.CM_DEPTH.VMO_REPO.IT0005185456_SN_Fixed</stp>
        <stp>VolumeMarket</stp>
        <tr r="N12" s="44"/>
      </tp>
    </main>
    <main first="bloomberg.rtd">
      <tp>
        <v>100.983</v>
        <stp/>
        <stp>##V3_BDPV12</stp>
        <stp>IT0005218968 Corp</stp>
        <stp>PX_BID</stp>
        <stp>[NEW BONDS ASW_VINCE2018BIS.xlsm]CCT!R13C7</stp>
        <tr r="G13" s="44"/>
      </tp>
      <tp>
        <v>101.077</v>
        <stp/>
        <stp>##V3_BDPV12</stp>
        <stp>IT0005218968 Corp</stp>
        <stp>PX_ASK</stp>
        <stp>[NEW BONDS ASW_VINCE2018BIS.xlsm]CCT!R13C9</stp>
        <tr r="I13" s="44"/>
      </tp>
      <tp>
        <v>117.636</v>
        <stp/>
        <stp>##V3_BDPV12</stp>
        <stp>IT0004759673 Corp</stp>
        <stp>PX_ASK</stp>
        <stp>[NEW BONDS ASW_VINCE2018BIS.xlsm]CCT!R32C9</stp>
        <tr r="I32" s="44"/>
      </tp>
      <tp>
        <v>117.592</v>
        <stp/>
        <stp>##V3_BDPV12</stp>
        <stp>IT0004759673 Corp</stp>
        <stp>PX_BID</stp>
        <stp>[NEW BONDS ASW_VINCE2018BIS.xlsm]CCT!R32C7</stp>
        <tr r="G32" s="44"/>
      </tp>
      <tp t="s">
        <v>FRTR 0 02/25/18</v>
        <stp/>
        <stp>##V3_BDPV12</stp>
        <stp>FR0012634558 Corp</stp>
        <stp>security des</stp>
        <stp>[NEW BONDS ASW_VINCE2018BIS.xlsm]Isin!R5C12</stp>
        <tr r="L5" s="41"/>
      </tp>
      <tp>
        <v>-9.5000000000000001E-2</v>
        <stp/>
        <stp>##V3_BDPV12</stp>
        <stp>AO1311320 Govt</stp>
        <stp>BID_YIELD</stp>
        <stp>[NEW BONDS ASW_VINCE2018BIS.xlsm]Bonds!R6C37</stp>
        <tr r="AK6" s="1"/>
      </tp>
      <tp>
        <v>-0.10100000000000001</v>
        <stp/>
        <stp>##V3_BDPV12</stp>
        <stp>AO1311320 Govt</stp>
        <stp>ASK_YIELD</stp>
        <stp>[NEW BONDS ASW_VINCE2018BIS.xlsm]Bonds!R6C37</stp>
        <tr r="AK6" s="1"/>
      </tp>
      <tp>
        <v>114.89</v>
        <stp/>
        <stp>##V3_BDPV12</stp>
        <stp>IT0005001547 Corp</stp>
        <stp>PX_BID</stp>
        <stp>[NEW BONDS ASW_VINCE2018BIS.xlsm]CCT!R38C7</stp>
        <tr r="G38" s="44"/>
      </tp>
      <tp>
        <v>114.955</v>
        <stp/>
        <stp>##V3_BDPV12</stp>
        <stp>IT0005001547 Corp</stp>
        <stp>PX_ASK</stp>
        <stp>[NEW BONDS ASW_VINCE2018BIS.xlsm]CCT!R38C9</stp>
        <tr r="I38" s="44"/>
      </tp>
    </main>
    <main first="pldatasource.rtgetrtdserver">
      <tp>
        <v>117.88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124.79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124.54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117.8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99.87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99.79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121.51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121.44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100.331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100.33500000000001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102.43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102.38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103.31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103.29300000000001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102.28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102.39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102.10000000000001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110.86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110.94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102.14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91.460000000000008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102.99000000000001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102.93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91.17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100.44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100.45700000000001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118.93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100.51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100.60000000000001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118.85000000000001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102.922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102.904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100.95700000000001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100.944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119.51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121.14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121.10000000000001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119.86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112.22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112.39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94.66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130.56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100.14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107.46000000000001</v>
        <stp/>
        <stp>_x000B_IT527301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141.07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140.9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100.24000000000001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107.84</v>
        <stp/>
        <stp>_x000B_IT527301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131.22999999999999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94.94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100.68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98.62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100.78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98.73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115.16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104.259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99.7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115.07000000000001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99.62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104.246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102.24000000000001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104.825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123.44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108.60000000000001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101.63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101.61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108.73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123.37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104.836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102.60000000000001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94.210000000000008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102.33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102.23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94.460000000000008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100.25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100.16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106.29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131.92000000000002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99.45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100.43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132.5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102.51900000000001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134.01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132.76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134.4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102.533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100.39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99.56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132.47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106.34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140.61000000000001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117.62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139.87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108.87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108.85000000000001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139.97999999999999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117.5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140.35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100.08</v>
        <stp/>
        <stp>_x000B_IT532594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95.43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111.52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111.44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95.350000000000009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100.19</v>
        <stp/>
        <stp>_x000B_IT532594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102.02200000000001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119.79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100.026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106.92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99.18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106.83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98.98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100.02800000000001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119.69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102.04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109.86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143.66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100.29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100.26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143.55000000000001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109.77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97.75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97.65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100.81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100.8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100.503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103.44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103.38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100.529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100.89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100.77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105.65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100.28100000000001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106.74000000000001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106.724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100.25700000000001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105.38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110.54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103.07000000000001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100.14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100.13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110.67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103.14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100.379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121.08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101.47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120.96000000000001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101.42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100.35900000000001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134.78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134.42000000000002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114.92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114.85000000000001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107.42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0.28000000200000003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-0.35387047800000004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-0.35466412899999999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0.42799999900000002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0.11700005600000001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-0.35301585900000004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-0.355644503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0.56299999900000008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0.56299999900000008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-0.355644503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-0.35301585900000004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0.11700005600000001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0.42799999900000002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-0.35466412899999999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-0.35387047800000004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0.28000000200000003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-0.34472308100000004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-0.35698441200000003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-0.35699999999999998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-0.36399999999999999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-0.23600000000000002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-0.35637256500000003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-0.36199999999999999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-6.2000039999999999E-2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-6.2000039999999999E-2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-0.36199999999999999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-0.35637256500000003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-0.23600000000000002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-0.36399999999999999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-0.35699999999999998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-0.35698441200000003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-0.34472308100000004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0.79199999800000009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-0.35124038200000002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0.68399999900000008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-0.35209969800000002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-0.35209969800000002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0.68399999900000008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-0.35124038200000002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0.79199999800000009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-0.36399999999999999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-0.36399999999999999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1.4179999999999999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1.458769588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1.3696515580000002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1.4930594480000001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1.4930594480000001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1.3696515580000002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1.458769588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1.4179999999999999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1.170797262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1.2470000000000001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1.085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1.3128633599999999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1.3128633599999999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1.085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1.2470000000000001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1.170797262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1.5448139700000001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1.5217765630000002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1.5217765630000002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1.5448139700000001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1.603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1.6053031870000001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1.5997635800000001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1.6067265640000001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1.6067265640000001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1.5997635800000001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1.6053031870000001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1.603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1.5769851840000002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1.587431075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1.5629999999999999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1.5947736050000001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1.5947736050000001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1.5629999999999999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1.587431075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1.5769851840000002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1.6079038080000001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1.6075546260000002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1.6075546260000002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1.6079038080000001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1.6040000000000001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1.6021064060000001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1.6054783990000001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1.5998185610000002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1.5998185610000002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1.6054783990000001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1.6021064060000001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1.6040000000000001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1.6077374480000002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1.60724333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1.6080000000000001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1.6064775310000001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1.6064775310000001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1.6080000000000001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1.60724333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1.6077374480000002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1.5942704470000002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1.5972388820000001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1.5972388820000001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1.5942704470000002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1.591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1.591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1.546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1.546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1.5170000000000001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1.5170000000000001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  <tp t="s">
        <v>#N/A The record could not be found</v>
        <stp/>
        <stp>_x0014_#ERROR: Invalid ISIN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0" s="1"/>
        <tr r="S304" s="1"/>
        <tr r="S280" s="1"/>
        <tr r="S301" s="1"/>
        <tr r="S252" s="1"/>
        <tr r="S308" s="1"/>
        <tr r="S268" s="1"/>
        <tr r="S289" s="1"/>
        <tr r="S292" s="1"/>
        <tr r="S254" s="1"/>
        <tr r="S274" s="1"/>
        <tr r="S261" s="1"/>
        <tr r="S271" s="1"/>
        <tr r="S264" s="1"/>
        <tr r="S286" s="1"/>
        <tr r="S295" s="1"/>
        <tr r="S281" s="1"/>
        <tr r="S278" s="1"/>
        <tr r="S267" s="1"/>
        <tr r="S306" s="1"/>
        <tr r="S266" s="1"/>
        <tr r="S302" s="1"/>
        <tr r="S256" s="1"/>
        <tr r="S259" s="1"/>
        <tr r="S288" s="1"/>
        <tr r="S296" s="1"/>
        <tr r="S307" s="1"/>
        <tr r="S265" s="1"/>
        <tr r="S284" s="1"/>
        <tr r="S276" s="1"/>
        <tr r="S273" s="1"/>
        <tr r="S294" s="1"/>
        <tr r="S283" s="1"/>
        <tr r="S298" s="1"/>
        <tr r="S279" s="1"/>
        <tr r="S290" s="1"/>
        <tr r="S285" s="1"/>
        <tr r="S297" s="1"/>
        <tr r="S272" s="1"/>
        <tr r="S309" s="1"/>
        <tr r="S293" s="1"/>
        <tr r="S303" s="1"/>
        <tr r="S277" s="1"/>
        <tr r="S282" s="1"/>
        <tr r="S310" s="1"/>
        <tr r="S253" s="1"/>
        <tr r="S291" s="1"/>
        <tr r="S255" s="1"/>
        <tr r="S258" s="1"/>
        <tr r="S257" s="1"/>
        <tr r="S270" s="1"/>
        <tr r="S262" s="1"/>
        <tr r="S275" s="1"/>
        <tr r="S251" s="1"/>
        <tr r="S250" s="1"/>
        <tr r="S269" s="1"/>
        <tr r="S249" s="1"/>
        <tr r="S263" s="1"/>
        <tr r="S260" s="1"/>
        <tr r="S305" s="1"/>
        <tr r="S287" s="1"/>
        <tr r="S29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-4.4166583038314699E-3</c:v>
                </c:pt>
                <c:pt idx="1">
                  <c:v>-4.3888251475139774E-3</c:v>
                </c:pt>
                <c:pt idx="2">
                  <c:v>-4.3627374216528353E-3</c:v>
                </c:pt>
                <c:pt idx="3">
                  <c:v>-4.335106382164799E-3</c:v>
                </c:pt>
                <c:pt idx="4">
                  <c:v>-4.3062314000264727E-3</c:v>
                </c:pt>
                <c:pt idx="5">
                  <c:v>-4.2726379140694652E-3</c:v>
                </c:pt>
                <c:pt idx="6">
                  <c:v>-4.2336518848347408E-3</c:v>
                </c:pt>
                <c:pt idx="7">
                  <c:v>-4.189289473511713E-3</c:v>
                </c:pt>
                <c:pt idx="8">
                  <c:v>-4.1350436236530118E-3</c:v>
                </c:pt>
                <c:pt idx="9">
                  <c:v>-4.0585140049897014E-3</c:v>
                </c:pt>
                <c:pt idx="10">
                  <c:v>-3.9379587722714509E-3</c:v>
                </c:pt>
                <c:pt idx="11">
                  <c:v>-3.7857182658043676E-3</c:v>
                </c:pt>
                <c:pt idx="12">
                  <c:v>-3.6299531781991108E-3</c:v>
                </c:pt>
                <c:pt idx="13">
                  <c:v>-3.447223694071736E-3</c:v>
                </c:pt>
                <c:pt idx="14">
                  <c:v>-3.2535994385181561E-3</c:v>
                </c:pt>
                <c:pt idx="15">
                  <c:v>-3.0202792427972617E-3</c:v>
                </c:pt>
                <c:pt idx="16">
                  <c:v>-2.7704123437880227E-3</c:v>
                </c:pt>
                <c:pt idx="17">
                  <c:v>-2.4960068690613535E-3</c:v>
                </c:pt>
                <c:pt idx="18">
                  <c:v>-2.2139339679211325E-3</c:v>
                </c:pt>
                <c:pt idx="19">
                  <c:v>-1.9420461564234415E-3</c:v>
                </c:pt>
                <c:pt idx="20">
                  <c:v>-1.6708835013066314E-3</c:v>
                </c:pt>
                <c:pt idx="21">
                  <c:v>-1.4150452244948155E-3</c:v>
                </c:pt>
                <c:pt idx="22">
                  <c:v>-1.1456467148142104E-3</c:v>
                </c:pt>
                <c:pt idx="23">
                  <c:v>-8.7442415123035859E-4</c:v>
                </c:pt>
                <c:pt idx="24">
                  <c:v>-6.2211743381834924E-4</c:v>
                </c:pt>
                <c:pt idx="25">
                  <c:v>-3.5720623239539838E-4</c:v>
                </c:pt>
                <c:pt idx="26">
                  <c:v>-1.0875139281642438E-4</c:v>
                </c:pt>
                <c:pt idx="27">
                  <c:v>1.3528344231669085E-4</c:v>
                </c:pt>
                <c:pt idx="28">
                  <c:v>3.5223909577699632E-4</c:v>
                </c:pt>
                <c:pt idx="29">
                  <c:v>5.6742902623890291E-4</c:v>
                </c:pt>
                <c:pt idx="30">
                  <c:v>7.8777643967116169E-4</c:v>
                </c:pt>
                <c:pt idx="31">
                  <c:v>1.0195444271566198E-3</c:v>
                </c:pt>
                <c:pt idx="32">
                  <c:v>1.2937730448638355E-3</c:v>
                </c:pt>
                <c:pt idx="33">
                  <c:v>1.5909023011087646E-3</c:v>
                </c:pt>
                <c:pt idx="34">
                  <c:v>1.9134406533886387E-3</c:v>
                </c:pt>
                <c:pt idx="35">
                  <c:v>2.2340290952452E-3</c:v>
                </c:pt>
                <c:pt idx="36">
                  <c:v>2.5070265986416014E-3</c:v>
                </c:pt>
                <c:pt idx="37">
                  <c:v>2.7744469825569168E-3</c:v>
                </c:pt>
                <c:pt idx="38">
                  <c:v>2.9896160767558353E-3</c:v>
                </c:pt>
                <c:pt idx="39">
                  <c:v>3.1810400603772531E-3</c:v>
                </c:pt>
                <c:pt idx="40">
                  <c:v>3.3515513404957084E-3</c:v>
                </c:pt>
                <c:pt idx="41">
                  <c:v>3.5283349008701486E-3</c:v>
                </c:pt>
                <c:pt idx="42">
                  <c:v>3.721793550296905E-3</c:v>
                </c:pt>
                <c:pt idx="43">
                  <c:v>3.9401958249880914E-3</c:v>
                </c:pt>
                <c:pt idx="44">
                  <c:v>4.2117878425222662E-3</c:v>
                </c:pt>
                <c:pt idx="45">
                  <c:v>4.5163897895985966E-3</c:v>
                </c:pt>
                <c:pt idx="46">
                  <c:v>4.8641728720483363E-3</c:v>
                </c:pt>
                <c:pt idx="47">
                  <c:v>5.2351956477131477E-3</c:v>
                </c:pt>
                <c:pt idx="48">
                  <c:v>5.5816026041314E-3</c:v>
                </c:pt>
                <c:pt idx="49">
                  <c:v>5.9680078232605023E-3</c:v>
                </c:pt>
                <c:pt idx="50">
                  <c:v>6.3353188309667671E-3</c:v>
                </c:pt>
                <c:pt idx="51">
                  <c:v>6.697860150079951E-3</c:v>
                </c:pt>
                <c:pt idx="52">
                  <c:v>7.0225138777970653E-3</c:v>
                </c:pt>
                <c:pt idx="53">
                  <c:v>7.3339751525490831E-3</c:v>
                </c:pt>
                <c:pt idx="54">
                  <c:v>7.6376468335097487E-3</c:v>
                </c:pt>
                <c:pt idx="55">
                  <c:v>7.9239315065890385E-3</c:v>
                </c:pt>
                <c:pt idx="56">
                  <c:v>8.2114765134512924E-3</c:v>
                </c:pt>
                <c:pt idx="57">
                  <c:v>8.4813110094192866E-3</c:v>
                </c:pt>
                <c:pt idx="58">
                  <c:v>8.7509856576832769E-3</c:v>
                </c:pt>
                <c:pt idx="59">
                  <c:v>9.0109104155398217E-3</c:v>
                </c:pt>
                <c:pt idx="60">
                  <c:v>9.2361005008514841E-3</c:v>
                </c:pt>
                <c:pt idx="61">
                  <c:v>9.4695607506235825E-3</c:v>
                </c:pt>
                <c:pt idx="62">
                  <c:v>9.6831142772664421E-3</c:v>
                </c:pt>
                <c:pt idx="63">
                  <c:v>9.89627191110104E-3</c:v>
                </c:pt>
                <c:pt idx="64">
                  <c:v>1.0100329872429517E-2</c:v>
                </c:pt>
                <c:pt idx="65">
                  <c:v>1.0314165953885228E-2</c:v>
                </c:pt>
                <c:pt idx="66">
                  <c:v>1.0536387399782247E-2</c:v>
                </c:pt>
                <c:pt idx="67">
                  <c:v>1.0764528197591482E-2</c:v>
                </c:pt>
                <c:pt idx="68">
                  <c:v>1.1016904525042415E-2</c:v>
                </c:pt>
                <c:pt idx="69">
                  <c:v>1.12742562352621E-2</c:v>
                </c:pt>
                <c:pt idx="70">
                  <c:v>1.1550549409182272E-2</c:v>
                </c:pt>
                <c:pt idx="71">
                  <c:v>1.1834156419934721E-2</c:v>
                </c:pt>
                <c:pt idx="72">
                  <c:v>1.2103204854302831E-2</c:v>
                </c:pt>
                <c:pt idx="73">
                  <c:v>1.2391723422607921E-2</c:v>
                </c:pt>
                <c:pt idx="74">
                  <c:v>1.2668836847962392E-2</c:v>
                </c:pt>
                <c:pt idx="75">
                  <c:v>1.2949852157085461E-2</c:v>
                </c:pt>
                <c:pt idx="76">
                  <c:v>1.3213607611775971E-2</c:v>
                </c:pt>
                <c:pt idx="77">
                  <c:v>1.3474519707375536E-2</c:v>
                </c:pt>
                <c:pt idx="78">
                  <c:v>1.3726885462167991E-2</c:v>
                </c:pt>
                <c:pt idx="79">
                  <c:v>1.3970591439998008E-2</c:v>
                </c:pt>
                <c:pt idx="80">
                  <c:v>1.4220097705882694E-2</c:v>
                </c:pt>
                <c:pt idx="81">
                  <c:v>1.4457463378883699E-2</c:v>
                </c:pt>
                <c:pt idx="82">
                  <c:v>1.4696586742141244E-2</c:v>
                </c:pt>
                <c:pt idx="83">
                  <c:v>1.4927497042742936E-2</c:v>
                </c:pt>
                <c:pt idx="84">
                  <c:v>1.5127355802762041E-2</c:v>
                </c:pt>
                <c:pt idx="85">
                  <c:v>1.5337167453734715E-2</c:v>
                </c:pt>
                <c:pt idx="86">
                  <c:v>1.5526940991735554E-2</c:v>
                </c:pt>
                <c:pt idx="87">
                  <c:v>1.5712172611254727E-2</c:v>
                </c:pt>
                <c:pt idx="88">
                  <c:v>1.5887470033255441E-2</c:v>
                </c:pt>
                <c:pt idx="89">
                  <c:v>1.6064734663248866E-2</c:v>
                </c:pt>
                <c:pt idx="90">
                  <c:v>1.6238177639963613E-2</c:v>
                </c:pt>
                <c:pt idx="91">
                  <c:v>1.6402499241933988E-2</c:v>
                </c:pt>
                <c:pt idx="92">
                  <c:v>1.6568770268322319E-2</c:v>
                </c:pt>
                <c:pt idx="93">
                  <c:v>1.6726374618602356E-2</c:v>
                </c:pt>
                <c:pt idx="94">
                  <c:v>1.6885935275157065E-2</c:v>
                </c:pt>
                <c:pt idx="95">
                  <c:v>1.7042262635400925E-2</c:v>
                </c:pt>
                <c:pt idx="96">
                  <c:v>1.7180781612190603E-2</c:v>
                </c:pt>
                <c:pt idx="97">
                  <c:v>1.7331284625386512E-2</c:v>
                </c:pt>
                <c:pt idx="98">
                  <c:v>1.7474182479460323E-2</c:v>
                </c:pt>
                <c:pt idx="99">
                  <c:v>1.7619117723714599E-2</c:v>
                </c:pt>
                <c:pt idx="100">
                  <c:v>1.7756850759696241E-2</c:v>
                </c:pt>
                <c:pt idx="101">
                  <c:v>1.7896679815501672E-2</c:v>
                </c:pt>
                <c:pt idx="102">
                  <c:v>1.8034090814716384E-2</c:v>
                </c:pt>
                <c:pt idx="103">
                  <c:v>1.8164879172039992E-2</c:v>
                </c:pt>
                <c:pt idx="104">
                  <c:v>1.8297880136991705E-2</c:v>
                </c:pt>
                <c:pt idx="105">
                  <c:v>1.8422791111377276E-2</c:v>
                </c:pt>
                <c:pt idx="106">
                  <c:v>1.8545775953127178E-2</c:v>
                </c:pt>
                <c:pt idx="107">
                  <c:v>1.8663609265544921E-2</c:v>
                </c:pt>
                <c:pt idx="108">
                  <c:v>1.8766505665673901E-2</c:v>
                </c:pt>
                <c:pt idx="109">
                  <c:v>1.8877504345907788E-2</c:v>
                </c:pt>
                <c:pt idx="110">
                  <c:v>1.8982977991024302E-2</c:v>
                </c:pt>
                <c:pt idx="111">
                  <c:v>1.9091004444184753E-2</c:v>
                </c:pt>
                <c:pt idx="112">
                  <c:v>1.9195615767464053E-2</c:v>
                </c:pt>
                <c:pt idx="113">
                  <c:v>1.9304832315901025E-2</c:v>
                </c:pt>
                <c:pt idx="114">
                  <c:v>1.9416248794958516E-2</c:v>
                </c:pt>
                <c:pt idx="115">
                  <c:v>1.9527178337293612E-2</c:v>
                </c:pt>
                <c:pt idx="116">
                  <c:v>1.9645544520103586E-2</c:v>
                </c:pt>
                <c:pt idx="117">
                  <c:v>1.9763113465391075E-2</c:v>
                </c:pt>
                <c:pt idx="118">
                  <c:v>1.9887314884839198E-2</c:v>
                </c:pt>
                <c:pt idx="119">
                  <c:v>2.0013866748692988E-2</c:v>
                </c:pt>
                <c:pt idx="120">
                  <c:v>2.0263947669824842E-2</c:v>
                </c:pt>
                <c:pt idx="121">
                  <c:v>2.0390777806606083E-2</c:v>
                </c:pt>
                <c:pt idx="122">
                  <c:v>2.052256168111161E-2</c:v>
                </c:pt>
                <c:pt idx="123">
                  <c:v>2.065041328510386E-2</c:v>
                </c:pt>
                <c:pt idx="124">
                  <c:v>2.0782455083543299E-2</c:v>
                </c:pt>
                <c:pt idx="125">
                  <c:v>2.0914016635073276E-2</c:v>
                </c:pt>
                <c:pt idx="126">
                  <c:v>2.1040488965943658E-2</c:v>
                </c:pt>
                <c:pt idx="127">
                  <c:v>2.1169902589573457E-2</c:v>
                </c:pt>
                <c:pt idx="128">
                  <c:v>2.1293524417136441E-2</c:v>
                </c:pt>
                <c:pt idx="129">
                  <c:v>2.1419194928497795E-2</c:v>
                </c:pt>
                <c:pt idx="130">
                  <c:v>2.1542351879469807E-2</c:v>
                </c:pt>
                <c:pt idx="131">
                  <c:v>2.1651087275428336E-2</c:v>
                </c:pt>
                <c:pt idx="132">
                  <c:v>2.1768322160846114E-2</c:v>
                </c:pt>
                <c:pt idx="133">
                  <c:v>2.1878247434457699E-2</c:v>
                </c:pt>
                <c:pt idx="134">
                  <c:v>2.1987790472531514E-2</c:v>
                </c:pt>
                <c:pt idx="135">
                  <c:v>2.2089500159503006E-2</c:v>
                </c:pt>
                <c:pt idx="136">
                  <c:v>2.2189756165864598E-2</c:v>
                </c:pt>
                <c:pt idx="137">
                  <c:v>2.2284681210152295E-2</c:v>
                </c:pt>
                <c:pt idx="138">
                  <c:v>2.2371080329669116E-2</c:v>
                </c:pt>
                <c:pt idx="139">
                  <c:v>2.2456385641271243E-2</c:v>
                </c:pt>
                <c:pt idx="140">
                  <c:v>2.2538088223592923E-2</c:v>
                </c:pt>
                <c:pt idx="141">
                  <c:v>2.2621679133068038E-2</c:v>
                </c:pt>
                <c:pt idx="142">
                  <c:v>2.2704421117091318E-2</c:v>
                </c:pt>
                <c:pt idx="143">
                  <c:v>2.2778426022431034E-2</c:v>
                </c:pt>
                <c:pt idx="144">
                  <c:v>2.2859551909819517E-2</c:v>
                </c:pt>
                <c:pt idx="145">
                  <c:v>2.293725214445215E-2</c:v>
                </c:pt>
                <c:pt idx="146">
                  <c:v>2.3016706601122549E-2</c:v>
                </c:pt>
                <c:pt idx="147">
                  <c:v>2.3092789051028507E-2</c:v>
                </c:pt>
                <c:pt idx="148">
                  <c:v>2.3170571516648534E-2</c:v>
                </c:pt>
                <c:pt idx="149">
                  <c:v>2.3247504067162375E-2</c:v>
                </c:pt>
                <c:pt idx="150">
                  <c:v>2.3321145553808119E-2</c:v>
                </c:pt>
                <c:pt idx="151">
                  <c:v>2.3396405268180261E-2</c:v>
                </c:pt>
                <c:pt idx="152">
                  <c:v>2.3468427610011961E-2</c:v>
                </c:pt>
                <c:pt idx="153">
                  <c:v>2.354201392791011E-2</c:v>
                </c:pt>
                <c:pt idx="154">
                  <c:v>2.3614749616470403E-2</c:v>
                </c:pt>
                <c:pt idx="155">
                  <c:v>2.3679715112994586E-2</c:v>
                </c:pt>
                <c:pt idx="156">
                  <c:v>2.3750831462040239E-2</c:v>
                </c:pt>
                <c:pt idx="157">
                  <c:v>2.3818843424337242E-2</c:v>
                </c:pt>
                <c:pt idx="158">
                  <c:v>2.3888284989856835E-2</c:v>
                </c:pt>
                <c:pt idx="159">
                  <c:v>2.3954675922774282E-2</c:v>
                </c:pt>
                <c:pt idx="160">
                  <c:v>2.4022442144435528E-2</c:v>
                </c:pt>
                <c:pt idx="161">
                  <c:v>2.4089356747104568E-2</c:v>
                </c:pt>
                <c:pt idx="162">
                  <c:v>2.4153301823186969E-2</c:v>
                </c:pt>
                <c:pt idx="163">
                  <c:v>2.4218540236906332E-2</c:v>
                </c:pt>
                <c:pt idx="164">
                  <c:v>2.4280862923521808E-2</c:v>
                </c:pt>
                <c:pt idx="165">
                  <c:v>2.4344424587959202E-2</c:v>
                </c:pt>
                <c:pt idx="166">
                  <c:v>2.4407133919172722E-2</c:v>
                </c:pt>
                <c:pt idx="167">
                  <c:v>2.4465025735679369E-2</c:v>
                </c:pt>
                <c:pt idx="168">
                  <c:v>2.4526084978584294E-2</c:v>
                </c:pt>
                <c:pt idx="169">
                  <c:v>2.4584362630748126E-2</c:v>
                </c:pt>
                <c:pt idx="170">
                  <c:v>2.4643743728133244E-2</c:v>
                </c:pt>
                <c:pt idx="171">
                  <c:v>2.4700397097375183E-2</c:v>
                </c:pt>
                <c:pt idx="172">
                  <c:v>2.4758099488908197E-2</c:v>
                </c:pt>
                <c:pt idx="173">
                  <c:v>2.4814948552894806E-2</c:v>
                </c:pt>
                <c:pt idx="174">
                  <c:v>2.4869151158319815E-2</c:v>
                </c:pt>
                <c:pt idx="175">
                  <c:v>2.4924320671362996E-2</c:v>
                </c:pt>
                <c:pt idx="176">
                  <c:v>2.4976897633778739E-2</c:v>
                </c:pt>
                <c:pt idx="177">
                  <c:v>2.5030387035546203E-2</c:v>
                </c:pt>
                <c:pt idx="178">
                  <c:v>2.5083022395535587E-2</c:v>
                </c:pt>
                <c:pt idx="179">
                  <c:v>2.5129829823511207E-2</c:v>
                </c:pt>
                <c:pt idx="180">
                  <c:v>2.5180839349341663E-2</c:v>
                </c:pt>
                <c:pt idx="181">
                  <c:v>2.5229389846526343E-2</c:v>
                </c:pt>
                <c:pt idx="182">
                  <c:v>2.5278717874029015E-2</c:v>
                </c:pt>
                <c:pt idx="183">
                  <c:v>2.5325640843638926E-2</c:v>
                </c:pt>
                <c:pt idx="184">
                  <c:v>2.5373286812481518E-2</c:v>
                </c:pt>
                <c:pt idx="185">
                  <c:v>2.5420069086033944E-2</c:v>
                </c:pt>
                <c:pt idx="186">
                  <c:v>2.5464521135285752E-2</c:v>
                </c:pt>
                <c:pt idx="187">
                  <c:v>2.5509632237466683E-2</c:v>
                </c:pt>
                <c:pt idx="188">
                  <c:v>2.5552516955765665E-2</c:v>
                </c:pt>
                <c:pt idx="189">
                  <c:v>2.5596060343569704E-2</c:v>
                </c:pt>
                <c:pt idx="190">
                  <c:v>2.5638846773436925E-2</c:v>
                </c:pt>
                <c:pt idx="191">
                  <c:v>2.567686424136767E-2</c:v>
                </c:pt>
                <c:pt idx="192">
                  <c:v>2.5718284016771648E-2</c:v>
                </c:pt>
                <c:pt idx="193">
                  <c:v>2.5757720719238278E-2</c:v>
                </c:pt>
                <c:pt idx="194">
                  <c:v>2.5797829534432399E-2</c:v>
                </c:pt>
                <c:pt idx="195">
                  <c:v>2.5836047753735644E-2</c:v>
                </c:pt>
                <c:pt idx="196">
                  <c:v>2.5874949330601957E-2</c:v>
                </c:pt>
                <c:pt idx="197">
                  <c:v>2.5913277142277712E-2</c:v>
                </c:pt>
                <c:pt idx="198">
                  <c:v>2.5949847503177255E-2</c:v>
                </c:pt>
                <c:pt idx="199">
                  <c:v>2.5987124509527632E-2</c:v>
                </c:pt>
                <c:pt idx="200">
                  <c:v>2.6022728150055224E-2</c:v>
                </c:pt>
                <c:pt idx="201">
                  <c:v>2.6059058072962275E-2</c:v>
                </c:pt>
                <c:pt idx="202">
                  <c:v>2.6094946440538089E-2</c:v>
                </c:pt>
                <c:pt idx="203">
                  <c:v>2.6127004495860372E-2</c:v>
                </c:pt>
                <c:pt idx="204">
                  <c:v>2.6162126491351311E-2</c:v>
                </c:pt>
                <c:pt idx="205">
                  <c:v>2.6195768873386073E-2</c:v>
                </c:pt>
                <c:pt idx="206">
                  <c:v>2.623020053960072E-2</c:v>
                </c:pt>
                <c:pt idx="207">
                  <c:v>2.6263225049052968E-2</c:v>
                </c:pt>
                <c:pt idx="208">
                  <c:v>2.6297070107873372E-2</c:v>
                </c:pt>
                <c:pt idx="209">
                  <c:v>2.6330656804108794E-2</c:v>
                </c:pt>
                <c:pt idx="210">
                  <c:v>2.6362939294066197E-2</c:v>
                </c:pt>
                <c:pt idx="211">
                  <c:v>2.6396095815909806E-2</c:v>
                </c:pt>
                <c:pt idx="212">
                  <c:v>2.6428012196076125E-2</c:v>
                </c:pt>
                <c:pt idx="213">
                  <c:v>2.6460842265409974E-2</c:v>
                </c:pt>
                <c:pt idx="214">
                  <c:v>2.6493546182018168E-2</c:v>
                </c:pt>
                <c:pt idx="215">
                  <c:v>2.6524049691071118E-2</c:v>
                </c:pt>
                <c:pt idx="216">
                  <c:v>2.6556585539135025E-2</c:v>
                </c:pt>
                <c:pt idx="217">
                  <c:v>2.6588026325897966E-2</c:v>
                </c:pt>
                <c:pt idx="218">
                  <c:v>2.6620494175977866E-2</c:v>
                </c:pt>
                <c:pt idx="219">
                  <c:v>2.6651919346247596E-2</c:v>
                </c:pt>
                <c:pt idx="220">
                  <c:v>2.6684422920225544E-2</c:v>
                </c:pt>
                <c:pt idx="221">
                  <c:v>2.6716984398340818E-2</c:v>
                </c:pt>
                <c:pt idx="222">
                  <c:v>2.6748575869774988E-2</c:v>
                </c:pt>
                <c:pt idx="223">
                  <c:v>2.678132950479074E-2</c:v>
                </c:pt>
                <c:pt idx="224">
                  <c:v>2.6813157122523135E-2</c:v>
                </c:pt>
                <c:pt idx="225">
                  <c:v>2.684620663632141E-2</c:v>
                </c:pt>
                <c:pt idx="226">
                  <c:v>2.6879345663431677E-2</c:v>
                </c:pt>
                <c:pt idx="227">
                  <c:v>2.6909224937000393E-2</c:v>
                </c:pt>
                <c:pt idx="228">
                  <c:v>2.6942245475281418E-2</c:v>
                </c:pt>
                <c:pt idx="229">
                  <c:v>2.6974141163028362E-2</c:v>
                </c:pt>
                <c:pt idx="230">
                  <c:v>2.7007038856893144E-2</c:v>
                </c:pt>
                <c:pt idx="231">
                  <c:v>2.7038816582057628E-2</c:v>
                </c:pt>
                <c:pt idx="232">
                  <c:v>2.7071593331001575E-2</c:v>
                </c:pt>
                <c:pt idx="233">
                  <c:v>2.7104309344077517E-2</c:v>
                </c:pt>
                <c:pt idx="234">
                  <c:v>2.7135912635323486E-2</c:v>
                </c:pt>
                <c:pt idx="235">
                  <c:v>2.7168510568291341E-2</c:v>
                </c:pt>
                <c:pt idx="236">
                  <c:v>2.720000050757565E-2</c:v>
                </c:pt>
                <c:pt idx="237">
                  <c:v>2.7232482259930829E-2</c:v>
                </c:pt>
                <c:pt idx="238">
                  <c:v>2.7264905697623788E-2</c:v>
                </c:pt>
                <c:pt idx="239">
                  <c:v>2.7294141668640318E-2</c:v>
                </c:pt>
                <c:pt idx="240">
                  <c:v>2.7326455475687166E-2</c:v>
                </c:pt>
                <c:pt idx="241">
                  <c:v>2.7357672729578387E-2</c:v>
                </c:pt>
                <c:pt idx="242">
                  <c:v>2.738987505804218E-2</c:v>
                </c:pt>
                <c:pt idx="243">
                  <c:v>2.7420985348544348E-2</c:v>
                </c:pt>
                <c:pt idx="244">
                  <c:v>2.7453078097920497E-2</c:v>
                </c:pt>
                <c:pt idx="245">
                  <c:v>2.7485115887507801E-2</c:v>
                </c:pt>
                <c:pt idx="246">
                  <c:v>2.7516068333038889E-2</c:v>
                </c:pt>
                <c:pt idx="247">
                  <c:v>2.7547999408351294E-2</c:v>
                </c:pt>
                <c:pt idx="248">
                  <c:v>2.7578849501114132E-2</c:v>
                </c:pt>
                <c:pt idx="249">
                  <c:v>2.7610675761647052E-2</c:v>
                </c:pt>
                <c:pt idx="250">
                  <c:v>2.7642449483596912E-2</c:v>
                </c:pt>
                <c:pt idx="251">
                  <c:v>2.7671103579250667E-2</c:v>
                </c:pt>
                <c:pt idx="252">
                  <c:v>2.770277866373734E-2</c:v>
                </c:pt>
                <c:pt idx="253">
                  <c:v>2.7733383298618637E-2</c:v>
                </c:pt>
                <c:pt idx="254">
                  <c:v>2.7764958270355442E-2</c:v>
                </c:pt>
                <c:pt idx="255">
                  <c:v>2.7795466941041101E-2</c:v>
                </c:pt>
                <c:pt idx="256">
                  <c:v>2.7826943699523446E-2</c:v>
                </c:pt>
                <c:pt idx="257">
                  <c:v>2.785837127429611E-2</c:v>
                </c:pt>
                <c:pt idx="258">
                  <c:v>2.7888738688958123E-2</c:v>
                </c:pt>
                <c:pt idx="259">
                  <c:v>2.7920070915289079E-2</c:v>
                </c:pt>
                <c:pt idx="260">
                  <c:v>2.7950346976376248E-2</c:v>
                </c:pt>
                <c:pt idx="261">
                  <c:v>2.7981585753760904E-2</c:v>
                </c:pt>
                <c:pt idx="262">
                  <c:v>2.8012777768641663E-2</c:v>
                </c:pt>
                <c:pt idx="263">
                  <c:v>2.804191549561133E-2</c:v>
                </c:pt>
                <c:pt idx="264">
                  <c:v>2.807301839602994E-2</c:v>
                </c:pt>
                <c:pt idx="265">
                  <c:v>2.8103074819057852E-2</c:v>
                </c:pt>
                <c:pt idx="266">
                  <c:v>2.8134089003699052E-2</c:v>
                </c:pt>
                <c:pt idx="267">
                  <c:v>2.8164060491859509E-2</c:v>
                </c:pt>
                <c:pt idx="268">
                  <c:v>2.8194987860218707E-2</c:v>
                </c:pt>
                <c:pt idx="269">
                  <c:v>2.8225871836772262E-2</c:v>
                </c:pt>
                <c:pt idx="270">
                  <c:v>2.825571870330568E-2</c:v>
                </c:pt>
                <c:pt idx="271">
                  <c:v>2.8286518728389984E-2</c:v>
                </c:pt>
                <c:pt idx="272">
                  <c:v>2.8316285270676745E-2</c:v>
                </c:pt>
                <c:pt idx="273">
                  <c:v>2.8347003243787205E-2</c:v>
                </c:pt>
                <c:pt idx="274">
                  <c:v>2.8377680246297804E-2</c:v>
                </c:pt>
                <c:pt idx="275">
                  <c:v>2.8405353699579913E-2</c:v>
                </c:pt>
                <c:pt idx="276">
                  <c:v>2.8435954081111475E-2</c:v>
                </c:pt>
                <c:pt idx="277">
                  <c:v>2.846552969513572E-2</c:v>
                </c:pt>
                <c:pt idx="278">
                  <c:v>2.8496052726723061E-2</c:v>
                </c:pt>
                <c:pt idx="279">
                  <c:v>2.8525554405073261E-2</c:v>
                </c:pt>
                <c:pt idx="280">
                  <c:v>2.855600198621179E-2</c:v>
                </c:pt>
                <c:pt idx="281">
                  <c:v>2.8586411951623834E-2</c:v>
                </c:pt>
                <c:pt idx="282">
                  <c:v>2.861580559729443E-2</c:v>
                </c:pt>
                <c:pt idx="283">
                  <c:v>2.8646142977070414E-2</c:v>
                </c:pt>
                <c:pt idx="284">
                  <c:v>2.8675467297687759E-2</c:v>
                </c:pt>
                <c:pt idx="285">
                  <c:v>2.870573399132309E-2</c:v>
                </c:pt>
                <c:pt idx="286">
                  <c:v>2.873596549043772E-2</c:v>
                </c:pt>
                <c:pt idx="287">
                  <c:v>2.8763241518218977E-2</c:v>
                </c:pt>
                <c:pt idx="288">
                  <c:v>2.8793407389537489E-2</c:v>
                </c:pt>
                <c:pt idx="289">
                  <c:v>2.8822568009403877E-2</c:v>
                </c:pt>
                <c:pt idx="290">
                  <c:v>2.8852667896611357E-2</c:v>
                </c:pt>
                <c:pt idx="291">
                  <c:v>2.8881765579997103E-2</c:v>
                </c:pt>
                <c:pt idx="292">
                  <c:v>2.8911801382588958E-2</c:v>
                </c:pt>
                <c:pt idx="293">
                  <c:v>2.8941805345533492E-2</c:v>
                </c:pt>
                <c:pt idx="294">
                  <c:v>2.8970811585187072E-2</c:v>
                </c:pt>
                <c:pt idx="295">
                  <c:v>2.9000754328328732E-2</c:v>
                </c:pt>
                <c:pt idx="296">
                  <c:v>2.9029702242122472E-2</c:v>
                </c:pt>
                <c:pt idx="297">
                  <c:v>2.9059585664956668E-2</c:v>
                </c:pt>
                <c:pt idx="298">
                  <c:v>2.9089439669349324E-2</c:v>
                </c:pt>
                <c:pt idx="299">
                  <c:v>2.9116379698819153E-2</c:v>
                </c:pt>
                <c:pt idx="300">
                  <c:v>2.9146179068598611E-2</c:v>
                </c:pt>
                <c:pt idx="301">
                  <c:v>2.9174990509152943E-2</c:v>
                </c:pt>
                <c:pt idx="302">
                  <c:v>2.9204735260654559E-2</c:v>
                </c:pt>
                <c:pt idx="303">
                  <c:v>2.9233494763921657E-2</c:v>
                </c:pt>
                <c:pt idx="304">
                  <c:v>2.926318679664084E-2</c:v>
                </c:pt>
                <c:pt idx="305">
                  <c:v>2.9292852765791858E-2</c:v>
                </c:pt>
                <c:pt idx="306">
                  <c:v>2.9321537414274228E-2</c:v>
                </c:pt>
                <c:pt idx="307">
                  <c:v>2.9351153529455561E-2</c:v>
                </c:pt>
                <c:pt idx="308">
                  <c:v>2.9379790851271501E-2</c:v>
                </c:pt>
                <c:pt idx="309">
                  <c:v>2.9409359011978557E-2</c:v>
                </c:pt>
                <c:pt idx="310">
                  <c:v>2.9438903530323243E-2</c:v>
                </c:pt>
                <c:pt idx="311">
                  <c:v>2.9466520981681243E-2</c:v>
                </c:pt>
                <c:pt idx="312">
                  <c:v>2.9496021134224781E-2</c:v>
                </c:pt>
                <c:pt idx="313">
                  <c:v>2.9524548524376186E-2</c:v>
                </c:pt>
                <c:pt idx="314">
                  <c:v>2.9554005455614343E-2</c:v>
                </c:pt>
                <c:pt idx="315">
                  <c:v>2.9582491937806699E-2</c:v>
                </c:pt>
                <c:pt idx="316">
                  <c:v>2.9611907547234879E-2</c:v>
                </c:pt>
                <c:pt idx="317">
                  <c:v>2.9641302884998933E-2</c:v>
                </c:pt>
                <c:pt idx="318">
                  <c:v>2.9669731146803165E-2</c:v>
                </c:pt>
                <c:pt idx="319">
                  <c:v>2.9699088027569993E-2</c:v>
                </c:pt>
                <c:pt idx="320">
                  <c:v>2.9727479992035979E-2</c:v>
                </c:pt>
                <c:pt idx="321">
                  <c:v>2.9756800315300987E-2</c:v>
                </c:pt>
                <c:pt idx="322">
                  <c:v>2.9786102788107654E-2</c:v>
                </c:pt>
                <c:pt idx="323">
                  <c:v>2.9812554602944269E-2</c:v>
                </c:pt>
                <c:pt idx="324">
                  <c:v>2.9841824457621888E-2</c:v>
                </c:pt>
                <c:pt idx="325">
                  <c:v>2.9870134478467491E-2</c:v>
                </c:pt>
                <c:pt idx="326">
                  <c:v>2.9899372477672912E-2</c:v>
                </c:pt>
                <c:pt idx="327">
                  <c:v>2.9927652589752878E-2</c:v>
                </c:pt>
                <c:pt idx="328">
                  <c:v>2.9956860632981513E-2</c:v>
                </c:pt>
                <c:pt idx="329">
                  <c:v>2.998605418062518E-2</c:v>
                </c:pt>
                <c:pt idx="330">
                  <c:v>3.0014292661264458E-2</c:v>
                </c:pt>
                <c:pt idx="331">
                  <c:v>3.004345911774409E-2</c:v>
                </c:pt>
                <c:pt idx="332">
                  <c:v>3.0071672300238529E-2</c:v>
                </c:pt>
                <c:pt idx="333">
                  <c:v>3.0100813565049529E-2</c:v>
                </c:pt>
                <c:pt idx="334">
                  <c:v>3.0129942755481351E-2</c:v>
                </c:pt>
                <c:pt idx="335">
                  <c:v>3.0156243021868458E-2</c:v>
                </c:pt>
                <c:pt idx="336">
                  <c:v>3.0185350587354155E-2</c:v>
                </c:pt>
                <c:pt idx="337">
                  <c:v>3.0213509053739762E-2</c:v>
                </c:pt>
                <c:pt idx="338">
                  <c:v>3.0242596129586446E-2</c:v>
                </c:pt>
                <c:pt idx="339">
                  <c:v>3.0270735686399826E-2</c:v>
                </c:pt>
                <c:pt idx="340">
                  <c:v>3.0299804172102911E-2</c:v>
                </c:pt>
                <c:pt idx="341">
                  <c:v>3.0328863938300196E-2</c:v>
                </c:pt>
                <c:pt idx="342">
                  <c:v>3.0356978452620323E-2</c:v>
                </c:pt>
                <c:pt idx="343">
                  <c:v>3.0386022493486757E-2</c:v>
                </c:pt>
                <c:pt idx="344">
                  <c:v>3.0414122708855452E-2</c:v>
                </c:pt>
                <c:pt idx="345">
                  <c:v>3.0443152923886444E-2</c:v>
                </c:pt>
                <c:pt idx="346">
                  <c:v>3.0472176840617423E-2</c:v>
                </c:pt>
                <c:pt idx="347">
                  <c:v>3.0498386985744436E-2</c:v>
                </c:pt>
                <c:pt idx="348">
                  <c:v>3.0527400270712206E-2</c:v>
                </c:pt>
                <c:pt idx="349">
                  <c:v>3.055547299748362E-2</c:v>
                </c:pt>
                <c:pt idx="350">
                  <c:v>3.0584477158645571E-2</c:v>
                </c:pt>
                <c:pt idx="351">
                  <c:v>3.0612541975038165E-2</c:v>
                </c:pt>
                <c:pt idx="352">
                  <c:v>3.0641538911889706E-2</c:v>
                </c:pt>
                <c:pt idx="353">
                  <c:v>3.0670532905314601E-2</c:v>
                </c:pt>
                <c:pt idx="354">
                  <c:v>3.069858926816138E-2</c:v>
                </c:pt>
                <c:pt idx="355">
                  <c:v>3.0727578902088614E-2</c:v>
                </c:pt>
                <c:pt idx="356">
                  <c:v>3.0755631965177371E-2</c:v>
                </c:pt>
                <c:pt idx="357">
                  <c:v>3.0784619139102354E-2</c:v>
                </c:pt>
                <c:pt idx="358">
                  <c:v>3.0813605790806484E-2</c:v>
                </c:pt>
                <c:pt idx="359">
                  <c:v>3.0840722297745406E-2</c:v>
                </c:pt>
                <c:pt idx="360">
                  <c:v>3.0869709332309397E-2</c:v>
                </c:pt>
                <c:pt idx="361">
                  <c:v>3.0897762170128348E-2</c:v>
                </c:pt>
                <c:pt idx="362">
                  <c:v>3.0926751477858977E-2</c:v>
                </c:pt>
                <c:pt idx="363">
                  <c:v>3.0954807434627293E-2</c:v>
                </c:pt>
                <c:pt idx="364">
                  <c:v>3.0983800915019972E-2</c:v>
                </c:pt>
                <c:pt idx="365">
                  <c:v>3.1012797243890045E-2</c:v>
                </c:pt>
                <c:pt idx="366">
                  <c:v>3.104086138150915E-2</c:v>
                </c:pt>
                <c:pt idx="367">
                  <c:v>3.1069864747854021E-2</c:v>
                </c:pt>
                <c:pt idx="368">
                  <c:v>3.1097936615043287E-2</c:v>
                </c:pt>
                <c:pt idx="369">
                  <c:v>3.1126948918358363E-2</c:v>
                </c:pt>
                <c:pt idx="370">
                  <c:v>3.1155966491356619E-2</c:v>
                </c:pt>
                <c:pt idx="371">
                  <c:v>3.1182180849588854E-2</c:v>
                </c:pt>
                <c:pt idx="372">
                  <c:v>3.1211209807308054E-2</c:v>
                </c:pt>
                <c:pt idx="373">
                  <c:v>3.1239308715519068E-2</c:v>
                </c:pt>
                <c:pt idx="374">
                  <c:v>3.1268351312238089E-2</c:v>
                </c:pt>
                <c:pt idx="375">
                  <c:v>3.129646433859188E-2</c:v>
                </c:pt>
                <c:pt idx="376">
                  <c:v>3.1325522473806142E-2</c:v>
                </c:pt>
                <c:pt idx="377">
                  <c:v>3.1354589233576952E-2</c:v>
                </c:pt>
                <c:pt idx="378">
                  <c:v>3.1382727029728968E-2</c:v>
                </c:pt>
                <c:pt idx="379">
                  <c:v>3.1411812192807767E-2</c:v>
                </c:pt>
                <c:pt idx="380">
                  <c:v>3.1439968717723352E-2</c:v>
                </c:pt>
                <c:pt idx="381">
                  <c:v>3.1469074183605547E-2</c:v>
                </c:pt>
                <c:pt idx="382">
                  <c:v>3.1498190695250082E-2</c:v>
                </c:pt>
                <c:pt idx="383">
                  <c:v>3.1524499382084153E-2</c:v>
                </c:pt>
                <c:pt idx="384">
                  <c:v>3.1553638271632552E-2</c:v>
                </c:pt>
                <c:pt idx="385">
                  <c:v>3.1581849065081435E-2</c:v>
                </c:pt>
                <c:pt idx="386">
                  <c:v>3.161101295946285E-2</c:v>
                </c:pt>
                <c:pt idx="387">
                  <c:v>3.163924887024791E-2</c:v>
                </c:pt>
                <c:pt idx="388">
                  <c:v>3.166843966895775E-2</c:v>
                </c:pt>
                <c:pt idx="389">
                  <c:v>3.1697644868303308E-2</c:v>
                </c:pt>
                <c:pt idx="390">
                  <c:v>3.1725922137834033E-2</c:v>
                </c:pt>
                <c:pt idx="391">
                  <c:v>3.1755157106320764E-2</c:v>
                </c:pt>
                <c:pt idx="392">
                  <c:v>3.1783464103808466E-2</c:v>
                </c:pt>
                <c:pt idx="393">
                  <c:v>3.1812730740931786E-2</c:v>
                </c:pt>
                <c:pt idx="394">
                  <c:v>3.1842014199896601E-2</c:v>
                </c:pt>
                <c:pt idx="395">
                  <c:v>3.1868478642521916E-2</c:v>
                </c:pt>
                <c:pt idx="396">
                  <c:v>3.1897795472573515E-2</c:v>
                </c:pt>
                <c:pt idx="397">
                  <c:v>3.1926183966106074E-2</c:v>
                </c:pt>
                <c:pt idx="398">
                  <c:v>3.195553716682388E-2</c:v>
                </c:pt>
                <c:pt idx="399">
                  <c:v>3.1983961776886019E-2</c:v>
                </c:pt>
                <c:pt idx="400">
                  <c:v>3.2013353247765435E-2</c:v>
                </c:pt>
                <c:pt idx="401">
                  <c:v>3.2042764895359732E-2</c:v>
                </c:pt>
                <c:pt idx="402">
                  <c:v>3.2071247453114973E-2</c:v>
                </c:pt>
                <c:pt idx="403">
                  <c:v>3.2100700235683635E-2</c:v>
                </c:pt>
                <c:pt idx="404">
                  <c:v>3.2129223520589265E-2</c:v>
                </c:pt>
                <c:pt idx="405">
                  <c:v>3.2158719337627692E-2</c:v>
                </c:pt>
                <c:pt idx="406">
                  <c:v>3.2188237752586786E-2</c:v>
                </c:pt>
                <c:pt idx="407">
                  <c:v>3.2215872646299215E-2</c:v>
                </c:pt>
                <c:pt idx="408">
                  <c:v>3.2245436192779184E-2</c:v>
                </c:pt>
                <c:pt idx="409">
                  <c:v>3.2274068958809729E-2</c:v>
                </c:pt>
                <c:pt idx="410">
                  <c:v>3.2303680272928362E-2</c:v>
                </c:pt>
                <c:pt idx="411">
                  <c:v>3.2332360184816687E-2</c:v>
                </c:pt>
                <c:pt idx="412">
                  <c:v>3.2362021166069385E-2</c:v>
                </c:pt>
                <c:pt idx="413">
                  <c:v>3.2391708115940998E-2</c:v>
                </c:pt>
                <c:pt idx="414">
                  <c:v>3.2420462609919029E-2</c:v>
                </c:pt>
                <c:pt idx="415">
                  <c:v>3.2450202091737462E-2</c:v>
                </c:pt>
                <c:pt idx="416">
                  <c:v>3.2479008342194068E-2</c:v>
                </c:pt>
                <c:pt idx="417">
                  <c:v>3.250880225545473E-2</c:v>
                </c:pt>
                <c:pt idx="418">
                  <c:v>3.2538624558540098E-2</c:v>
                </c:pt>
                <c:pt idx="419">
                  <c:v>3.2565585642009072E-2</c:v>
                </c:pt>
                <c:pt idx="420">
                  <c:v>3.2595463332665373E-2</c:v>
                </c:pt>
                <c:pt idx="421">
                  <c:v>3.262440560878585E-2</c:v>
                </c:pt>
                <c:pt idx="422">
                  <c:v>3.2654342432913999E-2</c:v>
                </c:pt>
                <c:pt idx="423">
                  <c:v>3.268334285408566E-2</c:v>
                </c:pt>
                <c:pt idx="424">
                  <c:v>3.2713340711181066E-2</c:v>
                </c:pt>
                <c:pt idx="425">
                  <c:v>3.274337031297455E-2</c:v>
                </c:pt>
                <c:pt idx="426">
                  <c:v>3.2772461905183348E-2</c:v>
                </c:pt>
                <c:pt idx="427">
                  <c:v>3.2802555404756843E-2</c:v>
                </c:pt>
                <c:pt idx="428">
                  <c:v>3.2831709752637626E-2</c:v>
                </c:pt>
                <c:pt idx="429">
                  <c:v>3.2861869049486535E-2</c:v>
                </c:pt>
                <c:pt idx="430">
                  <c:v>3.2892062512239306E-2</c:v>
                </c:pt>
                <c:pt idx="431">
                  <c:v>3.2919363801361456E-2</c:v>
                </c:pt>
                <c:pt idx="432">
                  <c:v>3.2949623644868087E-2</c:v>
                </c:pt>
                <c:pt idx="433">
                  <c:v>3.2978941245924293E-2</c:v>
                </c:pt>
                <c:pt idx="434">
                  <c:v>3.3009271588735963E-2</c:v>
                </c:pt>
                <c:pt idx="435">
                  <c:v>3.3038658334036762E-2</c:v>
                </c:pt>
                <c:pt idx="436">
                  <c:v>3.3069061075648873E-2</c:v>
                </c:pt>
                <c:pt idx="437">
                  <c:v>3.3099501338038226E-2</c:v>
                </c:pt>
                <c:pt idx="438">
                  <c:v>3.31289958433236E-2</c:v>
                </c:pt>
                <c:pt idx="439">
                  <c:v>3.3159511369326156E-2</c:v>
                </c:pt>
                <c:pt idx="440">
                  <c:v>3.3189079629476918E-2</c:v>
                </c:pt>
                <c:pt idx="441">
                  <c:v>3.3219672318588078E-2</c:v>
                </c:pt>
                <c:pt idx="442">
                  <c:v>3.3250304949682258E-2</c:v>
                </c:pt>
                <c:pt idx="443">
                  <c:v>3.3278007871646996E-2</c:v>
                </c:pt>
                <c:pt idx="444">
                  <c:v>3.3308717876677947E-2</c:v>
                </c:pt>
                <c:pt idx="445">
                  <c:v>3.333847661751569E-2</c:v>
                </c:pt>
                <c:pt idx="446">
                  <c:v>3.3369268487684872E-2</c:v>
                </c:pt>
                <c:pt idx="447">
                  <c:v>3.3399107371960619E-2</c:v>
                </c:pt>
                <c:pt idx="448">
                  <c:v>3.3429983006763433E-2</c:v>
                </c:pt>
                <c:pt idx="449">
                  <c:v>3.3460901938422653E-2</c:v>
                </c:pt>
                <c:pt idx="450">
                  <c:v>3.3490865171630406E-2</c:v>
                </c:pt>
                <c:pt idx="451">
                  <c:v>3.3521870732736013E-2</c:v>
                </c:pt>
                <c:pt idx="452">
                  <c:v>3.3551918720002565E-2</c:v>
                </c:pt>
                <c:pt idx="453">
                  <c:v>3.3583012810049967E-2</c:v>
                </c:pt>
                <c:pt idx="454">
                  <c:v>3.3614152618159553E-2</c:v>
                </c:pt>
                <c:pt idx="455">
                  <c:v>3.3643325229838067E-2</c:v>
                </c:pt>
                <c:pt idx="456">
                  <c:v>3.3674554918129526E-2</c:v>
                </c:pt>
                <c:pt idx="457">
                  <c:v>3.3704822092915733E-2</c:v>
                </c:pt>
                <c:pt idx="458">
                  <c:v>3.3736145043317879E-2</c:v>
                </c:pt>
                <c:pt idx="459">
                  <c:v>3.376650339087027E-2</c:v>
                </c:pt>
                <c:pt idx="460">
                  <c:v>3.3797921502878511E-2</c:v>
                </c:pt>
                <c:pt idx="461">
                  <c:v>3.3829388703647191E-2</c:v>
                </c:pt>
                <c:pt idx="462">
                  <c:v>3.3859888034528197E-2</c:v>
                </c:pt>
                <c:pt idx="463">
                  <c:v>3.389145326171572E-2</c:v>
                </c:pt>
                <c:pt idx="464">
                  <c:v>3.3922048375983706E-2</c:v>
                </c:pt>
                <c:pt idx="465">
                  <c:v>3.3953713529085487E-2</c:v>
                </c:pt>
                <c:pt idx="466">
                  <c:v>3.3985430192153485E-2</c:v>
                </c:pt>
                <c:pt idx="467">
                  <c:v>3.4014122182700321E-2</c:v>
                </c:pt>
                <c:pt idx="468">
                  <c:v>3.404593823618924E-2</c:v>
                </c:pt>
                <c:pt idx="469">
                  <c:v>3.4076778360763234E-2</c:v>
                </c:pt>
                <c:pt idx="470">
                  <c:v>3.4108699042196024E-2</c:v>
                </c:pt>
                <c:pt idx="471">
                  <c:v>3.4139641338729612E-2</c:v>
                </c:pt>
                <c:pt idx="472">
                  <c:v>3.4171668547601688E-2</c:v>
                </c:pt>
                <c:pt idx="473">
                  <c:v>3.4203750621313367E-2</c:v>
                </c:pt>
                <c:pt idx="474">
                  <c:v>3.4234850490123009E-2</c:v>
                </c:pt>
                <c:pt idx="475">
                  <c:v>3.4267041956086715E-2</c:v>
                </c:pt>
                <c:pt idx="476">
                  <c:v>3.4298248607476746E-2</c:v>
                </c:pt>
                <c:pt idx="477">
                  <c:v>3.4330551365187895E-2</c:v>
                </c:pt>
                <c:pt idx="478">
                  <c:v>3.436291140894443E-2</c:v>
                </c:pt>
                <c:pt idx="479">
                  <c:v>3.4392189482195773E-2</c:v>
                </c:pt>
                <c:pt idx="480">
                  <c:v>3.4424659909556149E-2</c:v>
                </c:pt>
                <c:pt idx="481">
                  <c:v>3.445613879876374E-2</c:v>
                </c:pt>
                <c:pt idx="482">
                  <c:v>3.4488725219901178E-2</c:v>
                </c:pt>
                <c:pt idx="483">
                  <c:v>3.4520317280261767E-2</c:v>
                </c:pt>
                <c:pt idx="484">
                  <c:v>3.4553021594671676E-2</c:v>
                </c:pt>
                <c:pt idx="485">
                  <c:v>3.4585786550000344E-2</c:v>
                </c:pt>
                <c:pt idx="486">
                  <c:v>3.4617552771584431E-2</c:v>
                </c:pt>
                <c:pt idx="487">
                  <c:v>3.4650438484998318E-2</c:v>
                </c:pt>
                <c:pt idx="488">
                  <c:v>3.4682322488356197E-2</c:v>
                </c:pt>
                <c:pt idx="489">
                  <c:v>3.4715330859350718E-2</c:v>
                </c:pt>
                <c:pt idx="490">
                  <c:v>3.4748402292469782E-2</c:v>
                </c:pt>
                <c:pt idx="491">
                  <c:v>3.4778327875615057E-2</c:v>
                </c:pt>
                <c:pt idx="492">
                  <c:v>3.4811520685520889E-2</c:v>
                </c:pt>
                <c:pt idx="493">
                  <c:v>3.4843704154207879E-2</c:v>
                </c:pt>
                <c:pt idx="494">
                  <c:v>3.4877024323723957E-2</c:v>
                </c:pt>
                <c:pt idx="495">
                  <c:v>3.4909331962757355E-2</c:v>
                </c:pt>
                <c:pt idx="496">
                  <c:v>3.4942781391379095E-2</c:v>
                </c:pt>
                <c:pt idx="497">
                  <c:v>3.4976297236998757E-2</c:v>
                </c:pt>
                <c:pt idx="498">
                  <c:v>3.5008795626203085E-2</c:v>
                </c:pt>
                <c:pt idx="499">
                  <c:v>3.504244359574115E-2</c:v>
                </c:pt>
                <c:pt idx="500">
                  <c:v>3.507507076591268E-2</c:v>
                </c:pt>
                <c:pt idx="501">
                  <c:v>3.5108852758864578E-2</c:v>
                </c:pt>
                <c:pt idx="502">
                  <c:v>3.5142703590020169E-2</c:v>
                </c:pt>
                <c:pt idx="503">
                  <c:v>3.5174433250857361E-2</c:v>
                </c:pt>
                <c:pt idx="504">
                  <c:v>3.5208418710855838E-2</c:v>
                </c:pt>
                <c:pt idx="505">
                  <c:v>3.5241374774941749E-2</c:v>
                </c:pt>
                <c:pt idx="506">
                  <c:v>3.5275498991522936E-2</c:v>
                </c:pt>
                <c:pt idx="507">
                  <c:v>3.5308590255283441E-2</c:v>
                </c:pt>
                <c:pt idx="508">
                  <c:v>3.5342855127942753E-2</c:v>
                </c:pt>
                <c:pt idx="509">
                  <c:v>3.537719220950402E-2</c:v>
                </c:pt>
                <c:pt idx="510">
                  <c:v>3.5410490857832051E-2</c:v>
                </c:pt>
                <c:pt idx="511">
                  <c:v>3.5444971460284184E-2</c:v>
                </c:pt>
                <c:pt idx="512">
                  <c:v>3.5478409918907612E-2</c:v>
                </c:pt>
                <c:pt idx="513">
                  <c:v>3.551303594174602E-2</c:v>
                </c:pt>
                <c:pt idx="514">
                  <c:v>3.5547736594692174E-2</c:v>
                </c:pt>
                <c:pt idx="515">
                  <c:v>3.5579143674157987E-2</c:v>
                </c:pt>
                <c:pt idx="516">
                  <c:v>3.5613987720375044E-2</c:v>
                </c:pt>
                <c:pt idx="517">
                  <c:v>3.5647780173946611E-2</c:v>
                </c:pt>
                <c:pt idx="518">
                  <c:v>3.5682774342579576E-2</c:v>
                </c:pt>
                <c:pt idx="519">
                  <c:v>3.5716712995019141E-2</c:v>
                </c:pt>
                <c:pt idx="520">
                  <c:v>3.5751859185563409E-2</c:v>
                </c:pt>
                <c:pt idx="521">
                  <c:v>3.5787083361088795E-2</c:v>
                </c:pt>
                <c:pt idx="522">
                  <c:v>3.5821245987043331E-2</c:v>
                </c:pt>
                <c:pt idx="523">
                  <c:v>3.5856625049292774E-2</c:v>
                </c:pt>
                <c:pt idx="524">
                  <c:v>3.589093848473611E-2</c:v>
                </c:pt>
                <c:pt idx="525">
                  <c:v>3.5926474333205019E-2</c:v>
                </c:pt>
                <c:pt idx="526">
                  <c:v>3.5962090587860832E-2</c:v>
                </c:pt>
                <c:pt idx="527">
                  <c:v>3.5994329627082489E-2</c:v>
                </c:pt>
                <c:pt idx="528">
                  <c:v>3.6030100268192138E-2</c:v>
                </c:pt>
                <c:pt idx="529">
                  <c:v>3.6064794926095163E-2</c:v>
                </c:pt>
                <c:pt idx="530">
                  <c:v>3.6100727055453891E-2</c:v>
                </c:pt>
                <c:pt idx="531">
                  <c:v>3.6135578911418331E-2</c:v>
                </c:pt>
                <c:pt idx="532">
                  <c:v>3.6171674428521559E-2</c:v>
                </c:pt>
                <c:pt idx="533">
                  <c:v>3.6207853706685063E-2</c:v>
                </c:pt>
                <c:pt idx="534">
                  <c:v>3.6242946125111905E-2</c:v>
                </c:pt>
                <c:pt idx="535">
                  <c:v>3.6279291655832657E-2</c:v>
                </c:pt>
                <c:pt idx="536">
                  <c:v>3.6314545882941703E-2</c:v>
                </c:pt>
                <c:pt idx="537">
                  <c:v>3.6351059565715112E-2</c:v>
                </c:pt>
                <c:pt idx="538">
                  <c:v>3.6387659430754581E-2</c:v>
                </c:pt>
                <c:pt idx="539">
                  <c:v>3.6420791856921507E-2</c:v>
                </c:pt>
                <c:pt idx="540">
                  <c:v>3.6457557101597732E-2</c:v>
                </c:pt>
                <c:pt idx="541">
                  <c:v>3.6493219778678018E-2</c:v>
                </c:pt>
                <c:pt idx="542">
                  <c:v>3.653015787743652E-2</c:v>
                </c:pt>
                <c:pt idx="543">
                  <c:v>3.6565988751771632E-2</c:v>
                </c:pt>
                <c:pt idx="544">
                  <c:v>3.6603101604107818E-2</c:v>
                </c:pt>
                <c:pt idx="545">
                  <c:v>3.6640303993583437E-2</c:v>
                </c:pt>
                <c:pt idx="546">
                  <c:v>3.6676392019328388E-2</c:v>
                </c:pt>
                <c:pt idx="547">
                  <c:v>3.6713772027194447E-2</c:v>
                </c:pt>
                <c:pt idx="548">
                  <c:v>3.6750032860815011E-2</c:v>
                </c:pt>
                <c:pt idx="549">
                  <c:v>3.6787592386566911E-2</c:v>
                </c:pt>
                <c:pt idx="550">
                  <c:v>3.6825243870664041E-2</c:v>
                </c:pt>
                <c:pt idx="551">
                  <c:v>3.6860549911852489E-2</c:v>
                </c:pt>
                <c:pt idx="552">
                  <c:v>3.6898380773453504E-2</c:v>
                </c:pt>
                <c:pt idx="553">
                  <c:v>3.6935080207383175E-2</c:v>
                </c:pt>
                <c:pt idx="554">
                  <c:v>3.697309532003893E-2</c:v>
                </c:pt>
                <c:pt idx="555">
                  <c:v>3.7009973980551607E-2</c:v>
                </c:pt>
                <c:pt idx="556">
                  <c:v>3.7048175243757503E-2</c:v>
                </c:pt>
                <c:pt idx="557">
                  <c:v>3.7086471836006871E-2</c:v>
                </c:pt>
                <c:pt idx="558">
                  <c:v>3.712362428232599E-2</c:v>
                </c:pt>
                <c:pt idx="559">
                  <c:v>3.7162109889938261E-2</c:v>
                </c:pt>
                <c:pt idx="560">
                  <c:v>3.7199446173461173E-2</c:v>
                </c:pt>
                <c:pt idx="561">
                  <c:v>3.7238122695931741E-2</c:v>
                </c:pt>
                <c:pt idx="562">
                  <c:v>3.7276896968651566E-2</c:v>
                </c:pt>
                <c:pt idx="563">
                  <c:v>3.7312003318877462E-2</c:v>
                </c:pt>
                <c:pt idx="564">
                  <c:v>3.7350964987718199E-2</c:v>
                </c:pt>
                <c:pt idx="565">
                  <c:v>3.7388764250831388E-2</c:v>
                </c:pt>
                <c:pt idx="566">
                  <c:v>3.7427921536560035E-2</c:v>
                </c:pt>
                <c:pt idx="567">
                  <c:v>3.7465911025449633E-2</c:v>
                </c:pt>
                <c:pt idx="568">
                  <c:v>3.7505265827561619E-2</c:v>
                </c:pt>
                <c:pt idx="569">
                  <c:v>3.7544721734796241E-2</c:v>
                </c:pt>
                <c:pt idx="570">
                  <c:v>3.7583001598439726E-2</c:v>
                </c:pt>
                <c:pt idx="571">
                  <c:v>3.7622657886870421E-2</c:v>
                </c:pt>
                <c:pt idx="572">
                  <c:v>3.7661132586911117E-2</c:v>
                </c:pt>
                <c:pt idx="573">
                  <c:v>3.7700991156033307E-2</c:v>
                </c:pt>
                <c:pt idx="574">
                  <c:v>3.7740953251483918E-2</c:v>
                </c:pt>
                <c:pt idx="575">
                  <c:v>3.777713743851701E-2</c:v>
                </c:pt>
                <c:pt idx="576">
                  <c:v>3.7817297923271445E-2</c:v>
                </c:pt>
                <c:pt idx="577">
                  <c:v>3.7856262830413961E-2</c:v>
                </c:pt>
                <c:pt idx="578">
                  <c:v>3.7896630297889505E-2</c:v>
                </c:pt>
                <c:pt idx="579">
                  <c:v>3.793579643000184E-2</c:v>
                </c:pt>
                <c:pt idx="580">
                  <c:v>3.7976372779693908E-2</c:v>
                </c:pt>
                <c:pt idx="581">
                  <c:v>3.8017056010587774E-2</c:v>
                </c:pt>
                <c:pt idx="582">
                  <c:v>3.8056529106401428E-2</c:v>
                </c:pt>
                <c:pt idx="583">
                  <c:v>3.8097424084324559E-2</c:v>
                </c:pt>
                <c:pt idx="584">
                  <c:v>3.8137103015728833E-2</c:v>
                </c:pt>
                <c:pt idx="585">
                  <c:v>3.8178211640176644E-2</c:v>
                </c:pt>
                <c:pt idx="586">
                  <c:v>3.8219429567032046E-2</c:v>
                </c:pt>
                <c:pt idx="587">
                  <c:v>3.8256753018061737E-2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2988672"/>
        <c:axId val="1002990208"/>
      </c:scatterChart>
      <c:valAx>
        <c:axId val="1002988672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1002990208"/>
        <c:crosses val="autoZero"/>
        <c:crossBetween val="midCat"/>
        <c:majorUnit val="3000"/>
      </c:valAx>
      <c:valAx>
        <c:axId val="10029902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0298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47625</xdr:rowOff>
        </xdr:from>
        <xdr:to>
          <xdr:col>2</xdr:col>
          <xdr:colOff>771525</xdr:colOff>
          <xdr:row>9</xdr:row>
          <xdr:rowOff>38100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L18" sqref="AL18"/>
    </sheetView>
  </sheetViews>
  <sheetFormatPr defaultColWidth="9.140625" defaultRowHeight="12" outlineLevelCol="1"/>
  <cols>
    <col min="1" max="1" width="9.140625" style="436"/>
    <col min="2" max="2" width="19.5703125" style="436" bestFit="1" customWidth="1"/>
    <col min="3" max="3" width="12.28515625" style="436" bestFit="1" customWidth="1"/>
    <col min="4" max="4" width="4.7109375" style="436" customWidth="1"/>
    <col min="5" max="6" width="9.42578125" style="436" bestFit="1" customWidth="1"/>
    <col min="7" max="7" width="9.42578125" style="436" hidden="1" customWidth="1" outlineLevel="1"/>
    <col min="8" max="8" width="10" style="436" hidden="1" customWidth="1" outlineLevel="1"/>
    <col min="9" max="9" width="9.42578125" style="436" bestFit="1" customWidth="1" collapsed="1"/>
    <col min="10" max="10" width="9.140625" style="436"/>
    <col min="11" max="11" width="9.42578125" style="436" bestFit="1" customWidth="1"/>
    <col min="12" max="12" width="10" style="436" bestFit="1" customWidth="1"/>
    <col min="13" max="17" width="9.42578125" style="436" hidden="1" customWidth="1" outlineLevel="1"/>
    <col min="18" max="18" width="10" style="436" hidden="1" customWidth="1" outlineLevel="1"/>
    <col min="19" max="19" width="9.42578125" style="436" hidden="1" customWidth="1" outlineLevel="1"/>
    <col min="20" max="20" width="4.7109375" style="436" customWidth="1" collapsed="1"/>
    <col min="21" max="21" width="10" style="436" bestFit="1" customWidth="1"/>
    <col min="22" max="22" width="12.7109375" style="436" bestFit="1" customWidth="1"/>
    <col min="23" max="23" width="4.7109375" style="436" hidden="1" customWidth="1" outlineLevel="1"/>
    <col min="24" max="24" width="10.42578125" style="436" hidden="1" customWidth="1" outlineLevel="1"/>
    <col min="25" max="25" width="9.42578125" style="436" hidden="1" customWidth="1" outlineLevel="1"/>
    <col min="26" max="26" width="10" style="436" hidden="1" customWidth="1" outlineLevel="1"/>
    <col min="27" max="27" width="11" style="436" hidden="1" customWidth="1" outlineLevel="1"/>
    <col min="28" max="28" width="11.42578125" style="436" hidden="1" customWidth="1" outlineLevel="1"/>
    <col min="29" max="29" width="4.7109375" style="436" hidden="1" customWidth="1" outlineLevel="1"/>
    <col min="30" max="30" width="9.140625" style="436" hidden="1" customWidth="1" outlineLevel="1"/>
    <col min="31" max="31" width="15.42578125" style="436" hidden="1" customWidth="1" outlineLevel="1"/>
    <col min="32" max="32" width="4.7109375" style="436" hidden="1" customWidth="1" outlineLevel="1"/>
    <col min="33" max="33" width="9.140625" style="436" hidden="1" customWidth="1" outlineLevel="1"/>
    <col min="34" max="34" width="9.42578125" style="436" hidden="1" customWidth="1" outlineLevel="1"/>
    <col min="35" max="35" width="4.7109375" style="436" hidden="1" customWidth="1" outlineLevel="1"/>
    <col min="36" max="36" width="14.140625" style="436" hidden="1" customWidth="1" outlineLevel="1"/>
    <col min="37" max="37" width="4.7109375" style="436" customWidth="1" collapsed="1"/>
    <col min="38" max="38" width="4.7109375" style="436" customWidth="1"/>
    <col min="39" max="39" width="14.5703125" style="436" bestFit="1" customWidth="1"/>
    <col min="40" max="40" width="12.28515625" style="436" bestFit="1" customWidth="1"/>
    <col min="41" max="41" width="4.7109375" style="436" customWidth="1"/>
    <col min="42" max="42" width="9.42578125" style="436" bestFit="1" customWidth="1"/>
    <col min="43" max="43" width="9.140625" style="436"/>
    <col min="44" max="44" width="9.42578125" style="436" hidden="1" customWidth="1" outlineLevel="1"/>
    <col min="45" max="45" width="0" style="436" hidden="1" customWidth="1" outlineLevel="1"/>
    <col min="46" max="46" width="9.42578125" style="436" bestFit="1" customWidth="1" collapsed="1"/>
    <col min="47" max="48" width="9.140625" style="436"/>
    <col min="49" max="49" width="9.42578125" style="436" bestFit="1" customWidth="1"/>
    <col min="50" max="54" width="9.42578125" style="436" hidden="1" customWidth="1" outlineLevel="1"/>
    <col min="55" max="55" width="0" style="436" hidden="1" customWidth="1" outlineLevel="1"/>
    <col min="56" max="56" width="9.42578125" style="436" hidden="1" customWidth="1" outlineLevel="1"/>
    <col min="57" max="57" width="4.7109375" style="436" customWidth="1" collapsed="1"/>
    <col min="58" max="58" width="11" style="436" customWidth="1"/>
    <col min="59" max="59" width="13.140625" style="436" customWidth="1"/>
    <col min="60" max="60" width="4.7109375" style="436" hidden="1" customWidth="1" outlineLevel="1"/>
    <col min="61" max="61" width="9.140625" style="436" hidden="1" customWidth="1" outlineLevel="1"/>
    <col min="62" max="63" width="9.42578125" style="436" hidden="1" customWidth="1" outlineLevel="1"/>
    <col min="64" max="64" width="4.7109375" style="436" hidden="1" customWidth="1" outlineLevel="1"/>
    <col min="65" max="66" width="9.140625" style="436" hidden="1" customWidth="1" outlineLevel="1"/>
    <col min="67" max="67" width="4.7109375" style="436" customWidth="1" collapsed="1"/>
    <col min="68" max="68" width="13.85546875" style="436" bestFit="1" customWidth="1"/>
    <col min="69" max="16384" width="9.140625" style="436"/>
  </cols>
  <sheetData>
    <row r="1" spans="1:130">
      <c r="A1" s="425"/>
      <c r="B1" s="426"/>
      <c r="C1" s="426"/>
      <c r="D1" s="426"/>
      <c r="E1" s="427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  <c r="R1" s="426"/>
      <c r="S1" s="426"/>
      <c r="T1" s="426"/>
      <c r="U1" s="426"/>
      <c r="V1" s="426"/>
      <c r="W1" s="428"/>
      <c r="X1" s="426"/>
      <c r="Y1" s="426"/>
      <c r="Z1" s="426"/>
      <c r="AA1" s="426"/>
      <c r="AB1" s="426"/>
      <c r="AC1" s="426"/>
      <c r="AD1" s="426"/>
      <c r="AE1" s="426"/>
      <c r="AF1" s="428"/>
      <c r="AG1" s="428"/>
      <c r="AH1" s="428"/>
      <c r="AI1" s="429"/>
      <c r="AJ1" s="429"/>
      <c r="AK1" s="429"/>
      <c r="AL1" s="431"/>
      <c r="AM1" s="432"/>
      <c r="AN1" s="432"/>
      <c r="AO1" s="432"/>
      <c r="AP1" s="433"/>
      <c r="AQ1" s="432"/>
      <c r="AR1" s="434"/>
      <c r="AS1" s="434"/>
      <c r="AT1" s="432"/>
      <c r="AU1" s="432"/>
      <c r="AV1" s="432"/>
      <c r="AW1" s="432"/>
      <c r="AX1" s="432"/>
      <c r="AY1" s="432"/>
      <c r="AZ1" s="432"/>
      <c r="BA1" s="432"/>
      <c r="BB1" s="432"/>
      <c r="BC1" s="432"/>
      <c r="BD1" s="432"/>
      <c r="BE1" s="432"/>
      <c r="BF1" s="432"/>
      <c r="BG1" s="432"/>
      <c r="BH1" s="435"/>
      <c r="BI1" s="432"/>
      <c r="BJ1" s="432"/>
      <c r="BK1" s="432"/>
      <c r="BL1" s="432"/>
      <c r="BM1" s="432"/>
      <c r="BN1" s="432"/>
      <c r="BO1" s="430"/>
      <c r="BP1" s="655"/>
      <c r="BQ1" s="656"/>
      <c r="BR1" s="656"/>
      <c r="BS1" s="656"/>
      <c r="BT1" s="656"/>
      <c r="BU1" s="656"/>
      <c r="BV1" s="656"/>
      <c r="BW1" s="656"/>
      <c r="BX1" s="656"/>
      <c r="BY1" s="656"/>
      <c r="BZ1" s="656"/>
      <c r="CA1" s="656"/>
      <c r="CB1" s="656"/>
      <c r="CC1" s="656"/>
      <c r="CD1" s="656"/>
      <c r="CE1" s="656"/>
      <c r="CF1" s="656"/>
      <c r="CG1" s="656"/>
      <c r="CH1" s="656"/>
      <c r="CI1" s="656"/>
      <c r="CJ1" s="656"/>
      <c r="CK1" s="656"/>
      <c r="CL1" s="656"/>
      <c r="CM1" s="656"/>
      <c r="CN1" s="656"/>
      <c r="CO1" s="656"/>
      <c r="CP1" s="656"/>
      <c r="CQ1" s="656"/>
      <c r="CR1" s="656"/>
      <c r="CS1" s="656"/>
      <c r="CT1" s="656"/>
      <c r="CU1" s="656"/>
      <c r="CV1" s="656"/>
      <c r="CW1" s="656"/>
      <c r="CX1" s="656"/>
      <c r="CY1" s="656"/>
      <c r="CZ1" s="656"/>
      <c r="DA1" s="656"/>
      <c r="DB1" s="656"/>
      <c r="DC1" s="656"/>
      <c r="DD1" s="656"/>
      <c r="DE1" s="656"/>
      <c r="DF1" s="656"/>
      <c r="DG1" s="656"/>
      <c r="DH1" s="656"/>
      <c r="DI1" s="656"/>
      <c r="DJ1" s="656"/>
      <c r="DK1" s="656"/>
      <c r="DL1" s="656"/>
      <c r="DM1" s="656"/>
      <c r="DN1" s="656"/>
      <c r="DO1" s="656"/>
      <c r="DP1" s="656"/>
      <c r="DQ1" s="656"/>
      <c r="DR1" s="656"/>
      <c r="DS1" s="656"/>
      <c r="DT1" s="656"/>
      <c r="DU1" s="656"/>
      <c r="DV1" s="656"/>
      <c r="DW1" s="656"/>
      <c r="DX1" s="656"/>
      <c r="DY1" s="656"/>
      <c r="DZ1" s="656"/>
    </row>
    <row r="2" spans="1:130">
      <c r="A2" s="437"/>
      <c r="B2" s="438" t="s">
        <v>1034</v>
      </c>
      <c r="C2" s="451" t="s">
        <v>1198</v>
      </c>
      <c r="D2" s="432"/>
      <c r="E2" s="438" t="s">
        <v>1023</v>
      </c>
      <c r="F2" s="432"/>
      <c r="G2" s="434"/>
      <c r="H2" s="434"/>
      <c r="I2" s="438" t="s">
        <v>1024</v>
      </c>
      <c r="J2" s="438" t="s">
        <v>1025</v>
      </c>
      <c r="K2" s="438" t="s">
        <v>1026</v>
      </c>
      <c r="L2" s="438" t="s">
        <v>1027</v>
      </c>
      <c r="M2" s="434"/>
      <c r="N2" s="434"/>
      <c r="O2" s="432"/>
      <c r="P2" s="434"/>
      <c r="Q2" s="434"/>
      <c r="R2" s="434"/>
      <c r="S2" s="439">
        <f t="array" ref="S2">SUM(1*E3:E19)</f>
        <v>15</v>
      </c>
      <c r="T2" s="432"/>
      <c r="U2" s="1011" t="s">
        <v>1028</v>
      </c>
      <c r="V2" s="1012"/>
      <c r="W2" s="435"/>
      <c r="X2" s="440" t="s">
        <v>1029</v>
      </c>
      <c r="Y2" s="441" t="s">
        <v>16</v>
      </c>
      <c r="Z2" s="442" t="s">
        <v>17</v>
      </c>
      <c r="AA2" s="432"/>
      <c r="AB2" s="432"/>
      <c r="AC2" s="432"/>
      <c r="AD2" s="432"/>
      <c r="AE2" s="432"/>
      <c r="AF2" s="435"/>
      <c r="AG2" s="443" t="s">
        <v>1030</v>
      </c>
      <c r="AH2" s="444"/>
      <c r="AI2" s="435"/>
      <c r="AJ2" s="445" t="s">
        <v>1031</v>
      </c>
      <c r="AK2" s="446"/>
      <c r="AL2" s="431"/>
      <c r="AM2" s="435"/>
      <c r="AN2" s="435"/>
      <c r="AO2" s="432"/>
      <c r="AP2" s="438" t="s">
        <v>1023</v>
      </c>
      <c r="AQ2" s="432"/>
      <c r="AR2" s="434"/>
      <c r="AS2" s="434"/>
      <c r="AT2" s="438" t="s">
        <v>1024</v>
      </c>
      <c r="AU2" s="438" t="s">
        <v>1025</v>
      </c>
      <c r="AV2" s="438" t="s">
        <v>1026</v>
      </c>
      <c r="AW2" s="438" t="s">
        <v>1027</v>
      </c>
      <c r="AX2" s="434"/>
      <c r="AY2" s="434"/>
      <c r="AZ2" s="432"/>
      <c r="BA2" s="434"/>
      <c r="BB2" s="434"/>
      <c r="BC2" s="434"/>
      <c r="BD2" s="439">
        <f t="array" ref="BD2">SUM(1*AP3:AP64)</f>
        <v>62</v>
      </c>
      <c r="BE2" s="432"/>
      <c r="BF2" s="1011" t="s">
        <v>1199</v>
      </c>
      <c r="BG2" s="1012"/>
      <c r="BH2" s="435"/>
      <c r="BI2" s="440" t="s">
        <v>1029</v>
      </c>
      <c r="BJ2" s="447" t="s">
        <v>16</v>
      </c>
      <c r="BK2" s="448" t="s">
        <v>17</v>
      </c>
      <c r="BL2" s="432"/>
      <c r="BM2" s="449" t="s">
        <v>1032</v>
      </c>
      <c r="BN2" s="450" t="s">
        <v>1033</v>
      </c>
      <c r="BO2" s="430"/>
      <c r="BP2" s="655"/>
      <c r="BQ2" s="656"/>
      <c r="BR2" s="656"/>
      <c r="BS2" s="656"/>
      <c r="BT2" s="656"/>
      <c r="BU2" s="656"/>
      <c r="BV2" s="656"/>
      <c r="BW2" s="656"/>
      <c r="BX2" s="656"/>
      <c r="BY2" s="656"/>
      <c r="BZ2" s="656"/>
      <c r="CA2" s="656"/>
      <c r="CB2" s="656"/>
      <c r="CC2" s="656"/>
      <c r="CD2" s="656"/>
      <c r="CE2" s="656"/>
      <c r="CF2" s="656"/>
      <c r="CG2" s="656"/>
      <c r="CH2" s="656"/>
      <c r="CI2" s="656"/>
      <c r="CJ2" s="656"/>
      <c r="CK2" s="656"/>
      <c r="CL2" s="656"/>
      <c r="CM2" s="656"/>
      <c r="CN2" s="656"/>
      <c r="CO2" s="656"/>
      <c r="CP2" s="656"/>
      <c r="CQ2" s="656"/>
      <c r="CR2" s="656"/>
      <c r="CS2" s="656"/>
      <c r="CT2" s="656"/>
      <c r="CU2" s="656"/>
      <c r="CV2" s="656"/>
      <c r="CW2" s="656"/>
      <c r="CX2" s="656"/>
      <c r="CY2" s="656"/>
      <c r="CZ2" s="656"/>
      <c r="DA2" s="656"/>
      <c r="DB2" s="656"/>
      <c r="DC2" s="656"/>
      <c r="DD2" s="656"/>
      <c r="DE2" s="656"/>
      <c r="DF2" s="656"/>
      <c r="DG2" s="656"/>
      <c r="DH2" s="656"/>
      <c r="DI2" s="656"/>
      <c r="DJ2" s="656"/>
      <c r="DK2" s="656"/>
      <c r="DL2" s="656"/>
      <c r="DM2" s="656"/>
      <c r="DN2" s="656"/>
      <c r="DO2" s="656"/>
      <c r="DP2" s="656"/>
      <c r="DQ2" s="656"/>
      <c r="DR2" s="656"/>
      <c r="DS2" s="656"/>
      <c r="DT2" s="656"/>
      <c r="DU2" s="656"/>
      <c r="DV2" s="656"/>
      <c r="DW2" s="656"/>
      <c r="DX2" s="656"/>
      <c r="DY2" s="656"/>
      <c r="DZ2" s="656"/>
    </row>
    <row r="3" spans="1:130">
      <c r="A3" s="437"/>
      <c r="B3" s="435"/>
      <c r="C3" s="435"/>
      <c r="D3" s="432"/>
      <c r="E3" s="452" t="b">
        <v>1</v>
      </c>
      <c r="F3" s="453" t="str">
        <f t="shared" ref="F3:F19" si="0">X3</f>
        <v>ON</v>
      </c>
      <c r="G3" s="454">
        <v>0</v>
      </c>
      <c r="H3" s="454" t="s">
        <v>69</v>
      </c>
      <c r="I3" s="455">
        <f t="shared" ref="I3:I19" si="1">AVERAGE(Y3:Z3)</f>
        <v>-0.3799999</v>
      </c>
      <c r="J3" s="456"/>
      <c r="K3" s="457"/>
      <c r="L3" s="458">
        <f>IF(ISNUMBER(J3),J3,I3)+K3</f>
        <v>-0.3799999</v>
      </c>
      <c r="M3" s="459">
        <v>1</v>
      </c>
      <c r="N3" s="460">
        <f t="shared" ref="N3:N19" si="2">IF(E3,M3,"")</f>
        <v>1</v>
      </c>
      <c r="O3" s="439">
        <f>IF($S$2&gt;0,1,"")</f>
        <v>1</v>
      </c>
      <c r="P3" s="460">
        <f>IF(LEN(O3)&gt;0,SMALL($N$3:$N$19,O3),"")</f>
        <v>1</v>
      </c>
      <c r="Q3" s="459">
        <f>IF(LEN(O3)&gt;0,INDEX($G$3:$G$19,$P3),"")</f>
        <v>0</v>
      </c>
      <c r="R3" s="454" t="str">
        <f>IF(LEN(P3)&gt;0,INDEX($H$3:$H$19,$P3),"")</f>
        <v>on</v>
      </c>
      <c r="S3" s="458">
        <f>IF(LEN(P3)&gt;0,INDEX($L$3:$L$19,$P3),"")</f>
        <v>-0.3799999</v>
      </c>
      <c r="T3" s="432"/>
      <c r="U3" s="461" t="s">
        <v>1035</v>
      </c>
      <c r="V3" s="461" t="s">
        <v>1036</v>
      </c>
      <c r="W3" s="435"/>
      <c r="X3" s="462" t="s">
        <v>71</v>
      </c>
      <c r="Y3" s="463">
        <f>_xll.RtGet($AE$3,$AE$4&amp;$X3&amp;$AE$5,Y$2)</f>
        <v>-0.3799999</v>
      </c>
      <c r="Z3" s="464">
        <f>_xll.RtGet($AE$3,$AE$4&amp;$X3&amp;$AE$5,Z$2)</f>
        <v>-0.3799999</v>
      </c>
      <c r="AA3" s="432"/>
      <c r="AB3" s="432"/>
      <c r="AC3" s="432"/>
      <c r="AD3" s="449" t="s">
        <v>1032</v>
      </c>
      <c r="AE3" s="450" t="s">
        <v>1033</v>
      </c>
      <c r="AF3" s="435"/>
      <c r="AG3" s="465" t="s">
        <v>1037</v>
      </c>
      <c r="AH3" s="465">
        <v>0</v>
      </c>
      <c r="AI3" s="435"/>
      <c r="AJ3" s="465" t="s">
        <v>79</v>
      </c>
      <c r="AK3" s="446"/>
      <c r="AL3" s="431"/>
      <c r="AM3" s="1009" t="s">
        <v>65</v>
      </c>
      <c r="AN3" s="1010"/>
      <c r="AO3" s="432"/>
      <c r="AP3" s="466" t="b">
        <v>1</v>
      </c>
      <c r="AQ3" s="453" t="str">
        <f>IF(BI3="SW","1W", IF(BI3="1Y","12M", BI3))</f>
        <v>ON</v>
      </c>
      <c r="AR3" s="454">
        <f>IF(LEN(AQ3)&gt;0,IF(RIGHT(AQ3,1)="N",0,LEFT(AQ3,LEN(AQ3)-1)*IF(RIGHT(AQ3,1)="Y",12,1)),"-")</f>
        <v>0</v>
      </c>
      <c r="AS3" s="454" t="s">
        <v>69</v>
      </c>
      <c r="AT3" s="455">
        <f>AVERAGE(BJ3:BK3)</f>
        <v>-0.38000005000000003</v>
      </c>
      <c r="AU3" s="456"/>
      <c r="AV3" s="457"/>
      <c r="AW3" s="458">
        <f>IF(ISNUMBER(AU3),AU3,AT3)+AV3</f>
        <v>-0.38000005000000003</v>
      </c>
      <c r="AX3" s="459">
        <v>1</v>
      </c>
      <c r="AY3" s="460">
        <f>IF(AP3,AX3,"")</f>
        <v>1</v>
      </c>
      <c r="AZ3" s="439">
        <f>IF($BD$2&gt;0,1,"")</f>
        <v>1</v>
      </c>
      <c r="BA3" s="460">
        <f>IF(LEN(AZ3)&gt;0,SMALL($AY$3:$AY$64,AZ3),"")</f>
        <v>1</v>
      </c>
      <c r="BB3" s="459">
        <f>IF(LEN(AZ3)&gt;0,INDEX($AR$3:$AR$64,$BA3),"")</f>
        <v>0</v>
      </c>
      <c r="BC3" s="454" t="str">
        <f>IF(LEN(BA3)&gt;0,INDEX($AS$3:$AS$64,$BA3),"")</f>
        <v>on</v>
      </c>
      <c r="BD3" s="458">
        <f>IF(LEN(BA3)&gt;0,INDEX($AW$3:$AW$64,$BA3),"")</f>
        <v>-0.38000005000000003</v>
      </c>
      <c r="BE3" s="432"/>
      <c r="BF3" s="654" t="s">
        <v>1035</v>
      </c>
      <c r="BG3" s="654" t="s">
        <v>1036</v>
      </c>
      <c r="BH3" s="435"/>
      <c r="BI3" s="462" t="s">
        <v>71</v>
      </c>
      <c r="BJ3" s="463">
        <f>_xll.RtGet($BN$2,$BN$3&amp;BI3&amp;$BN$4,BJ$2)</f>
        <v>-0.38000005000000003</v>
      </c>
      <c r="BK3" s="464">
        <f>_xll.RtGet($BN$2,$BN$3&amp;BI3&amp;$BN$4,BK$2)</f>
        <v>-0.38000005000000003</v>
      </c>
      <c r="BL3" s="432"/>
      <c r="BM3" s="467" t="s">
        <v>1038</v>
      </c>
      <c r="BN3" s="468" t="s">
        <v>1039</v>
      </c>
      <c r="BO3" s="430"/>
      <c r="BP3" s="655"/>
      <c r="BQ3" s="656"/>
      <c r="BR3" s="656"/>
      <c r="BS3" s="656"/>
      <c r="BT3" s="656"/>
      <c r="BU3" s="656"/>
      <c r="BV3" s="656"/>
      <c r="BW3" s="656"/>
      <c r="BX3" s="656"/>
      <c r="BY3" s="656"/>
      <c r="BZ3" s="656"/>
      <c r="CA3" s="656"/>
      <c r="CB3" s="656"/>
      <c r="CC3" s="656"/>
      <c r="CD3" s="656"/>
      <c r="CE3" s="656"/>
      <c r="CF3" s="656"/>
      <c r="CG3" s="656"/>
      <c r="CH3" s="656"/>
      <c r="CI3" s="656"/>
      <c r="CJ3" s="656"/>
      <c r="CK3" s="656"/>
      <c r="CL3" s="656"/>
      <c r="CM3" s="656"/>
      <c r="CN3" s="656"/>
      <c r="CO3" s="656"/>
      <c r="CP3" s="656"/>
      <c r="CQ3" s="656"/>
      <c r="CR3" s="656"/>
      <c r="CS3" s="656"/>
      <c r="CT3" s="656"/>
      <c r="CU3" s="656"/>
      <c r="CV3" s="656"/>
      <c r="CW3" s="656"/>
      <c r="CX3" s="656"/>
      <c r="CY3" s="656"/>
      <c r="CZ3" s="656"/>
      <c r="DA3" s="656"/>
      <c r="DB3" s="656"/>
      <c r="DC3" s="656"/>
      <c r="DD3" s="656"/>
      <c r="DE3" s="656"/>
      <c r="DF3" s="656"/>
      <c r="DG3" s="656"/>
      <c r="DH3" s="656"/>
      <c r="DI3" s="656"/>
      <c r="DJ3" s="656"/>
      <c r="DK3" s="656"/>
      <c r="DL3" s="656"/>
      <c r="DM3" s="656"/>
      <c r="DN3" s="656"/>
      <c r="DO3" s="656"/>
      <c r="DP3" s="656"/>
      <c r="DQ3" s="656"/>
      <c r="DR3" s="656"/>
      <c r="DS3" s="656"/>
      <c r="DT3" s="656"/>
      <c r="DU3" s="656"/>
      <c r="DV3" s="656"/>
      <c r="DW3" s="656"/>
      <c r="DX3" s="656"/>
      <c r="DY3" s="656"/>
      <c r="DZ3" s="656"/>
    </row>
    <row r="4" spans="1:130">
      <c r="A4" s="437"/>
      <c r="B4" s="438" t="s">
        <v>1049</v>
      </c>
      <c r="C4" s="451" t="s">
        <v>66</v>
      </c>
      <c r="D4" s="432"/>
      <c r="E4" s="452" t="b">
        <v>1</v>
      </c>
      <c r="F4" s="469" t="str">
        <f t="shared" si="0"/>
        <v>TN</v>
      </c>
      <c r="G4" s="434">
        <v>0</v>
      </c>
      <c r="H4" s="434" t="s">
        <v>1040</v>
      </c>
      <c r="I4" s="470">
        <f t="shared" si="1"/>
        <v>-0.38</v>
      </c>
      <c r="J4" s="471"/>
      <c r="K4" s="472"/>
      <c r="L4" s="473">
        <f t="shared" ref="L4:L19" si="3">IF(ISNUMBER(J4),J4,I4)+K4</f>
        <v>-0.38</v>
      </c>
      <c r="M4" s="474">
        <f t="shared" ref="M4:M19" si="4">M3+1</f>
        <v>2</v>
      </c>
      <c r="N4" s="475">
        <f t="shared" si="2"/>
        <v>2</v>
      </c>
      <c r="O4" s="474">
        <f t="shared" ref="O4:O19" si="5">IF(O3&lt;$S$2,O3+1,"")</f>
        <v>2</v>
      </c>
      <c r="P4" s="475">
        <f t="shared" ref="P4:P19" si="6">IF(LEN(O4)&gt;0,SMALL($N$3:$N$19,O4),"")</f>
        <v>2</v>
      </c>
      <c r="Q4" s="474">
        <f t="shared" ref="Q4:Q19" si="7">IF(LEN(O4)&gt;0,INDEX($G$3:$G$19,$P4),"")</f>
        <v>0</v>
      </c>
      <c r="R4" s="434" t="str">
        <f t="shared" ref="R4:R19" si="8">IF(LEN(P4)&gt;0,INDEX($H$3:$H$19,$P4),"")</f>
        <v>tn</v>
      </c>
      <c r="S4" s="473">
        <f t="shared" ref="S4:S19" si="9">IF(LEN(P4)&gt;0,INDEX($L$3:$L$19,$P4),"")</f>
        <v>-0.38</v>
      </c>
      <c r="T4" s="432"/>
      <c r="U4" s="476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43160</v>
      </c>
      <c r="V4" s="477">
        <v>1</v>
      </c>
      <c r="W4" s="435"/>
      <c r="X4" s="481" t="s">
        <v>1041</v>
      </c>
      <c r="Y4" s="482">
        <f>_xll.RtGet($AE$3,$AE$4&amp;$X4&amp;$AE$5,Y$2)</f>
        <v>-0.38</v>
      </c>
      <c r="Z4" s="483">
        <f>_xll.RtGet($AE$3,$AE$4&amp;$X4&amp;$AE$5,Z$2)</f>
        <v>-0.38</v>
      </c>
      <c r="AA4" s="432"/>
      <c r="AB4" s="432"/>
      <c r="AC4" s="432"/>
      <c r="AD4" s="467" t="s">
        <v>1038</v>
      </c>
      <c r="AE4" s="468" t="s">
        <v>1042</v>
      </c>
      <c r="AF4" s="435"/>
      <c r="AG4" s="484" t="s">
        <v>1043</v>
      </c>
      <c r="AH4" s="484">
        <v>1</v>
      </c>
      <c r="AI4" s="435"/>
      <c r="AJ4" s="484" t="s">
        <v>1044</v>
      </c>
      <c r="AK4" s="446"/>
      <c r="AL4" s="431"/>
      <c r="AM4" s="485" t="s">
        <v>1045</v>
      </c>
      <c r="AN4" s="486" t="s">
        <v>1046</v>
      </c>
      <c r="AO4" s="432"/>
      <c r="AP4" s="487" t="b">
        <v>1</v>
      </c>
      <c r="AQ4" s="469" t="str">
        <f>IF(BI4="SW","1W", IF(BI4="1Y","12M", BI4))</f>
        <v>TN</v>
      </c>
      <c r="AR4" s="434">
        <f t="shared" ref="AR4:AR64" si="10">IF(LEN(AQ4)&gt;0,IF(RIGHT(AQ4,1)="N",0,LEFT(AQ4,LEN(AQ4)-1)*IF(RIGHT(AQ4,1)="Y",12,1)),"-")</f>
        <v>0</v>
      </c>
      <c r="AS4" s="434" t="s">
        <v>1040</v>
      </c>
      <c r="AT4" s="470">
        <f>AVERAGE(BJ4:BK4)</f>
        <v>-0.38</v>
      </c>
      <c r="AU4" s="471"/>
      <c r="AV4" s="472"/>
      <c r="AW4" s="473">
        <f t="shared" ref="AW4:AW64" si="11">IF(ISNUMBER(AU4),AU4,AT4)+AV4</f>
        <v>-0.38</v>
      </c>
      <c r="AX4" s="474">
        <f>AX3+1</f>
        <v>2</v>
      </c>
      <c r="AY4" s="475">
        <f t="shared" ref="AY4:AY64" si="12">IF(AP4,AX4,"")</f>
        <v>2</v>
      </c>
      <c r="AZ4" s="474">
        <f>IF(AZ3&lt;$BD$2,AZ3+1,"")</f>
        <v>2</v>
      </c>
      <c r="BA4" s="475">
        <f t="shared" ref="BA4:BA64" si="13">IF(LEN(AZ4)&gt;0,SMALL($AY$3:$AY$64,AZ4),"")</f>
        <v>2</v>
      </c>
      <c r="BB4" s="474">
        <f t="shared" ref="BB4:BB64" si="14">IF(LEN(AZ4)&gt;0,INDEX($AR$3:$AR$64,$BA4),"")</f>
        <v>0</v>
      </c>
      <c r="BC4" s="434" t="str">
        <f t="shared" ref="BC4:BC64" si="15">IF(LEN(BA4)&gt;0,INDEX($AS$3:$AS$64,$BA4),"")</f>
        <v>tn</v>
      </c>
      <c r="BD4" s="473">
        <f t="shared" ref="BD4:BD64" si="16">IF(LEN(BA4)&gt;0,INDEX($AW$3:$AW$64,$BA4),"")</f>
        <v>-0.38</v>
      </c>
      <c r="BE4" s="432"/>
      <c r="BF4" s="488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77" t="str">
        <v>-</v>
      </c>
      <c r="BH4" s="435"/>
      <c r="BI4" s="481" t="s">
        <v>1041</v>
      </c>
      <c r="BJ4" s="482">
        <f>_xll.RtGet($BN$2,$BN$3&amp;BI4&amp;$BN$4,BJ$2)</f>
        <v>-0.38</v>
      </c>
      <c r="BK4" s="483">
        <f>_xll.RtGet($BN$2,$BN$3&amp;BI4&amp;$BN$4,BK$2)</f>
        <v>-0.38</v>
      </c>
      <c r="BL4" s="432"/>
      <c r="BM4" s="491" t="s">
        <v>1047</v>
      </c>
      <c r="BN4" s="492" t="s">
        <v>1048</v>
      </c>
      <c r="BO4" s="430"/>
      <c r="BP4" s="655"/>
      <c r="BQ4" s="656"/>
      <c r="BR4" s="656"/>
      <c r="BS4" s="656"/>
      <c r="BT4" s="656"/>
      <c r="BU4" s="656"/>
      <c r="BV4" s="656"/>
      <c r="BW4" s="656"/>
      <c r="BX4" s="656"/>
      <c r="BY4" s="656"/>
      <c r="BZ4" s="656"/>
      <c r="CA4" s="656"/>
      <c r="CB4" s="656"/>
      <c r="CC4" s="656"/>
      <c r="CD4" s="656"/>
      <c r="CE4" s="656"/>
      <c r="CF4" s="656"/>
      <c r="CG4" s="656"/>
      <c r="CH4" s="656"/>
      <c r="CI4" s="656"/>
      <c r="CJ4" s="656"/>
      <c r="CK4" s="656"/>
      <c r="CL4" s="656"/>
      <c r="CM4" s="656"/>
      <c r="CN4" s="656"/>
      <c r="CO4" s="656"/>
      <c r="CP4" s="656"/>
      <c r="CQ4" s="656"/>
      <c r="CR4" s="656"/>
      <c r="CS4" s="656"/>
      <c r="CT4" s="656"/>
      <c r="CU4" s="656"/>
      <c r="CV4" s="656"/>
      <c r="CW4" s="656"/>
      <c r="CX4" s="656"/>
      <c r="CY4" s="656"/>
      <c r="CZ4" s="656"/>
      <c r="DA4" s="656"/>
      <c r="DB4" s="656"/>
      <c r="DC4" s="656"/>
      <c r="DD4" s="656"/>
      <c r="DE4" s="656"/>
      <c r="DF4" s="656"/>
      <c r="DG4" s="656"/>
      <c r="DH4" s="656"/>
      <c r="DI4" s="656"/>
      <c r="DJ4" s="656"/>
      <c r="DK4" s="656"/>
      <c r="DL4" s="656"/>
      <c r="DM4" s="656"/>
      <c r="DN4" s="656"/>
      <c r="DO4" s="656"/>
      <c r="DP4" s="656"/>
      <c r="DQ4" s="656"/>
      <c r="DR4" s="656"/>
      <c r="DS4" s="656"/>
      <c r="DT4" s="656"/>
      <c r="DU4" s="656"/>
      <c r="DV4" s="656"/>
      <c r="DW4" s="656"/>
      <c r="DX4" s="656"/>
      <c r="DY4" s="656"/>
      <c r="DZ4" s="656"/>
    </row>
    <row r="5" spans="1:130">
      <c r="A5" s="437"/>
      <c r="D5" s="432"/>
      <c r="E5" s="452" t="b">
        <v>1</v>
      </c>
      <c r="F5" s="469" t="str">
        <f t="shared" si="0"/>
        <v>SN</v>
      </c>
      <c r="G5" s="434">
        <v>0</v>
      </c>
      <c r="H5" s="434" t="s">
        <v>73</v>
      </c>
      <c r="I5" s="470">
        <f t="shared" si="1"/>
        <v>-0.38</v>
      </c>
      <c r="J5" s="471"/>
      <c r="K5" s="472"/>
      <c r="L5" s="473">
        <f t="shared" si="3"/>
        <v>-0.38</v>
      </c>
      <c r="M5" s="474">
        <f t="shared" si="4"/>
        <v>3</v>
      </c>
      <c r="N5" s="475">
        <f t="shared" si="2"/>
        <v>3</v>
      </c>
      <c r="O5" s="474">
        <f t="shared" si="5"/>
        <v>3</v>
      </c>
      <c r="P5" s="475">
        <f t="shared" si="6"/>
        <v>3</v>
      </c>
      <c r="Q5" s="474">
        <f t="shared" si="7"/>
        <v>0</v>
      </c>
      <c r="R5" s="434" t="str">
        <f t="shared" si="8"/>
        <v>sn</v>
      </c>
      <c r="S5" s="473">
        <f t="shared" si="9"/>
        <v>-0.38</v>
      </c>
      <c r="T5" s="432"/>
      <c r="U5" s="478">
        <v>43161</v>
      </c>
      <c r="V5" s="479">
        <v>1.0000105556641987</v>
      </c>
      <c r="W5" s="435"/>
      <c r="X5" s="481" t="s">
        <v>74</v>
      </c>
      <c r="Y5" s="482">
        <f>_xll.RtGet($AE$3,$AE$4&amp;$X5&amp;$AE$5,Y$2)</f>
        <v>-0.38</v>
      </c>
      <c r="Z5" s="483">
        <f>_xll.RtGet($AE$3,$AE$4&amp;$X5&amp;$AE$5,Z$2)</f>
        <v>-0.38</v>
      </c>
      <c r="AA5" s="432"/>
      <c r="AB5" s="432"/>
      <c r="AC5" s="432"/>
      <c r="AD5" s="491" t="s">
        <v>1047</v>
      </c>
      <c r="AE5" s="492" t="s">
        <v>1050</v>
      </c>
      <c r="AF5" s="435"/>
      <c r="AG5" s="484" t="s">
        <v>1051</v>
      </c>
      <c r="AH5" s="484">
        <v>2</v>
      </c>
      <c r="AI5" s="435"/>
      <c r="AJ5" s="484" t="s">
        <v>1046</v>
      </c>
      <c r="AK5" s="446"/>
      <c r="AL5" s="431"/>
      <c r="AM5" s="493" t="s">
        <v>1052</v>
      </c>
      <c r="AN5" s="494" t="s">
        <v>1053</v>
      </c>
      <c r="AO5" s="432"/>
      <c r="AP5" s="487" t="b">
        <v>1</v>
      </c>
      <c r="AQ5" s="495" t="str">
        <f>IF(BI5="SW","1W", IF(BI5="1Y","12M", BI5))</f>
        <v>SN</v>
      </c>
      <c r="AR5" s="474">
        <f t="shared" si="10"/>
        <v>0</v>
      </c>
      <c r="AS5" s="475" t="s">
        <v>73</v>
      </c>
      <c r="AT5" s="470">
        <f>AVERAGE(BJ5:BK5)</f>
        <v>-0.37776425000000002</v>
      </c>
      <c r="AU5" s="471"/>
      <c r="AV5" s="472"/>
      <c r="AW5" s="473">
        <f t="shared" si="11"/>
        <v>-0.37776425000000002</v>
      </c>
      <c r="AX5" s="474">
        <f t="shared" ref="AX5:AX64" si="17">AX4+1</f>
        <v>3</v>
      </c>
      <c r="AY5" s="475">
        <f t="shared" si="12"/>
        <v>3</v>
      </c>
      <c r="AZ5" s="474">
        <f t="shared" ref="AZ5:AZ64" si="18">IF(AZ4&lt;$BD$2,AZ4+1,"")</f>
        <v>3</v>
      </c>
      <c r="BA5" s="475">
        <f t="shared" si="13"/>
        <v>3</v>
      </c>
      <c r="BB5" s="474">
        <f t="shared" si="14"/>
        <v>0</v>
      </c>
      <c r="BC5" s="434" t="str">
        <f t="shared" si="15"/>
        <v>sn</v>
      </c>
      <c r="BD5" s="473">
        <f t="shared" si="16"/>
        <v>-0.37776425000000002</v>
      </c>
      <c r="BE5" s="432"/>
      <c r="BF5" s="489" t="str">
        <v>-</v>
      </c>
      <c r="BG5" s="479" t="str">
        <v>-</v>
      </c>
      <c r="BH5" s="435"/>
      <c r="BI5" s="496" t="s">
        <v>74</v>
      </c>
      <c r="BJ5" s="497">
        <f>_xll.RtGet($BN$2,$BN$3&amp;BI5&amp;$BN$4,BJ$2)</f>
        <v>-0.37776425000000002</v>
      </c>
      <c r="BK5" s="498">
        <f>_xll.RtGet($BN$2,$BN$3&amp;BI5&amp;$BN$4,BK$2)</f>
        <v>-0.37776425000000002</v>
      </c>
      <c r="BL5" s="432"/>
      <c r="BM5" s="432"/>
      <c r="BN5" s="432"/>
      <c r="BO5" s="430"/>
      <c r="BP5" s="655"/>
      <c r="BQ5" s="656"/>
      <c r="BR5" s="656"/>
      <c r="BS5" s="656"/>
      <c r="BT5" s="656"/>
      <c r="BU5" s="656"/>
      <c r="BV5" s="656"/>
      <c r="BW5" s="656"/>
      <c r="BX5" s="656"/>
      <c r="BY5" s="656"/>
      <c r="BZ5" s="656"/>
      <c r="CA5" s="656"/>
      <c r="CB5" s="656"/>
      <c r="CC5" s="656"/>
      <c r="CD5" s="656"/>
      <c r="CE5" s="656"/>
      <c r="CF5" s="656"/>
      <c r="CG5" s="656"/>
      <c r="CH5" s="656"/>
      <c r="CI5" s="656"/>
      <c r="CJ5" s="656"/>
      <c r="CK5" s="656"/>
      <c r="CL5" s="656"/>
      <c r="CM5" s="656"/>
      <c r="CN5" s="656"/>
      <c r="CO5" s="656"/>
      <c r="CP5" s="656"/>
      <c r="CQ5" s="656"/>
      <c r="CR5" s="656"/>
      <c r="CS5" s="656"/>
      <c r="CT5" s="656"/>
      <c r="CU5" s="656"/>
      <c r="CV5" s="656"/>
      <c r="CW5" s="656"/>
      <c r="CX5" s="656"/>
      <c r="CY5" s="656"/>
      <c r="CZ5" s="656"/>
      <c r="DA5" s="656"/>
      <c r="DB5" s="656"/>
      <c r="DC5" s="656"/>
      <c r="DD5" s="656"/>
      <c r="DE5" s="656"/>
      <c r="DF5" s="656"/>
      <c r="DG5" s="656"/>
      <c r="DH5" s="656"/>
      <c r="DI5" s="656"/>
      <c r="DJ5" s="656"/>
      <c r="DK5" s="656"/>
      <c r="DL5" s="656"/>
      <c r="DM5" s="656"/>
      <c r="DN5" s="656"/>
      <c r="DO5" s="656"/>
      <c r="DP5" s="656"/>
      <c r="DQ5" s="656"/>
      <c r="DR5" s="656"/>
      <c r="DS5" s="656"/>
      <c r="DT5" s="656"/>
      <c r="DU5" s="656"/>
      <c r="DV5" s="656"/>
      <c r="DW5" s="656"/>
      <c r="DX5" s="656"/>
      <c r="DY5" s="656"/>
      <c r="DZ5" s="656"/>
    </row>
    <row r="6" spans="1:130">
      <c r="A6" s="437"/>
      <c r="B6" s="435"/>
      <c r="C6" s="435"/>
      <c r="D6" s="432"/>
      <c r="E6" s="499" t="b">
        <v>1</v>
      </c>
      <c r="F6" s="500" t="str">
        <f t="shared" si="0"/>
        <v>SW</v>
      </c>
      <c r="G6" s="454">
        <v>1</v>
      </c>
      <c r="H6" s="454" t="s">
        <v>75</v>
      </c>
      <c r="I6" s="455">
        <f t="shared" si="1"/>
        <v>-0.38</v>
      </c>
      <c r="J6" s="456"/>
      <c r="K6" s="457"/>
      <c r="L6" s="458">
        <f t="shared" si="3"/>
        <v>-0.38</v>
      </c>
      <c r="M6" s="474">
        <f t="shared" si="4"/>
        <v>4</v>
      </c>
      <c r="N6" s="475">
        <f t="shared" si="2"/>
        <v>4</v>
      </c>
      <c r="O6" s="474">
        <f t="shared" si="5"/>
        <v>4</v>
      </c>
      <c r="P6" s="475">
        <f t="shared" si="6"/>
        <v>4</v>
      </c>
      <c r="Q6" s="474">
        <f t="shared" si="7"/>
        <v>1</v>
      </c>
      <c r="R6" s="434" t="str">
        <f t="shared" si="8"/>
        <v>w</v>
      </c>
      <c r="S6" s="473">
        <f t="shared" si="9"/>
        <v>-0.38</v>
      </c>
      <c r="T6" s="432"/>
      <c r="U6" s="478">
        <v>43164</v>
      </c>
      <c r="V6" s="479">
        <v>1.000042223667948</v>
      </c>
      <c r="W6" s="435"/>
      <c r="X6" s="481" t="s">
        <v>1054</v>
      </c>
      <c r="Y6" s="482">
        <f>_xll.RtGet($AE$3,$AE$4&amp;$X6&amp;$AE$5,Y$2)</f>
        <v>-0.38</v>
      </c>
      <c r="Z6" s="483">
        <f>_xll.RtGet($AE$3,$AE$4&amp;$X6&amp;$AE$5,Z$2)</f>
        <v>-0.38</v>
      </c>
      <c r="AA6" s="432"/>
      <c r="AB6" s="432"/>
      <c r="AC6" s="432"/>
      <c r="AD6" s="432"/>
      <c r="AE6" s="432"/>
      <c r="AF6" s="435"/>
      <c r="AG6" s="484" t="s">
        <v>1055</v>
      </c>
      <c r="AH6" s="484">
        <v>3</v>
      </c>
      <c r="AI6" s="435"/>
      <c r="AJ6" s="484" t="s">
        <v>1056</v>
      </c>
      <c r="AK6" s="446"/>
      <c r="AL6" s="431"/>
      <c r="AM6" s="493" t="s">
        <v>1057</v>
      </c>
      <c r="AN6" s="494" t="s">
        <v>82</v>
      </c>
      <c r="AO6" s="432"/>
      <c r="AP6" s="487" t="b">
        <v>1</v>
      </c>
      <c r="AQ6" s="495" t="str">
        <f>IF(BI8="SW","1W", IF(BI8="1Y","12M", BI8))</f>
        <v>1W</v>
      </c>
      <c r="AR6" s="474">
        <f t="shared" si="10"/>
        <v>1</v>
      </c>
      <c r="AS6" s="475" t="s">
        <v>75</v>
      </c>
      <c r="AT6" s="470">
        <f>AVERAGE(BJ8:BK8)</f>
        <v>-0.36399999999999999</v>
      </c>
      <c r="AU6" s="471"/>
      <c r="AV6" s="472"/>
      <c r="AW6" s="473">
        <f t="shared" si="11"/>
        <v>-0.36399999999999999</v>
      </c>
      <c r="AX6" s="474">
        <f t="shared" si="17"/>
        <v>4</v>
      </c>
      <c r="AY6" s="475">
        <f t="shared" si="12"/>
        <v>4</v>
      </c>
      <c r="AZ6" s="474">
        <f t="shared" si="18"/>
        <v>4</v>
      </c>
      <c r="BA6" s="475">
        <f t="shared" si="13"/>
        <v>4</v>
      </c>
      <c r="BB6" s="474">
        <f t="shared" si="14"/>
        <v>1</v>
      </c>
      <c r="BC6" s="434" t="str">
        <f t="shared" si="15"/>
        <v>w</v>
      </c>
      <c r="BD6" s="473">
        <f t="shared" si="16"/>
        <v>-0.36399999999999999</v>
      </c>
      <c r="BE6" s="432"/>
      <c r="BF6" s="489" t="str">
        <v>-</v>
      </c>
      <c r="BG6" s="479" t="str">
        <v>-</v>
      </c>
      <c r="BH6" s="435"/>
      <c r="BI6" s="432"/>
      <c r="BJ6" s="432"/>
      <c r="BK6" s="432"/>
      <c r="BL6" s="432"/>
      <c r="BM6" s="432"/>
      <c r="BN6" s="432"/>
      <c r="BO6" s="430"/>
      <c r="BP6" s="655"/>
      <c r="BQ6" s="656"/>
      <c r="BR6" s="656"/>
      <c r="BS6" s="656"/>
      <c r="BT6" s="656"/>
      <c r="BU6" s="656"/>
      <c r="BV6" s="656"/>
      <c r="BW6" s="656"/>
      <c r="BX6" s="656"/>
      <c r="BY6" s="656"/>
      <c r="BZ6" s="656"/>
      <c r="CA6" s="656"/>
      <c r="CB6" s="656"/>
      <c r="CC6" s="656"/>
      <c r="CD6" s="656"/>
      <c r="CE6" s="656"/>
      <c r="CF6" s="656"/>
      <c r="CG6" s="656"/>
      <c r="CH6" s="656"/>
      <c r="CI6" s="656"/>
      <c r="CJ6" s="656"/>
      <c r="CK6" s="656"/>
      <c r="CL6" s="656"/>
      <c r="CM6" s="656"/>
      <c r="CN6" s="656"/>
      <c r="CO6" s="656"/>
      <c r="CP6" s="656"/>
      <c r="CQ6" s="656"/>
      <c r="CR6" s="656"/>
      <c r="CS6" s="656"/>
      <c r="CT6" s="656"/>
      <c r="CU6" s="656"/>
      <c r="CV6" s="656"/>
      <c r="CW6" s="656"/>
      <c r="CX6" s="656"/>
      <c r="CY6" s="656"/>
      <c r="CZ6" s="656"/>
      <c r="DA6" s="656"/>
      <c r="DB6" s="656"/>
      <c r="DC6" s="656"/>
      <c r="DD6" s="656"/>
      <c r="DE6" s="656"/>
      <c r="DF6" s="656"/>
      <c r="DG6" s="656"/>
      <c r="DH6" s="656"/>
      <c r="DI6" s="656"/>
      <c r="DJ6" s="656"/>
      <c r="DK6" s="656"/>
      <c r="DL6" s="656"/>
      <c r="DM6" s="656"/>
      <c r="DN6" s="656"/>
      <c r="DO6" s="656"/>
      <c r="DP6" s="656"/>
      <c r="DQ6" s="656"/>
      <c r="DR6" s="656"/>
      <c r="DS6" s="656"/>
      <c r="DT6" s="656"/>
      <c r="DU6" s="656"/>
      <c r="DV6" s="656"/>
      <c r="DW6" s="656"/>
      <c r="DX6" s="656"/>
      <c r="DY6" s="656"/>
      <c r="DZ6" s="656"/>
    </row>
    <row r="7" spans="1:130">
      <c r="A7" s="437"/>
      <c r="B7" s="435"/>
      <c r="C7" s="435"/>
      <c r="D7" s="432"/>
      <c r="E7" s="452" t="b">
        <v>1</v>
      </c>
      <c r="F7" s="501" t="str">
        <f t="shared" si="0"/>
        <v>2W</v>
      </c>
      <c r="G7" s="434">
        <v>2</v>
      </c>
      <c r="H7" s="434" t="s">
        <v>75</v>
      </c>
      <c r="I7" s="470">
        <f t="shared" si="1"/>
        <v>-0.38</v>
      </c>
      <c r="J7" s="471"/>
      <c r="K7" s="472"/>
      <c r="L7" s="473">
        <f t="shared" si="3"/>
        <v>-0.38</v>
      </c>
      <c r="M7" s="474">
        <f t="shared" si="4"/>
        <v>5</v>
      </c>
      <c r="N7" s="475">
        <f t="shared" si="2"/>
        <v>5</v>
      </c>
      <c r="O7" s="474">
        <f t="shared" si="5"/>
        <v>5</v>
      </c>
      <c r="P7" s="475">
        <f t="shared" si="6"/>
        <v>5</v>
      </c>
      <c r="Q7" s="474">
        <f t="shared" si="7"/>
        <v>2</v>
      </c>
      <c r="R7" s="434" t="str">
        <f t="shared" si="8"/>
        <v>w</v>
      </c>
      <c r="S7" s="473">
        <f t="shared" si="9"/>
        <v>-0.38</v>
      </c>
      <c r="T7" s="432"/>
      <c r="U7" s="478">
        <v>43165</v>
      </c>
      <c r="V7" s="479">
        <v>1.0000527797806236</v>
      </c>
      <c r="W7" s="435"/>
      <c r="X7" s="481" t="s">
        <v>1058</v>
      </c>
      <c r="Y7" s="482">
        <f>_xll.RtGet($AE$3,$AE$4&amp;$X7&amp;$AE$5,Y$2)</f>
        <v>-0.38</v>
      </c>
      <c r="Z7" s="483">
        <f>_xll.RtGet($AE$3,$AE$4&amp;$X7&amp;$AE$5,Z$2)</f>
        <v>-0.38</v>
      </c>
      <c r="AA7" s="432"/>
      <c r="AB7" s="432"/>
      <c r="AC7" s="435"/>
      <c r="AD7" s="435"/>
      <c r="AE7" s="435"/>
      <c r="AF7" s="435"/>
      <c r="AG7" s="484" t="s">
        <v>1059</v>
      </c>
      <c r="AH7" s="484">
        <v>4</v>
      </c>
      <c r="AI7" s="435"/>
      <c r="AJ7" s="502" t="s">
        <v>1060</v>
      </c>
      <c r="AK7" s="446"/>
      <c r="AL7" s="431"/>
      <c r="AM7" s="503" t="s">
        <v>1061</v>
      </c>
      <c r="AN7" s="504" t="s">
        <v>1062</v>
      </c>
      <c r="AO7" s="432"/>
      <c r="AP7" s="487" t="b">
        <v>1</v>
      </c>
      <c r="AQ7" s="505" t="str">
        <f t="shared" ref="AQ7:AQ64" si="19">IF(BI9="SW","1W", IF(BI9="1Y","12M", BI9))</f>
        <v>2W</v>
      </c>
      <c r="AR7" s="474">
        <f t="shared" si="10"/>
        <v>2</v>
      </c>
      <c r="AS7" s="475" t="s">
        <v>75</v>
      </c>
      <c r="AT7" s="470">
        <f t="shared" ref="AT7:AT64" si="20">AVERAGE(BJ9:BK9)</f>
        <v>-0.36399999999999999</v>
      </c>
      <c r="AU7" s="471"/>
      <c r="AV7" s="472"/>
      <c r="AW7" s="473">
        <f t="shared" si="11"/>
        <v>-0.36399999999999999</v>
      </c>
      <c r="AX7" s="474">
        <f t="shared" si="17"/>
        <v>5</v>
      </c>
      <c r="AY7" s="475">
        <f t="shared" si="12"/>
        <v>5</v>
      </c>
      <c r="AZ7" s="474">
        <f t="shared" si="18"/>
        <v>5</v>
      </c>
      <c r="BA7" s="475">
        <f t="shared" si="13"/>
        <v>5</v>
      </c>
      <c r="BB7" s="474">
        <f t="shared" si="14"/>
        <v>2</v>
      </c>
      <c r="BC7" s="434" t="str">
        <f t="shared" si="15"/>
        <v>w</v>
      </c>
      <c r="BD7" s="473">
        <f t="shared" si="16"/>
        <v>-0.36399999999999999</v>
      </c>
      <c r="BE7" s="432"/>
      <c r="BF7" s="489" t="str">
        <v>-</v>
      </c>
      <c r="BG7" s="479" t="str">
        <v>-</v>
      </c>
      <c r="BH7" s="435"/>
      <c r="BI7" s="506" t="s">
        <v>1063</v>
      </c>
      <c r="BJ7" s="447" t="s">
        <v>16</v>
      </c>
      <c r="BK7" s="448" t="s">
        <v>17</v>
      </c>
      <c r="BL7" s="435"/>
      <c r="BM7" s="449" t="s">
        <v>1032</v>
      </c>
      <c r="BN7" s="450" t="s">
        <v>1033</v>
      </c>
      <c r="BO7" s="430"/>
      <c r="BP7" s="655"/>
      <c r="BQ7" s="656"/>
      <c r="BR7" s="656"/>
      <c r="BS7" s="656"/>
      <c r="BT7" s="656"/>
      <c r="BU7" s="656"/>
      <c r="BV7" s="656"/>
      <c r="BW7" s="656"/>
      <c r="BX7" s="656"/>
      <c r="BY7" s="656"/>
      <c r="BZ7" s="656"/>
      <c r="CA7" s="656"/>
      <c r="CB7" s="656"/>
      <c r="CC7" s="656"/>
      <c r="CD7" s="656"/>
      <c r="CE7" s="656"/>
      <c r="CF7" s="656"/>
      <c r="CG7" s="656"/>
      <c r="CH7" s="656"/>
      <c r="CI7" s="656"/>
      <c r="CJ7" s="656"/>
      <c r="CK7" s="656"/>
      <c r="CL7" s="656"/>
      <c r="CM7" s="656"/>
      <c r="CN7" s="656"/>
      <c r="CO7" s="656"/>
      <c r="CP7" s="656"/>
      <c r="CQ7" s="656"/>
      <c r="CR7" s="656"/>
      <c r="CS7" s="656"/>
      <c r="CT7" s="656"/>
      <c r="CU7" s="656"/>
      <c r="CV7" s="656"/>
      <c r="CW7" s="656"/>
      <c r="CX7" s="656"/>
      <c r="CY7" s="656"/>
      <c r="CZ7" s="656"/>
      <c r="DA7" s="656"/>
      <c r="DB7" s="656"/>
      <c r="DC7" s="656"/>
      <c r="DD7" s="656"/>
      <c r="DE7" s="656"/>
      <c r="DF7" s="656"/>
      <c r="DG7" s="656"/>
      <c r="DH7" s="656"/>
      <c r="DI7" s="656"/>
      <c r="DJ7" s="656"/>
      <c r="DK7" s="656"/>
      <c r="DL7" s="656"/>
      <c r="DM7" s="656"/>
      <c r="DN7" s="656"/>
      <c r="DO7" s="656"/>
      <c r="DP7" s="656"/>
      <c r="DQ7" s="656"/>
      <c r="DR7" s="656"/>
      <c r="DS7" s="656"/>
      <c r="DT7" s="656"/>
      <c r="DU7" s="656"/>
      <c r="DV7" s="656"/>
      <c r="DW7" s="656"/>
      <c r="DX7" s="656"/>
      <c r="DY7" s="656"/>
      <c r="DZ7" s="656"/>
    </row>
    <row r="8" spans="1:130">
      <c r="A8" s="437"/>
      <c r="B8" s="435"/>
      <c r="C8" s="435"/>
      <c r="D8" s="432"/>
      <c r="E8" s="507" t="b">
        <v>1</v>
      </c>
      <c r="F8" s="508" t="str">
        <f t="shared" si="0"/>
        <v>3W</v>
      </c>
      <c r="G8" s="509">
        <v>3</v>
      </c>
      <c r="H8" s="509" t="s">
        <v>75</v>
      </c>
      <c r="I8" s="510">
        <f t="shared" si="1"/>
        <v>-0.38</v>
      </c>
      <c r="J8" s="511"/>
      <c r="K8" s="512"/>
      <c r="L8" s="513">
        <f t="shared" si="3"/>
        <v>-0.38</v>
      </c>
      <c r="M8" s="474">
        <f t="shared" si="4"/>
        <v>6</v>
      </c>
      <c r="N8" s="475">
        <f t="shared" si="2"/>
        <v>6</v>
      </c>
      <c r="O8" s="474">
        <f t="shared" si="5"/>
        <v>6</v>
      </c>
      <c r="P8" s="475">
        <f t="shared" si="6"/>
        <v>6</v>
      </c>
      <c r="Q8" s="474">
        <f t="shared" si="7"/>
        <v>3</v>
      </c>
      <c r="R8" s="434" t="str">
        <f t="shared" si="8"/>
        <v>w</v>
      </c>
      <c r="S8" s="473">
        <f t="shared" si="9"/>
        <v>-0.38</v>
      </c>
      <c r="T8" s="432"/>
      <c r="U8" s="478">
        <v>43171</v>
      </c>
      <c r="V8" s="479">
        <v>1.0001161211368987</v>
      </c>
      <c r="W8" s="435"/>
      <c r="X8" s="481" t="s">
        <v>1064</v>
      </c>
      <c r="Y8" s="482">
        <f>_xll.RtGet($AE$3,$AE$4&amp;$X8&amp;$AE$5,Y$2)</f>
        <v>-0.38</v>
      </c>
      <c r="Z8" s="483">
        <f>_xll.RtGet($AE$3,$AE$4&amp;$X8&amp;$AE$5,Z$2)</f>
        <v>-0.38</v>
      </c>
      <c r="AA8" s="432"/>
      <c r="AB8" s="432"/>
      <c r="AC8" s="435"/>
      <c r="AD8" s="435"/>
      <c r="AE8" s="435"/>
      <c r="AF8" s="435"/>
      <c r="AG8" s="484" t="s">
        <v>1062</v>
      </c>
      <c r="AH8" s="484">
        <v>5</v>
      </c>
      <c r="AI8" s="435"/>
      <c r="AJ8" s="435"/>
      <c r="AK8" s="446"/>
      <c r="AL8" s="431"/>
      <c r="AM8" s="435"/>
      <c r="AN8" s="435"/>
      <c r="AO8" s="432"/>
      <c r="AP8" s="487" t="b">
        <v>1</v>
      </c>
      <c r="AQ8" s="505" t="str">
        <f t="shared" si="19"/>
        <v>3W</v>
      </c>
      <c r="AR8" s="474">
        <f t="shared" si="10"/>
        <v>3</v>
      </c>
      <c r="AS8" s="475" t="s">
        <v>75</v>
      </c>
      <c r="AT8" s="470">
        <f t="shared" si="20"/>
        <v>-0.36199999999999999</v>
      </c>
      <c r="AU8" s="471"/>
      <c r="AV8" s="472"/>
      <c r="AW8" s="473">
        <f t="shared" si="11"/>
        <v>-0.36199999999999999</v>
      </c>
      <c r="AX8" s="474">
        <f t="shared" si="17"/>
        <v>6</v>
      </c>
      <c r="AY8" s="475">
        <f t="shared" si="12"/>
        <v>6</v>
      </c>
      <c r="AZ8" s="474">
        <f t="shared" si="18"/>
        <v>6</v>
      </c>
      <c r="BA8" s="475">
        <f t="shared" si="13"/>
        <v>6</v>
      </c>
      <c r="BB8" s="474">
        <f t="shared" si="14"/>
        <v>3</v>
      </c>
      <c r="BC8" s="434" t="str">
        <f t="shared" si="15"/>
        <v>w</v>
      </c>
      <c r="BD8" s="473">
        <f t="shared" si="16"/>
        <v>-0.36199999999999999</v>
      </c>
      <c r="BE8" s="432"/>
      <c r="BF8" s="489" t="str">
        <v>-</v>
      </c>
      <c r="BG8" s="479" t="str">
        <v>-</v>
      </c>
      <c r="BH8" s="435"/>
      <c r="BI8" s="514" t="s">
        <v>1054</v>
      </c>
      <c r="BJ8" s="463">
        <f>_xll.RtGet($BN$7,$BN$8&amp;BI8&amp;$BN$9,$BJ$7)</f>
        <v>-0.36399999999999999</v>
      </c>
      <c r="BK8" s="464">
        <f>_xll.RtGet($BN$7,$BN$8&amp;BI8&amp;$BN$9,$BK$7)</f>
        <v>-0.36399999999999999</v>
      </c>
      <c r="BL8" s="435"/>
      <c r="BM8" s="467" t="s">
        <v>1038</v>
      </c>
      <c r="BN8" s="468" t="s">
        <v>1065</v>
      </c>
      <c r="BO8" s="430"/>
      <c r="BP8" s="655"/>
      <c r="BQ8" s="656"/>
      <c r="BR8" s="656"/>
      <c r="BS8" s="656"/>
      <c r="BT8" s="656"/>
      <c r="BU8" s="656"/>
      <c r="BV8" s="656"/>
      <c r="BW8" s="656"/>
      <c r="BX8" s="656"/>
      <c r="BY8" s="656"/>
      <c r="BZ8" s="656"/>
      <c r="CA8" s="656"/>
      <c r="CB8" s="656"/>
      <c r="CC8" s="656"/>
      <c r="CD8" s="656"/>
      <c r="CE8" s="656"/>
      <c r="CF8" s="656"/>
      <c r="CG8" s="656"/>
      <c r="CH8" s="656"/>
      <c r="CI8" s="656"/>
      <c r="CJ8" s="656"/>
      <c r="CK8" s="656"/>
      <c r="CL8" s="656"/>
      <c r="CM8" s="656"/>
      <c r="CN8" s="656"/>
      <c r="CO8" s="656"/>
      <c r="CP8" s="656"/>
      <c r="CQ8" s="656"/>
      <c r="CR8" s="656"/>
      <c r="CS8" s="656"/>
      <c r="CT8" s="656"/>
      <c r="CU8" s="656"/>
      <c r="CV8" s="656"/>
      <c r="CW8" s="656"/>
      <c r="CX8" s="656"/>
      <c r="CY8" s="656"/>
      <c r="CZ8" s="656"/>
      <c r="DA8" s="656"/>
      <c r="DB8" s="656"/>
      <c r="DC8" s="656"/>
      <c r="DD8" s="656"/>
      <c r="DE8" s="656"/>
      <c r="DF8" s="656"/>
      <c r="DG8" s="656"/>
      <c r="DH8" s="656"/>
      <c r="DI8" s="656"/>
      <c r="DJ8" s="656"/>
      <c r="DK8" s="656"/>
      <c r="DL8" s="656"/>
      <c r="DM8" s="656"/>
      <c r="DN8" s="656"/>
      <c r="DO8" s="656"/>
      <c r="DP8" s="656"/>
      <c r="DQ8" s="656"/>
      <c r="DR8" s="656"/>
      <c r="DS8" s="656"/>
      <c r="DT8" s="656"/>
      <c r="DU8" s="656"/>
      <c r="DV8" s="656"/>
      <c r="DW8" s="656"/>
      <c r="DX8" s="656"/>
      <c r="DY8" s="656"/>
      <c r="DZ8" s="656"/>
    </row>
    <row r="9" spans="1:130">
      <c r="A9" s="437"/>
      <c r="B9" s="435"/>
      <c r="C9" s="435"/>
      <c r="D9" s="432"/>
      <c r="E9" s="452" t="b">
        <v>1</v>
      </c>
      <c r="F9" s="515" t="str">
        <f t="shared" si="0"/>
        <v>1M</v>
      </c>
      <c r="G9" s="434">
        <v>1</v>
      </c>
      <c r="H9" s="434" t="s">
        <v>76</v>
      </c>
      <c r="I9" s="470">
        <f t="shared" si="1"/>
        <v>-0.37</v>
      </c>
      <c r="J9" s="471"/>
      <c r="K9" s="472"/>
      <c r="L9" s="473">
        <f t="shared" si="3"/>
        <v>-0.37</v>
      </c>
      <c r="M9" s="474">
        <f t="shared" si="4"/>
        <v>7</v>
      </c>
      <c r="N9" s="475">
        <f t="shared" si="2"/>
        <v>7</v>
      </c>
      <c r="O9" s="474">
        <f t="shared" si="5"/>
        <v>7</v>
      </c>
      <c r="P9" s="475">
        <f t="shared" si="6"/>
        <v>7</v>
      </c>
      <c r="Q9" s="474">
        <f t="shared" si="7"/>
        <v>1</v>
      </c>
      <c r="R9" s="434" t="str">
        <f t="shared" si="8"/>
        <v>m</v>
      </c>
      <c r="S9" s="473">
        <f t="shared" si="9"/>
        <v>-0.37</v>
      </c>
      <c r="T9" s="432"/>
      <c r="U9" s="478">
        <v>43178</v>
      </c>
      <c r="V9" s="479">
        <v>1.0001900295278672</v>
      </c>
      <c r="W9" s="435"/>
      <c r="X9" s="481" t="s">
        <v>77</v>
      </c>
      <c r="Y9" s="482">
        <f>_xll.RtGet($AE$3,$AE$4&amp;$X9&amp;$AE$5,Y$2)</f>
        <v>-0.37</v>
      </c>
      <c r="Z9" s="483">
        <f>_xll.RtGet($AE$3,$AE$4&amp;$X9&amp;$AE$5,Z$2)</f>
        <v>-0.37</v>
      </c>
      <c r="AA9" s="432"/>
      <c r="AB9" s="432"/>
      <c r="AC9" s="435"/>
      <c r="AD9" s="435"/>
      <c r="AE9" s="435"/>
      <c r="AF9" s="435"/>
      <c r="AG9" s="484" t="s">
        <v>1066</v>
      </c>
      <c r="AH9" s="484">
        <v>6</v>
      </c>
      <c r="AI9" s="435"/>
      <c r="AJ9" s="445" t="s">
        <v>1067</v>
      </c>
      <c r="AK9" s="446"/>
      <c r="AL9" s="431"/>
      <c r="AM9" s="516" t="s">
        <v>1068</v>
      </c>
      <c r="AN9" s="517" t="s">
        <v>1069</v>
      </c>
      <c r="AO9" s="432"/>
      <c r="AP9" s="487" t="b">
        <v>1</v>
      </c>
      <c r="AQ9" s="518" t="str">
        <f t="shared" si="19"/>
        <v>1M</v>
      </c>
      <c r="AR9" s="474">
        <f t="shared" si="10"/>
        <v>1</v>
      </c>
      <c r="AS9" s="475" t="s">
        <v>76</v>
      </c>
      <c r="AT9" s="470">
        <f t="shared" si="20"/>
        <v>-0.35699999999999998</v>
      </c>
      <c r="AU9" s="471"/>
      <c r="AV9" s="472"/>
      <c r="AW9" s="473">
        <f t="shared" si="11"/>
        <v>-0.35699999999999998</v>
      </c>
      <c r="AX9" s="474">
        <f t="shared" si="17"/>
        <v>7</v>
      </c>
      <c r="AY9" s="475">
        <f t="shared" si="12"/>
        <v>7</v>
      </c>
      <c r="AZ9" s="474">
        <f t="shared" si="18"/>
        <v>7</v>
      </c>
      <c r="BA9" s="475">
        <f t="shared" si="13"/>
        <v>7</v>
      </c>
      <c r="BB9" s="474">
        <f t="shared" si="14"/>
        <v>1</v>
      </c>
      <c r="BC9" s="434" t="str">
        <f t="shared" si="15"/>
        <v>m</v>
      </c>
      <c r="BD9" s="473">
        <f t="shared" si="16"/>
        <v>-0.35699999999999998</v>
      </c>
      <c r="BE9" s="432"/>
      <c r="BF9" s="489" t="str">
        <v>-</v>
      </c>
      <c r="BG9" s="479" t="str">
        <v>-</v>
      </c>
      <c r="BH9" s="435"/>
      <c r="BI9" s="519" t="s">
        <v>1058</v>
      </c>
      <c r="BJ9" s="482">
        <f>_xll.RtGet($BN$7,$BN$8&amp;BI9&amp;$BN$9,$BJ$7)</f>
        <v>-0.36399999999999999</v>
      </c>
      <c r="BK9" s="483">
        <f>_xll.RtGet($BN$7,$BN$8&amp;BI9&amp;$BN$9,$BK$7)</f>
        <v>-0.36399999999999999</v>
      </c>
      <c r="BL9" s="435"/>
      <c r="BM9" s="520" t="s">
        <v>1047</v>
      </c>
      <c r="BN9" s="521" t="s">
        <v>1048</v>
      </c>
      <c r="BO9" s="430"/>
      <c r="BP9" s="655"/>
      <c r="BQ9" s="656"/>
      <c r="BR9" s="656"/>
      <c r="BS9" s="656"/>
      <c r="BT9" s="656"/>
      <c r="BU9" s="656"/>
      <c r="BV9" s="656"/>
      <c r="BW9" s="656"/>
      <c r="BX9" s="656"/>
      <c r="BY9" s="656"/>
      <c r="BZ9" s="656"/>
      <c r="CA9" s="656"/>
      <c r="CB9" s="656"/>
      <c r="CC9" s="656"/>
      <c r="CD9" s="656"/>
      <c r="CE9" s="656"/>
      <c r="CF9" s="656"/>
      <c r="CG9" s="656"/>
      <c r="CH9" s="656"/>
      <c r="CI9" s="656"/>
      <c r="CJ9" s="656"/>
      <c r="CK9" s="656"/>
      <c r="CL9" s="656"/>
      <c r="CM9" s="656"/>
      <c r="CN9" s="656"/>
      <c r="CO9" s="656"/>
      <c r="CP9" s="656"/>
      <c r="CQ9" s="656"/>
      <c r="CR9" s="656"/>
      <c r="CS9" s="656"/>
      <c r="CT9" s="656"/>
      <c r="CU9" s="656"/>
      <c r="CV9" s="656"/>
      <c r="CW9" s="656"/>
      <c r="CX9" s="656"/>
      <c r="CY9" s="656"/>
      <c r="CZ9" s="656"/>
      <c r="DA9" s="656"/>
      <c r="DB9" s="656"/>
      <c r="DC9" s="656"/>
      <c r="DD9" s="656"/>
      <c r="DE9" s="656"/>
      <c r="DF9" s="656"/>
      <c r="DG9" s="656"/>
      <c r="DH9" s="656"/>
      <c r="DI9" s="656"/>
      <c r="DJ9" s="656"/>
      <c r="DK9" s="656"/>
      <c r="DL9" s="656"/>
      <c r="DM9" s="656"/>
      <c r="DN9" s="656"/>
      <c r="DO9" s="656"/>
      <c r="DP9" s="656"/>
      <c r="DQ9" s="656"/>
      <c r="DR9" s="656"/>
      <c r="DS9" s="656"/>
      <c r="DT9" s="656"/>
      <c r="DU9" s="656"/>
      <c r="DV9" s="656"/>
      <c r="DW9" s="656"/>
      <c r="DX9" s="656"/>
      <c r="DY9" s="656"/>
      <c r="DZ9" s="656"/>
    </row>
    <row r="10" spans="1:130">
      <c r="A10" s="437"/>
      <c r="B10" s="435"/>
      <c r="C10" s="435"/>
      <c r="D10" s="432"/>
      <c r="E10" s="452" t="b">
        <v>1</v>
      </c>
      <c r="F10" s="515" t="str">
        <f t="shared" si="0"/>
        <v>2M</v>
      </c>
      <c r="G10" s="434">
        <v>2</v>
      </c>
      <c r="H10" s="434" t="s">
        <v>76</v>
      </c>
      <c r="I10" s="470">
        <f t="shared" si="1"/>
        <v>-0.34</v>
      </c>
      <c r="J10" s="471"/>
      <c r="K10" s="472"/>
      <c r="L10" s="473">
        <f t="shared" si="3"/>
        <v>-0.34</v>
      </c>
      <c r="M10" s="474">
        <f t="shared" si="4"/>
        <v>8</v>
      </c>
      <c r="N10" s="475">
        <f t="shared" si="2"/>
        <v>8</v>
      </c>
      <c r="O10" s="474">
        <f t="shared" si="5"/>
        <v>8</v>
      </c>
      <c r="P10" s="475">
        <f t="shared" si="6"/>
        <v>8</v>
      </c>
      <c r="Q10" s="474">
        <f t="shared" si="7"/>
        <v>2</v>
      </c>
      <c r="R10" s="434" t="str">
        <f t="shared" si="8"/>
        <v>m</v>
      </c>
      <c r="S10" s="473">
        <f t="shared" si="9"/>
        <v>-0.34</v>
      </c>
      <c r="T10" s="432"/>
      <c r="U10" s="478">
        <v>43185</v>
      </c>
      <c r="V10" s="479">
        <v>1.000263948843275</v>
      </c>
      <c r="W10" s="435"/>
      <c r="X10" s="481" t="s">
        <v>78</v>
      </c>
      <c r="Y10" s="482">
        <f>_xll.RtGet($AE$3,$AE$4&amp;$X10&amp;$AE$5,Y$2)</f>
        <v>-0.34</v>
      </c>
      <c r="Z10" s="483">
        <f>_xll.RtGet($AE$3,$AE$4&amp;$X10&amp;$AE$5,Z$2)</f>
        <v>-0.34</v>
      </c>
      <c r="AA10" s="432"/>
      <c r="AB10" s="432"/>
      <c r="AC10" s="435"/>
      <c r="AD10" s="435"/>
      <c r="AE10" s="435"/>
      <c r="AF10" s="435"/>
      <c r="AG10" s="484" t="s">
        <v>1070</v>
      </c>
      <c r="AH10" s="484">
        <v>7</v>
      </c>
      <c r="AI10" s="435"/>
      <c r="AJ10" s="465" t="s">
        <v>1053</v>
      </c>
      <c r="AK10" s="446"/>
      <c r="AL10" s="431"/>
      <c r="AM10" s="522" t="s">
        <v>1071</v>
      </c>
      <c r="AN10" s="523">
        <v>0</v>
      </c>
      <c r="AO10" s="432"/>
      <c r="AP10" s="487" t="b">
        <v>1</v>
      </c>
      <c r="AQ10" s="518" t="str">
        <f t="shared" si="19"/>
        <v>2M</v>
      </c>
      <c r="AR10" s="474">
        <f t="shared" si="10"/>
        <v>2</v>
      </c>
      <c r="AS10" s="475" t="s">
        <v>76</v>
      </c>
      <c r="AT10" s="470">
        <f t="shared" si="20"/>
        <v>-0.35698441200000003</v>
      </c>
      <c r="AU10" s="471"/>
      <c r="AV10" s="472"/>
      <c r="AW10" s="473">
        <f t="shared" si="11"/>
        <v>-0.35698441200000003</v>
      </c>
      <c r="AX10" s="474">
        <f t="shared" si="17"/>
        <v>8</v>
      </c>
      <c r="AY10" s="475">
        <f t="shared" si="12"/>
        <v>8</v>
      </c>
      <c r="AZ10" s="474">
        <f t="shared" si="18"/>
        <v>8</v>
      </c>
      <c r="BA10" s="475">
        <f t="shared" si="13"/>
        <v>8</v>
      </c>
      <c r="BB10" s="474">
        <f t="shared" si="14"/>
        <v>2</v>
      </c>
      <c r="BC10" s="434" t="str">
        <f t="shared" si="15"/>
        <v>m</v>
      </c>
      <c r="BD10" s="473">
        <f t="shared" si="16"/>
        <v>-0.35698441200000003</v>
      </c>
      <c r="BE10" s="432"/>
      <c r="BF10" s="489" t="str">
        <v>-</v>
      </c>
      <c r="BG10" s="479" t="str">
        <v>-</v>
      </c>
      <c r="BH10" s="435"/>
      <c r="BI10" s="519" t="s">
        <v>1064</v>
      </c>
      <c r="BJ10" s="482">
        <f>_xll.RtGet($BN$7,$BN$8&amp;BI10&amp;$BN$9,$BJ$7)</f>
        <v>-0.36199999999999999</v>
      </c>
      <c r="BK10" s="483">
        <f>_xll.RtGet($BN$7,$BN$8&amp;BI10&amp;$BN$9,$BK$7)</f>
        <v>-0.36199999999999999</v>
      </c>
      <c r="BL10" s="435"/>
      <c r="BM10" s="435"/>
      <c r="BN10" s="435"/>
      <c r="BO10" s="430"/>
      <c r="BP10" s="655"/>
      <c r="BQ10" s="656"/>
      <c r="BR10" s="656"/>
      <c r="BS10" s="656"/>
      <c r="BT10" s="656"/>
      <c r="BU10" s="656"/>
      <c r="BV10" s="656"/>
      <c r="BW10" s="656"/>
      <c r="BX10" s="656"/>
      <c r="BY10" s="656"/>
      <c r="BZ10" s="656"/>
      <c r="CA10" s="656"/>
      <c r="CB10" s="656"/>
      <c r="CC10" s="656"/>
      <c r="CD10" s="656"/>
      <c r="CE10" s="656"/>
      <c r="CF10" s="656"/>
      <c r="CG10" s="656"/>
      <c r="CH10" s="656"/>
      <c r="CI10" s="656"/>
      <c r="CJ10" s="656"/>
      <c r="CK10" s="656"/>
      <c r="CL10" s="656"/>
      <c r="CM10" s="656"/>
      <c r="CN10" s="656"/>
      <c r="CO10" s="656"/>
      <c r="CP10" s="656"/>
      <c r="CQ10" s="656"/>
      <c r="CR10" s="656"/>
      <c r="CS10" s="656"/>
      <c r="CT10" s="656"/>
      <c r="CU10" s="656"/>
      <c r="CV10" s="656"/>
      <c r="CW10" s="656"/>
      <c r="CX10" s="656"/>
      <c r="CY10" s="656"/>
      <c r="CZ10" s="656"/>
      <c r="DA10" s="656"/>
      <c r="DB10" s="656"/>
      <c r="DC10" s="656"/>
      <c r="DD10" s="656"/>
      <c r="DE10" s="656"/>
      <c r="DF10" s="656"/>
      <c r="DG10" s="656"/>
      <c r="DH10" s="656"/>
      <c r="DI10" s="656"/>
      <c r="DJ10" s="656"/>
      <c r="DK10" s="656"/>
      <c r="DL10" s="656"/>
      <c r="DM10" s="656"/>
      <c r="DN10" s="656"/>
      <c r="DO10" s="656"/>
      <c r="DP10" s="656"/>
      <c r="DQ10" s="656"/>
      <c r="DR10" s="656"/>
      <c r="DS10" s="656"/>
      <c r="DT10" s="656"/>
      <c r="DU10" s="656"/>
      <c r="DV10" s="656"/>
      <c r="DW10" s="656"/>
      <c r="DX10" s="656"/>
      <c r="DY10" s="656"/>
      <c r="DZ10" s="656"/>
    </row>
    <row r="11" spans="1:130">
      <c r="A11" s="437"/>
      <c r="B11" s="435"/>
      <c r="C11" s="435"/>
      <c r="D11" s="432"/>
      <c r="E11" s="452" t="b">
        <v>1</v>
      </c>
      <c r="F11" s="515" t="str">
        <f t="shared" si="0"/>
        <v>3M</v>
      </c>
      <c r="G11" s="434">
        <v>3</v>
      </c>
      <c r="H11" s="434" t="s">
        <v>76</v>
      </c>
      <c r="I11" s="470">
        <f t="shared" si="1"/>
        <v>-0.33</v>
      </c>
      <c r="J11" s="471"/>
      <c r="K11" s="472"/>
      <c r="L11" s="473">
        <f t="shared" si="3"/>
        <v>-0.33</v>
      </c>
      <c r="M11" s="474">
        <f t="shared" si="4"/>
        <v>9</v>
      </c>
      <c r="N11" s="475">
        <f t="shared" si="2"/>
        <v>9</v>
      </c>
      <c r="O11" s="474">
        <f t="shared" si="5"/>
        <v>9</v>
      </c>
      <c r="P11" s="475">
        <f t="shared" si="6"/>
        <v>9</v>
      </c>
      <c r="Q11" s="474">
        <f t="shared" si="7"/>
        <v>3</v>
      </c>
      <c r="R11" s="434" t="str">
        <f t="shared" si="8"/>
        <v>m</v>
      </c>
      <c r="S11" s="473">
        <f t="shared" si="9"/>
        <v>-0.33</v>
      </c>
      <c r="T11" s="432"/>
      <c r="U11" s="478">
        <v>43195</v>
      </c>
      <c r="V11" s="479">
        <v>1.0003609497816701</v>
      </c>
      <c r="W11" s="435"/>
      <c r="X11" s="481" t="s">
        <v>80</v>
      </c>
      <c r="Y11" s="482">
        <f>_xll.RtGet($AE$3,$AE$4&amp;$X11&amp;$AE$5,Y$2)</f>
        <v>-0.33</v>
      </c>
      <c r="Z11" s="483">
        <f>_xll.RtGet($AE$3,$AE$4&amp;$X11&amp;$AE$5,Z$2)</f>
        <v>-0.33</v>
      </c>
      <c r="AA11" s="432"/>
      <c r="AB11" s="432"/>
      <c r="AC11" s="435"/>
      <c r="AD11" s="435"/>
      <c r="AE11" s="435"/>
      <c r="AF11" s="435"/>
      <c r="AG11" s="484" t="s">
        <v>1072</v>
      </c>
      <c r="AH11" s="484">
        <v>8</v>
      </c>
      <c r="AI11" s="435"/>
      <c r="AJ11" s="484" t="s">
        <v>89</v>
      </c>
      <c r="AK11" s="446"/>
      <c r="AL11" s="431"/>
      <c r="AM11" s="524" t="s">
        <v>1073</v>
      </c>
      <c r="AN11" s="525">
        <f>BD2</f>
        <v>62</v>
      </c>
      <c r="AO11" s="432"/>
      <c r="AP11" s="487" t="b">
        <v>1</v>
      </c>
      <c r="AQ11" s="518" t="str">
        <f t="shared" si="19"/>
        <v>3M</v>
      </c>
      <c r="AR11" s="474">
        <f t="shared" si="10"/>
        <v>3</v>
      </c>
      <c r="AS11" s="475" t="s">
        <v>76</v>
      </c>
      <c r="AT11" s="470">
        <f t="shared" si="20"/>
        <v>-0.35637256500000003</v>
      </c>
      <c r="AU11" s="471"/>
      <c r="AV11" s="472"/>
      <c r="AW11" s="473">
        <f t="shared" si="11"/>
        <v>-0.35637256500000003</v>
      </c>
      <c r="AX11" s="474">
        <f t="shared" si="17"/>
        <v>9</v>
      </c>
      <c r="AY11" s="475">
        <f t="shared" si="12"/>
        <v>9</v>
      </c>
      <c r="AZ11" s="474">
        <f t="shared" si="18"/>
        <v>9</v>
      </c>
      <c r="BA11" s="475">
        <f t="shared" si="13"/>
        <v>9</v>
      </c>
      <c r="BB11" s="474">
        <f t="shared" si="14"/>
        <v>3</v>
      </c>
      <c r="BC11" s="434" t="str">
        <f t="shared" si="15"/>
        <v>m</v>
      </c>
      <c r="BD11" s="473">
        <f t="shared" si="16"/>
        <v>-0.35637256500000003</v>
      </c>
      <c r="BE11" s="432"/>
      <c r="BF11" s="489" t="str">
        <v>-</v>
      </c>
      <c r="BG11" s="479" t="str">
        <v>-</v>
      </c>
      <c r="BH11" s="435"/>
      <c r="BI11" s="519" t="s">
        <v>77</v>
      </c>
      <c r="BJ11" s="482">
        <f>_xll.RtGet($BN$7,$BN$8&amp;BI11&amp;$BN$9,$BJ$7)</f>
        <v>-0.35699999999999998</v>
      </c>
      <c r="BK11" s="483">
        <f>_xll.RtGet($BN$7,$BN$8&amp;BI11&amp;$BN$9,$BK$7)</f>
        <v>-0.35699999999999998</v>
      </c>
      <c r="BL11" s="435"/>
      <c r="BM11" s="435"/>
      <c r="BN11" s="435"/>
      <c r="BO11" s="430"/>
      <c r="BP11" s="655"/>
      <c r="BQ11" s="656"/>
      <c r="BR11" s="656"/>
      <c r="BS11" s="656"/>
      <c r="BT11" s="656"/>
      <c r="BU11" s="656"/>
      <c r="BV11" s="656"/>
      <c r="BW11" s="656"/>
      <c r="BX11" s="656"/>
      <c r="BY11" s="656"/>
      <c r="BZ11" s="656"/>
      <c r="CA11" s="656"/>
      <c r="CB11" s="656"/>
      <c r="CC11" s="656"/>
      <c r="CD11" s="656"/>
      <c r="CE11" s="656"/>
      <c r="CF11" s="656"/>
      <c r="CG11" s="656"/>
      <c r="CH11" s="656"/>
      <c r="CI11" s="656"/>
      <c r="CJ11" s="656"/>
      <c r="CK11" s="656"/>
      <c r="CL11" s="656"/>
      <c r="CM11" s="656"/>
      <c r="CN11" s="656"/>
      <c r="CO11" s="656"/>
      <c r="CP11" s="656"/>
      <c r="CQ11" s="656"/>
      <c r="CR11" s="656"/>
      <c r="CS11" s="656"/>
      <c r="CT11" s="656"/>
      <c r="CU11" s="656"/>
      <c r="CV11" s="656"/>
      <c r="CW11" s="656"/>
      <c r="CX11" s="656"/>
      <c r="CY11" s="656"/>
      <c r="CZ11" s="656"/>
      <c r="DA11" s="656"/>
      <c r="DB11" s="656"/>
      <c r="DC11" s="656"/>
      <c r="DD11" s="656"/>
      <c r="DE11" s="656"/>
      <c r="DF11" s="656"/>
      <c r="DG11" s="656"/>
      <c r="DH11" s="656"/>
      <c r="DI11" s="656"/>
      <c r="DJ11" s="656"/>
      <c r="DK11" s="656"/>
      <c r="DL11" s="656"/>
      <c r="DM11" s="656"/>
      <c r="DN11" s="656"/>
      <c r="DO11" s="656"/>
      <c r="DP11" s="656"/>
      <c r="DQ11" s="656"/>
      <c r="DR11" s="656"/>
      <c r="DS11" s="656"/>
      <c r="DT11" s="656"/>
      <c r="DU11" s="656"/>
      <c r="DV11" s="656"/>
      <c r="DW11" s="656"/>
      <c r="DX11" s="656"/>
      <c r="DY11" s="656"/>
      <c r="DZ11" s="656"/>
    </row>
    <row r="12" spans="1:130">
      <c r="A12" s="437"/>
      <c r="B12" s="435"/>
      <c r="C12" s="435"/>
      <c r="D12" s="432"/>
      <c r="E12" s="452" t="b">
        <v>1</v>
      </c>
      <c r="F12" s="515" t="str">
        <f t="shared" si="0"/>
        <v>4M</v>
      </c>
      <c r="G12" s="434">
        <v>4</v>
      </c>
      <c r="H12" s="434" t="s">
        <v>76</v>
      </c>
      <c r="I12" s="470">
        <f t="shared" si="1"/>
        <v>-0.31</v>
      </c>
      <c r="J12" s="471"/>
      <c r="K12" s="472"/>
      <c r="L12" s="473">
        <f t="shared" si="3"/>
        <v>-0.31</v>
      </c>
      <c r="M12" s="474">
        <f t="shared" si="4"/>
        <v>10</v>
      </c>
      <c r="N12" s="475">
        <f t="shared" si="2"/>
        <v>10</v>
      </c>
      <c r="O12" s="474">
        <f t="shared" si="5"/>
        <v>10</v>
      </c>
      <c r="P12" s="475">
        <f t="shared" si="6"/>
        <v>10</v>
      </c>
      <c r="Q12" s="474">
        <f t="shared" si="7"/>
        <v>4</v>
      </c>
      <c r="R12" s="434" t="str">
        <f t="shared" si="8"/>
        <v>m</v>
      </c>
      <c r="S12" s="473">
        <f t="shared" si="9"/>
        <v>-0.31</v>
      </c>
      <c r="T12" s="432"/>
      <c r="U12" s="478">
        <v>43227</v>
      </c>
      <c r="V12" s="479">
        <v>1.0006376030417579</v>
      </c>
      <c r="W12" s="435"/>
      <c r="X12" s="481" t="s">
        <v>1074</v>
      </c>
      <c r="Y12" s="482">
        <f>_xll.RtGet($AE$3,$AE$4&amp;$X12&amp;$AE$5,Y$2)</f>
        <v>-0.31</v>
      </c>
      <c r="Z12" s="483">
        <f>_xll.RtGet($AE$3,$AE$4&amp;$X12&amp;$AE$5,Z$2)</f>
        <v>-0.31</v>
      </c>
      <c r="AA12" s="432"/>
      <c r="AB12" s="432"/>
      <c r="AC12" s="435"/>
      <c r="AD12" s="435"/>
      <c r="AE12" s="435"/>
      <c r="AF12" s="435"/>
      <c r="AG12" s="502" t="s">
        <v>1075</v>
      </c>
      <c r="AH12" s="502">
        <v>9</v>
      </c>
      <c r="AI12" s="435"/>
      <c r="AJ12" s="502" t="s">
        <v>24</v>
      </c>
      <c r="AK12" s="446"/>
      <c r="AL12" s="431"/>
      <c r="AM12" s="435"/>
      <c r="AN12" s="435"/>
      <c r="AO12" s="432"/>
      <c r="AP12" s="487" t="b">
        <v>1</v>
      </c>
      <c r="AQ12" s="518" t="str">
        <f t="shared" si="19"/>
        <v>4M</v>
      </c>
      <c r="AR12" s="474">
        <f t="shared" si="10"/>
        <v>4</v>
      </c>
      <c r="AS12" s="475" t="s">
        <v>76</v>
      </c>
      <c r="AT12" s="470">
        <f t="shared" si="20"/>
        <v>-0.355644503</v>
      </c>
      <c r="AU12" s="471"/>
      <c r="AV12" s="472"/>
      <c r="AW12" s="473">
        <f t="shared" si="11"/>
        <v>-0.355644503</v>
      </c>
      <c r="AX12" s="474">
        <f t="shared" si="17"/>
        <v>10</v>
      </c>
      <c r="AY12" s="475">
        <f t="shared" si="12"/>
        <v>10</v>
      </c>
      <c r="AZ12" s="474">
        <f t="shared" si="18"/>
        <v>10</v>
      </c>
      <c r="BA12" s="475">
        <f t="shared" si="13"/>
        <v>10</v>
      </c>
      <c r="BB12" s="474">
        <f t="shared" si="14"/>
        <v>4</v>
      </c>
      <c r="BC12" s="434" t="str">
        <f t="shared" si="15"/>
        <v>m</v>
      </c>
      <c r="BD12" s="473">
        <f t="shared" si="16"/>
        <v>-0.355644503</v>
      </c>
      <c r="BE12" s="432"/>
      <c r="BF12" s="489" t="str">
        <v>-</v>
      </c>
      <c r="BG12" s="479" t="str">
        <v>-</v>
      </c>
      <c r="BH12" s="435"/>
      <c r="BI12" s="519" t="s">
        <v>78</v>
      </c>
      <c r="BJ12" s="482">
        <f>_xll.RtGet($BN$7,$BN$8&amp;BI12&amp;$BN$9,$BJ$7)</f>
        <v>-0.35698441200000003</v>
      </c>
      <c r="BK12" s="483">
        <f>_xll.RtGet($BN$7,$BN$8&amp;BI12&amp;$BN$9,$BK$7)</f>
        <v>-0.35698441200000003</v>
      </c>
      <c r="BL12" s="435"/>
      <c r="BM12" s="435"/>
      <c r="BN12" s="435"/>
      <c r="BO12" s="430"/>
      <c r="BP12" s="655"/>
      <c r="BQ12" s="656"/>
      <c r="BR12" s="656"/>
      <c r="BS12" s="656"/>
      <c r="BT12" s="656"/>
      <c r="BU12" s="656"/>
      <c r="BV12" s="656"/>
      <c r="BW12" s="656"/>
      <c r="BX12" s="656"/>
      <c r="BY12" s="656"/>
      <c r="BZ12" s="656"/>
      <c r="CA12" s="656"/>
      <c r="CB12" s="656"/>
      <c r="CC12" s="656"/>
      <c r="CD12" s="656"/>
      <c r="CE12" s="656"/>
      <c r="CF12" s="656"/>
      <c r="CG12" s="656"/>
      <c r="CH12" s="656"/>
      <c r="CI12" s="656"/>
      <c r="CJ12" s="656"/>
      <c r="CK12" s="656"/>
      <c r="CL12" s="656"/>
      <c r="CM12" s="656"/>
      <c r="CN12" s="656"/>
      <c r="CO12" s="656"/>
      <c r="CP12" s="656"/>
      <c r="CQ12" s="656"/>
      <c r="CR12" s="656"/>
      <c r="CS12" s="656"/>
      <c r="CT12" s="656"/>
      <c r="CU12" s="656"/>
      <c r="CV12" s="656"/>
      <c r="CW12" s="656"/>
      <c r="CX12" s="656"/>
      <c r="CY12" s="656"/>
      <c r="CZ12" s="656"/>
      <c r="DA12" s="656"/>
      <c r="DB12" s="656"/>
      <c r="DC12" s="656"/>
      <c r="DD12" s="656"/>
      <c r="DE12" s="656"/>
      <c r="DF12" s="656"/>
      <c r="DG12" s="656"/>
      <c r="DH12" s="656"/>
      <c r="DI12" s="656"/>
      <c r="DJ12" s="656"/>
      <c r="DK12" s="656"/>
      <c r="DL12" s="656"/>
      <c r="DM12" s="656"/>
      <c r="DN12" s="656"/>
      <c r="DO12" s="656"/>
      <c r="DP12" s="656"/>
      <c r="DQ12" s="656"/>
      <c r="DR12" s="656"/>
      <c r="DS12" s="656"/>
      <c r="DT12" s="656"/>
      <c r="DU12" s="656"/>
      <c r="DV12" s="656"/>
      <c r="DW12" s="656"/>
      <c r="DX12" s="656"/>
      <c r="DY12" s="656"/>
      <c r="DZ12" s="656"/>
    </row>
    <row r="13" spans="1:130">
      <c r="A13" s="437"/>
      <c r="B13" s="687"/>
      <c r="C13" s="435"/>
      <c r="D13" s="432"/>
      <c r="E13" s="452" t="b">
        <v>1</v>
      </c>
      <c r="F13" s="515" t="str">
        <f t="shared" si="0"/>
        <v>5M</v>
      </c>
      <c r="G13" s="434">
        <v>5</v>
      </c>
      <c r="H13" s="434" t="s">
        <v>76</v>
      </c>
      <c r="I13" s="470">
        <f t="shared" si="1"/>
        <v>-0.28999999999999998</v>
      </c>
      <c r="J13" s="471"/>
      <c r="K13" s="472"/>
      <c r="L13" s="473">
        <f t="shared" si="3"/>
        <v>-0.28999999999999998</v>
      </c>
      <c r="M13" s="474">
        <f t="shared" si="4"/>
        <v>11</v>
      </c>
      <c r="N13" s="475">
        <f t="shared" si="2"/>
        <v>11</v>
      </c>
      <c r="O13" s="474">
        <f t="shared" si="5"/>
        <v>11</v>
      </c>
      <c r="P13" s="475">
        <f t="shared" si="6"/>
        <v>11</v>
      </c>
      <c r="Q13" s="474">
        <f t="shared" si="7"/>
        <v>5</v>
      </c>
      <c r="R13" s="434" t="str">
        <f t="shared" si="8"/>
        <v>m</v>
      </c>
      <c r="S13" s="473">
        <f t="shared" si="9"/>
        <v>-0.28999999999999998</v>
      </c>
      <c r="T13" s="432"/>
      <c r="U13" s="478">
        <v>43256</v>
      </c>
      <c r="V13" s="479">
        <v>1.0008863044513687</v>
      </c>
      <c r="W13" s="435"/>
      <c r="X13" s="481" t="s">
        <v>1076</v>
      </c>
      <c r="Y13" s="482">
        <f>_xll.RtGet($AE$3,$AE$4&amp;$X13&amp;$AE$5,Y$2)</f>
        <v>-0.28999999999999998</v>
      </c>
      <c r="Z13" s="483">
        <f>_xll.RtGet($AE$3,$AE$4&amp;$X13&amp;$AE$5,Z$2)</f>
        <v>-0.28999999999999998</v>
      </c>
      <c r="AA13" s="432"/>
      <c r="AB13" s="432"/>
      <c r="AC13" s="435"/>
      <c r="AD13" s="435"/>
      <c r="AE13" s="435"/>
      <c r="AF13" s="435"/>
      <c r="AG13" s="435"/>
      <c r="AH13" s="435"/>
      <c r="AI13" s="435"/>
      <c r="AJ13" s="435"/>
      <c r="AK13" s="446"/>
      <c r="AL13" s="431"/>
      <c r="AM13" s="528" t="s">
        <v>1077</v>
      </c>
      <c r="AN13" s="528">
        <f>VLOOKUP(AN7,AG3:AH12,2)</f>
        <v>5</v>
      </c>
      <c r="AO13" s="432"/>
      <c r="AP13" s="487" t="b">
        <v>1</v>
      </c>
      <c r="AQ13" s="518" t="str">
        <f t="shared" si="19"/>
        <v>5M</v>
      </c>
      <c r="AR13" s="474">
        <f t="shared" si="10"/>
        <v>5</v>
      </c>
      <c r="AS13" s="475" t="s">
        <v>76</v>
      </c>
      <c r="AT13" s="470">
        <f t="shared" si="20"/>
        <v>-0.35466412899999999</v>
      </c>
      <c r="AU13" s="471"/>
      <c r="AV13" s="472"/>
      <c r="AW13" s="473">
        <f t="shared" si="11"/>
        <v>-0.35466412899999999</v>
      </c>
      <c r="AX13" s="474">
        <f t="shared" si="17"/>
        <v>11</v>
      </c>
      <c r="AY13" s="475">
        <f t="shared" si="12"/>
        <v>11</v>
      </c>
      <c r="AZ13" s="474">
        <f t="shared" si="18"/>
        <v>11</v>
      </c>
      <c r="BA13" s="475">
        <f t="shared" si="13"/>
        <v>11</v>
      </c>
      <c r="BB13" s="474">
        <f t="shared" si="14"/>
        <v>5</v>
      </c>
      <c r="BC13" s="434" t="str">
        <f t="shared" si="15"/>
        <v>m</v>
      </c>
      <c r="BD13" s="473">
        <f t="shared" si="16"/>
        <v>-0.35466412899999999</v>
      </c>
      <c r="BE13" s="432"/>
      <c r="BF13" s="489" t="str">
        <v>-</v>
      </c>
      <c r="BG13" s="479" t="str">
        <v>-</v>
      </c>
      <c r="BH13" s="435"/>
      <c r="BI13" s="519" t="s">
        <v>80</v>
      </c>
      <c r="BJ13" s="482">
        <f>_xll.RtGet($BN$7,$BN$8&amp;BI13&amp;$BN$9,$BJ$7)</f>
        <v>-0.35637256500000003</v>
      </c>
      <c r="BK13" s="483">
        <f>_xll.RtGet($BN$7,$BN$8&amp;BI13&amp;$BN$9,$BK$7)</f>
        <v>-0.35637256500000003</v>
      </c>
      <c r="BL13" s="435"/>
      <c r="BM13" s="435"/>
      <c r="BN13" s="435"/>
      <c r="BO13" s="430"/>
      <c r="BP13" s="655"/>
      <c r="BQ13" s="656"/>
      <c r="BR13" s="656"/>
      <c r="BS13" s="656"/>
      <c r="BT13" s="656"/>
      <c r="BU13" s="656"/>
      <c r="BV13" s="656"/>
      <c r="BW13" s="656"/>
      <c r="BX13" s="656"/>
      <c r="BY13" s="656"/>
      <c r="BZ13" s="656"/>
      <c r="CA13" s="656"/>
      <c r="CB13" s="656"/>
      <c r="CC13" s="656"/>
      <c r="CD13" s="656"/>
      <c r="CE13" s="656"/>
      <c r="CF13" s="656"/>
      <c r="CG13" s="656"/>
      <c r="CH13" s="656"/>
      <c r="CI13" s="656"/>
      <c r="CJ13" s="656"/>
      <c r="CK13" s="656"/>
      <c r="CL13" s="656"/>
      <c r="CM13" s="656"/>
      <c r="CN13" s="656"/>
      <c r="CO13" s="656"/>
      <c r="CP13" s="656"/>
      <c r="CQ13" s="656"/>
      <c r="CR13" s="656"/>
      <c r="CS13" s="656"/>
      <c r="CT13" s="656"/>
      <c r="CU13" s="656"/>
      <c r="CV13" s="656"/>
      <c r="CW13" s="656"/>
      <c r="CX13" s="656"/>
      <c r="CY13" s="656"/>
      <c r="CZ13" s="656"/>
      <c r="DA13" s="656"/>
      <c r="DB13" s="656"/>
      <c r="DC13" s="656"/>
      <c r="DD13" s="656"/>
      <c r="DE13" s="656"/>
      <c r="DF13" s="656"/>
      <c r="DG13" s="656"/>
      <c r="DH13" s="656"/>
      <c r="DI13" s="656"/>
      <c r="DJ13" s="656"/>
      <c r="DK13" s="656"/>
      <c r="DL13" s="656"/>
      <c r="DM13" s="656"/>
      <c r="DN13" s="656"/>
      <c r="DO13" s="656"/>
      <c r="DP13" s="656"/>
      <c r="DQ13" s="656"/>
      <c r="DR13" s="656"/>
      <c r="DS13" s="656"/>
      <c r="DT13" s="656"/>
      <c r="DU13" s="656"/>
      <c r="DV13" s="656"/>
      <c r="DW13" s="656"/>
      <c r="DX13" s="656"/>
      <c r="DY13" s="656"/>
      <c r="DZ13" s="656"/>
    </row>
    <row r="14" spans="1:130">
      <c r="A14" s="437"/>
      <c r="B14" s="435"/>
      <c r="C14" s="435"/>
      <c r="D14" s="435"/>
      <c r="E14" s="452" t="b">
        <v>1</v>
      </c>
      <c r="F14" s="515" t="str">
        <f t="shared" si="0"/>
        <v>6M</v>
      </c>
      <c r="G14" s="434">
        <v>6</v>
      </c>
      <c r="H14" s="434" t="s">
        <v>76</v>
      </c>
      <c r="I14" s="470">
        <f t="shared" si="1"/>
        <v>-0.27</v>
      </c>
      <c r="J14" s="471"/>
      <c r="K14" s="472"/>
      <c r="L14" s="473">
        <f t="shared" si="3"/>
        <v>-0.27</v>
      </c>
      <c r="M14" s="474">
        <f t="shared" si="4"/>
        <v>12</v>
      </c>
      <c r="N14" s="475">
        <f t="shared" si="2"/>
        <v>12</v>
      </c>
      <c r="O14" s="474">
        <f t="shared" si="5"/>
        <v>12</v>
      </c>
      <c r="P14" s="475">
        <f t="shared" si="6"/>
        <v>12</v>
      </c>
      <c r="Q14" s="474">
        <f t="shared" si="7"/>
        <v>6</v>
      </c>
      <c r="R14" s="434" t="str">
        <f t="shared" si="8"/>
        <v>m</v>
      </c>
      <c r="S14" s="473">
        <f t="shared" si="9"/>
        <v>-0.27</v>
      </c>
      <c r="T14" s="432"/>
      <c r="U14" s="478">
        <v>43286</v>
      </c>
      <c r="V14" s="479">
        <v>1.0010939284561207</v>
      </c>
      <c r="W14" s="435"/>
      <c r="X14" s="481" t="s">
        <v>81</v>
      </c>
      <c r="Y14" s="482">
        <f>_xll.RtGet($AE$3,$AE$4&amp;$X14&amp;$AE$5,Y$2)</f>
        <v>-0.27</v>
      </c>
      <c r="Z14" s="483">
        <f>_xll.RtGet($AE$3,$AE$4&amp;$X14&amp;$AE$5,Z$2)</f>
        <v>-0.27</v>
      </c>
      <c r="AA14" s="432"/>
      <c r="AB14" s="432"/>
      <c r="AC14" s="435"/>
      <c r="AD14" s="435"/>
      <c r="AE14" s="435"/>
      <c r="AF14" s="435"/>
      <c r="AG14" s="443" t="s">
        <v>1078</v>
      </c>
      <c r="AH14" s="444"/>
      <c r="AI14" s="435"/>
      <c r="AJ14" s="445" t="s">
        <v>1079</v>
      </c>
      <c r="AK14" s="446"/>
      <c r="AL14" s="431"/>
      <c r="AM14" s="435"/>
      <c r="AN14" s="435"/>
      <c r="AO14" s="435"/>
      <c r="AP14" s="487" t="b">
        <v>1</v>
      </c>
      <c r="AQ14" s="518" t="str">
        <f t="shared" si="19"/>
        <v>6M</v>
      </c>
      <c r="AR14" s="474">
        <f t="shared" si="10"/>
        <v>6</v>
      </c>
      <c r="AS14" s="475" t="s">
        <v>76</v>
      </c>
      <c r="AT14" s="470">
        <f t="shared" si="20"/>
        <v>-0.35387047800000004</v>
      </c>
      <c r="AU14" s="471"/>
      <c r="AV14" s="472"/>
      <c r="AW14" s="473">
        <f t="shared" si="11"/>
        <v>-0.35387047800000004</v>
      </c>
      <c r="AX14" s="474">
        <f t="shared" si="17"/>
        <v>12</v>
      </c>
      <c r="AY14" s="475">
        <f t="shared" si="12"/>
        <v>12</v>
      </c>
      <c r="AZ14" s="474">
        <f t="shared" si="18"/>
        <v>12</v>
      </c>
      <c r="BA14" s="475">
        <f t="shared" si="13"/>
        <v>12</v>
      </c>
      <c r="BB14" s="474">
        <f t="shared" si="14"/>
        <v>6</v>
      </c>
      <c r="BC14" s="434" t="str">
        <f t="shared" si="15"/>
        <v>m</v>
      </c>
      <c r="BD14" s="473">
        <f t="shared" si="16"/>
        <v>-0.35387047800000004</v>
      </c>
      <c r="BE14" s="432"/>
      <c r="BF14" s="489" t="str">
        <v>-</v>
      </c>
      <c r="BG14" s="479" t="str">
        <v>-</v>
      </c>
      <c r="BH14" s="435"/>
      <c r="BI14" s="519" t="s">
        <v>1074</v>
      </c>
      <c r="BJ14" s="482">
        <f>_xll.RtGet($BN$7,$BN$8&amp;BI14&amp;$BN$9,$BJ$7)</f>
        <v>-0.355644503</v>
      </c>
      <c r="BK14" s="483">
        <f>_xll.RtGet($BN$7,$BN$8&amp;BI14&amp;$BN$9,$BK$7)</f>
        <v>-0.355644503</v>
      </c>
      <c r="BL14" s="435"/>
      <c r="BM14" s="435"/>
      <c r="BN14" s="435"/>
      <c r="BO14" s="430"/>
      <c r="BP14" s="655"/>
      <c r="BQ14" s="656"/>
      <c r="BR14" s="656"/>
      <c r="BS14" s="656"/>
      <c r="BT14" s="656"/>
      <c r="BU14" s="656"/>
      <c r="BV14" s="656"/>
      <c r="BW14" s="656"/>
      <c r="BX14" s="656"/>
      <c r="BY14" s="656"/>
      <c r="BZ14" s="656"/>
      <c r="CA14" s="656"/>
      <c r="CB14" s="656"/>
      <c r="CC14" s="656"/>
      <c r="CD14" s="656"/>
      <c r="CE14" s="656"/>
      <c r="CF14" s="656"/>
      <c r="CG14" s="656"/>
      <c r="CH14" s="656"/>
      <c r="CI14" s="656"/>
      <c r="CJ14" s="656"/>
      <c r="CK14" s="656"/>
      <c r="CL14" s="656"/>
      <c r="CM14" s="656"/>
      <c r="CN14" s="656"/>
      <c r="CO14" s="656"/>
      <c r="CP14" s="656"/>
      <c r="CQ14" s="656"/>
      <c r="CR14" s="656"/>
      <c r="CS14" s="656"/>
      <c r="CT14" s="656"/>
      <c r="CU14" s="656"/>
      <c r="CV14" s="656"/>
      <c r="CW14" s="656"/>
      <c r="CX14" s="656"/>
      <c r="CY14" s="656"/>
      <c r="CZ14" s="656"/>
      <c r="DA14" s="656"/>
      <c r="DB14" s="656"/>
      <c r="DC14" s="656"/>
      <c r="DD14" s="656"/>
      <c r="DE14" s="656"/>
      <c r="DF14" s="656"/>
      <c r="DG14" s="656"/>
      <c r="DH14" s="656"/>
      <c r="DI14" s="656"/>
      <c r="DJ14" s="656"/>
      <c r="DK14" s="656"/>
      <c r="DL14" s="656"/>
      <c r="DM14" s="656"/>
      <c r="DN14" s="656"/>
      <c r="DO14" s="656"/>
      <c r="DP14" s="656"/>
      <c r="DQ14" s="656"/>
      <c r="DR14" s="656"/>
      <c r="DS14" s="656"/>
      <c r="DT14" s="656"/>
      <c r="DU14" s="656"/>
      <c r="DV14" s="656"/>
      <c r="DW14" s="656"/>
      <c r="DX14" s="656"/>
      <c r="DY14" s="656"/>
      <c r="DZ14" s="656"/>
    </row>
    <row r="15" spans="1:130">
      <c r="A15" s="437"/>
      <c r="B15" s="435"/>
      <c r="C15" s="435"/>
      <c r="D15" s="435"/>
      <c r="E15" s="452" t="b">
        <v>1</v>
      </c>
      <c r="F15" s="515" t="str">
        <f t="shared" si="0"/>
        <v>7M</v>
      </c>
      <c r="G15" s="434">
        <v>7</v>
      </c>
      <c r="H15" s="434" t="s">
        <v>76</v>
      </c>
      <c r="I15" s="470">
        <f t="shared" si="1"/>
        <v>-0.25</v>
      </c>
      <c r="J15" s="471"/>
      <c r="K15" s="472"/>
      <c r="L15" s="473">
        <f t="shared" si="3"/>
        <v>-0.25</v>
      </c>
      <c r="M15" s="474">
        <f t="shared" si="4"/>
        <v>13</v>
      </c>
      <c r="N15" s="475">
        <f t="shared" si="2"/>
        <v>13</v>
      </c>
      <c r="O15" s="474">
        <f t="shared" si="5"/>
        <v>13</v>
      </c>
      <c r="P15" s="475">
        <f t="shared" si="6"/>
        <v>13</v>
      </c>
      <c r="Q15" s="474">
        <f t="shared" si="7"/>
        <v>7</v>
      </c>
      <c r="R15" s="434" t="str">
        <f t="shared" si="8"/>
        <v>m</v>
      </c>
      <c r="S15" s="473">
        <f t="shared" si="9"/>
        <v>-0.25</v>
      </c>
      <c r="T15" s="432"/>
      <c r="U15" s="478">
        <v>43318</v>
      </c>
      <c r="V15" s="479">
        <v>1.001284372559017</v>
      </c>
      <c r="W15" s="435"/>
      <c r="X15" s="481" t="s">
        <v>1080</v>
      </c>
      <c r="Y15" s="482">
        <f>_xll.RtGet($AE$3,$AE$4&amp;$X15&amp;$AE$5,Y$2)</f>
        <v>-0.25</v>
      </c>
      <c r="Z15" s="483">
        <f>_xll.RtGet($AE$3,$AE$4&amp;$X15&amp;$AE$5,Z$2)</f>
        <v>-0.25</v>
      </c>
      <c r="AA15" s="432"/>
      <c r="AB15" s="432"/>
      <c r="AC15" s="435"/>
      <c r="AD15" s="435"/>
      <c r="AE15" s="435"/>
      <c r="AF15" s="435"/>
      <c r="AG15" s="465" t="s">
        <v>1081</v>
      </c>
      <c r="AH15" s="465">
        <v>0</v>
      </c>
      <c r="AI15" s="435"/>
      <c r="AJ15" s="465" t="s">
        <v>82</v>
      </c>
      <c r="AK15" s="446"/>
      <c r="AL15" s="431"/>
      <c r="AM15" s="435"/>
      <c r="AN15" s="435"/>
      <c r="AO15" s="435"/>
      <c r="AP15" s="487" t="b">
        <v>1</v>
      </c>
      <c r="AQ15" s="518" t="str">
        <f t="shared" si="19"/>
        <v>7M</v>
      </c>
      <c r="AR15" s="474">
        <f t="shared" si="10"/>
        <v>7</v>
      </c>
      <c r="AS15" s="475" t="s">
        <v>76</v>
      </c>
      <c r="AT15" s="470">
        <f t="shared" si="20"/>
        <v>-0.35301585900000004</v>
      </c>
      <c r="AU15" s="471"/>
      <c r="AV15" s="472"/>
      <c r="AW15" s="473">
        <f t="shared" si="11"/>
        <v>-0.35301585900000004</v>
      </c>
      <c r="AX15" s="474">
        <f t="shared" si="17"/>
        <v>13</v>
      </c>
      <c r="AY15" s="475">
        <f t="shared" si="12"/>
        <v>13</v>
      </c>
      <c r="AZ15" s="474">
        <f t="shared" si="18"/>
        <v>13</v>
      </c>
      <c r="BA15" s="475">
        <f t="shared" si="13"/>
        <v>13</v>
      </c>
      <c r="BB15" s="474">
        <f t="shared" si="14"/>
        <v>7</v>
      </c>
      <c r="BC15" s="434" t="str">
        <f t="shared" si="15"/>
        <v>m</v>
      </c>
      <c r="BD15" s="473">
        <f t="shared" si="16"/>
        <v>-0.35301585900000004</v>
      </c>
      <c r="BE15" s="432"/>
      <c r="BF15" s="489" t="str">
        <v>-</v>
      </c>
      <c r="BG15" s="479" t="str">
        <v>-</v>
      </c>
      <c r="BH15" s="435"/>
      <c r="BI15" s="519" t="s">
        <v>1076</v>
      </c>
      <c r="BJ15" s="482">
        <f>_xll.RtGet($BN$7,$BN$8&amp;BI15&amp;$BN$9,$BJ$7)</f>
        <v>-0.35466412899999999</v>
      </c>
      <c r="BK15" s="483">
        <f>_xll.RtGet($BN$7,$BN$8&amp;BI15&amp;$BN$9,$BK$7)</f>
        <v>-0.35466412899999999</v>
      </c>
      <c r="BL15" s="435"/>
      <c r="BM15" s="435"/>
      <c r="BN15" s="435"/>
      <c r="BO15" s="430"/>
      <c r="BP15" s="655"/>
      <c r="BQ15" s="656"/>
      <c r="BR15" s="656"/>
      <c r="BS15" s="656"/>
      <c r="BT15" s="656"/>
      <c r="BU15" s="656"/>
      <c r="BV15" s="656"/>
      <c r="BW15" s="656"/>
      <c r="BX15" s="656"/>
      <c r="BY15" s="656"/>
      <c r="BZ15" s="656"/>
      <c r="CA15" s="656"/>
      <c r="CB15" s="656"/>
      <c r="CC15" s="656"/>
      <c r="CD15" s="656"/>
      <c r="CE15" s="656"/>
      <c r="CF15" s="656"/>
      <c r="CG15" s="656"/>
      <c r="CH15" s="656"/>
      <c r="CI15" s="656"/>
      <c r="CJ15" s="656"/>
      <c r="CK15" s="656"/>
      <c r="CL15" s="656"/>
      <c r="CM15" s="656"/>
      <c r="CN15" s="656"/>
      <c r="CO15" s="656"/>
      <c r="CP15" s="656"/>
      <c r="CQ15" s="656"/>
      <c r="CR15" s="656"/>
      <c r="CS15" s="656"/>
      <c r="CT15" s="656"/>
      <c r="CU15" s="656"/>
      <c r="CV15" s="656"/>
      <c r="CW15" s="656"/>
      <c r="CX15" s="656"/>
      <c r="CY15" s="656"/>
      <c r="CZ15" s="656"/>
      <c r="DA15" s="656"/>
      <c r="DB15" s="656"/>
      <c r="DC15" s="656"/>
      <c r="DD15" s="656"/>
      <c r="DE15" s="656"/>
      <c r="DF15" s="656"/>
      <c r="DG15" s="656"/>
      <c r="DH15" s="656"/>
      <c r="DI15" s="656"/>
      <c r="DJ15" s="656"/>
      <c r="DK15" s="656"/>
      <c r="DL15" s="656"/>
      <c r="DM15" s="656"/>
      <c r="DN15" s="656"/>
      <c r="DO15" s="656"/>
      <c r="DP15" s="656"/>
      <c r="DQ15" s="656"/>
      <c r="DR15" s="656"/>
      <c r="DS15" s="656"/>
      <c r="DT15" s="656"/>
      <c r="DU15" s="656"/>
      <c r="DV15" s="656"/>
      <c r="DW15" s="656"/>
      <c r="DX15" s="656"/>
      <c r="DY15" s="656"/>
      <c r="DZ15" s="656"/>
    </row>
    <row r="16" spans="1:130">
      <c r="A16" s="437"/>
      <c r="B16" s="435"/>
      <c r="C16" s="435"/>
      <c r="D16" s="435"/>
      <c r="E16" s="452" t="b">
        <v>1</v>
      </c>
      <c r="F16" s="515" t="str">
        <f t="shared" si="0"/>
        <v>8M</v>
      </c>
      <c r="G16" s="434">
        <v>8</v>
      </c>
      <c r="H16" s="434" t="s">
        <v>76</v>
      </c>
      <c r="I16" s="470">
        <f t="shared" si="1"/>
        <v>-0.23</v>
      </c>
      <c r="J16" s="471"/>
      <c r="K16" s="472"/>
      <c r="L16" s="473">
        <f t="shared" si="3"/>
        <v>-0.23</v>
      </c>
      <c r="M16" s="474">
        <f t="shared" si="4"/>
        <v>14</v>
      </c>
      <c r="N16" s="475">
        <f t="shared" si="2"/>
        <v>14</v>
      </c>
      <c r="O16" s="474">
        <f t="shared" si="5"/>
        <v>14</v>
      </c>
      <c r="P16" s="475">
        <f t="shared" si="6"/>
        <v>14</v>
      </c>
      <c r="Q16" s="474">
        <f t="shared" si="7"/>
        <v>8</v>
      </c>
      <c r="R16" s="434" t="str">
        <f t="shared" si="8"/>
        <v>m</v>
      </c>
      <c r="S16" s="473">
        <f t="shared" si="9"/>
        <v>-0.23</v>
      </c>
      <c r="T16" s="432"/>
      <c r="U16" s="478">
        <v>43348</v>
      </c>
      <c r="V16" s="479">
        <v>1.0014241890488356</v>
      </c>
      <c r="W16" s="435"/>
      <c r="X16" s="481" t="s">
        <v>1082</v>
      </c>
      <c r="Y16" s="482">
        <f>_xll.RtGet($AE$3,$AE$4&amp;$X16&amp;$AE$5,Y$2)</f>
        <v>-0.23</v>
      </c>
      <c r="Z16" s="483">
        <f>_xll.RtGet($AE$3,$AE$4&amp;$X16&amp;$AE$5,Z$2)</f>
        <v>-0.23</v>
      </c>
      <c r="AA16" s="432"/>
      <c r="AB16" s="432"/>
      <c r="AC16" s="435"/>
      <c r="AD16" s="435"/>
      <c r="AE16" s="435"/>
      <c r="AF16" s="435"/>
      <c r="AG16" s="484" t="s">
        <v>1083</v>
      </c>
      <c r="AH16" s="484">
        <v>1</v>
      </c>
      <c r="AI16" s="435"/>
      <c r="AJ16" s="484" t="s">
        <v>1084</v>
      </c>
      <c r="AK16" s="533"/>
      <c r="AL16" s="431"/>
      <c r="AM16" s="435"/>
      <c r="AN16" s="435"/>
      <c r="AO16" s="435"/>
      <c r="AP16" s="487" t="b">
        <v>1</v>
      </c>
      <c r="AQ16" s="518" t="str">
        <f t="shared" si="19"/>
        <v>8M</v>
      </c>
      <c r="AR16" s="474">
        <f t="shared" si="10"/>
        <v>8</v>
      </c>
      <c r="AS16" s="475" t="s">
        <v>76</v>
      </c>
      <c r="AT16" s="470">
        <f t="shared" si="20"/>
        <v>-0.35209969800000002</v>
      </c>
      <c r="AU16" s="471"/>
      <c r="AV16" s="472"/>
      <c r="AW16" s="473">
        <f t="shared" si="11"/>
        <v>-0.35209969800000002</v>
      </c>
      <c r="AX16" s="474">
        <f t="shared" si="17"/>
        <v>14</v>
      </c>
      <c r="AY16" s="475">
        <f t="shared" si="12"/>
        <v>14</v>
      </c>
      <c r="AZ16" s="474">
        <f t="shared" si="18"/>
        <v>14</v>
      </c>
      <c r="BA16" s="475">
        <f t="shared" si="13"/>
        <v>14</v>
      </c>
      <c r="BB16" s="474">
        <f t="shared" si="14"/>
        <v>8</v>
      </c>
      <c r="BC16" s="434" t="str">
        <f t="shared" si="15"/>
        <v>m</v>
      </c>
      <c r="BD16" s="473">
        <f t="shared" si="16"/>
        <v>-0.35209969800000002</v>
      </c>
      <c r="BE16" s="432"/>
      <c r="BF16" s="489" t="str">
        <v>-</v>
      </c>
      <c r="BG16" s="479" t="str">
        <v>-</v>
      </c>
      <c r="BH16" s="435"/>
      <c r="BI16" s="519" t="s">
        <v>81</v>
      </c>
      <c r="BJ16" s="482">
        <f>_xll.RtGet($BN$7,$BN$8&amp;BI16&amp;$BN$9,$BJ$7)</f>
        <v>-0.35387047800000004</v>
      </c>
      <c r="BK16" s="483">
        <f>_xll.RtGet($BN$7,$BN$8&amp;BI16&amp;$BN$9,$BK$7)</f>
        <v>-0.35387047800000004</v>
      </c>
      <c r="BL16" s="435"/>
      <c r="BM16" s="435"/>
      <c r="BN16" s="435"/>
      <c r="BO16" s="430"/>
      <c r="BP16" s="655"/>
      <c r="BQ16" s="656"/>
      <c r="BR16" s="656"/>
      <c r="BS16" s="656"/>
      <c r="BT16" s="656"/>
      <c r="BU16" s="656"/>
      <c r="BV16" s="656"/>
      <c r="BW16" s="656"/>
      <c r="BX16" s="656"/>
      <c r="BY16" s="656"/>
      <c r="BZ16" s="656"/>
      <c r="CA16" s="656"/>
      <c r="CB16" s="656"/>
      <c r="CC16" s="656"/>
      <c r="CD16" s="656"/>
      <c r="CE16" s="656"/>
      <c r="CF16" s="656"/>
      <c r="CG16" s="656"/>
      <c r="CH16" s="656"/>
      <c r="CI16" s="656"/>
      <c r="CJ16" s="656"/>
      <c r="CK16" s="656"/>
      <c r="CL16" s="656"/>
      <c r="CM16" s="656"/>
      <c r="CN16" s="656"/>
      <c r="CO16" s="656"/>
      <c r="CP16" s="656"/>
      <c r="CQ16" s="656"/>
      <c r="CR16" s="656"/>
      <c r="CS16" s="656"/>
      <c r="CT16" s="656"/>
      <c r="CU16" s="656"/>
      <c r="CV16" s="656"/>
      <c r="CW16" s="656"/>
      <c r="CX16" s="656"/>
      <c r="CY16" s="656"/>
      <c r="CZ16" s="656"/>
      <c r="DA16" s="656"/>
      <c r="DB16" s="656"/>
      <c r="DC16" s="656"/>
      <c r="DD16" s="656"/>
      <c r="DE16" s="656"/>
      <c r="DF16" s="656"/>
      <c r="DG16" s="656"/>
      <c r="DH16" s="656"/>
      <c r="DI16" s="656"/>
      <c r="DJ16" s="656"/>
      <c r="DK16" s="656"/>
      <c r="DL16" s="656"/>
      <c r="DM16" s="656"/>
      <c r="DN16" s="656"/>
      <c r="DO16" s="656"/>
      <c r="DP16" s="656"/>
      <c r="DQ16" s="656"/>
      <c r="DR16" s="656"/>
      <c r="DS16" s="656"/>
      <c r="DT16" s="656"/>
      <c r="DU16" s="656"/>
      <c r="DV16" s="656"/>
      <c r="DW16" s="656"/>
      <c r="DX16" s="656"/>
      <c r="DY16" s="656"/>
      <c r="DZ16" s="656"/>
    </row>
    <row r="17" spans="1:130">
      <c r="A17" s="437"/>
      <c r="B17" s="435"/>
      <c r="C17" s="435"/>
      <c r="D17" s="435"/>
      <c r="E17" s="452" t="b">
        <v>1</v>
      </c>
      <c r="F17" s="515" t="str">
        <f t="shared" si="0"/>
        <v>9M</v>
      </c>
      <c r="G17" s="434">
        <v>9</v>
      </c>
      <c r="H17" s="434" t="s">
        <v>76</v>
      </c>
      <c r="I17" s="470">
        <f t="shared" si="1"/>
        <v>-0.22</v>
      </c>
      <c r="J17" s="471"/>
      <c r="K17" s="472"/>
      <c r="L17" s="473">
        <f t="shared" si="3"/>
        <v>-0.22</v>
      </c>
      <c r="M17" s="474">
        <f t="shared" si="4"/>
        <v>15</v>
      </c>
      <c r="N17" s="475">
        <f t="shared" si="2"/>
        <v>15</v>
      </c>
      <c r="O17" s="474">
        <f t="shared" si="5"/>
        <v>15</v>
      </c>
      <c r="P17" s="475">
        <f t="shared" si="6"/>
        <v>15</v>
      </c>
      <c r="Q17" s="474">
        <f t="shared" si="7"/>
        <v>9</v>
      </c>
      <c r="R17" s="434" t="str">
        <f t="shared" si="8"/>
        <v>m</v>
      </c>
      <c r="S17" s="473">
        <f t="shared" si="9"/>
        <v>-0.22</v>
      </c>
      <c r="T17" s="432"/>
      <c r="U17" s="478">
        <v>43362</v>
      </c>
      <c r="V17" s="479">
        <v>1.0014780093091302</v>
      </c>
      <c r="W17" s="435"/>
      <c r="X17" s="481" t="s">
        <v>83</v>
      </c>
      <c r="Y17" s="482">
        <f>_xll.RtGet($AE$3,$AE$4&amp;$X17&amp;$AE$5,Y$2)</f>
        <v>-0.22</v>
      </c>
      <c r="Z17" s="483">
        <f>_xll.RtGet($AE$3,$AE$4&amp;$X17&amp;$AE$5,Z$2)</f>
        <v>-0.22</v>
      </c>
      <c r="AA17" s="432"/>
      <c r="AB17" s="432"/>
      <c r="AC17" s="435"/>
      <c r="AD17" s="435"/>
      <c r="AE17" s="435"/>
      <c r="AF17" s="435"/>
      <c r="AG17" s="484" t="s">
        <v>1085</v>
      </c>
      <c r="AH17" s="484">
        <v>2</v>
      </c>
      <c r="AI17" s="435"/>
      <c r="AJ17" s="502" t="s">
        <v>1086</v>
      </c>
      <c r="AK17" s="533"/>
      <c r="AL17" s="431"/>
      <c r="AM17" s="435"/>
      <c r="AN17" s="435"/>
      <c r="AO17" s="435"/>
      <c r="AP17" s="487" t="b">
        <v>1</v>
      </c>
      <c r="AQ17" s="518" t="str">
        <f t="shared" si="19"/>
        <v>9M</v>
      </c>
      <c r="AR17" s="474">
        <f t="shared" si="10"/>
        <v>9</v>
      </c>
      <c r="AS17" s="475" t="s">
        <v>76</v>
      </c>
      <c r="AT17" s="470">
        <f t="shared" si="20"/>
        <v>-0.35124038200000002</v>
      </c>
      <c r="AU17" s="471"/>
      <c r="AV17" s="472"/>
      <c r="AW17" s="473">
        <f t="shared" si="11"/>
        <v>-0.35124038200000002</v>
      </c>
      <c r="AX17" s="474">
        <f t="shared" si="17"/>
        <v>15</v>
      </c>
      <c r="AY17" s="475">
        <f t="shared" si="12"/>
        <v>15</v>
      </c>
      <c r="AZ17" s="474">
        <f t="shared" si="18"/>
        <v>15</v>
      </c>
      <c r="BA17" s="475">
        <f t="shared" si="13"/>
        <v>15</v>
      </c>
      <c r="BB17" s="474">
        <f t="shared" si="14"/>
        <v>9</v>
      </c>
      <c r="BC17" s="434" t="str">
        <f t="shared" si="15"/>
        <v>m</v>
      </c>
      <c r="BD17" s="473">
        <f t="shared" si="16"/>
        <v>-0.35124038200000002</v>
      </c>
      <c r="BE17" s="432"/>
      <c r="BF17" s="489" t="str">
        <v>-</v>
      </c>
      <c r="BG17" s="479" t="str">
        <v>-</v>
      </c>
      <c r="BH17" s="435"/>
      <c r="BI17" s="519" t="s">
        <v>1080</v>
      </c>
      <c r="BJ17" s="482">
        <f>_xll.RtGet($BN$7,$BN$8&amp;BI17&amp;$BN$9,$BJ$7)</f>
        <v>-0.35301585900000004</v>
      </c>
      <c r="BK17" s="483">
        <f>_xll.RtGet($BN$7,$BN$8&amp;BI17&amp;$BN$9,$BK$7)</f>
        <v>-0.35301585900000004</v>
      </c>
      <c r="BL17" s="435"/>
      <c r="BM17" s="435"/>
      <c r="BN17" s="435"/>
      <c r="BO17" s="430"/>
      <c r="BP17" s="655"/>
      <c r="BQ17" s="656"/>
      <c r="BR17" s="656"/>
      <c r="BS17" s="656"/>
      <c r="BT17" s="656"/>
      <c r="BU17" s="656"/>
      <c r="BV17" s="656"/>
      <c r="BW17" s="656"/>
      <c r="BX17" s="656"/>
      <c r="BY17" s="656"/>
      <c r="BZ17" s="656"/>
      <c r="CA17" s="656"/>
      <c r="CB17" s="656"/>
      <c r="CC17" s="656"/>
      <c r="CD17" s="656"/>
      <c r="CE17" s="656"/>
      <c r="CF17" s="656"/>
      <c r="CG17" s="656"/>
      <c r="CH17" s="656"/>
      <c r="CI17" s="656"/>
      <c r="CJ17" s="656"/>
      <c r="CK17" s="656"/>
      <c r="CL17" s="656"/>
      <c r="CM17" s="656"/>
      <c r="CN17" s="656"/>
      <c r="CO17" s="656"/>
      <c r="CP17" s="656"/>
      <c r="CQ17" s="656"/>
      <c r="CR17" s="656"/>
      <c r="CS17" s="656"/>
      <c r="CT17" s="656"/>
      <c r="CU17" s="656"/>
      <c r="CV17" s="656"/>
      <c r="CW17" s="656"/>
      <c r="CX17" s="656"/>
      <c r="CY17" s="656"/>
      <c r="CZ17" s="656"/>
      <c r="DA17" s="656"/>
      <c r="DB17" s="656"/>
      <c r="DC17" s="656"/>
      <c r="DD17" s="656"/>
      <c r="DE17" s="656"/>
      <c r="DF17" s="656"/>
      <c r="DG17" s="656"/>
      <c r="DH17" s="656"/>
      <c r="DI17" s="656"/>
      <c r="DJ17" s="656"/>
      <c r="DK17" s="656"/>
      <c r="DL17" s="656"/>
      <c r="DM17" s="656"/>
      <c r="DN17" s="656"/>
      <c r="DO17" s="656"/>
      <c r="DP17" s="656"/>
      <c r="DQ17" s="656"/>
      <c r="DR17" s="656"/>
      <c r="DS17" s="656"/>
      <c r="DT17" s="656"/>
      <c r="DU17" s="656"/>
      <c r="DV17" s="656"/>
      <c r="DW17" s="656"/>
      <c r="DX17" s="656"/>
      <c r="DY17" s="656"/>
      <c r="DZ17" s="656"/>
    </row>
    <row r="18" spans="1:130">
      <c r="A18" s="437"/>
      <c r="B18" s="435"/>
      <c r="C18" s="435"/>
      <c r="D18" s="435"/>
      <c r="E18" s="487" t="b">
        <v>0</v>
      </c>
      <c r="F18" s="515" t="str">
        <f t="shared" si="0"/>
        <v>10M</v>
      </c>
      <c r="G18" s="434">
        <v>10</v>
      </c>
      <c r="H18" s="434" t="s">
        <v>76</v>
      </c>
      <c r="I18" s="470">
        <f t="shared" si="1"/>
        <v>-0.21</v>
      </c>
      <c r="J18" s="471"/>
      <c r="K18" s="472"/>
      <c r="L18" s="473">
        <f t="shared" si="3"/>
        <v>-0.21</v>
      </c>
      <c r="M18" s="474">
        <f t="shared" si="4"/>
        <v>16</v>
      </c>
      <c r="N18" s="475" t="str">
        <f t="shared" si="2"/>
        <v/>
      </c>
      <c r="O18" s="474" t="str">
        <f t="shared" si="5"/>
        <v/>
      </c>
      <c r="P18" s="475" t="str">
        <f t="shared" si="6"/>
        <v/>
      </c>
      <c r="Q18" s="474" t="str">
        <f t="shared" si="7"/>
        <v/>
      </c>
      <c r="R18" s="434" t="str">
        <f t="shared" si="8"/>
        <v/>
      </c>
      <c r="S18" s="473" t="str">
        <f t="shared" si="9"/>
        <v/>
      </c>
      <c r="T18" s="432"/>
      <c r="U18" s="478">
        <v>43453</v>
      </c>
      <c r="V18" s="479">
        <v>1.0022196588165131</v>
      </c>
      <c r="W18" s="435"/>
      <c r="X18" s="481" t="s">
        <v>1087</v>
      </c>
      <c r="Y18" s="482">
        <f>_xll.RtGet($AE$3,$AE$4&amp;$X18&amp;$AE$5,Y$2)</f>
        <v>-0.21</v>
      </c>
      <c r="Z18" s="483">
        <f>_xll.RtGet($AE$3,$AE$4&amp;$X18&amp;$AE$5,Z$2)</f>
        <v>-0.21</v>
      </c>
      <c r="AA18" s="432"/>
      <c r="AB18" s="432"/>
      <c r="AC18" s="435"/>
      <c r="AD18" s="435"/>
      <c r="AE18" s="435"/>
      <c r="AF18" s="435"/>
      <c r="AG18" s="502" t="s">
        <v>1088</v>
      </c>
      <c r="AH18" s="502">
        <v>3</v>
      </c>
      <c r="AI18" s="435"/>
      <c r="AJ18" s="435"/>
      <c r="AK18" s="533"/>
      <c r="AL18" s="431"/>
      <c r="AM18" s="435"/>
      <c r="AN18" s="435"/>
      <c r="AO18" s="435"/>
      <c r="AP18" s="487" t="b">
        <v>1</v>
      </c>
      <c r="AQ18" s="518" t="str">
        <f t="shared" si="19"/>
        <v>10M</v>
      </c>
      <c r="AR18" s="474">
        <f t="shared" si="10"/>
        <v>10</v>
      </c>
      <c r="AS18" s="475" t="s">
        <v>76</v>
      </c>
      <c r="AT18" s="470">
        <f t="shared" si="20"/>
        <v>-0.34971060300000001</v>
      </c>
      <c r="AU18" s="471"/>
      <c r="AV18" s="472"/>
      <c r="AW18" s="473">
        <f t="shared" si="11"/>
        <v>-0.34971060300000001</v>
      </c>
      <c r="AX18" s="474">
        <f t="shared" si="17"/>
        <v>16</v>
      </c>
      <c r="AY18" s="475">
        <f t="shared" si="12"/>
        <v>16</v>
      </c>
      <c r="AZ18" s="474">
        <f t="shared" si="18"/>
        <v>16</v>
      </c>
      <c r="BA18" s="475">
        <f t="shared" si="13"/>
        <v>16</v>
      </c>
      <c r="BB18" s="474">
        <f t="shared" si="14"/>
        <v>10</v>
      </c>
      <c r="BC18" s="434" t="str">
        <f t="shared" si="15"/>
        <v>m</v>
      </c>
      <c r="BD18" s="473">
        <f t="shared" si="16"/>
        <v>-0.34971060300000001</v>
      </c>
      <c r="BE18" s="432"/>
      <c r="BF18" s="489" t="str">
        <v>-</v>
      </c>
      <c r="BG18" s="479" t="str">
        <v>-</v>
      </c>
      <c r="BH18" s="435"/>
      <c r="BI18" s="519" t="s">
        <v>1082</v>
      </c>
      <c r="BJ18" s="482">
        <f>_xll.RtGet($BN$7,$BN$8&amp;BI18&amp;$BN$9,$BJ$7)</f>
        <v>-0.35209969800000002</v>
      </c>
      <c r="BK18" s="483">
        <f>_xll.RtGet($BN$7,$BN$8&amp;BI18&amp;$BN$9,$BK$7)</f>
        <v>-0.35209969800000002</v>
      </c>
      <c r="BL18" s="435"/>
      <c r="BM18" s="435"/>
      <c r="BN18" s="435"/>
      <c r="BO18" s="430"/>
      <c r="BP18" s="655"/>
      <c r="BQ18" s="656"/>
      <c r="BR18" s="656"/>
      <c r="BS18" s="656"/>
      <c r="BT18" s="656"/>
      <c r="BU18" s="656"/>
      <c r="BV18" s="656"/>
      <c r="BW18" s="656"/>
      <c r="BX18" s="656"/>
      <c r="BY18" s="656"/>
      <c r="BZ18" s="656"/>
      <c r="CA18" s="656"/>
      <c r="CB18" s="656"/>
      <c r="CC18" s="656"/>
      <c r="CD18" s="656"/>
      <c r="CE18" s="656"/>
      <c r="CF18" s="656"/>
      <c r="CG18" s="656"/>
      <c r="CH18" s="656"/>
      <c r="CI18" s="656"/>
      <c r="CJ18" s="656"/>
      <c r="CK18" s="656"/>
      <c r="CL18" s="656"/>
      <c r="CM18" s="656"/>
      <c r="CN18" s="656"/>
      <c r="CO18" s="656"/>
      <c r="CP18" s="656"/>
      <c r="CQ18" s="656"/>
      <c r="CR18" s="656"/>
      <c r="CS18" s="656"/>
      <c r="CT18" s="656"/>
      <c r="CU18" s="656"/>
      <c r="CV18" s="656"/>
      <c r="CW18" s="656"/>
      <c r="CX18" s="656"/>
      <c r="CY18" s="656"/>
      <c r="CZ18" s="656"/>
      <c r="DA18" s="656"/>
      <c r="DB18" s="656"/>
      <c r="DC18" s="656"/>
      <c r="DD18" s="656"/>
      <c r="DE18" s="656"/>
      <c r="DF18" s="656"/>
      <c r="DG18" s="656"/>
      <c r="DH18" s="656"/>
      <c r="DI18" s="656"/>
      <c r="DJ18" s="656"/>
      <c r="DK18" s="656"/>
      <c r="DL18" s="656"/>
      <c r="DM18" s="656"/>
      <c r="DN18" s="656"/>
      <c r="DO18" s="656"/>
      <c r="DP18" s="656"/>
      <c r="DQ18" s="656"/>
      <c r="DR18" s="656"/>
      <c r="DS18" s="656"/>
      <c r="DT18" s="656"/>
      <c r="DU18" s="656"/>
      <c r="DV18" s="656"/>
      <c r="DW18" s="656"/>
      <c r="DX18" s="656"/>
      <c r="DY18" s="656"/>
      <c r="DZ18" s="656"/>
    </row>
    <row r="19" spans="1:130">
      <c r="A19" s="437"/>
      <c r="B19" s="435"/>
      <c r="C19" s="435"/>
      <c r="D19" s="435"/>
      <c r="E19" s="534" t="b">
        <v>0</v>
      </c>
      <c r="F19" s="535" t="str">
        <f t="shared" si="0"/>
        <v>11M</v>
      </c>
      <c r="G19" s="509">
        <v>11</v>
      </c>
      <c r="H19" s="509" t="s">
        <v>76</v>
      </c>
      <c r="I19" s="510">
        <f t="shared" si="1"/>
        <v>-0.2</v>
      </c>
      <c r="J19" s="511"/>
      <c r="K19" s="512"/>
      <c r="L19" s="513">
        <f t="shared" si="3"/>
        <v>-0.2</v>
      </c>
      <c r="M19" s="536">
        <f t="shared" si="4"/>
        <v>17</v>
      </c>
      <c r="N19" s="537" t="str">
        <f t="shared" si="2"/>
        <v/>
      </c>
      <c r="O19" s="536" t="str">
        <f t="shared" si="5"/>
        <v/>
      </c>
      <c r="P19" s="537" t="str">
        <f t="shared" si="6"/>
        <v/>
      </c>
      <c r="Q19" s="536" t="str">
        <f t="shared" si="7"/>
        <v/>
      </c>
      <c r="R19" s="509" t="str">
        <f t="shared" si="8"/>
        <v/>
      </c>
      <c r="S19" s="513" t="str">
        <f t="shared" si="9"/>
        <v/>
      </c>
      <c r="T19" s="432"/>
      <c r="U19" s="478">
        <v>43543</v>
      </c>
      <c r="V19" s="479">
        <v>1.0028787381872659</v>
      </c>
      <c r="W19" s="435"/>
      <c r="X19" s="530" t="s">
        <v>1089</v>
      </c>
      <c r="Y19" s="538">
        <f>_xll.RtGet($AE$3,$AE$4&amp;$X19&amp;$AE$5,Y$2)</f>
        <v>-0.2</v>
      </c>
      <c r="Z19" s="539">
        <f>_xll.RtGet($AE$3,$AE$4&amp;$X19&amp;$AE$5,Z$2)</f>
        <v>-0.2</v>
      </c>
      <c r="AA19" s="432"/>
      <c r="AB19" s="432"/>
      <c r="AC19" s="432"/>
      <c r="AD19" s="432"/>
      <c r="AE19" s="432"/>
      <c r="AF19" s="435"/>
      <c r="AG19" s="435"/>
      <c r="AH19" s="435"/>
      <c r="AI19" s="435"/>
      <c r="AJ19" s="445" t="s">
        <v>1090</v>
      </c>
      <c r="AK19" s="435"/>
      <c r="AL19" s="431"/>
      <c r="AM19" s="435"/>
      <c r="AN19" s="435"/>
      <c r="AO19" s="435"/>
      <c r="AP19" s="487" t="b">
        <v>1</v>
      </c>
      <c r="AQ19" s="518" t="str">
        <f t="shared" si="19"/>
        <v>11M</v>
      </c>
      <c r="AR19" s="474">
        <f t="shared" si="10"/>
        <v>11</v>
      </c>
      <c r="AS19" s="475" t="s">
        <v>76</v>
      </c>
      <c r="AT19" s="470">
        <f t="shared" si="20"/>
        <v>-0.34755831200000004</v>
      </c>
      <c r="AU19" s="471"/>
      <c r="AV19" s="472"/>
      <c r="AW19" s="473">
        <f t="shared" si="11"/>
        <v>-0.34755831200000004</v>
      </c>
      <c r="AX19" s="474">
        <f t="shared" si="17"/>
        <v>17</v>
      </c>
      <c r="AY19" s="475">
        <f t="shared" si="12"/>
        <v>17</v>
      </c>
      <c r="AZ19" s="474">
        <f t="shared" si="18"/>
        <v>17</v>
      </c>
      <c r="BA19" s="475">
        <f t="shared" si="13"/>
        <v>17</v>
      </c>
      <c r="BB19" s="474">
        <f t="shared" si="14"/>
        <v>11</v>
      </c>
      <c r="BC19" s="434" t="str">
        <f t="shared" si="15"/>
        <v>m</v>
      </c>
      <c r="BD19" s="473">
        <f t="shared" si="16"/>
        <v>-0.34755831200000004</v>
      </c>
      <c r="BE19" s="432"/>
      <c r="BF19" s="489" t="str">
        <v>-</v>
      </c>
      <c r="BG19" s="479" t="str">
        <v>-</v>
      </c>
      <c r="BH19" s="435"/>
      <c r="BI19" s="519" t="s">
        <v>83</v>
      </c>
      <c r="BJ19" s="482">
        <f>_xll.RtGet($BN$7,$BN$8&amp;BI19&amp;$BN$9,$BJ$7)</f>
        <v>-0.35124038200000002</v>
      </c>
      <c r="BK19" s="483">
        <f>_xll.RtGet($BN$7,$BN$8&amp;BI19&amp;$BN$9,$BK$7)</f>
        <v>-0.35124038200000002</v>
      </c>
      <c r="BL19" s="432"/>
      <c r="BM19" s="435"/>
      <c r="BN19" s="435"/>
      <c r="BO19" s="430"/>
      <c r="BP19" s="655"/>
      <c r="BQ19" s="656"/>
      <c r="BR19" s="656"/>
      <c r="BS19" s="656"/>
      <c r="BT19" s="656"/>
      <c r="BU19" s="656"/>
      <c r="BV19" s="656"/>
      <c r="BW19" s="656"/>
      <c r="BX19" s="656"/>
      <c r="BY19" s="656"/>
      <c r="BZ19" s="656"/>
      <c r="CA19" s="656"/>
      <c r="CB19" s="656"/>
      <c r="CC19" s="656"/>
      <c r="CD19" s="656"/>
      <c r="CE19" s="656"/>
      <c r="CF19" s="656"/>
      <c r="CG19" s="656"/>
      <c r="CH19" s="656"/>
      <c r="CI19" s="656"/>
      <c r="CJ19" s="656"/>
      <c r="CK19" s="656"/>
      <c r="CL19" s="656"/>
      <c r="CM19" s="656"/>
      <c r="CN19" s="656"/>
      <c r="CO19" s="656"/>
      <c r="CP19" s="656"/>
      <c r="CQ19" s="656"/>
      <c r="CR19" s="656"/>
      <c r="CS19" s="656"/>
      <c r="CT19" s="656"/>
      <c r="CU19" s="656"/>
      <c r="CV19" s="656"/>
      <c r="CW19" s="656"/>
      <c r="CX19" s="656"/>
      <c r="CY19" s="656"/>
      <c r="CZ19" s="656"/>
      <c r="DA19" s="656"/>
      <c r="DB19" s="656"/>
      <c r="DC19" s="656"/>
      <c r="DD19" s="656"/>
      <c r="DE19" s="656"/>
      <c r="DF19" s="656"/>
      <c r="DG19" s="656"/>
      <c r="DH19" s="656"/>
      <c r="DI19" s="656"/>
      <c r="DJ19" s="656"/>
      <c r="DK19" s="656"/>
      <c r="DL19" s="656"/>
      <c r="DM19" s="656"/>
      <c r="DN19" s="656"/>
      <c r="DO19" s="656"/>
      <c r="DP19" s="656"/>
      <c r="DQ19" s="656"/>
      <c r="DR19" s="656"/>
      <c r="DS19" s="656"/>
      <c r="DT19" s="656"/>
      <c r="DU19" s="656"/>
      <c r="DV19" s="656"/>
      <c r="DW19" s="656"/>
      <c r="DX19" s="656"/>
      <c r="DY19" s="656"/>
      <c r="DZ19" s="656"/>
    </row>
    <row r="20" spans="1:130">
      <c r="A20" s="437"/>
      <c r="B20" s="435"/>
      <c r="C20" s="435"/>
      <c r="D20" s="435"/>
      <c r="E20" s="432"/>
      <c r="F20" s="432"/>
      <c r="G20" s="432"/>
      <c r="H20" s="432"/>
      <c r="I20" s="432"/>
      <c r="J20" s="432"/>
      <c r="K20" s="432"/>
      <c r="L20" s="432"/>
      <c r="M20" s="432"/>
      <c r="N20" s="432"/>
      <c r="O20" s="432"/>
      <c r="P20" s="432"/>
      <c r="Q20" s="432"/>
      <c r="R20" s="432"/>
      <c r="S20" s="432"/>
      <c r="T20" s="432"/>
      <c r="U20" s="478">
        <v>43636</v>
      </c>
      <c r="V20" s="479">
        <v>1.0033930108241593</v>
      </c>
      <c r="W20" s="435"/>
      <c r="X20" s="432"/>
      <c r="Y20" s="432"/>
      <c r="Z20" s="432"/>
      <c r="AA20" s="432"/>
      <c r="AB20" s="432"/>
      <c r="AC20" s="432"/>
      <c r="AD20" s="432"/>
      <c r="AE20" s="432"/>
      <c r="AF20" s="435"/>
      <c r="AG20" s="443" t="s">
        <v>1091</v>
      </c>
      <c r="AH20" s="444"/>
      <c r="AI20" s="435"/>
      <c r="AJ20" s="465" t="s">
        <v>1092</v>
      </c>
      <c r="AK20" s="435"/>
      <c r="AL20" s="431"/>
      <c r="AM20" s="435"/>
      <c r="AN20" s="435"/>
      <c r="AO20" s="435"/>
      <c r="AP20" s="487" t="b">
        <v>1</v>
      </c>
      <c r="AQ20" s="540" t="str">
        <f t="shared" si="19"/>
        <v>12M</v>
      </c>
      <c r="AR20" s="474">
        <f t="shared" si="10"/>
        <v>12</v>
      </c>
      <c r="AS20" s="475" t="s">
        <v>76</v>
      </c>
      <c r="AT20" s="470">
        <f t="shared" si="20"/>
        <v>-0.34472308100000004</v>
      </c>
      <c r="AU20" s="471"/>
      <c r="AV20" s="472"/>
      <c r="AW20" s="473">
        <f t="shared" si="11"/>
        <v>-0.34472308100000004</v>
      </c>
      <c r="AX20" s="474">
        <f t="shared" si="17"/>
        <v>18</v>
      </c>
      <c r="AY20" s="475">
        <f t="shared" si="12"/>
        <v>18</v>
      </c>
      <c r="AZ20" s="474">
        <f t="shared" si="18"/>
        <v>18</v>
      </c>
      <c r="BA20" s="475">
        <f t="shared" si="13"/>
        <v>18</v>
      </c>
      <c r="BB20" s="474">
        <f t="shared" si="14"/>
        <v>12</v>
      </c>
      <c r="BC20" s="434" t="str">
        <f t="shared" si="15"/>
        <v>m</v>
      </c>
      <c r="BD20" s="473">
        <f t="shared" si="16"/>
        <v>-0.34472308100000004</v>
      </c>
      <c r="BE20" s="432"/>
      <c r="BF20" s="489" t="str">
        <v>-</v>
      </c>
      <c r="BG20" s="479" t="str">
        <v>-</v>
      </c>
      <c r="BH20" s="435"/>
      <c r="BI20" s="519" t="s">
        <v>1087</v>
      </c>
      <c r="BJ20" s="482">
        <f>_xll.RtGet($BN$7,$BN$8&amp;BI20&amp;$BN$9,$BJ$7)</f>
        <v>-0.34971060300000001</v>
      </c>
      <c r="BK20" s="483">
        <f>_xll.RtGet($BN$7,$BN$8&amp;BI20&amp;$BN$9,$BK$7)</f>
        <v>-0.34971060300000001</v>
      </c>
      <c r="BL20" s="432"/>
      <c r="BM20" s="435"/>
      <c r="BN20" s="435"/>
      <c r="BO20" s="430"/>
      <c r="BP20" s="655"/>
      <c r="BQ20" s="656"/>
      <c r="BR20" s="656"/>
      <c r="BS20" s="656"/>
      <c r="BT20" s="656"/>
      <c r="BU20" s="656"/>
      <c r="BV20" s="656"/>
      <c r="BW20" s="656"/>
      <c r="BX20" s="656"/>
      <c r="BY20" s="656"/>
      <c r="BZ20" s="656"/>
      <c r="CA20" s="656"/>
      <c r="CB20" s="656"/>
      <c r="CC20" s="656"/>
      <c r="CD20" s="656"/>
      <c r="CE20" s="656"/>
      <c r="CF20" s="656"/>
      <c r="CG20" s="656"/>
      <c r="CH20" s="656"/>
      <c r="CI20" s="656"/>
      <c r="CJ20" s="656"/>
      <c r="CK20" s="656"/>
      <c r="CL20" s="656"/>
      <c r="CM20" s="656"/>
      <c r="CN20" s="656"/>
      <c r="CO20" s="656"/>
      <c r="CP20" s="656"/>
      <c r="CQ20" s="656"/>
      <c r="CR20" s="656"/>
      <c r="CS20" s="656"/>
      <c r="CT20" s="656"/>
      <c r="CU20" s="656"/>
      <c r="CV20" s="656"/>
      <c r="CW20" s="656"/>
      <c r="CX20" s="656"/>
      <c r="CY20" s="656"/>
      <c r="CZ20" s="656"/>
      <c r="DA20" s="656"/>
      <c r="DB20" s="656"/>
      <c r="DC20" s="656"/>
      <c r="DD20" s="656"/>
      <c r="DE20" s="656"/>
      <c r="DF20" s="656"/>
      <c r="DG20" s="656"/>
      <c r="DH20" s="656"/>
      <c r="DI20" s="656"/>
      <c r="DJ20" s="656"/>
      <c r="DK20" s="656"/>
      <c r="DL20" s="656"/>
      <c r="DM20" s="656"/>
      <c r="DN20" s="656"/>
      <c r="DO20" s="656"/>
      <c r="DP20" s="656"/>
      <c r="DQ20" s="656"/>
      <c r="DR20" s="656"/>
      <c r="DS20" s="656"/>
      <c r="DT20" s="656"/>
      <c r="DU20" s="656"/>
      <c r="DV20" s="656"/>
      <c r="DW20" s="656"/>
      <c r="DX20" s="656"/>
      <c r="DY20" s="656"/>
      <c r="DZ20" s="656"/>
    </row>
    <row r="21" spans="1:130">
      <c r="A21" s="437"/>
      <c r="B21" s="435"/>
      <c r="C21" s="435"/>
      <c r="D21" s="435"/>
      <c r="E21" s="438" t="s">
        <v>1023</v>
      </c>
      <c r="F21" s="432"/>
      <c r="G21" s="432"/>
      <c r="H21" s="432"/>
      <c r="I21" s="438" t="s">
        <v>1024</v>
      </c>
      <c r="J21" s="438" t="s">
        <v>1025</v>
      </c>
      <c r="K21" s="438" t="s">
        <v>1026</v>
      </c>
      <c r="L21" s="438" t="s">
        <v>1027</v>
      </c>
      <c r="M21" s="435"/>
      <c r="N21" s="435"/>
      <c r="O21" s="435"/>
      <c r="P21" s="435"/>
      <c r="Q21" s="435"/>
      <c r="R21" s="435"/>
      <c r="S21" s="435"/>
      <c r="T21" s="432"/>
      <c r="U21" s="478">
        <v>43727</v>
      </c>
      <c r="V21" s="479">
        <v>1.0036539738073751</v>
      </c>
      <c r="W21" s="435"/>
      <c r="X21" s="541" t="s">
        <v>1093</v>
      </c>
      <c r="Y21" s="542" t="s">
        <v>16</v>
      </c>
      <c r="Z21" s="543" t="s">
        <v>17</v>
      </c>
      <c r="AA21" s="432"/>
      <c r="AB21" s="432"/>
      <c r="AC21" s="432"/>
      <c r="AD21" s="449" t="s">
        <v>1032</v>
      </c>
      <c r="AE21" s="450" t="s">
        <v>1033</v>
      </c>
      <c r="AF21" s="435"/>
      <c r="AG21" s="465" t="s">
        <v>1094</v>
      </c>
      <c r="AH21" s="465">
        <v>0</v>
      </c>
      <c r="AI21" s="435"/>
      <c r="AJ21" s="484" t="s">
        <v>1095</v>
      </c>
      <c r="AK21" s="435"/>
      <c r="AL21" s="431"/>
      <c r="AM21" s="544"/>
      <c r="AN21" s="435"/>
      <c r="AO21" s="435"/>
      <c r="AP21" s="487" t="b">
        <v>1</v>
      </c>
      <c r="AQ21" s="518" t="str">
        <f t="shared" si="19"/>
        <v>13M</v>
      </c>
      <c r="AR21" s="474">
        <f t="shared" si="10"/>
        <v>13</v>
      </c>
      <c r="AS21" s="475" t="s">
        <v>1096</v>
      </c>
      <c r="AT21" s="470">
        <f t="shared" si="20"/>
        <v>-0.34077067999999999</v>
      </c>
      <c r="AU21" s="471"/>
      <c r="AV21" s="472"/>
      <c r="AW21" s="473">
        <f t="shared" si="11"/>
        <v>-0.34077067999999999</v>
      </c>
      <c r="AX21" s="474">
        <f t="shared" si="17"/>
        <v>19</v>
      </c>
      <c r="AY21" s="475">
        <f t="shared" si="12"/>
        <v>19</v>
      </c>
      <c r="AZ21" s="474">
        <f t="shared" si="18"/>
        <v>19</v>
      </c>
      <c r="BA21" s="475">
        <f t="shared" si="13"/>
        <v>19</v>
      </c>
      <c r="BB21" s="474">
        <f t="shared" si="14"/>
        <v>13</v>
      </c>
      <c r="BC21" s="434" t="str">
        <f t="shared" si="15"/>
        <v>e</v>
      </c>
      <c r="BD21" s="473">
        <f t="shared" si="16"/>
        <v>-0.34077067999999999</v>
      </c>
      <c r="BE21" s="432"/>
      <c r="BF21" s="489" t="str">
        <v>-</v>
      </c>
      <c r="BG21" s="479" t="str">
        <v>-</v>
      </c>
      <c r="BH21" s="435"/>
      <c r="BI21" s="519" t="s">
        <v>1089</v>
      </c>
      <c r="BJ21" s="482">
        <f>_xll.RtGet($BN$7,$BN$8&amp;BI21&amp;$BN$9,$BJ$7)</f>
        <v>-0.34755831200000004</v>
      </c>
      <c r="BK21" s="483">
        <f>_xll.RtGet($BN$7,$BN$8&amp;BI21&amp;$BN$9,$BK$7)</f>
        <v>-0.34755831200000004</v>
      </c>
      <c r="BL21" s="432"/>
      <c r="BM21" s="435"/>
      <c r="BN21" s="435"/>
      <c r="BO21" s="430"/>
      <c r="BP21" s="655"/>
      <c r="BQ21" s="656"/>
      <c r="BR21" s="656"/>
      <c r="BS21" s="656"/>
      <c r="BT21" s="656"/>
      <c r="BU21" s="656"/>
      <c r="BV21" s="656"/>
      <c r="BW21" s="656"/>
      <c r="BX21" s="656"/>
      <c r="BY21" s="656"/>
      <c r="BZ21" s="656"/>
      <c r="CA21" s="656"/>
      <c r="CB21" s="656"/>
      <c r="CC21" s="656"/>
      <c r="CD21" s="656"/>
      <c r="CE21" s="656"/>
      <c r="CF21" s="656"/>
      <c r="CG21" s="656"/>
      <c r="CH21" s="656"/>
      <c r="CI21" s="656"/>
      <c r="CJ21" s="656"/>
      <c r="CK21" s="656"/>
      <c r="CL21" s="656"/>
      <c r="CM21" s="656"/>
      <c r="CN21" s="656"/>
      <c r="CO21" s="656"/>
      <c r="CP21" s="656"/>
      <c r="CQ21" s="656"/>
      <c r="CR21" s="656"/>
      <c r="CS21" s="656"/>
      <c r="CT21" s="656"/>
      <c r="CU21" s="656"/>
      <c r="CV21" s="656"/>
      <c r="CW21" s="656"/>
      <c r="CX21" s="656"/>
      <c r="CY21" s="656"/>
      <c r="CZ21" s="656"/>
      <c r="DA21" s="656"/>
      <c r="DB21" s="656"/>
      <c r="DC21" s="656"/>
      <c r="DD21" s="656"/>
      <c r="DE21" s="656"/>
      <c r="DF21" s="656"/>
      <c r="DG21" s="656"/>
      <c r="DH21" s="656"/>
      <c r="DI21" s="656"/>
      <c r="DJ21" s="656"/>
      <c r="DK21" s="656"/>
      <c r="DL21" s="656"/>
      <c r="DM21" s="656"/>
      <c r="DN21" s="656"/>
      <c r="DO21" s="656"/>
      <c r="DP21" s="656"/>
      <c r="DQ21" s="656"/>
      <c r="DR21" s="656"/>
      <c r="DS21" s="656"/>
      <c r="DT21" s="656"/>
      <c r="DU21" s="656"/>
      <c r="DV21" s="656"/>
      <c r="DW21" s="656"/>
      <c r="DX21" s="656"/>
      <c r="DY21" s="656"/>
      <c r="DZ21" s="656"/>
    </row>
    <row r="22" spans="1:130">
      <c r="A22" s="437"/>
      <c r="B22" s="435"/>
      <c r="C22" s="435"/>
      <c r="D22" s="435"/>
      <c r="E22" s="499" t="b">
        <v>1</v>
      </c>
      <c r="F22" s="545" t="str">
        <f>X22</f>
        <v>STUB</v>
      </c>
      <c r="G22" s="435"/>
      <c r="H22" s="435"/>
      <c r="I22" s="455">
        <f>AVERAGE(Y22:Z22)</f>
        <v>-0.26066666700000002</v>
      </c>
      <c r="J22" s="546"/>
      <c r="K22" s="457"/>
      <c r="L22" s="546">
        <f>IF(ISNUMBER(J22),J22,I22)+K22</f>
        <v>-0.26066666700000002</v>
      </c>
      <c r="M22" s="435"/>
      <c r="N22" s="435"/>
      <c r="O22" s="435"/>
      <c r="P22" s="435"/>
      <c r="Q22" s="435"/>
      <c r="R22" s="435"/>
      <c r="S22" s="435"/>
      <c r="T22" s="432"/>
      <c r="U22" s="478">
        <v>43817</v>
      </c>
      <c r="V22" s="479">
        <v>1.0036109399490043</v>
      </c>
      <c r="W22" s="435"/>
      <c r="X22" s="547" t="s">
        <v>1093</v>
      </c>
      <c r="Y22" s="548">
        <f>_xll.RtGet($AE$21,$AE$22&amp;$X22&amp;$AE$23,Y$21)</f>
        <v>-0.27066666700000003</v>
      </c>
      <c r="Z22" s="464">
        <f>_xll.RtGet($AE$21,$AE$22&amp;$X22&amp;$AE$23,Z$21)</f>
        <v>-0.25066666700000001</v>
      </c>
      <c r="AA22" s="432"/>
      <c r="AB22" s="432"/>
      <c r="AC22" s="432"/>
      <c r="AD22" s="467" t="s">
        <v>1038</v>
      </c>
      <c r="AE22" s="468" t="s">
        <v>1042</v>
      </c>
      <c r="AF22" s="435"/>
      <c r="AG22" s="484" t="s">
        <v>1097</v>
      </c>
      <c r="AH22" s="484">
        <v>1</v>
      </c>
      <c r="AI22" s="435"/>
      <c r="AJ22" s="502" t="s">
        <v>103</v>
      </c>
      <c r="AK22" s="435"/>
      <c r="AL22" s="431"/>
      <c r="AM22" s="549"/>
      <c r="AN22" s="435"/>
      <c r="AO22" s="435"/>
      <c r="AP22" s="487" t="b">
        <v>1</v>
      </c>
      <c r="AQ22" s="518" t="str">
        <f t="shared" si="19"/>
        <v>14M</v>
      </c>
      <c r="AR22" s="474">
        <f t="shared" si="10"/>
        <v>14</v>
      </c>
      <c r="AS22" s="475" t="s">
        <v>1096</v>
      </c>
      <c r="AT22" s="470">
        <f t="shared" si="20"/>
        <v>-0.33580859700000004</v>
      </c>
      <c r="AU22" s="471"/>
      <c r="AV22" s="472"/>
      <c r="AW22" s="473">
        <f t="shared" si="11"/>
        <v>-0.33580859700000004</v>
      </c>
      <c r="AX22" s="474">
        <f t="shared" si="17"/>
        <v>20</v>
      </c>
      <c r="AY22" s="475">
        <f t="shared" si="12"/>
        <v>20</v>
      </c>
      <c r="AZ22" s="474">
        <f t="shared" si="18"/>
        <v>20</v>
      </c>
      <c r="BA22" s="475">
        <f t="shared" si="13"/>
        <v>20</v>
      </c>
      <c r="BB22" s="474">
        <f t="shared" si="14"/>
        <v>14</v>
      </c>
      <c r="BC22" s="434" t="str">
        <f t="shared" si="15"/>
        <v>e</v>
      </c>
      <c r="BD22" s="473">
        <f t="shared" si="16"/>
        <v>-0.33580859700000004</v>
      </c>
      <c r="BE22" s="432"/>
      <c r="BF22" s="489" t="str">
        <v>-</v>
      </c>
      <c r="BG22" s="479" t="str">
        <v>-</v>
      </c>
      <c r="BH22" s="435"/>
      <c r="BI22" s="519" t="s">
        <v>1098</v>
      </c>
      <c r="BJ22" s="482">
        <f>_xll.RtGet($BN$7,$BN$8&amp;BI22&amp;$BN$9,$BJ$7)</f>
        <v>-0.34472308100000004</v>
      </c>
      <c r="BK22" s="483">
        <f>_xll.RtGet($BN$7,$BN$8&amp;BI22&amp;$BN$9,$BK$7)</f>
        <v>-0.34472308100000004</v>
      </c>
      <c r="BL22" s="432"/>
      <c r="BM22" s="435"/>
      <c r="BN22" s="435"/>
      <c r="BO22" s="430"/>
      <c r="BP22" s="655"/>
      <c r="BQ22" s="656"/>
      <c r="BR22" s="656"/>
      <c r="BS22" s="656"/>
      <c r="BT22" s="656"/>
      <c r="BU22" s="656"/>
      <c r="BV22" s="656"/>
      <c r="BW22" s="656"/>
      <c r="BX22" s="656"/>
      <c r="BY22" s="656"/>
      <c r="BZ22" s="656"/>
      <c r="CA22" s="656"/>
      <c r="CB22" s="656"/>
      <c r="CC22" s="656"/>
      <c r="CD22" s="656"/>
      <c r="CE22" s="656"/>
      <c r="CF22" s="656"/>
      <c r="CG22" s="656"/>
      <c r="CH22" s="656"/>
      <c r="CI22" s="656"/>
      <c r="CJ22" s="656"/>
      <c r="CK22" s="656"/>
      <c r="CL22" s="656"/>
      <c r="CM22" s="656"/>
      <c r="CN22" s="656"/>
      <c r="CO22" s="656"/>
      <c r="CP22" s="656"/>
      <c r="CQ22" s="656"/>
      <c r="CR22" s="656"/>
      <c r="CS22" s="656"/>
      <c r="CT22" s="656"/>
      <c r="CU22" s="656"/>
      <c r="CV22" s="656"/>
      <c r="CW22" s="656"/>
      <c r="CX22" s="656"/>
      <c r="CY22" s="656"/>
      <c r="CZ22" s="656"/>
      <c r="DA22" s="656"/>
      <c r="DB22" s="656"/>
      <c r="DC22" s="656"/>
      <c r="DD22" s="656"/>
      <c r="DE22" s="656"/>
      <c r="DF22" s="656"/>
      <c r="DG22" s="656"/>
      <c r="DH22" s="656"/>
      <c r="DI22" s="656"/>
      <c r="DJ22" s="656"/>
      <c r="DK22" s="656"/>
      <c r="DL22" s="656"/>
      <c r="DM22" s="656"/>
      <c r="DN22" s="656"/>
      <c r="DO22" s="656"/>
      <c r="DP22" s="656"/>
      <c r="DQ22" s="656"/>
      <c r="DR22" s="656"/>
      <c r="DS22" s="656"/>
      <c r="DT22" s="656"/>
      <c r="DU22" s="656"/>
      <c r="DV22" s="656"/>
      <c r="DW22" s="656"/>
      <c r="DX22" s="656"/>
      <c r="DY22" s="656"/>
      <c r="DZ22" s="656"/>
    </row>
    <row r="23" spans="1:130">
      <c r="A23" s="437"/>
      <c r="B23" s="435"/>
      <c r="C23" s="435"/>
      <c r="D23" s="435"/>
      <c r="E23" s="550" t="b">
        <v>1</v>
      </c>
      <c r="F23" s="551" t="s">
        <v>1099</v>
      </c>
      <c r="G23" s="435"/>
      <c r="H23" s="435"/>
      <c r="I23" s="510">
        <f>Y26</f>
        <v>-0.27</v>
      </c>
      <c r="J23" s="552"/>
      <c r="K23" s="512"/>
      <c r="L23" s="552">
        <f>IF(ISNUMBER(J23),J23,I23)+K23</f>
        <v>-0.27</v>
      </c>
      <c r="M23" s="435"/>
      <c r="N23" s="435"/>
      <c r="O23" s="435"/>
      <c r="P23" s="435"/>
      <c r="Q23" s="435"/>
      <c r="R23" s="435"/>
      <c r="S23" s="435"/>
      <c r="T23" s="432"/>
      <c r="U23" s="478">
        <v>43908</v>
      </c>
      <c r="V23" s="479">
        <v>1.0032799829646237</v>
      </c>
      <c r="W23" s="435"/>
      <c r="X23" s="553" t="s">
        <v>1100</v>
      </c>
      <c r="Y23" s="1013">
        <f>_xll.RtGet($AE$21,$AE$22&amp;$X22&amp;$AE$23,$X$23)</f>
        <v>43362</v>
      </c>
      <c r="Z23" s="1014"/>
      <c r="AA23" s="432"/>
      <c r="AB23" s="432"/>
      <c r="AC23" s="432"/>
      <c r="AD23" s="520" t="s">
        <v>1047</v>
      </c>
      <c r="AE23" s="521" t="s">
        <v>1050</v>
      </c>
      <c r="AF23" s="435"/>
      <c r="AG23" s="502" t="s">
        <v>1101</v>
      </c>
      <c r="AH23" s="502">
        <v>2</v>
      </c>
      <c r="AI23" s="435"/>
      <c r="AJ23" s="435"/>
      <c r="AK23" s="435"/>
      <c r="AL23" s="431"/>
      <c r="AM23" s="435"/>
      <c r="AN23" s="435"/>
      <c r="AO23" s="435"/>
      <c r="AP23" s="487" t="b">
        <v>1</v>
      </c>
      <c r="AQ23" s="518" t="str">
        <f t="shared" si="19"/>
        <v>15M</v>
      </c>
      <c r="AR23" s="474">
        <f t="shared" si="10"/>
        <v>15</v>
      </c>
      <c r="AS23" s="475" t="s">
        <v>1096</v>
      </c>
      <c r="AT23" s="470">
        <f t="shared" si="20"/>
        <v>-0.33</v>
      </c>
      <c r="AU23" s="471"/>
      <c r="AV23" s="472"/>
      <c r="AW23" s="473">
        <f t="shared" si="11"/>
        <v>-0.33</v>
      </c>
      <c r="AX23" s="474">
        <f t="shared" si="17"/>
        <v>21</v>
      </c>
      <c r="AY23" s="475">
        <f t="shared" si="12"/>
        <v>21</v>
      </c>
      <c r="AZ23" s="474">
        <f t="shared" si="18"/>
        <v>21</v>
      </c>
      <c r="BA23" s="475">
        <f t="shared" si="13"/>
        <v>21</v>
      </c>
      <c r="BB23" s="474">
        <f t="shared" si="14"/>
        <v>15</v>
      </c>
      <c r="BC23" s="434" t="str">
        <f t="shared" si="15"/>
        <v>e</v>
      </c>
      <c r="BD23" s="473">
        <f t="shared" si="16"/>
        <v>-0.33</v>
      </c>
      <c r="BE23" s="432"/>
      <c r="BF23" s="489" t="str">
        <v>-</v>
      </c>
      <c r="BG23" s="479" t="str">
        <v>-</v>
      </c>
      <c r="BH23" s="435"/>
      <c r="BI23" s="519" t="s">
        <v>1102</v>
      </c>
      <c r="BJ23" s="482">
        <f>_xll.RtGet($BN$7,$BN$8&amp;BI23&amp;$BN$9,$BJ$7)</f>
        <v>-0.34077067999999999</v>
      </c>
      <c r="BK23" s="483">
        <f>_xll.RtGet($BN$7,$BN$8&amp;BI23&amp;$BN$9,$BK$7)</f>
        <v>-0.34077067999999999</v>
      </c>
      <c r="BL23" s="432"/>
      <c r="BM23" s="435"/>
      <c r="BN23" s="435"/>
      <c r="BO23" s="430"/>
      <c r="BP23" s="655"/>
      <c r="BQ23" s="656"/>
      <c r="BR23" s="656"/>
      <c r="BS23" s="656"/>
      <c r="BT23" s="656"/>
      <c r="BU23" s="656"/>
      <c r="BV23" s="656"/>
      <c r="BW23" s="656"/>
      <c r="BX23" s="656"/>
      <c r="BY23" s="656"/>
      <c r="BZ23" s="656"/>
      <c r="CA23" s="656"/>
      <c r="CB23" s="656"/>
      <c r="CC23" s="656"/>
      <c r="CD23" s="656"/>
      <c r="CE23" s="656"/>
      <c r="CF23" s="656"/>
      <c r="CG23" s="656"/>
      <c r="CH23" s="656"/>
      <c r="CI23" s="656"/>
      <c r="CJ23" s="656"/>
      <c r="CK23" s="656"/>
      <c r="CL23" s="656"/>
      <c r="CM23" s="656"/>
      <c r="CN23" s="656"/>
      <c r="CO23" s="656"/>
      <c r="CP23" s="656"/>
      <c r="CQ23" s="656"/>
      <c r="CR23" s="656"/>
      <c r="CS23" s="656"/>
      <c r="CT23" s="656"/>
      <c r="CU23" s="656"/>
      <c r="CV23" s="656"/>
      <c r="CW23" s="656"/>
      <c r="CX23" s="656"/>
      <c r="CY23" s="656"/>
      <c r="CZ23" s="656"/>
      <c r="DA23" s="656"/>
      <c r="DB23" s="656"/>
      <c r="DC23" s="656"/>
      <c r="DD23" s="656"/>
      <c r="DE23" s="656"/>
      <c r="DF23" s="656"/>
      <c r="DG23" s="656"/>
      <c r="DH23" s="656"/>
      <c r="DI23" s="656"/>
      <c r="DJ23" s="656"/>
      <c r="DK23" s="656"/>
      <c r="DL23" s="656"/>
      <c r="DM23" s="656"/>
      <c r="DN23" s="656"/>
      <c r="DO23" s="656"/>
      <c r="DP23" s="656"/>
      <c r="DQ23" s="656"/>
      <c r="DR23" s="656"/>
      <c r="DS23" s="656"/>
      <c r="DT23" s="656"/>
      <c r="DU23" s="656"/>
      <c r="DV23" s="656"/>
      <c r="DW23" s="656"/>
      <c r="DX23" s="656"/>
      <c r="DY23" s="656"/>
      <c r="DZ23" s="656"/>
    </row>
    <row r="24" spans="1:130">
      <c r="A24" s="437"/>
      <c r="B24" s="435"/>
      <c r="C24" s="435"/>
      <c r="D24" s="435"/>
      <c r="E24" s="435"/>
      <c r="F24" s="435"/>
      <c r="G24" s="435"/>
      <c r="H24" s="435"/>
      <c r="I24" s="435"/>
      <c r="J24" s="435"/>
      <c r="K24" s="435"/>
      <c r="L24" s="435"/>
      <c r="M24" s="435"/>
      <c r="N24" s="435"/>
      <c r="O24" s="435"/>
      <c r="P24" s="435"/>
      <c r="Q24" s="435"/>
      <c r="R24" s="435"/>
      <c r="S24" s="435"/>
      <c r="T24" s="432"/>
      <c r="U24" s="478">
        <v>44260</v>
      </c>
      <c r="V24" s="479">
        <v>0.99772926238030724</v>
      </c>
      <c r="W24" s="435"/>
      <c r="X24" s="434"/>
      <c r="Y24" s="434"/>
      <c r="Z24" s="434"/>
      <c r="AA24" s="432"/>
      <c r="AB24" s="432"/>
      <c r="AC24" s="435"/>
      <c r="AD24" s="435"/>
      <c r="AE24" s="435"/>
      <c r="AF24" s="435"/>
      <c r="AG24" s="435"/>
      <c r="AH24" s="435"/>
      <c r="AI24" s="435"/>
      <c r="AJ24" s="445" t="s">
        <v>1103</v>
      </c>
      <c r="AK24" s="435"/>
      <c r="AL24" s="431"/>
      <c r="AM24" s="435"/>
      <c r="AN24" s="435"/>
      <c r="AO24" s="435"/>
      <c r="AP24" s="487" t="b">
        <v>1</v>
      </c>
      <c r="AQ24" s="518" t="str">
        <f t="shared" si="19"/>
        <v>16M</v>
      </c>
      <c r="AR24" s="474">
        <f t="shared" si="10"/>
        <v>16</v>
      </c>
      <c r="AS24" s="475" t="s">
        <v>1096</v>
      </c>
      <c r="AT24" s="470">
        <f t="shared" si="20"/>
        <v>-0.32318141500000003</v>
      </c>
      <c r="AU24" s="471"/>
      <c r="AV24" s="472"/>
      <c r="AW24" s="473">
        <f t="shared" si="11"/>
        <v>-0.32318141500000003</v>
      </c>
      <c r="AX24" s="474">
        <f t="shared" si="17"/>
        <v>22</v>
      </c>
      <c r="AY24" s="475">
        <f t="shared" si="12"/>
        <v>22</v>
      </c>
      <c r="AZ24" s="474">
        <f t="shared" si="18"/>
        <v>22</v>
      </c>
      <c r="BA24" s="475">
        <f t="shared" si="13"/>
        <v>22</v>
      </c>
      <c r="BB24" s="474">
        <f t="shared" si="14"/>
        <v>16</v>
      </c>
      <c r="BC24" s="434" t="str">
        <f t="shared" si="15"/>
        <v>e</v>
      </c>
      <c r="BD24" s="473">
        <f t="shared" si="16"/>
        <v>-0.32318141500000003</v>
      </c>
      <c r="BE24" s="432"/>
      <c r="BF24" s="489" t="str">
        <v>-</v>
      </c>
      <c r="BG24" s="479" t="str">
        <v>-</v>
      </c>
      <c r="BH24" s="435"/>
      <c r="BI24" s="519" t="s">
        <v>1104</v>
      </c>
      <c r="BJ24" s="482">
        <f>_xll.RtGet($BN$7,$BN$8&amp;BI24&amp;$BN$9,$BJ$7)</f>
        <v>-0.33580859700000004</v>
      </c>
      <c r="BK24" s="483">
        <f>_xll.RtGet($BN$7,$BN$8&amp;BI24&amp;$BN$9,$BK$7)</f>
        <v>-0.33580859700000004</v>
      </c>
      <c r="BL24" s="435"/>
      <c r="BM24" s="435"/>
      <c r="BN24" s="435"/>
      <c r="BO24" s="430"/>
      <c r="BP24" s="655"/>
      <c r="BQ24" s="656"/>
      <c r="BR24" s="656"/>
      <c r="BS24" s="656"/>
      <c r="BT24" s="656"/>
      <c r="BU24" s="656"/>
      <c r="BV24" s="656"/>
      <c r="BW24" s="656"/>
      <c r="BX24" s="656"/>
      <c r="BY24" s="656"/>
      <c r="BZ24" s="656"/>
      <c r="CA24" s="656"/>
      <c r="CB24" s="656"/>
      <c r="CC24" s="656"/>
      <c r="CD24" s="656"/>
      <c r="CE24" s="656"/>
      <c r="CF24" s="656"/>
      <c r="CG24" s="656"/>
      <c r="CH24" s="656"/>
      <c r="CI24" s="656"/>
      <c r="CJ24" s="656"/>
      <c r="CK24" s="656"/>
      <c r="CL24" s="656"/>
      <c r="CM24" s="656"/>
      <c r="CN24" s="656"/>
      <c r="CO24" s="656"/>
      <c r="CP24" s="656"/>
      <c r="CQ24" s="656"/>
      <c r="CR24" s="656"/>
      <c r="CS24" s="656"/>
      <c r="CT24" s="656"/>
      <c r="CU24" s="656"/>
      <c r="CV24" s="656"/>
      <c r="CW24" s="656"/>
      <c r="CX24" s="656"/>
      <c r="CY24" s="656"/>
      <c r="CZ24" s="656"/>
      <c r="DA24" s="656"/>
      <c r="DB24" s="656"/>
      <c r="DC24" s="656"/>
      <c r="DD24" s="656"/>
      <c r="DE24" s="656"/>
      <c r="DF24" s="656"/>
      <c r="DG24" s="656"/>
      <c r="DH24" s="656"/>
      <c r="DI24" s="656"/>
      <c r="DJ24" s="656"/>
      <c r="DK24" s="656"/>
      <c r="DL24" s="656"/>
      <c r="DM24" s="656"/>
      <c r="DN24" s="656"/>
      <c r="DO24" s="656"/>
      <c r="DP24" s="656"/>
      <c r="DQ24" s="656"/>
      <c r="DR24" s="656"/>
      <c r="DS24" s="656"/>
      <c r="DT24" s="656"/>
      <c r="DU24" s="656"/>
      <c r="DV24" s="656"/>
      <c r="DW24" s="656"/>
      <c r="DX24" s="656"/>
      <c r="DY24" s="656"/>
      <c r="DZ24" s="656"/>
    </row>
    <row r="25" spans="1:130">
      <c r="A25" s="437"/>
      <c r="B25" s="1009" t="s">
        <v>65</v>
      </c>
      <c r="C25" s="1010"/>
      <c r="D25" s="432"/>
      <c r="E25" s="554" t="s">
        <v>1023</v>
      </c>
      <c r="F25" s="555"/>
      <c r="G25" s="439" t="s">
        <v>1105</v>
      </c>
      <c r="H25" s="432"/>
      <c r="I25" s="554" t="s">
        <v>1024</v>
      </c>
      <c r="J25" s="554" t="s">
        <v>1025</v>
      </c>
      <c r="K25" s="554" t="s">
        <v>1026</v>
      </c>
      <c r="L25" s="554" t="s">
        <v>1027</v>
      </c>
      <c r="M25" s="432"/>
      <c r="N25" s="434"/>
      <c r="O25" s="432"/>
      <c r="P25" s="434"/>
      <c r="Q25" s="432"/>
      <c r="R25" s="432"/>
      <c r="S25" s="556">
        <f t="array" ref="S25">SUM(1*E26:E37)</f>
        <v>6</v>
      </c>
      <c r="T25" s="432"/>
      <c r="U25" s="478">
        <v>44627</v>
      </c>
      <c r="V25" s="479">
        <v>0.98900678568317912</v>
      </c>
      <c r="W25" s="435"/>
      <c r="X25" s="506" t="s">
        <v>1099</v>
      </c>
      <c r="Y25" s="447" t="s">
        <v>1106</v>
      </c>
      <c r="Z25" s="448" t="s">
        <v>1107</v>
      </c>
      <c r="AA25" s="432"/>
      <c r="AB25" s="432"/>
      <c r="AC25" s="432"/>
      <c r="AD25" s="449" t="s">
        <v>1032</v>
      </c>
      <c r="AE25" s="450" t="s">
        <v>1108</v>
      </c>
      <c r="AF25" s="435"/>
      <c r="AG25" s="443" t="s">
        <v>1109</v>
      </c>
      <c r="AH25" s="444"/>
      <c r="AI25" s="435"/>
      <c r="AJ25" s="484" t="s">
        <v>69</v>
      </c>
      <c r="AK25" s="435"/>
      <c r="AL25" s="431"/>
      <c r="AM25" s="432"/>
      <c r="AN25" s="432"/>
      <c r="AO25" s="432"/>
      <c r="AP25" s="487" t="b">
        <v>1</v>
      </c>
      <c r="AQ25" s="518" t="str">
        <f t="shared" si="19"/>
        <v>17M</v>
      </c>
      <c r="AR25" s="474">
        <f t="shared" si="10"/>
        <v>17</v>
      </c>
      <c r="AS25" s="475" t="s">
        <v>1096</v>
      </c>
      <c r="AT25" s="470">
        <f t="shared" si="20"/>
        <v>-0.31509907300000001</v>
      </c>
      <c r="AU25" s="471"/>
      <c r="AV25" s="472"/>
      <c r="AW25" s="473">
        <f t="shared" si="11"/>
        <v>-0.31509907300000001</v>
      </c>
      <c r="AX25" s="474">
        <f t="shared" si="17"/>
        <v>23</v>
      </c>
      <c r="AY25" s="475">
        <f t="shared" si="12"/>
        <v>23</v>
      </c>
      <c r="AZ25" s="474">
        <f t="shared" si="18"/>
        <v>23</v>
      </c>
      <c r="BA25" s="475">
        <f t="shared" si="13"/>
        <v>23</v>
      </c>
      <c r="BB25" s="474">
        <f t="shared" si="14"/>
        <v>17</v>
      </c>
      <c r="BC25" s="434" t="str">
        <f t="shared" si="15"/>
        <v>e</v>
      </c>
      <c r="BD25" s="473">
        <f t="shared" si="16"/>
        <v>-0.31509907300000001</v>
      </c>
      <c r="BE25" s="432"/>
      <c r="BF25" s="489" t="str">
        <v>-</v>
      </c>
      <c r="BG25" s="479" t="str">
        <v>-</v>
      </c>
      <c r="BH25" s="435"/>
      <c r="BI25" s="519" t="s">
        <v>1110</v>
      </c>
      <c r="BJ25" s="482">
        <f>_xll.RtGet($BN$7,$BN$8&amp;BI25&amp;$BN$9,$BJ$7)</f>
        <v>-0.33</v>
      </c>
      <c r="BK25" s="483">
        <f>_xll.RtGet($BN$7,$BN$8&amp;BI25&amp;$BN$9,$BK$7)</f>
        <v>-0.33</v>
      </c>
      <c r="BL25" s="432"/>
      <c r="BM25" s="435"/>
      <c r="BN25" s="435"/>
      <c r="BO25" s="430"/>
      <c r="BP25" s="655"/>
      <c r="BQ25" s="656"/>
      <c r="BR25" s="656"/>
      <c r="BS25" s="656"/>
      <c r="BT25" s="656"/>
      <c r="BU25" s="656"/>
      <c r="BV25" s="656"/>
      <c r="BW25" s="656"/>
      <c r="BX25" s="656"/>
      <c r="BY25" s="656"/>
      <c r="BZ25" s="656"/>
      <c r="CA25" s="656"/>
      <c r="CB25" s="656"/>
      <c r="CC25" s="656"/>
      <c r="CD25" s="656"/>
      <c r="CE25" s="656"/>
      <c r="CF25" s="656"/>
      <c r="CG25" s="656"/>
      <c r="CH25" s="656"/>
      <c r="CI25" s="656"/>
      <c r="CJ25" s="656"/>
      <c r="CK25" s="656"/>
      <c r="CL25" s="656"/>
      <c r="CM25" s="656"/>
      <c r="CN25" s="656"/>
      <c r="CO25" s="656"/>
      <c r="CP25" s="656"/>
      <c r="CQ25" s="656"/>
      <c r="CR25" s="656"/>
      <c r="CS25" s="656"/>
      <c r="CT25" s="656"/>
      <c r="CU25" s="656"/>
      <c r="CV25" s="656"/>
      <c r="CW25" s="656"/>
      <c r="CX25" s="656"/>
      <c r="CY25" s="656"/>
      <c r="CZ25" s="656"/>
      <c r="DA25" s="656"/>
      <c r="DB25" s="656"/>
      <c r="DC25" s="656"/>
      <c r="DD25" s="656"/>
      <c r="DE25" s="656"/>
      <c r="DF25" s="656"/>
      <c r="DG25" s="656"/>
      <c r="DH25" s="656"/>
      <c r="DI25" s="656"/>
      <c r="DJ25" s="656"/>
      <c r="DK25" s="656"/>
      <c r="DL25" s="656"/>
      <c r="DM25" s="656"/>
      <c r="DN25" s="656"/>
      <c r="DO25" s="656"/>
      <c r="DP25" s="656"/>
      <c r="DQ25" s="656"/>
      <c r="DR25" s="656"/>
      <c r="DS25" s="656"/>
      <c r="DT25" s="656"/>
      <c r="DU25" s="656"/>
      <c r="DV25" s="656"/>
      <c r="DW25" s="656"/>
      <c r="DX25" s="656"/>
      <c r="DY25" s="656"/>
      <c r="DZ25" s="656"/>
    </row>
    <row r="26" spans="1:130">
      <c r="A26" s="437"/>
      <c r="B26" s="485" t="s">
        <v>1111</v>
      </c>
      <c r="C26" s="557">
        <v>43160</v>
      </c>
      <c r="D26" s="558"/>
      <c r="E26" s="499" t="b">
        <f>IF(H26&lt;MxStubMat,FALSE,TRUE)</f>
        <v>0</v>
      </c>
      <c r="F26" s="559" t="str">
        <f t="shared" ref="F26:F36" si="21">iText(H26,"mmm yy")</f>
        <v>Mar 18</v>
      </c>
      <c r="G26" s="560" t="str">
        <f>_xll.xlFutCode(H26)</f>
        <v>H8</v>
      </c>
      <c r="H26" s="561">
        <f>_xll.xlDateNextFutLIFFE(C26)</f>
        <v>43180</v>
      </c>
      <c r="I26" s="455">
        <f t="shared" ref="I26:I36" si="22">AVERAGE(Y30:Z30)</f>
        <v>100.32250000000001</v>
      </c>
      <c r="J26" s="546"/>
      <c r="K26" s="562">
        <f>AA30</f>
        <v>2.5000000000000001E-4</v>
      </c>
      <c r="L26" s="546">
        <f t="shared" ref="L26:L36" si="23">IF(ISNUMBER(J26),J26,I26)+K26</f>
        <v>100.32275</v>
      </c>
      <c r="M26" s="459">
        <v>1</v>
      </c>
      <c r="N26" s="460" t="str">
        <f t="shared" ref="N26:N36" si="24">IF(E26,M26,"")</f>
        <v/>
      </c>
      <c r="O26" s="439">
        <f>IF($S$25&gt;0,1,"")</f>
        <v>1</v>
      </c>
      <c r="P26" s="460">
        <f t="shared" ref="P26:P36" si="25">IF(LEN(O26)&gt;0,SMALL($N$26:$N$36,O26),"")</f>
        <v>3</v>
      </c>
      <c r="Q26" s="426"/>
      <c r="R26" s="527">
        <f>IF(LEN(P26)&gt;0,INDEX($H$26:$H$37,$P26),"")</f>
        <v>43362</v>
      </c>
      <c r="S26" s="458">
        <f t="shared" ref="S26:S35" si="26">IF(LEN(P26)&gt;0,INDEX($L$26:$L$37,$P26),"")</f>
        <v>100.29275</v>
      </c>
      <c r="T26" s="432"/>
      <c r="U26" s="478">
        <v>44991</v>
      </c>
      <c r="V26" s="479">
        <v>0.97746436654006408</v>
      </c>
      <c r="W26" s="435"/>
      <c r="X26" s="526" t="s">
        <v>81</v>
      </c>
      <c r="Y26" s="538">
        <f>_xll.RtGet($AE$25,$AE$26&amp;$X26&amp;$AE$27,"BID")</f>
        <v>-0.27</v>
      </c>
      <c r="Z26" s="563">
        <f>_xll.RtGet($AE$25,$AE$26&amp;$X26&amp;$AE$27,Z25)</f>
        <v>43159</v>
      </c>
      <c r="AA26" s="432"/>
      <c r="AB26" s="432"/>
      <c r="AC26" s="432"/>
      <c r="AD26" s="467" t="s">
        <v>1038</v>
      </c>
      <c r="AE26" s="468" t="s">
        <v>1112</v>
      </c>
      <c r="AF26" s="564"/>
      <c r="AG26" s="465" t="s">
        <v>1113</v>
      </c>
      <c r="AH26" s="465">
        <v>0</v>
      </c>
      <c r="AI26" s="435"/>
      <c r="AJ26" s="502" t="s">
        <v>1114</v>
      </c>
      <c r="AK26" s="435"/>
      <c r="AL26" s="431"/>
      <c r="AM26" s="432"/>
      <c r="AN26" s="432"/>
      <c r="AO26" s="432"/>
      <c r="AP26" s="487" t="b">
        <v>1</v>
      </c>
      <c r="AQ26" s="518" t="str">
        <f t="shared" si="19"/>
        <v>18M</v>
      </c>
      <c r="AR26" s="474">
        <f t="shared" si="10"/>
        <v>18</v>
      </c>
      <c r="AS26" s="475" t="s">
        <v>1096</v>
      </c>
      <c r="AT26" s="470">
        <f t="shared" si="20"/>
        <v>-0.30600000199999999</v>
      </c>
      <c r="AU26" s="471"/>
      <c r="AV26" s="472"/>
      <c r="AW26" s="473">
        <f t="shared" si="11"/>
        <v>-0.30600000199999999</v>
      </c>
      <c r="AX26" s="474">
        <f t="shared" si="17"/>
        <v>24</v>
      </c>
      <c r="AY26" s="475">
        <f t="shared" si="12"/>
        <v>24</v>
      </c>
      <c r="AZ26" s="474">
        <f t="shared" si="18"/>
        <v>24</v>
      </c>
      <c r="BA26" s="475">
        <f t="shared" si="13"/>
        <v>24</v>
      </c>
      <c r="BB26" s="474">
        <f t="shared" si="14"/>
        <v>18</v>
      </c>
      <c r="BC26" s="434" t="str">
        <f t="shared" si="15"/>
        <v>e</v>
      </c>
      <c r="BD26" s="473">
        <f t="shared" si="16"/>
        <v>-0.30600000199999999</v>
      </c>
      <c r="BE26" s="432"/>
      <c r="BF26" s="489" t="str">
        <v>-</v>
      </c>
      <c r="BG26" s="479" t="str">
        <v>-</v>
      </c>
      <c r="BH26" s="435"/>
      <c r="BI26" s="519" t="s">
        <v>1115</v>
      </c>
      <c r="BJ26" s="482">
        <f>_xll.RtGet($BN$7,$BN$8&amp;BI26&amp;$BN$9,$BJ$7)</f>
        <v>-0.32318141500000003</v>
      </c>
      <c r="BK26" s="483">
        <f>_xll.RtGet($BN$7,$BN$8&amp;BI26&amp;$BN$9,$BK$7)</f>
        <v>-0.32318141500000003</v>
      </c>
      <c r="BL26" s="432"/>
      <c r="BM26" s="435"/>
      <c r="BN26" s="435"/>
      <c r="BO26" s="430"/>
      <c r="BP26" s="655"/>
      <c r="BQ26" s="656"/>
      <c r="BR26" s="656"/>
      <c r="BS26" s="656"/>
      <c r="BT26" s="656"/>
      <c r="BU26" s="656"/>
      <c r="BV26" s="656"/>
      <c r="BW26" s="656"/>
      <c r="BX26" s="656"/>
      <c r="BY26" s="656"/>
      <c r="BZ26" s="656"/>
      <c r="CA26" s="656"/>
      <c r="CB26" s="656"/>
      <c r="CC26" s="656"/>
      <c r="CD26" s="656"/>
      <c r="CE26" s="656"/>
      <c r="CF26" s="656"/>
      <c r="CG26" s="656"/>
      <c r="CH26" s="656"/>
      <c r="CI26" s="656"/>
      <c r="CJ26" s="656"/>
      <c r="CK26" s="656"/>
      <c r="CL26" s="656"/>
      <c r="CM26" s="656"/>
      <c r="CN26" s="656"/>
      <c r="CO26" s="656"/>
      <c r="CP26" s="656"/>
      <c r="CQ26" s="656"/>
      <c r="CR26" s="656"/>
      <c r="CS26" s="656"/>
      <c r="CT26" s="656"/>
      <c r="CU26" s="656"/>
      <c r="CV26" s="656"/>
      <c r="CW26" s="656"/>
      <c r="CX26" s="656"/>
      <c r="CY26" s="656"/>
      <c r="CZ26" s="656"/>
      <c r="DA26" s="656"/>
      <c r="DB26" s="656"/>
      <c r="DC26" s="656"/>
      <c r="DD26" s="656"/>
      <c r="DE26" s="656"/>
      <c r="DF26" s="656"/>
      <c r="DG26" s="656"/>
      <c r="DH26" s="656"/>
      <c r="DI26" s="656"/>
      <c r="DJ26" s="656"/>
      <c r="DK26" s="656"/>
      <c r="DL26" s="656"/>
      <c r="DM26" s="656"/>
      <c r="DN26" s="656"/>
      <c r="DO26" s="656"/>
      <c r="DP26" s="656"/>
      <c r="DQ26" s="656"/>
      <c r="DR26" s="656"/>
      <c r="DS26" s="656"/>
      <c r="DT26" s="656"/>
      <c r="DU26" s="656"/>
      <c r="DV26" s="656"/>
      <c r="DW26" s="656"/>
      <c r="DX26" s="656"/>
      <c r="DY26" s="656"/>
      <c r="DZ26" s="656"/>
    </row>
    <row r="27" spans="1:130">
      <c r="A27" s="437"/>
      <c r="B27" s="493" t="s">
        <v>1116</v>
      </c>
      <c r="C27" s="565">
        <f>_xll.xlDateSettle("Target",C26,2)</f>
        <v>43164</v>
      </c>
      <c r="D27" s="558"/>
      <c r="E27" s="452" t="b">
        <f>IF(H27&lt;MxStubMat,FALSE,TRUE)</f>
        <v>0</v>
      </c>
      <c r="F27" s="566" t="str">
        <f t="shared" si="21"/>
        <v>Jun 18</v>
      </c>
      <c r="G27" s="567" t="str">
        <f>_xll.xlFutCode(H27)</f>
        <v>M8</v>
      </c>
      <c r="H27" s="568">
        <f>_xll.xlDateNextFutLIFFE(H26)</f>
        <v>43271</v>
      </c>
      <c r="I27" s="470">
        <f t="shared" si="22"/>
        <v>100.3075</v>
      </c>
      <c r="J27" s="569"/>
      <c r="K27" s="570">
        <f t="shared" ref="K27:K36" si="27">AA31</f>
        <v>1.25E-4</v>
      </c>
      <c r="L27" s="569">
        <f t="shared" si="23"/>
        <v>100.307625</v>
      </c>
      <c r="M27" s="474">
        <f t="shared" ref="M27:M36" si="28">M26+1</f>
        <v>2</v>
      </c>
      <c r="N27" s="475" t="str">
        <f t="shared" si="24"/>
        <v/>
      </c>
      <c r="O27" s="474">
        <f t="shared" ref="O27:O36" si="29">IF(O26&lt;$S$25,O26+1,"")</f>
        <v>2</v>
      </c>
      <c r="P27" s="475">
        <f t="shared" si="25"/>
        <v>4</v>
      </c>
      <c r="Q27" s="432"/>
      <c r="R27" s="529">
        <f t="shared" ref="R27:R36" si="30">IF(LEN(P27)&gt;0,INDEX($H$26:$H$37,$P27),"")</f>
        <v>43453</v>
      </c>
      <c r="S27" s="473">
        <f t="shared" si="26"/>
        <v>100.26287500000001</v>
      </c>
      <c r="T27" s="432"/>
      <c r="U27" s="478">
        <v>45356</v>
      </c>
      <c r="V27" s="479">
        <v>0.96366627825853435</v>
      </c>
      <c r="W27" s="435"/>
      <c r="X27" s="432"/>
      <c r="Y27" s="432"/>
      <c r="Z27" s="432"/>
      <c r="AA27" s="432"/>
      <c r="AB27" s="432"/>
      <c r="AC27" s="432"/>
      <c r="AD27" s="520" t="s">
        <v>1047</v>
      </c>
      <c r="AE27" s="521" t="s">
        <v>1050</v>
      </c>
      <c r="AF27" s="564"/>
      <c r="AG27" s="502" t="s">
        <v>1117</v>
      </c>
      <c r="AH27" s="502">
        <v>1</v>
      </c>
      <c r="AI27" s="435"/>
      <c r="AJ27" s="435"/>
      <c r="AK27" s="435"/>
      <c r="AL27" s="431"/>
      <c r="AM27" s="432"/>
      <c r="AN27" s="432"/>
      <c r="AO27" s="432"/>
      <c r="AP27" s="487" t="b">
        <v>1</v>
      </c>
      <c r="AQ27" s="518" t="str">
        <f t="shared" si="19"/>
        <v>19M</v>
      </c>
      <c r="AR27" s="474">
        <f t="shared" si="10"/>
        <v>19</v>
      </c>
      <c r="AS27" s="475" t="s">
        <v>1096</v>
      </c>
      <c r="AT27" s="470">
        <f t="shared" si="20"/>
        <v>-0.29559379299999999</v>
      </c>
      <c r="AU27" s="471"/>
      <c r="AV27" s="472"/>
      <c r="AW27" s="473">
        <f t="shared" si="11"/>
        <v>-0.29559379299999999</v>
      </c>
      <c r="AX27" s="474">
        <f t="shared" si="17"/>
        <v>25</v>
      </c>
      <c r="AY27" s="475">
        <f t="shared" si="12"/>
        <v>25</v>
      </c>
      <c r="AZ27" s="474">
        <f t="shared" si="18"/>
        <v>25</v>
      </c>
      <c r="BA27" s="475">
        <f t="shared" si="13"/>
        <v>25</v>
      </c>
      <c r="BB27" s="474">
        <f t="shared" si="14"/>
        <v>19</v>
      </c>
      <c r="BC27" s="434" t="str">
        <f t="shared" si="15"/>
        <v>e</v>
      </c>
      <c r="BD27" s="473">
        <f t="shared" si="16"/>
        <v>-0.29559379299999999</v>
      </c>
      <c r="BE27" s="432"/>
      <c r="BF27" s="489" t="str">
        <v>-</v>
      </c>
      <c r="BG27" s="479" t="str">
        <v>-</v>
      </c>
      <c r="BH27" s="435"/>
      <c r="BI27" s="519" t="s">
        <v>1118</v>
      </c>
      <c r="BJ27" s="482">
        <f>_xll.RtGet($BN$7,$BN$8&amp;BI27&amp;$BN$9,$BJ$7)</f>
        <v>-0.31509907300000001</v>
      </c>
      <c r="BK27" s="483">
        <f>_xll.RtGet($BN$7,$BN$8&amp;BI27&amp;$BN$9,$BK$7)</f>
        <v>-0.31509907300000001</v>
      </c>
      <c r="BL27" s="432"/>
      <c r="BM27" s="435"/>
      <c r="BN27" s="435"/>
      <c r="BO27" s="430"/>
      <c r="BP27" s="655"/>
      <c r="BQ27" s="656"/>
      <c r="BR27" s="656"/>
      <c r="BS27" s="656"/>
      <c r="BT27" s="656"/>
      <c r="BU27" s="656"/>
      <c r="BV27" s="656"/>
      <c r="BW27" s="656"/>
      <c r="BX27" s="656"/>
      <c r="BY27" s="656"/>
      <c r="BZ27" s="656"/>
      <c r="CA27" s="656"/>
      <c r="CB27" s="656"/>
      <c r="CC27" s="656"/>
      <c r="CD27" s="656"/>
      <c r="CE27" s="656"/>
      <c r="CF27" s="656"/>
      <c r="CG27" s="656"/>
      <c r="CH27" s="656"/>
      <c r="CI27" s="656"/>
      <c r="CJ27" s="656"/>
      <c r="CK27" s="656"/>
      <c r="CL27" s="656"/>
      <c r="CM27" s="656"/>
      <c r="CN27" s="656"/>
      <c r="CO27" s="656"/>
      <c r="CP27" s="656"/>
      <c r="CQ27" s="656"/>
      <c r="CR27" s="656"/>
      <c r="CS27" s="656"/>
      <c r="CT27" s="656"/>
      <c r="CU27" s="656"/>
      <c r="CV27" s="656"/>
      <c r="CW27" s="656"/>
      <c r="CX27" s="656"/>
      <c r="CY27" s="656"/>
      <c r="CZ27" s="656"/>
      <c r="DA27" s="656"/>
      <c r="DB27" s="656"/>
      <c r="DC27" s="656"/>
      <c r="DD27" s="656"/>
      <c r="DE27" s="656"/>
      <c r="DF27" s="656"/>
      <c r="DG27" s="656"/>
      <c r="DH27" s="656"/>
      <c r="DI27" s="656"/>
      <c r="DJ27" s="656"/>
      <c r="DK27" s="656"/>
      <c r="DL27" s="656"/>
      <c r="DM27" s="656"/>
      <c r="DN27" s="656"/>
      <c r="DO27" s="656"/>
      <c r="DP27" s="656"/>
      <c r="DQ27" s="656"/>
      <c r="DR27" s="656"/>
      <c r="DS27" s="656"/>
      <c r="DT27" s="656"/>
      <c r="DU27" s="656"/>
      <c r="DV27" s="656"/>
      <c r="DW27" s="656"/>
      <c r="DX27" s="656"/>
      <c r="DY27" s="656"/>
      <c r="DZ27" s="656"/>
    </row>
    <row r="28" spans="1:130">
      <c r="A28" s="437"/>
      <c r="B28" s="493" t="s">
        <v>1119</v>
      </c>
      <c r="C28" s="571" t="s">
        <v>66</v>
      </c>
      <c r="D28" s="558"/>
      <c r="E28" s="452" t="b">
        <f>IF(H28&lt;MxStubMat,FALSE,TRUE)</f>
        <v>1</v>
      </c>
      <c r="F28" s="566" t="str">
        <f t="shared" si="21"/>
        <v>Sep 18</v>
      </c>
      <c r="G28" s="567" t="str">
        <f>_xll.xlFutCode(H28)</f>
        <v>U8</v>
      </c>
      <c r="H28" s="568">
        <f>_xll.xlDateNextFutLIFFE(H27)</f>
        <v>43362</v>
      </c>
      <c r="I28" s="470">
        <f t="shared" si="22"/>
        <v>100.2925</v>
      </c>
      <c r="J28" s="569"/>
      <c r="K28" s="570">
        <f t="shared" si="27"/>
        <v>2.5000000000000001E-4</v>
      </c>
      <c r="L28" s="569">
        <f t="shared" si="23"/>
        <v>100.29275</v>
      </c>
      <c r="M28" s="474">
        <f t="shared" si="28"/>
        <v>3</v>
      </c>
      <c r="N28" s="475">
        <f t="shared" si="24"/>
        <v>3</v>
      </c>
      <c r="O28" s="474">
        <f t="shared" si="29"/>
        <v>3</v>
      </c>
      <c r="P28" s="475">
        <f t="shared" si="25"/>
        <v>5</v>
      </c>
      <c r="Q28" s="432"/>
      <c r="R28" s="529">
        <f t="shared" si="30"/>
        <v>43544</v>
      </c>
      <c r="S28" s="473">
        <f t="shared" si="26"/>
        <v>100.19825</v>
      </c>
      <c r="T28" s="432"/>
      <c r="U28" s="478">
        <v>45721</v>
      </c>
      <c r="V28" s="479">
        <v>0.948150165160488</v>
      </c>
      <c r="W28" s="435"/>
      <c r="X28" s="432"/>
      <c r="Y28" s="432"/>
      <c r="Z28" s="432"/>
      <c r="AA28" s="432"/>
      <c r="AB28" s="432"/>
      <c r="AC28" s="432"/>
      <c r="AD28" s="432"/>
      <c r="AE28" s="432"/>
      <c r="AF28" s="564"/>
      <c r="AG28" s="435"/>
      <c r="AH28" s="435"/>
      <c r="AI28" s="435"/>
      <c r="AJ28" s="445" t="s">
        <v>1120</v>
      </c>
      <c r="AK28" s="435"/>
      <c r="AL28" s="431"/>
      <c r="AM28" s="432"/>
      <c r="AN28" s="432"/>
      <c r="AO28" s="432"/>
      <c r="AP28" s="487" t="b">
        <v>1</v>
      </c>
      <c r="AQ28" s="518" t="str">
        <f t="shared" si="19"/>
        <v>20M</v>
      </c>
      <c r="AR28" s="474">
        <f t="shared" si="10"/>
        <v>20</v>
      </c>
      <c r="AS28" s="475" t="s">
        <v>1096</v>
      </c>
      <c r="AT28" s="470">
        <f t="shared" si="20"/>
        <v>-0.28534532200000001</v>
      </c>
      <c r="AU28" s="471"/>
      <c r="AV28" s="472"/>
      <c r="AW28" s="473">
        <f t="shared" si="11"/>
        <v>-0.28534532200000001</v>
      </c>
      <c r="AX28" s="474">
        <f t="shared" si="17"/>
        <v>26</v>
      </c>
      <c r="AY28" s="475">
        <f t="shared" si="12"/>
        <v>26</v>
      </c>
      <c r="AZ28" s="474">
        <f t="shared" si="18"/>
        <v>26</v>
      </c>
      <c r="BA28" s="475">
        <f t="shared" si="13"/>
        <v>26</v>
      </c>
      <c r="BB28" s="474">
        <f t="shared" si="14"/>
        <v>20</v>
      </c>
      <c r="BC28" s="434" t="str">
        <f t="shared" si="15"/>
        <v>e</v>
      </c>
      <c r="BD28" s="473">
        <f t="shared" si="16"/>
        <v>-0.28534532200000001</v>
      </c>
      <c r="BE28" s="432"/>
      <c r="BF28" s="489" t="str">
        <v>-</v>
      </c>
      <c r="BG28" s="479" t="str">
        <v>-</v>
      </c>
      <c r="BH28" s="435"/>
      <c r="BI28" s="519" t="s">
        <v>1121</v>
      </c>
      <c r="BJ28" s="482">
        <f>_xll.RtGet($BN$7,$BN$8&amp;BI28&amp;$BN$9,$BJ$7)</f>
        <v>-0.30600000199999999</v>
      </c>
      <c r="BK28" s="483">
        <f>_xll.RtGet($BN$7,$BN$8&amp;BI28&amp;$BN$9,$BK$7)</f>
        <v>-0.30600000199999999</v>
      </c>
      <c r="BL28" s="432"/>
      <c r="BM28" s="435"/>
      <c r="BN28" s="435"/>
      <c r="BO28" s="430"/>
      <c r="BP28" s="655"/>
      <c r="BQ28" s="656"/>
      <c r="BR28" s="656"/>
      <c r="BS28" s="656"/>
      <c r="BT28" s="656"/>
      <c r="BU28" s="656"/>
      <c r="BV28" s="656"/>
      <c r="BW28" s="656"/>
      <c r="BX28" s="656"/>
      <c r="BY28" s="656"/>
      <c r="BZ28" s="656"/>
      <c r="CA28" s="656"/>
      <c r="CB28" s="656"/>
      <c r="CC28" s="656"/>
      <c r="CD28" s="656"/>
      <c r="CE28" s="656"/>
      <c r="CF28" s="656"/>
      <c r="CG28" s="656"/>
      <c r="CH28" s="656"/>
      <c r="CI28" s="656"/>
      <c r="CJ28" s="656"/>
      <c r="CK28" s="656"/>
      <c r="CL28" s="656"/>
      <c r="CM28" s="656"/>
      <c r="CN28" s="656"/>
      <c r="CO28" s="656"/>
      <c r="CP28" s="656"/>
      <c r="CQ28" s="656"/>
      <c r="CR28" s="656"/>
      <c r="CS28" s="656"/>
      <c r="CT28" s="656"/>
      <c r="CU28" s="656"/>
      <c r="CV28" s="656"/>
      <c r="CW28" s="656"/>
      <c r="CX28" s="656"/>
      <c r="CY28" s="656"/>
      <c r="CZ28" s="656"/>
      <c r="DA28" s="656"/>
      <c r="DB28" s="656"/>
      <c r="DC28" s="656"/>
      <c r="DD28" s="656"/>
      <c r="DE28" s="656"/>
      <c r="DF28" s="656"/>
      <c r="DG28" s="656"/>
      <c r="DH28" s="656"/>
      <c r="DI28" s="656"/>
      <c r="DJ28" s="656"/>
      <c r="DK28" s="656"/>
      <c r="DL28" s="656"/>
      <c r="DM28" s="656"/>
      <c r="DN28" s="656"/>
      <c r="DO28" s="656"/>
      <c r="DP28" s="656"/>
      <c r="DQ28" s="656"/>
      <c r="DR28" s="656"/>
      <c r="DS28" s="656"/>
      <c r="DT28" s="656"/>
      <c r="DU28" s="656"/>
      <c r="DV28" s="656"/>
      <c r="DW28" s="656"/>
      <c r="DX28" s="656"/>
      <c r="DY28" s="656"/>
      <c r="DZ28" s="656"/>
    </row>
    <row r="29" spans="1:130">
      <c r="A29" s="437"/>
      <c r="B29" s="572" t="s">
        <v>1122</v>
      </c>
      <c r="C29" s="573"/>
      <c r="D29" s="558"/>
      <c r="E29" s="452" t="b">
        <f>IF(H29&lt;MxStubMat,FALSE,TRUE)</f>
        <v>1</v>
      </c>
      <c r="F29" s="566" t="str">
        <f t="shared" si="21"/>
        <v>Dec 18</v>
      </c>
      <c r="G29" s="567" t="str">
        <f>_xll.xlFutCode(H29)</f>
        <v>Z8</v>
      </c>
      <c r="H29" s="568">
        <f>_xll.xlDateNextFutLIFFE(H28)</f>
        <v>43453</v>
      </c>
      <c r="I29" s="470">
        <f t="shared" si="22"/>
        <v>100.2625</v>
      </c>
      <c r="J29" s="569"/>
      <c r="K29" s="570">
        <f t="shared" si="27"/>
        <v>3.7500000000000001E-4</v>
      </c>
      <c r="L29" s="569">
        <f t="shared" si="23"/>
        <v>100.26287500000001</v>
      </c>
      <c r="M29" s="474">
        <f t="shared" si="28"/>
        <v>4</v>
      </c>
      <c r="N29" s="475">
        <f t="shared" si="24"/>
        <v>4</v>
      </c>
      <c r="O29" s="474">
        <f t="shared" si="29"/>
        <v>4</v>
      </c>
      <c r="P29" s="475">
        <f t="shared" si="25"/>
        <v>6</v>
      </c>
      <c r="Q29" s="432"/>
      <c r="R29" s="529">
        <f t="shared" si="30"/>
        <v>43635</v>
      </c>
      <c r="S29" s="473">
        <f t="shared" si="26"/>
        <v>100.10375000000001</v>
      </c>
      <c r="T29" s="432"/>
      <c r="U29" s="478">
        <v>46086</v>
      </c>
      <c r="V29" s="479">
        <v>0.93143816558005732</v>
      </c>
      <c r="W29" s="435"/>
      <c r="X29" s="440" t="s">
        <v>1123</v>
      </c>
      <c r="Y29" s="574" t="s">
        <v>16</v>
      </c>
      <c r="Z29" s="575" t="s">
        <v>17</v>
      </c>
      <c r="AA29" s="575" t="s">
        <v>1124</v>
      </c>
      <c r="AB29" s="442" t="s">
        <v>1125</v>
      </c>
      <c r="AC29" s="432"/>
      <c r="AD29" s="449" t="s">
        <v>1032</v>
      </c>
      <c r="AE29" s="450" t="s">
        <v>1033</v>
      </c>
      <c r="AF29" s="564"/>
      <c r="AG29" s="435"/>
      <c r="AH29" s="429"/>
      <c r="AI29" s="435"/>
      <c r="AJ29" s="484" t="s">
        <v>68</v>
      </c>
      <c r="AK29" s="435"/>
      <c r="AL29" s="431"/>
      <c r="AM29" s="432"/>
      <c r="AN29" s="432"/>
      <c r="AO29" s="432"/>
      <c r="AP29" s="487" t="b">
        <v>1</v>
      </c>
      <c r="AQ29" s="518" t="str">
        <f t="shared" si="19"/>
        <v>21M</v>
      </c>
      <c r="AR29" s="474">
        <f t="shared" si="10"/>
        <v>21</v>
      </c>
      <c r="AS29" s="475" t="s">
        <v>1096</v>
      </c>
      <c r="AT29" s="470">
        <f t="shared" si="20"/>
        <v>-0.27400000000000002</v>
      </c>
      <c r="AU29" s="471"/>
      <c r="AV29" s="472"/>
      <c r="AW29" s="473">
        <f t="shared" si="11"/>
        <v>-0.27400000000000002</v>
      </c>
      <c r="AX29" s="474">
        <f t="shared" si="17"/>
        <v>27</v>
      </c>
      <c r="AY29" s="475">
        <f t="shared" si="12"/>
        <v>27</v>
      </c>
      <c r="AZ29" s="474">
        <f t="shared" si="18"/>
        <v>27</v>
      </c>
      <c r="BA29" s="475">
        <f t="shared" si="13"/>
        <v>27</v>
      </c>
      <c r="BB29" s="474">
        <f t="shared" si="14"/>
        <v>21</v>
      </c>
      <c r="BC29" s="434" t="str">
        <f t="shared" si="15"/>
        <v>e</v>
      </c>
      <c r="BD29" s="473">
        <f t="shared" si="16"/>
        <v>-0.27400000000000002</v>
      </c>
      <c r="BE29" s="432"/>
      <c r="BF29" s="489" t="str">
        <v>-</v>
      </c>
      <c r="BG29" s="479" t="str">
        <v>-</v>
      </c>
      <c r="BH29" s="435"/>
      <c r="BI29" s="519" t="s">
        <v>1126</v>
      </c>
      <c r="BJ29" s="482">
        <f>_xll.RtGet($BN$7,$BN$8&amp;BI29&amp;$BN$9,$BJ$7)</f>
        <v>-0.29559379299999999</v>
      </c>
      <c r="BK29" s="483">
        <f>_xll.RtGet($BN$7,$BN$8&amp;BI29&amp;$BN$9,$BK$7)</f>
        <v>-0.29559379299999999</v>
      </c>
      <c r="BL29" s="432"/>
      <c r="BM29" s="435"/>
      <c r="BN29" s="435"/>
      <c r="BO29" s="430"/>
      <c r="BP29" s="655"/>
      <c r="BQ29" s="656"/>
      <c r="BR29" s="656"/>
      <c r="BS29" s="656"/>
      <c r="BT29" s="656"/>
      <c r="BU29" s="656"/>
      <c r="BV29" s="656"/>
      <c r="BW29" s="656"/>
      <c r="BX29" s="656"/>
      <c r="BY29" s="656"/>
      <c r="BZ29" s="656"/>
      <c r="CA29" s="656"/>
      <c r="CB29" s="656"/>
      <c r="CC29" s="656"/>
      <c r="CD29" s="656"/>
      <c r="CE29" s="656"/>
      <c r="CF29" s="656"/>
      <c r="CG29" s="656"/>
      <c r="CH29" s="656"/>
      <c r="CI29" s="656"/>
      <c r="CJ29" s="656"/>
      <c r="CK29" s="656"/>
      <c r="CL29" s="656"/>
      <c r="CM29" s="656"/>
      <c r="CN29" s="656"/>
      <c r="CO29" s="656"/>
      <c r="CP29" s="656"/>
      <c r="CQ29" s="656"/>
      <c r="CR29" s="656"/>
      <c r="CS29" s="656"/>
      <c r="CT29" s="656"/>
      <c r="CU29" s="656"/>
      <c r="CV29" s="656"/>
      <c r="CW29" s="656"/>
      <c r="CX29" s="656"/>
      <c r="CY29" s="656"/>
      <c r="CZ29" s="656"/>
      <c r="DA29" s="656"/>
      <c r="DB29" s="656"/>
      <c r="DC29" s="656"/>
      <c r="DD29" s="656"/>
      <c r="DE29" s="656"/>
      <c r="DF29" s="656"/>
      <c r="DG29" s="656"/>
      <c r="DH29" s="656"/>
      <c r="DI29" s="656"/>
      <c r="DJ29" s="656"/>
      <c r="DK29" s="656"/>
      <c r="DL29" s="656"/>
      <c r="DM29" s="656"/>
      <c r="DN29" s="656"/>
      <c r="DO29" s="656"/>
      <c r="DP29" s="656"/>
      <c r="DQ29" s="656"/>
      <c r="DR29" s="656"/>
      <c r="DS29" s="656"/>
      <c r="DT29" s="656"/>
      <c r="DU29" s="656"/>
      <c r="DV29" s="656"/>
      <c r="DW29" s="656"/>
      <c r="DX29" s="656"/>
      <c r="DY29" s="656"/>
      <c r="DZ29" s="656"/>
    </row>
    <row r="30" spans="1:130">
      <c r="A30" s="437"/>
      <c r="B30" s="576" t="s">
        <v>1127</v>
      </c>
      <c r="C30" s="486" t="s">
        <v>79</v>
      </c>
      <c r="D30" s="558"/>
      <c r="E30" s="452" t="b">
        <f>IF(H30&lt;MxStubMat,FALSE,TRUE)</f>
        <v>1</v>
      </c>
      <c r="F30" s="566" t="str">
        <f t="shared" si="21"/>
        <v>Mar 19</v>
      </c>
      <c r="G30" s="567" t="str">
        <f>_xll.xlFutCode(H30)</f>
        <v>H9</v>
      </c>
      <c r="H30" s="568">
        <f>_xll.xlDateNextFutLIFFE(H29)</f>
        <v>43544</v>
      </c>
      <c r="I30" s="470">
        <f t="shared" si="22"/>
        <v>100.19750000000001</v>
      </c>
      <c r="J30" s="569"/>
      <c r="K30" s="570">
        <f t="shared" si="27"/>
        <v>7.5000000000000002E-4</v>
      </c>
      <c r="L30" s="569">
        <f t="shared" si="23"/>
        <v>100.19825</v>
      </c>
      <c r="M30" s="474">
        <f t="shared" si="28"/>
        <v>5</v>
      </c>
      <c r="N30" s="475">
        <f t="shared" si="24"/>
        <v>5</v>
      </c>
      <c r="O30" s="474">
        <f t="shared" si="29"/>
        <v>5</v>
      </c>
      <c r="P30" s="475">
        <f t="shared" si="25"/>
        <v>7</v>
      </c>
      <c r="Q30" s="432"/>
      <c r="R30" s="529">
        <f t="shared" si="30"/>
        <v>43726</v>
      </c>
      <c r="S30" s="473">
        <f t="shared" si="26"/>
        <v>99.983900000000006</v>
      </c>
      <c r="T30" s="432"/>
      <c r="U30" s="478">
        <v>46451</v>
      </c>
      <c r="V30" s="479">
        <v>0.9138146355348814</v>
      </c>
      <c r="W30" s="435"/>
      <c r="X30" s="547" t="str">
        <f>_xll.xlFutCode(H26)</f>
        <v>H8</v>
      </c>
      <c r="Y30" s="463">
        <f>_xll.RtGet($AE$29,$AE$30&amp;$X30&amp;$AE$31,Y$29)</f>
        <v>100.32250000000001</v>
      </c>
      <c r="Z30" s="548">
        <f>_xll.RtGet($AE$29,$AE$30&amp;$X30&amp;$AE$31,Z$29)</f>
        <v>100.32250000000001</v>
      </c>
      <c r="AA30" s="577">
        <f>_xll.RtGet($AE$29,$AE$30&amp;$X30&amp;$AE$31,AA$29)</f>
        <v>2.5000000000000001E-4</v>
      </c>
      <c r="AB30" s="578">
        <f>_xll.RtGet($AE$29,$AE$30&amp;$X30&amp;$AE$31,AB$29)</f>
        <v>43180</v>
      </c>
      <c r="AC30" s="432"/>
      <c r="AD30" s="467" t="s">
        <v>1038</v>
      </c>
      <c r="AE30" s="468" t="s">
        <v>1128</v>
      </c>
      <c r="AF30" s="564"/>
      <c r="AG30" s="435"/>
      <c r="AH30" s="429"/>
      <c r="AI30" s="435"/>
      <c r="AJ30" s="502" t="s">
        <v>1129</v>
      </c>
      <c r="AK30" s="435"/>
      <c r="AL30" s="431"/>
      <c r="AM30" s="432"/>
      <c r="AN30" s="432"/>
      <c r="AO30" s="432"/>
      <c r="AP30" s="487" t="b">
        <v>1</v>
      </c>
      <c r="AQ30" s="518" t="str">
        <f t="shared" si="19"/>
        <v>22M</v>
      </c>
      <c r="AR30" s="474">
        <f t="shared" si="10"/>
        <v>22</v>
      </c>
      <c r="AS30" s="475" t="s">
        <v>1096</v>
      </c>
      <c r="AT30" s="470">
        <f t="shared" si="20"/>
        <v>-0.26116234399999999</v>
      </c>
      <c r="AU30" s="471"/>
      <c r="AV30" s="472"/>
      <c r="AW30" s="473">
        <f t="shared" si="11"/>
        <v>-0.26116234399999999</v>
      </c>
      <c r="AX30" s="474">
        <f t="shared" si="17"/>
        <v>28</v>
      </c>
      <c r="AY30" s="475">
        <f t="shared" si="12"/>
        <v>28</v>
      </c>
      <c r="AZ30" s="474">
        <f t="shared" si="18"/>
        <v>28</v>
      </c>
      <c r="BA30" s="475">
        <f t="shared" si="13"/>
        <v>28</v>
      </c>
      <c r="BB30" s="474">
        <f t="shared" si="14"/>
        <v>22</v>
      </c>
      <c r="BC30" s="434" t="str">
        <f t="shared" si="15"/>
        <v>e</v>
      </c>
      <c r="BD30" s="473">
        <f t="shared" si="16"/>
        <v>-0.26116234399999999</v>
      </c>
      <c r="BE30" s="432"/>
      <c r="BF30" s="489" t="str">
        <v>-</v>
      </c>
      <c r="BG30" s="479" t="str">
        <v>-</v>
      </c>
      <c r="BH30" s="435"/>
      <c r="BI30" s="519" t="s">
        <v>1130</v>
      </c>
      <c r="BJ30" s="482">
        <f>_xll.RtGet($BN$7,$BN$8&amp;BI30&amp;$BN$9,$BJ$7)</f>
        <v>-0.28534532200000001</v>
      </c>
      <c r="BK30" s="483">
        <f>_xll.RtGet($BN$7,$BN$8&amp;BI30&amp;$BN$9,$BK$7)</f>
        <v>-0.28534532200000001</v>
      </c>
      <c r="BL30" s="432"/>
      <c r="BM30" s="435"/>
      <c r="BN30" s="435"/>
      <c r="BO30" s="430"/>
      <c r="BP30" s="655"/>
      <c r="BQ30" s="656"/>
      <c r="BR30" s="656"/>
      <c r="BS30" s="656"/>
      <c r="BT30" s="656"/>
      <c r="BU30" s="656"/>
      <c r="BV30" s="656"/>
      <c r="BW30" s="656"/>
      <c r="BX30" s="656"/>
      <c r="BY30" s="656"/>
      <c r="BZ30" s="656"/>
      <c r="CA30" s="656"/>
      <c r="CB30" s="656"/>
      <c r="CC30" s="656"/>
      <c r="CD30" s="656"/>
      <c r="CE30" s="656"/>
      <c r="CF30" s="656"/>
      <c r="CG30" s="656"/>
      <c r="CH30" s="656"/>
      <c r="CI30" s="656"/>
      <c r="CJ30" s="656"/>
      <c r="CK30" s="656"/>
      <c r="CL30" s="656"/>
      <c r="CM30" s="656"/>
      <c r="CN30" s="656"/>
      <c r="CO30" s="656"/>
      <c r="CP30" s="656"/>
      <c r="CQ30" s="656"/>
      <c r="CR30" s="656"/>
      <c r="CS30" s="656"/>
      <c r="CT30" s="656"/>
      <c r="CU30" s="656"/>
      <c r="CV30" s="656"/>
      <c r="CW30" s="656"/>
      <c r="CX30" s="656"/>
      <c r="CY30" s="656"/>
      <c r="CZ30" s="656"/>
      <c r="DA30" s="656"/>
      <c r="DB30" s="656"/>
      <c r="DC30" s="656"/>
      <c r="DD30" s="656"/>
      <c r="DE30" s="656"/>
      <c r="DF30" s="656"/>
      <c r="DG30" s="656"/>
      <c r="DH30" s="656"/>
      <c r="DI30" s="656"/>
      <c r="DJ30" s="656"/>
      <c r="DK30" s="656"/>
      <c r="DL30" s="656"/>
      <c r="DM30" s="656"/>
      <c r="DN30" s="656"/>
      <c r="DO30" s="656"/>
      <c r="DP30" s="656"/>
      <c r="DQ30" s="656"/>
      <c r="DR30" s="656"/>
      <c r="DS30" s="656"/>
      <c r="DT30" s="656"/>
      <c r="DU30" s="656"/>
      <c r="DV30" s="656"/>
      <c r="DW30" s="656"/>
      <c r="DX30" s="656"/>
      <c r="DY30" s="656"/>
      <c r="DZ30" s="656"/>
    </row>
    <row r="31" spans="1:130">
      <c r="A31" s="437"/>
      <c r="B31" s="579" t="s">
        <v>1131</v>
      </c>
      <c r="C31" s="494" t="s">
        <v>1053</v>
      </c>
      <c r="D31" s="558"/>
      <c r="E31" s="452" t="b">
        <v>1</v>
      </c>
      <c r="F31" s="566" t="str">
        <f t="shared" si="21"/>
        <v>Jun 19</v>
      </c>
      <c r="G31" s="567" t="str">
        <f>_xll.xlFutCode(H31)</f>
        <v>M9</v>
      </c>
      <c r="H31" s="568">
        <f>_xll.xlDateNextFutLIFFE(H30)</f>
        <v>43635</v>
      </c>
      <c r="I31" s="470">
        <f t="shared" si="22"/>
        <v>100.10250000000001</v>
      </c>
      <c r="J31" s="569"/>
      <c r="K31" s="570">
        <f t="shared" si="27"/>
        <v>1.25E-3</v>
      </c>
      <c r="L31" s="569">
        <f t="shared" si="23"/>
        <v>100.10375000000001</v>
      </c>
      <c r="M31" s="474">
        <f t="shared" si="28"/>
        <v>6</v>
      </c>
      <c r="N31" s="475">
        <f t="shared" si="24"/>
        <v>6</v>
      </c>
      <c r="O31" s="474">
        <f t="shared" si="29"/>
        <v>6</v>
      </c>
      <c r="P31" s="475">
        <f t="shared" si="25"/>
        <v>8</v>
      </c>
      <c r="Q31" s="432"/>
      <c r="R31" s="529">
        <f t="shared" si="30"/>
        <v>43817</v>
      </c>
      <c r="S31" s="473">
        <f t="shared" si="26"/>
        <v>99.869500000000002</v>
      </c>
      <c r="T31" s="435"/>
      <c r="U31" s="478">
        <v>46818</v>
      </c>
      <c r="V31" s="479">
        <v>0.89560466833672769</v>
      </c>
      <c r="W31" s="435"/>
      <c r="X31" s="580" t="str">
        <f>_xll.xlFutCode(H27)</f>
        <v>M8</v>
      </c>
      <c r="Y31" s="482">
        <f>_xll.RtGet($AE$29,$AE$30&amp;$X31&amp;$AE$31,Y$29)</f>
        <v>100.3075</v>
      </c>
      <c r="Z31" s="581">
        <f>_xll.RtGet($AE$29,$AE$30&amp;$X31&amp;$AE$31,Z$29)</f>
        <v>100.3075</v>
      </c>
      <c r="AA31" s="582">
        <f>_xll.RtGet($AE$29,$AE$30&amp;$X31&amp;$AE$31,AA$29)</f>
        <v>1.25E-4</v>
      </c>
      <c r="AB31" s="583">
        <f>_xll.RtGet($AE$29,$AE$30&amp;$X31&amp;$AE$31,AB$29)</f>
        <v>43271</v>
      </c>
      <c r="AC31" s="432"/>
      <c r="AD31" s="520" t="s">
        <v>1047</v>
      </c>
      <c r="AE31" s="521"/>
      <c r="AF31" s="564"/>
      <c r="AG31" s="435"/>
      <c r="AH31" s="429"/>
      <c r="AI31" s="435"/>
      <c r="AJ31" s="435"/>
      <c r="AK31" s="435"/>
      <c r="AL31" s="431"/>
      <c r="AM31" s="432"/>
      <c r="AN31" s="432"/>
      <c r="AO31" s="432"/>
      <c r="AP31" s="487" t="b">
        <v>1</v>
      </c>
      <c r="AQ31" s="518" t="str">
        <f t="shared" si="19"/>
        <v>23M</v>
      </c>
      <c r="AR31" s="474">
        <f t="shared" si="10"/>
        <v>23</v>
      </c>
      <c r="AS31" s="475" t="s">
        <v>1096</v>
      </c>
      <c r="AT31" s="470">
        <f t="shared" si="20"/>
        <v>-0.24856678500000001</v>
      </c>
      <c r="AU31" s="471"/>
      <c r="AV31" s="472"/>
      <c r="AW31" s="473">
        <f t="shared" si="11"/>
        <v>-0.24856678500000001</v>
      </c>
      <c r="AX31" s="474">
        <f t="shared" si="17"/>
        <v>29</v>
      </c>
      <c r="AY31" s="475">
        <f t="shared" si="12"/>
        <v>29</v>
      </c>
      <c r="AZ31" s="474">
        <f t="shared" si="18"/>
        <v>29</v>
      </c>
      <c r="BA31" s="475">
        <f t="shared" si="13"/>
        <v>29</v>
      </c>
      <c r="BB31" s="474">
        <f t="shared" si="14"/>
        <v>23</v>
      </c>
      <c r="BC31" s="434" t="str">
        <f t="shared" si="15"/>
        <v>e</v>
      </c>
      <c r="BD31" s="473">
        <f t="shared" si="16"/>
        <v>-0.24856678500000001</v>
      </c>
      <c r="BE31" s="435"/>
      <c r="BF31" s="489" t="str">
        <v>-</v>
      </c>
      <c r="BG31" s="479" t="str">
        <v>-</v>
      </c>
      <c r="BH31" s="435"/>
      <c r="BI31" s="519" t="s">
        <v>1132</v>
      </c>
      <c r="BJ31" s="482">
        <f>_xll.RtGet($BN$7,$BN$8&amp;BI31&amp;$BN$9,$BJ$7)</f>
        <v>-0.27400000000000002</v>
      </c>
      <c r="BK31" s="483">
        <f>_xll.RtGet($BN$7,$BN$8&amp;BI31&amp;$BN$9,$BK$7)</f>
        <v>-0.27400000000000002</v>
      </c>
      <c r="BL31" s="432"/>
      <c r="BM31" s="435"/>
      <c r="BN31" s="435"/>
      <c r="BO31" s="430"/>
      <c r="BP31" s="655"/>
      <c r="BQ31" s="656"/>
      <c r="BR31" s="656"/>
      <c r="BS31" s="656"/>
      <c r="BT31" s="656"/>
      <c r="BU31" s="656"/>
      <c r="BV31" s="656"/>
      <c r="BW31" s="656"/>
      <c r="BX31" s="656"/>
      <c r="BY31" s="656"/>
      <c r="BZ31" s="656"/>
      <c r="CA31" s="656"/>
      <c r="CB31" s="656"/>
      <c r="CC31" s="656"/>
      <c r="CD31" s="656"/>
      <c r="CE31" s="656"/>
      <c r="CF31" s="656"/>
      <c r="CG31" s="656"/>
      <c r="CH31" s="656"/>
      <c r="CI31" s="656"/>
      <c r="CJ31" s="656"/>
      <c r="CK31" s="656"/>
      <c r="CL31" s="656"/>
      <c r="CM31" s="656"/>
      <c r="CN31" s="656"/>
      <c r="CO31" s="656"/>
      <c r="CP31" s="656"/>
      <c r="CQ31" s="656"/>
      <c r="CR31" s="656"/>
      <c r="CS31" s="656"/>
      <c r="CT31" s="656"/>
      <c r="CU31" s="656"/>
      <c r="CV31" s="656"/>
      <c r="CW31" s="656"/>
      <c r="CX31" s="656"/>
      <c r="CY31" s="656"/>
      <c r="CZ31" s="656"/>
      <c r="DA31" s="656"/>
      <c r="DB31" s="656"/>
      <c r="DC31" s="656"/>
      <c r="DD31" s="656"/>
      <c r="DE31" s="656"/>
      <c r="DF31" s="656"/>
      <c r="DG31" s="656"/>
      <c r="DH31" s="656"/>
      <c r="DI31" s="656"/>
      <c r="DJ31" s="656"/>
      <c r="DK31" s="656"/>
      <c r="DL31" s="656"/>
      <c r="DM31" s="656"/>
      <c r="DN31" s="656"/>
      <c r="DO31" s="656"/>
      <c r="DP31" s="656"/>
      <c r="DQ31" s="656"/>
      <c r="DR31" s="656"/>
      <c r="DS31" s="656"/>
      <c r="DT31" s="656"/>
      <c r="DU31" s="656"/>
      <c r="DV31" s="656"/>
      <c r="DW31" s="656"/>
      <c r="DX31" s="656"/>
      <c r="DY31" s="656"/>
      <c r="DZ31" s="656"/>
    </row>
    <row r="32" spans="1:130">
      <c r="A32" s="437"/>
      <c r="B32" s="579" t="s">
        <v>1133</v>
      </c>
      <c r="C32" s="494" t="s">
        <v>82</v>
      </c>
      <c r="D32" s="558"/>
      <c r="E32" s="452" t="b">
        <v>1</v>
      </c>
      <c r="F32" s="566" t="str">
        <f t="shared" si="21"/>
        <v>Sep 19</v>
      </c>
      <c r="G32" s="567" t="str">
        <f>_xll.xlFutCode(H32)</f>
        <v>U9</v>
      </c>
      <c r="H32" s="568">
        <f>_xll.xlDateNextFutLIFFE(H31)</f>
        <v>43726</v>
      </c>
      <c r="I32" s="470">
        <f t="shared" si="22"/>
        <v>99.982500000000002</v>
      </c>
      <c r="J32" s="569"/>
      <c r="K32" s="570">
        <f t="shared" si="27"/>
        <v>1.4E-3</v>
      </c>
      <c r="L32" s="569">
        <f t="shared" si="23"/>
        <v>99.983900000000006</v>
      </c>
      <c r="M32" s="474">
        <f t="shared" si="28"/>
        <v>7</v>
      </c>
      <c r="N32" s="475">
        <f t="shared" si="24"/>
        <v>7</v>
      </c>
      <c r="O32" s="474" t="str">
        <f t="shared" si="29"/>
        <v/>
      </c>
      <c r="P32" s="475" t="str">
        <f t="shared" si="25"/>
        <v/>
      </c>
      <c r="Q32" s="432"/>
      <c r="R32" s="529" t="str">
        <f t="shared" si="30"/>
        <v/>
      </c>
      <c r="S32" s="473" t="str">
        <f t="shared" si="26"/>
        <v/>
      </c>
      <c r="T32" s="435"/>
      <c r="U32" s="478">
        <v>47182</v>
      </c>
      <c r="V32" s="479">
        <v>0.87710558050450371</v>
      </c>
      <c r="W32" s="435"/>
      <c r="X32" s="580" t="str">
        <f>_xll.xlFutCode(H28)</f>
        <v>U8</v>
      </c>
      <c r="Y32" s="482">
        <f>_xll.RtGet($AE$29,$AE$30&amp;$X32&amp;$AE$31,Y$29)</f>
        <v>100.2925</v>
      </c>
      <c r="Z32" s="581">
        <f>_xll.RtGet($AE$29,$AE$30&amp;$X32&amp;$AE$31,Z$29)</f>
        <v>100.2925</v>
      </c>
      <c r="AA32" s="582">
        <f>_xll.RtGet($AE$29,$AE$30&amp;$X32&amp;$AE$31,AA$29)</f>
        <v>2.5000000000000001E-4</v>
      </c>
      <c r="AB32" s="583">
        <f>_xll.RtGet($AE$29,$AE$30&amp;$X32&amp;$AE$31,AB$29)</f>
        <v>43362</v>
      </c>
      <c r="AC32" s="432"/>
      <c r="AD32" s="435"/>
      <c r="AE32" s="435"/>
      <c r="AF32" s="564"/>
      <c r="AG32" s="435"/>
      <c r="AH32" s="435"/>
      <c r="AI32" s="435"/>
      <c r="AJ32" s="584" t="s">
        <v>1134</v>
      </c>
      <c r="AK32" s="435"/>
      <c r="AL32" s="431"/>
      <c r="AM32" s="432"/>
      <c r="AN32" s="432"/>
      <c r="AO32" s="432"/>
      <c r="AP32" s="487" t="b">
        <v>1</v>
      </c>
      <c r="AQ32" s="540" t="str">
        <f t="shared" si="19"/>
        <v>2Y</v>
      </c>
      <c r="AR32" s="474">
        <f t="shared" si="10"/>
        <v>24</v>
      </c>
      <c r="AS32" s="475" t="s">
        <v>1096</v>
      </c>
      <c r="AT32" s="470">
        <f t="shared" si="20"/>
        <v>-0.23600000000000002</v>
      </c>
      <c r="AU32" s="471"/>
      <c r="AV32" s="472"/>
      <c r="AW32" s="473">
        <f t="shared" si="11"/>
        <v>-0.23600000000000002</v>
      </c>
      <c r="AX32" s="474">
        <f t="shared" si="17"/>
        <v>30</v>
      </c>
      <c r="AY32" s="475">
        <f t="shared" si="12"/>
        <v>30</v>
      </c>
      <c r="AZ32" s="474">
        <f t="shared" si="18"/>
        <v>30</v>
      </c>
      <c r="BA32" s="475">
        <f t="shared" si="13"/>
        <v>30</v>
      </c>
      <c r="BB32" s="474">
        <f t="shared" si="14"/>
        <v>24</v>
      </c>
      <c r="BC32" s="434" t="str">
        <f t="shared" si="15"/>
        <v>e</v>
      </c>
      <c r="BD32" s="473">
        <f t="shared" si="16"/>
        <v>-0.23600000000000002</v>
      </c>
      <c r="BE32" s="435"/>
      <c r="BF32" s="489" t="str">
        <v>-</v>
      </c>
      <c r="BG32" s="479" t="str">
        <v>-</v>
      </c>
      <c r="BH32" s="435"/>
      <c r="BI32" s="519" t="s">
        <v>1135</v>
      </c>
      <c r="BJ32" s="482">
        <f>_xll.RtGet($BN$7,$BN$8&amp;BI32&amp;$BN$9,$BJ$7)</f>
        <v>-0.26116234399999999</v>
      </c>
      <c r="BK32" s="483">
        <f>_xll.RtGet($BN$7,$BN$8&amp;BI32&amp;$BN$9,$BK$7)</f>
        <v>-0.26116234399999999</v>
      </c>
      <c r="BL32" s="432"/>
      <c r="BM32" s="435"/>
      <c r="BN32" s="435"/>
      <c r="BO32" s="430"/>
      <c r="BP32" s="655"/>
      <c r="BQ32" s="656"/>
      <c r="BR32" s="656"/>
      <c r="BS32" s="656"/>
      <c r="BT32" s="656"/>
      <c r="BU32" s="656"/>
      <c r="BV32" s="656"/>
      <c r="BW32" s="656"/>
      <c r="BX32" s="656"/>
      <c r="BY32" s="656"/>
      <c r="BZ32" s="656"/>
      <c r="CA32" s="656"/>
      <c r="CB32" s="656"/>
      <c r="CC32" s="656"/>
      <c r="CD32" s="656"/>
      <c r="CE32" s="656"/>
      <c r="CF32" s="656"/>
      <c r="CG32" s="656"/>
      <c r="CH32" s="656"/>
      <c r="CI32" s="656"/>
      <c r="CJ32" s="656"/>
      <c r="CK32" s="656"/>
      <c r="CL32" s="656"/>
      <c r="CM32" s="656"/>
      <c r="CN32" s="656"/>
      <c r="CO32" s="656"/>
      <c r="CP32" s="656"/>
      <c r="CQ32" s="656"/>
      <c r="CR32" s="656"/>
      <c r="CS32" s="656"/>
      <c r="CT32" s="656"/>
      <c r="CU32" s="656"/>
      <c r="CV32" s="656"/>
      <c r="CW32" s="656"/>
      <c r="CX32" s="656"/>
      <c r="CY32" s="656"/>
      <c r="CZ32" s="656"/>
      <c r="DA32" s="656"/>
      <c r="DB32" s="656"/>
      <c r="DC32" s="656"/>
      <c r="DD32" s="656"/>
      <c r="DE32" s="656"/>
      <c r="DF32" s="656"/>
      <c r="DG32" s="656"/>
      <c r="DH32" s="656"/>
      <c r="DI32" s="656"/>
      <c r="DJ32" s="656"/>
      <c r="DK32" s="656"/>
      <c r="DL32" s="656"/>
      <c r="DM32" s="656"/>
      <c r="DN32" s="656"/>
      <c r="DO32" s="656"/>
      <c r="DP32" s="656"/>
      <c r="DQ32" s="656"/>
      <c r="DR32" s="656"/>
      <c r="DS32" s="656"/>
      <c r="DT32" s="656"/>
      <c r="DU32" s="656"/>
      <c r="DV32" s="656"/>
      <c r="DW32" s="656"/>
      <c r="DX32" s="656"/>
      <c r="DY32" s="656"/>
      <c r="DZ32" s="656"/>
    </row>
    <row r="33" spans="1:130">
      <c r="A33" s="437"/>
      <c r="B33" s="585" t="s">
        <v>1077</v>
      </c>
      <c r="C33" s="504" t="s">
        <v>1062</v>
      </c>
      <c r="D33" s="558"/>
      <c r="E33" s="452" t="b">
        <f>IF(E27,FALSE,TRUE)</f>
        <v>1</v>
      </c>
      <c r="F33" s="566" t="str">
        <f t="shared" si="21"/>
        <v>Dec 19</v>
      </c>
      <c r="G33" s="567" t="str">
        <f>_xll.xlFutCode(H33)</f>
        <v>Z9</v>
      </c>
      <c r="H33" s="568">
        <f>_xll.xlDateNextFutLIFFE(H32)</f>
        <v>43817</v>
      </c>
      <c r="I33" s="470">
        <f t="shared" si="22"/>
        <v>99.867500000000007</v>
      </c>
      <c r="J33" s="569"/>
      <c r="K33" s="570">
        <f t="shared" si="27"/>
        <v>2E-3</v>
      </c>
      <c r="L33" s="569">
        <f t="shared" si="23"/>
        <v>99.869500000000002</v>
      </c>
      <c r="M33" s="474">
        <f t="shared" si="28"/>
        <v>8</v>
      </c>
      <c r="N33" s="475">
        <f t="shared" si="24"/>
        <v>8</v>
      </c>
      <c r="O33" s="474" t="str">
        <f t="shared" si="29"/>
        <v/>
      </c>
      <c r="P33" s="475" t="str">
        <f t="shared" si="25"/>
        <v/>
      </c>
      <c r="Q33" s="432"/>
      <c r="R33" s="529" t="str">
        <f t="shared" si="30"/>
        <v/>
      </c>
      <c r="S33" s="473" t="str">
        <f t="shared" si="26"/>
        <v/>
      </c>
      <c r="T33" s="435"/>
      <c r="U33" s="478">
        <v>47547</v>
      </c>
      <c r="V33" s="479">
        <v>0.85839985606430258</v>
      </c>
      <c r="W33" s="435"/>
      <c r="X33" s="580" t="str">
        <f>_xll.xlFutCode(H29)</f>
        <v>Z8</v>
      </c>
      <c r="Y33" s="482">
        <f>_xll.RtGet($AE$29,$AE$30&amp;$X33&amp;$AE$31,Y$29)</f>
        <v>100.2625</v>
      </c>
      <c r="Z33" s="581">
        <f>_xll.RtGet($AE$29,$AE$30&amp;$X33&amp;$AE$31,Z$29)</f>
        <v>100.2625</v>
      </c>
      <c r="AA33" s="582">
        <f>_xll.RtGet($AE$29,$AE$30&amp;$X33&amp;$AE$31,AA$29)</f>
        <v>3.7500000000000001E-4</v>
      </c>
      <c r="AB33" s="583">
        <f>_xll.RtGet($AE$29,$AE$30&amp;$X33&amp;$AE$31,AB$29)</f>
        <v>43453</v>
      </c>
      <c r="AC33" s="432"/>
      <c r="AD33" s="435"/>
      <c r="AE33" s="435"/>
      <c r="AF33" s="564"/>
      <c r="AG33" s="435"/>
      <c r="AH33" s="435"/>
      <c r="AI33" s="435"/>
      <c r="AJ33" s="586" t="b">
        <v>1</v>
      </c>
      <c r="AK33" s="435"/>
      <c r="AL33" s="431"/>
      <c r="AM33" s="432"/>
      <c r="AN33" s="432"/>
      <c r="AO33" s="432"/>
      <c r="AP33" s="487" t="b">
        <v>1</v>
      </c>
      <c r="AQ33" s="540" t="str">
        <f t="shared" si="19"/>
        <v>3Y</v>
      </c>
      <c r="AR33" s="474">
        <f t="shared" si="10"/>
        <v>36</v>
      </c>
      <c r="AS33" s="475" t="s">
        <v>1096</v>
      </c>
      <c r="AT33" s="470">
        <f t="shared" si="20"/>
        <v>-6.2000039999999999E-2</v>
      </c>
      <c r="AU33" s="471"/>
      <c r="AV33" s="472"/>
      <c r="AW33" s="473">
        <f t="shared" si="11"/>
        <v>-6.2000039999999999E-2</v>
      </c>
      <c r="AX33" s="474">
        <f t="shared" si="17"/>
        <v>31</v>
      </c>
      <c r="AY33" s="475">
        <f t="shared" si="12"/>
        <v>31</v>
      </c>
      <c r="AZ33" s="474">
        <f t="shared" si="18"/>
        <v>31</v>
      </c>
      <c r="BA33" s="475">
        <f t="shared" si="13"/>
        <v>31</v>
      </c>
      <c r="BB33" s="474">
        <f t="shared" si="14"/>
        <v>36</v>
      </c>
      <c r="BC33" s="434" t="str">
        <f t="shared" si="15"/>
        <v>e</v>
      </c>
      <c r="BD33" s="473">
        <f t="shared" si="16"/>
        <v>-6.2000039999999999E-2</v>
      </c>
      <c r="BE33" s="435"/>
      <c r="BF33" s="489" t="str">
        <v>-</v>
      </c>
      <c r="BG33" s="479" t="str">
        <v>-</v>
      </c>
      <c r="BH33" s="435"/>
      <c r="BI33" s="519" t="s">
        <v>1136</v>
      </c>
      <c r="BJ33" s="482">
        <f>_xll.RtGet($BN$7,$BN$8&amp;BI33&amp;$BN$9,$BJ$7)</f>
        <v>-0.24856678500000001</v>
      </c>
      <c r="BK33" s="483">
        <f>_xll.RtGet($BN$7,$BN$8&amp;BI33&amp;$BN$9,$BK$7)</f>
        <v>-0.24856678500000001</v>
      </c>
      <c r="BL33" s="432"/>
      <c r="BM33" s="435"/>
      <c r="BN33" s="435"/>
      <c r="BO33" s="430"/>
      <c r="BP33" s="655"/>
      <c r="BQ33" s="656"/>
      <c r="BR33" s="656"/>
      <c r="BS33" s="656"/>
      <c r="BT33" s="656"/>
      <c r="BU33" s="656"/>
      <c r="BV33" s="656"/>
      <c r="BW33" s="656"/>
      <c r="BX33" s="656"/>
      <c r="BY33" s="656"/>
      <c r="BZ33" s="656"/>
      <c r="CA33" s="656"/>
      <c r="CB33" s="656"/>
      <c r="CC33" s="656"/>
      <c r="CD33" s="656"/>
      <c r="CE33" s="656"/>
      <c r="CF33" s="656"/>
      <c r="CG33" s="656"/>
      <c r="CH33" s="656"/>
      <c r="CI33" s="656"/>
      <c r="CJ33" s="656"/>
      <c r="CK33" s="656"/>
      <c r="CL33" s="656"/>
      <c r="CM33" s="656"/>
      <c r="CN33" s="656"/>
      <c r="CO33" s="656"/>
      <c r="CP33" s="656"/>
      <c r="CQ33" s="656"/>
      <c r="CR33" s="656"/>
      <c r="CS33" s="656"/>
      <c r="CT33" s="656"/>
      <c r="CU33" s="656"/>
      <c r="CV33" s="656"/>
      <c r="CW33" s="656"/>
      <c r="CX33" s="656"/>
      <c r="CY33" s="656"/>
      <c r="CZ33" s="656"/>
      <c r="DA33" s="656"/>
      <c r="DB33" s="656"/>
      <c r="DC33" s="656"/>
      <c r="DD33" s="656"/>
      <c r="DE33" s="656"/>
      <c r="DF33" s="656"/>
      <c r="DG33" s="656"/>
      <c r="DH33" s="656"/>
      <c r="DI33" s="656"/>
      <c r="DJ33" s="656"/>
      <c r="DK33" s="656"/>
      <c r="DL33" s="656"/>
      <c r="DM33" s="656"/>
      <c r="DN33" s="656"/>
      <c r="DO33" s="656"/>
      <c r="DP33" s="656"/>
      <c r="DQ33" s="656"/>
      <c r="DR33" s="656"/>
      <c r="DS33" s="656"/>
      <c r="DT33" s="656"/>
      <c r="DU33" s="656"/>
      <c r="DV33" s="656"/>
      <c r="DW33" s="656"/>
      <c r="DX33" s="656"/>
      <c r="DY33" s="656"/>
      <c r="DZ33" s="656"/>
    </row>
    <row r="34" spans="1:130">
      <c r="A34" s="437"/>
      <c r="B34" s="587" t="s">
        <v>1138</v>
      </c>
      <c r="C34" s="588" t="s">
        <v>1113</v>
      </c>
      <c r="D34" s="558"/>
      <c r="E34" s="452" t="b">
        <f>IF(E28,FALSE,TRUE)</f>
        <v>0</v>
      </c>
      <c r="F34" s="566" t="str">
        <f t="shared" si="21"/>
        <v>Mar 20</v>
      </c>
      <c r="G34" s="567" t="str">
        <f>_xll.xlFutCode(H34)</f>
        <v>H0</v>
      </c>
      <c r="H34" s="568">
        <f>_xll.xlDateNextFutLIFFE(H33)</f>
        <v>43908</v>
      </c>
      <c r="I34" s="470">
        <f t="shared" si="22"/>
        <v>99.752499999999998</v>
      </c>
      <c r="J34" s="569"/>
      <c r="K34" s="570">
        <f t="shared" si="27"/>
        <v>3.2500000000000003E-3</v>
      </c>
      <c r="L34" s="569">
        <f t="shared" si="23"/>
        <v>99.755749999999992</v>
      </c>
      <c r="M34" s="474">
        <f t="shared" si="28"/>
        <v>9</v>
      </c>
      <c r="N34" s="475" t="str">
        <f t="shared" si="24"/>
        <v/>
      </c>
      <c r="O34" s="474" t="str">
        <f t="shared" si="29"/>
        <v/>
      </c>
      <c r="P34" s="475" t="str">
        <f t="shared" si="25"/>
        <v/>
      </c>
      <c r="Q34" s="432"/>
      <c r="R34" s="529" t="str">
        <f t="shared" si="30"/>
        <v/>
      </c>
      <c r="S34" s="473" t="str">
        <f t="shared" si="26"/>
        <v/>
      </c>
      <c r="T34" s="435"/>
      <c r="U34" s="478">
        <v>47912</v>
      </c>
      <c r="V34" s="479">
        <v>0.83989203265230217</v>
      </c>
      <c r="W34" s="435"/>
      <c r="X34" s="580" t="str">
        <f>_xll.xlFutCode(H30)</f>
        <v>H9</v>
      </c>
      <c r="Y34" s="482">
        <f>_xll.RtGet($AE$29,$AE$30&amp;$X34&amp;$AE$31,Y$29)</f>
        <v>100.19750000000001</v>
      </c>
      <c r="Z34" s="581">
        <f>_xll.RtGet($AE$29,$AE$30&amp;$X34&amp;$AE$31,Z$29)</f>
        <v>100.19750000000001</v>
      </c>
      <c r="AA34" s="582">
        <f>_xll.RtGet($AE$29,$AE$30&amp;$X34&amp;$AE$31,AA$29)</f>
        <v>7.5000000000000002E-4</v>
      </c>
      <c r="AB34" s="583">
        <f>_xll.RtGet($AE$29,$AE$30&amp;$X34&amp;$AE$31,AB$29)</f>
        <v>43544</v>
      </c>
      <c r="AC34" s="432"/>
      <c r="AD34" s="435"/>
      <c r="AE34" s="435"/>
      <c r="AF34" s="564"/>
      <c r="AG34" s="435"/>
      <c r="AH34" s="435"/>
      <c r="AI34" s="435"/>
      <c r="AJ34" s="589" t="b">
        <v>0</v>
      </c>
      <c r="AK34" s="435"/>
      <c r="AL34" s="431"/>
      <c r="AM34" s="432"/>
      <c r="AN34" s="432"/>
      <c r="AO34" s="432"/>
      <c r="AP34" s="487" t="b">
        <v>1</v>
      </c>
      <c r="AQ34" s="540" t="str">
        <f t="shared" si="19"/>
        <v>4Y</v>
      </c>
      <c r="AR34" s="474">
        <f t="shared" si="10"/>
        <v>48</v>
      </c>
      <c r="AS34" s="475" t="s">
        <v>1096</v>
      </c>
      <c r="AT34" s="470">
        <f t="shared" si="20"/>
        <v>0.11700005600000001</v>
      </c>
      <c r="AU34" s="471"/>
      <c r="AV34" s="472"/>
      <c r="AW34" s="473">
        <f t="shared" si="11"/>
        <v>0.11700005600000001</v>
      </c>
      <c r="AX34" s="474">
        <f t="shared" si="17"/>
        <v>32</v>
      </c>
      <c r="AY34" s="475">
        <f t="shared" si="12"/>
        <v>32</v>
      </c>
      <c r="AZ34" s="474">
        <f t="shared" si="18"/>
        <v>32</v>
      </c>
      <c r="BA34" s="475">
        <f t="shared" si="13"/>
        <v>32</v>
      </c>
      <c r="BB34" s="474">
        <f t="shared" si="14"/>
        <v>48</v>
      </c>
      <c r="BC34" s="434" t="str">
        <f t="shared" si="15"/>
        <v>e</v>
      </c>
      <c r="BD34" s="473">
        <f t="shared" si="16"/>
        <v>0.11700005600000001</v>
      </c>
      <c r="BE34" s="435"/>
      <c r="BF34" s="489" t="str">
        <v>-</v>
      </c>
      <c r="BG34" s="479" t="str">
        <v>-</v>
      </c>
      <c r="BH34" s="435"/>
      <c r="BI34" s="590" t="s">
        <v>1139</v>
      </c>
      <c r="BJ34" s="482">
        <f>_xll.RtGet($BN$7,$BN$8&amp;BI34&amp;$BN$9,$BJ$7)</f>
        <v>-0.23600000000000002</v>
      </c>
      <c r="BK34" s="483">
        <f>_xll.RtGet($BN$7,$BN$8&amp;BI34&amp;$BN$9,$BK$7)</f>
        <v>-0.23600000000000002</v>
      </c>
      <c r="BL34" s="435"/>
      <c r="BM34" s="435"/>
      <c r="BN34" s="435"/>
      <c r="BO34" s="430"/>
      <c r="BP34" s="655"/>
      <c r="BQ34" s="656"/>
      <c r="BR34" s="656"/>
      <c r="BS34" s="656"/>
      <c r="BT34" s="656"/>
      <c r="BU34" s="656"/>
      <c r="BV34" s="656"/>
      <c r="BW34" s="656"/>
      <c r="BX34" s="656"/>
      <c r="BY34" s="656"/>
      <c r="BZ34" s="656"/>
      <c r="CA34" s="656"/>
      <c r="CB34" s="656"/>
      <c r="CC34" s="656"/>
      <c r="CD34" s="656"/>
      <c r="CE34" s="656"/>
      <c r="CF34" s="656"/>
      <c r="CG34" s="656"/>
      <c r="CH34" s="656"/>
      <c r="CI34" s="656"/>
      <c r="CJ34" s="656"/>
      <c r="CK34" s="656"/>
      <c r="CL34" s="656"/>
      <c r="CM34" s="656"/>
      <c r="CN34" s="656"/>
      <c r="CO34" s="656"/>
      <c r="CP34" s="656"/>
      <c r="CQ34" s="656"/>
      <c r="CR34" s="656"/>
      <c r="CS34" s="656"/>
      <c r="CT34" s="656"/>
      <c r="CU34" s="656"/>
      <c r="CV34" s="656"/>
      <c r="CW34" s="656"/>
      <c r="CX34" s="656"/>
      <c r="CY34" s="656"/>
      <c r="CZ34" s="656"/>
      <c r="DA34" s="656"/>
      <c r="DB34" s="656"/>
      <c r="DC34" s="656"/>
      <c r="DD34" s="656"/>
      <c r="DE34" s="656"/>
      <c r="DF34" s="656"/>
      <c r="DG34" s="656"/>
      <c r="DH34" s="656"/>
      <c r="DI34" s="656"/>
      <c r="DJ34" s="656"/>
      <c r="DK34" s="656"/>
      <c r="DL34" s="656"/>
      <c r="DM34" s="656"/>
      <c r="DN34" s="656"/>
      <c r="DO34" s="656"/>
      <c r="DP34" s="656"/>
      <c r="DQ34" s="656"/>
      <c r="DR34" s="656"/>
      <c r="DS34" s="656"/>
      <c r="DT34" s="656"/>
      <c r="DU34" s="656"/>
      <c r="DV34" s="656"/>
      <c r="DW34" s="656"/>
      <c r="DX34" s="656"/>
      <c r="DY34" s="656"/>
      <c r="DZ34" s="656"/>
    </row>
    <row r="35" spans="1:130">
      <c r="A35" s="437"/>
      <c r="B35" s="587" t="s">
        <v>1141</v>
      </c>
      <c r="C35" s="588" t="s">
        <v>84</v>
      </c>
      <c r="D35" s="558"/>
      <c r="E35" s="452" t="b">
        <f>IF(E29,FALSE,TRUE)</f>
        <v>0</v>
      </c>
      <c r="F35" s="566" t="str">
        <f t="shared" si="21"/>
        <v>Jun 20</v>
      </c>
      <c r="G35" s="567" t="str">
        <f>_xll.xlFutCode(H35)</f>
        <v>M0</v>
      </c>
      <c r="H35" s="568">
        <f>_xll.xlDateNextFutLIFFE(H34)</f>
        <v>43999</v>
      </c>
      <c r="I35" s="470">
        <f t="shared" si="22"/>
        <v>99.642499999999998</v>
      </c>
      <c r="J35" s="569"/>
      <c r="K35" s="570">
        <f t="shared" si="27"/>
        <v>3.7500000000000003E-3</v>
      </c>
      <c r="L35" s="569">
        <f t="shared" si="23"/>
        <v>99.646249999999995</v>
      </c>
      <c r="M35" s="474">
        <f t="shared" si="28"/>
        <v>10</v>
      </c>
      <c r="N35" s="475" t="str">
        <f t="shared" si="24"/>
        <v/>
      </c>
      <c r="O35" s="474" t="str">
        <f t="shared" si="29"/>
        <v/>
      </c>
      <c r="P35" s="475" t="str">
        <f t="shared" si="25"/>
        <v/>
      </c>
      <c r="Q35" s="432"/>
      <c r="R35" s="529" t="str">
        <f t="shared" si="30"/>
        <v/>
      </c>
      <c r="S35" s="473" t="str">
        <f t="shared" si="26"/>
        <v/>
      </c>
      <c r="T35" s="432"/>
      <c r="U35" s="478">
        <v>48278</v>
      </c>
      <c r="V35" s="479">
        <v>0.82171013469183596</v>
      </c>
      <c r="W35" s="435"/>
      <c r="X35" s="580" t="str">
        <f>_xll.xlFutCode(H31)</f>
        <v>M9</v>
      </c>
      <c r="Y35" s="482">
        <f>_xll.RtGet($AE$29,$AE$30&amp;$X35&amp;$AE$31,Y$29)</f>
        <v>100.10250000000001</v>
      </c>
      <c r="Z35" s="581">
        <f>_xll.RtGet($AE$29,$AE$30&amp;$X35&amp;$AE$31,Z$29)</f>
        <v>100.10250000000001</v>
      </c>
      <c r="AA35" s="582">
        <f>_xll.RtGet($AE$29,$AE$30&amp;$X35&amp;$AE$31,AA$29)</f>
        <v>1.25E-3</v>
      </c>
      <c r="AB35" s="583">
        <f>_xll.RtGet($AE$29,$AE$30&amp;$X35&amp;$AE$31,AB$29)</f>
        <v>43635</v>
      </c>
      <c r="AC35" s="432"/>
      <c r="AD35" s="435"/>
      <c r="AE35" s="435"/>
      <c r="AF35" s="564"/>
      <c r="AG35" s="429"/>
      <c r="AH35" s="429"/>
      <c r="AI35" s="429"/>
      <c r="AJ35" s="429"/>
      <c r="AK35" s="429"/>
      <c r="AL35" s="431"/>
      <c r="AM35" s="432"/>
      <c r="AN35" s="432"/>
      <c r="AO35" s="432"/>
      <c r="AP35" s="487" t="b">
        <v>1</v>
      </c>
      <c r="AQ35" s="591" t="str">
        <f t="shared" si="19"/>
        <v>5Y</v>
      </c>
      <c r="AR35" s="434">
        <f t="shared" si="10"/>
        <v>60</v>
      </c>
      <c r="AS35" s="475" t="s">
        <v>1096</v>
      </c>
      <c r="AT35" s="470">
        <f t="shared" si="20"/>
        <v>0.28000000200000003</v>
      </c>
      <c r="AU35" s="471"/>
      <c r="AV35" s="472"/>
      <c r="AW35" s="473">
        <f t="shared" si="11"/>
        <v>0.28000000200000003</v>
      </c>
      <c r="AX35" s="474">
        <f t="shared" si="17"/>
        <v>33</v>
      </c>
      <c r="AY35" s="475">
        <f t="shared" si="12"/>
        <v>33</v>
      </c>
      <c r="AZ35" s="474">
        <f t="shared" si="18"/>
        <v>33</v>
      </c>
      <c r="BA35" s="475">
        <f t="shared" si="13"/>
        <v>33</v>
      </c>
      <c r="BB35" s="474">
        <f t="shared" si="14"/>
        <v>60</v>
      </c>
      <c r="BC35" s="434" t="str">
        <f t="shared" si="15"/>
        <v>e</v>
      </c>
      <c r="BD35" s="473">
        <f t="shared" si="16"/>
        <v>0.28000000200000003</v>
      </c>
      <c r="BE35" s="432"/>
      <c r="BF35" s="489" t="str">
        <v>-</v>
      </c>
      <c r="BG35" s="479" t="str">
        <v>-</v>
      </c>
      <c r="BH35" s="435"/>
      <c r="BI35" s="590" t="s">
        <v>1137</v>
      </c>
      <c r="BJ35" s="482">
        <f>_xll.RtGet($BN$7,$BN$8&amp;BI35&amp;$BN$9,$BJ$7)</f>
        <v>-6.2000039999999999E-2</v>
      </c>
      <c r="BK35" s="483">
        <f>_xll.RtGet($BN$7,$BN$8&amp;BI35&amp;$BN$9,$BK$7)</f>
        <v>-6.2000039999999999E-2</v>
      </c>
      <c r="BL35" s="432"/>
      <c r="BM35" s="435"/>
      <c r="BN35" s="435"/>
      <c r="BO35" s="430"/>
      <c r="BP35" s="655"/>
      <c r="BQ35" s="656"/>
      <c r="BR35" s="656"/>
      <c r="BS35" s="656"/>
      <c r="BT35" s="656"/>
      <c r="BU35" s="656"/>
      <c r="BV35" s="656"/>
      <c r="BW35" s="656"/>
      <c r="BX35" s="656"/>
      <c r="BY35" s="656"/>
      <c r="BZ35" s="656"/>
      <c r="CA35" s="656"/>
      <c r="CB35" s="656"/>
      <c r="CC35" s="656"/>
      <c r="CD35" s="656"/>
      <c r="CE35" s="656"/>
      <c r="CF35" s="656"/>
      <c r="CG35" s="656"/>
      <c r="CH35" s="656"/>
      <c r="CI35" s="656"/>
      <c r="CJ35" s="656"/>
      <c r="CK35" s="656"/>
      <c r="CL35" s="656"/>
      <c r="CM35" s="656"/>
      <c r="CN35" s="656"/>
      <c r="CO35" s="656"/>
      <c r="CP35" s="656"/>
      <c r="CQ35" s="656"/>
      <c r="CR35" s="656"/>
      <c r="CS35" s="656"/>
      <c r="CT35" s="656"/>
      <c r="CU35" s="656"/>
      <c r="CV35" s="656"/>
      <c r="CW35" s="656"/>
      <c r="CX35" s="656"/>
      <c r="CY35" s="656"/>
      <c r="CZ35" s="656"/>
      <c r="DA35" s="656"/>
      <c r="DB35" s="656"/>
      <c r="DC35" s="656"/>
      <c r="DD35" s="656"/>
      <c r="DE35" s="656"/>
      <c r="DF35" s="656"/>
      <c r="DG35" s="656"/>
      <c r="DH35" s="656"/>
      <c r="DI35" s="656"/>
      <c r="DJ35" s="656"/>
      <c r="DK35" s="656"/>
      <c r="DL35" s="656"/>
      <c r="DM35" s="656"/>
      <c r="DN35" s="656"/>
      <c r="DO35" s="656"/>
      <c r="DP35" s="656"/>
      <c r="DQ35" s="656"/>
      <c r="DR35" s="656"/>
      <c r="DS35" s="656"/>
      <c r="DT35" s="656"/>
      <c r="DU35" s="656"/>
      <c r="DV35" s="656"/>
      <c r="DW35" s="656"/>
      <c r="DX35" s="656"/>
      <c r="DY35" s="656"/>
      <c r="DZ35" s="656"/>
    </row>
    <row r="36" spans="1:130">
      <c r="A36" s="437"/>
      <c r="B36" s="435"/>
      <c r="C36" s="435"/>
      <c r="D36" s="558"/>
      <c r="E36" s="507" t="b">
        <f>IF(E30,FALSE,TRUE)</f>
        <v>0</v>
      </c>
      <c r="F36" s="592" t="str">
        <f t="shared" si="21"/>
        <v>Sep 20</v>
      </c>
      <c r="G36" s="593" t="str">
        <f>_xll.xlFutCode(H36)</f>
        <v>U0</v>
      </c>
      <c r="H36" s="594">
        <f>_xll.xlDateNextFutLIFFE(H35)</f>
        <v>44090</v>
      </c>
      <c r="I36" s="510">
        <f t="shared" si="22"/>
        <v>99.527500000000003</v>
      </c>
      <c r="J36" s="552"/>
      <c r="K36" s="595">
        <f t="shared" si="27"/>
        <v>0.01</v>
      </c>
      <c r="L36" s="552">
        <f t="shared" si="23"/>
        <v>99.537500000000009</v>
      </c>
      <c r="M36" s="536">
        <f t="shared" si="28"/>
        <v>11</v>
      </c>
      <c r="N36" s="537" t="str">
        <f t="shared" si="24"/>
        <v/>
      </c>
      <c r="O36" s="536" t="str">
        <f t="shared" si="29"/>
        <v/>
      </c>
      <c r="P36" s="537" t="str">
        <f t="shared" si="25"/>
        <v/>
      </c>
      <c r="Q36" s="531"/>
      <c r="R36" s="532" t="str">
        <f t="shared" si="30"/>
        <v/>
      </c>
      <c r="S36" s="513" t="str">
        <f>IF(LEN(P36)&gt;0,INDEX($L$26:$L$37,$P36),"")</f>
        <v/>
      </c>
      <c r="T36" s="432"/>
      <c r="U36" s="478">
        <v>48645</v>
      </c>
      <c r="V36" s="479">
        <v>0.80395167723315253</v>
      </c>
      <c r="W36" s="435"/>
      <c r="X36" s="580" t="str">
        <f>_xll.xlFutCode(H32)</f>
        <v>U9</v>
      </c>
      <c r="Y36" s="482">
        <f>_xll.RtGet($AE$29,$AE$30&amp;$X36&amp;$AE$31,Y$29)</f>
        <v>99.982500000000002</v>
      </c>
      <c r="Z36" s="581">
        <f>_xll.RtGet($AE$29,$AE$30&amp;$X36&amp;$AE$31,Z$29)</f>
        <v>99.982500000000002</v>
      </c>
      <c r="AA36" s="582">
        <f>_xll.RtGet($AE$29,$AE$30&amp;$X36&amp;$AE$31,AA$29)</f>
        <v>1.4E-3</v>
      </c>
      <c r="AB36" s="583">
        <f>_xll.RtGet($AE$29,$AE$30&amp;$X36&amp;$AE$31,AB$29)</f>
        <v>43726</v>
      </c>
      <c r="AC36" s="432"/>
      <c r="AD36" s="435"/>
      <c r="AE36" s="435"/>
      <c r="AF36" s="564"/>
      <c r="AG36" s="429"/>
      <c r="AH36" s="429"/>
      <c r="AI36" s="429"/>
      <c r="AJ36" s="429"/>
      <c r="AK36" s="435"/>
      <c r="AL36" s="431"/>
      <c r="AM36" s="435"/>
      <c r="AN36" s="435"/>
      <c r="AO36" s="432"/>
      <c r="AP36" s="487" t="b">
        <v>1</v>
      </c>
      <c r="AQ36" s="591" t="str">
        <f t="shared" si="19"/>
        <v>6Y</v>
      </c>
      <c r="AR36" s="434">
        <f t="shared" si="10"/>
        <v>72</v>
      </c>
      <c r="AS36" s="475" t="s">
        <v>1096</v>
      </c>
      <c r="AT36" s="470">
        <f t="shared" si="20"/>
        <v>0.42799999900000002</v>
      </c>
      <c r="AU36" s="471"/>
      <c r="AV36" s="472"/>
      <c r="AW36" s="473">
        <f t="shared" si="11"/>
        <v>0.42799999900000002</v>
      </c>
      <c r="AX36" s="474">
        <f t="shared" si="17"/>
        <v>34</v>
      </c>
      <c r="AY36" s="475">
        <f t="shared" si="12"/>
        <v>34</v>
      </c>
      <c r="AZ36" s="474">
        <f t="shared" si="18"/>
        <v>34</v>
      </c>
      <c r="BA36" s="475">
        <f t="shared" si="13"/>
        <v>34</v>
      </c>
      <c r="BB36" s="474">
        <f t="shared" si="14"/>
        <v>72</v>
      </c>
      <c r="BC36" s="434" t="str">
        <f t="shared" si="15"/>
        <v>e</v>
      </c>
      <c r="BD36" s="473">
        <f t="shared" si="16"/>
        <v>0.42799999900000002</v>
      </c>
      <c r="BE36" s="432"/>
      <c r="BF36" s="489" t="str">
        <v>-</v>
      </c>
      <c r="BG36" s="479" t="str">
        <v>-</v>
      </c>
      <c r="BH36" s="435"/>
      <c r="BI36" s="590" t="s">
        <v>1140</v>
      </c>
      <c r="BJ36" s="482">
        <f>_xll.RtGet($BN$7,$BN$8&amp;BI36&amp;$BN$9,$BJ$7)</f>
        <v>0.11700005600000001</v>
      </c>
      <c r="BK36" s="483">
        <f>_xll.RtGet($BN$7,$BN$8&amp;BI36&amp;$BN$9,$BK$7)</f>
        <v>0.11700005600000001</v>
      </c>
      <c r="BL36" s="432"/>
      <c r="BM36" s="435"/>
      <c r="BN36" s="435"/>
      <c r="BO36" s="430"/>
      <c r="BP36" s="655"/>
      <c r="BQ36" s="656"/>
      <c r="BR36" s="656"/>
      <c r="BS36" s="656"/>
      <c r="BT36" s="656"/>
      <c r="BU36" s="656"/>
      <c r="BV36" s="656"/>
      <c r="BW36" s="656"/>
      <c r="BX36" s="656"/>
      <c r="BY36" s="656"/>
      <c r="BZ36" s="656"/>
      <c r="CA36" s="656"/>
      <c r="CB36" s="656"/>
      <c r="CC36" s="656"/>
      <c r="CD36" s="656"/>
      <c r="CE36" s="656"/>
      <c r="CF36" s="656"/>
      <c r="CG36" s="656"/>
      <c r="CH36" s="656"/>
      <c r="CI36" s="656"/>
      <c r="CJ36" s="656"/>
      <c r="CK36" s="656"/>
      <c r="CL36" s="656"/>
      <c r="CM36" s="656"/>
      <c r="CN36" s="656"/>
      <c r="CO36" s="656"/>
      <c r="CP36" s="656"/>
      <c r="CQ36" s="656"/>
      <c r="CR36" s="656"/>
      <c r="CS36" s="656"/>
      <c r="CT36" s="656"/>
      <c r="CU36" s="656"/>
      <c r="CV36" s="656"/>
      <c r="CW36" s="656"/>
      <c r="CX36" s="656"/>
      <c r="CY36" s="656"/>
      <c r="CZ36" s="656"/>
      <c r="DA36" s="656"/>
      <c r="DB36" s="656"/>
      <c r="DC36" s="656"/>
      <c r="DD36" s="656"/>
      <c r="DE36" s="656"/>
      <c r="DF36" s="656"/>
      <c r="DG36" s="656"/>
      <c r="DH36" s="656"/>
      <c r="DI36" s="656"/>
      <c r="DJ36" s="656"/>
      <c r="DK36" s="656"/>
      <c r="DL36" s="656"/>
      <c r="DM36" s="656"/>
      <c r="DN36" s="656"/>
      <c r="DO36" s="656"/>
      <c r="DP36" s="656"/>
      <c r="DQ36" s="656"/>
      <c r="DR36" s="656"/>
      <c r="DS36" s="656"/>
      <c r="DT36" s="656"/>
      <c r="DU36" s="656"/>
      <c r="DV36" s="656"/>
      <c r="DW36" s="656"/>
      <c r="DX36" s="656"/>
      <c r="DY36" s="656"/>
      <c r="DZ36" s="656"/>
    </row>
    <row r="37" spans="1:130">
      <c r="A37" s="437"/>
      <c r="B37" s="435"/>
      <c r="C37" s="435"/>
      <c r="D37" s="432"/>
      <c r="E37" s="435"/>
      <c r="F37" s="435"/>
      <c r="G37" s="435"/>
      <c r="H37" s="435"/>
      <c r="I37" s="435"/>
      <c r="J37" s="435"/>
      <c r="K37" s="435"/>
      <c r="L37" s="435"/>
      <c r="M37" s="432"/>
      <c r="N37" s="432"/>
      <c r="O37" s="432"/>
      <c r="P37" s="432"/>
      <c r="Q37" s="432"/>
      <c r="R37" s="432"/>
      <c r="S37" s="432"/>
      <c r="T37" s="432"/>
      <c r="U37" s="478">
        <v>49009</v>
      </c>
      <c r="V37" s="479">
        <v>0.78686709237738139</v>
      </c>
      <c r="W37" s="435"/>
      <c r="X37" s="580" t="str">
        <f>_xll.xlFutCode(H33)</f>
        <v>Z9</v>
      </c>
      <c r="Y37" s="482">
        <f>_xll.RtGet($AE$29,$AE$30&amp;$X37&amp;$AE$31,Y$29)</f>
        <v>99.867500000000007</v>
      </c>
      <c r="Z37" s="581">
        <f>_xll.RtGet($AE$29,$AE$30&amp;$X37&amp;$AE$31,Z$29)</f>
        <v>99.867500000000007</v>
      </c>
      <c r="AA37" s="582">
        <f>_xll.RtGet($AE$29,$AE$30&amp;$X37&amp;$AE$31,AA$29)</f>
        <v>2E-3</v>
      </c>
      <c r="AB37" s="583">
        <f>_xll.RtGet($AE$29,$AE$30&amp;$X37&amp;$AE$31,AB$29)</f>
        <v>43817</v>
      </c>
      <c r="AC37" s="432"/>
      <c r="AD37" s="435"/>
      <c r="AE37" s="435"/>
      <c r="AF37" s="435"/>
      <c r="AG37" s="429"/>
      <c r="AH37" s="429"/>
      <c r="AI37" s="429"/>
      <c r="AJ37" s="429"/>
      <c r="AK37" s="435"/>
      <c r="AL37" s="431"/>
      <c r="AM37" s="435"/>
      <c r="AN37" s="435"/>
      <c r="AO37" s="432"/>
      <c r="AP37" s="487" t="b">
        <v>1</v>
      </c>
      <c r="AQ37" s="591" t="str">
        <f t="shared" si="19"/>
        <v>7Y</v>
      </c>
      <c r="AR37" s="434">
        <f t="shared" si="10"/>
        <v>84</v>
      </c>
      <c r="AS37" s="475" t="s">
        <v>1096</v>
      </c>
      <c r="AT37" s="470">
        <f t="shared" si="20"/>
        <v>0.56299999900000008</v>
      </c>
      <c r="AU37" s="471"/>
      <c r="AV37" s="472"/>
      <c r="AW37" s="473">
        <f t="shared" si="11"/>
        <v>0.56299999900000008</v>
      </c>
      <c r="AX37" s="474">
        <f t="shared" si="17"/>
        <v>35</v>
      </c>
      <c r="AY37" s="475">
        <f t="shared" si="12"/>
        <v>35</v>
      </c>
      <c r="AZ37" s="474">
        <f t="shared" si="18"/>
        <v>35</v>
      </c>
      <c r="BA37" s="475">
        <f t="shared" si="13"/>
        <v>35</v>
      </c>
      <c r="BB37" s="474">
        <f t="shared" si="14"/>
        <v>84</v>
      </c>
      <c r="BC37" s="434" t="str">
        <f t="shared" si="15"/>
        <v>e</v>
      </c>
      <c r="BD37" s="473">
        <f t="shared" si="16"/>
        <v>0.56299999900000008</v>
      </c>
      <c r="BE37" s="432"/>
      <c r="BF37" s="489" t="str">
        <v>-</v>
      </c>
      <c r="BG37" s="479" t="str">
        <v>-</v>
      </c>
      <c r="BH37" s="435"/>
      <c r="BI37" s="590" t="s">
        <v>1142</v>
      </c>
      <c r="BJ37" s="482">
        <f>_xll.RtGet($BN$7,$BN$8&amp;BI37&amp;$BN$9,$BJ$7)</f>
        <v>0.28000000200000003</v>
      </c>
      <c r="BK37" s="483">
        <f>_xll.RtGet($BN$7,$BN$8&amp;BI37&amp;$BN$9,$BK$7)</f>
        <v>0.28000000200000003</v>
      </c>
      <c r="BL37" s="432"/>
      <c r="BM37" s="435"/>
      <c r="BN37" s="435"/>
      <c r="BO37" s="430"/>
      <c r="BP37" s="655"/>
      <c r="BQ37" s="656"/>
      <c r="BR37" s="656"/>
      <c r="BS37" s="656"/>
      <c r="BT37" s="656"/>
      <c r="BU37" s="656"/>
      <c r="BV37" s="656"/>
      <c r="BW37" s="656"/>
      <c r="BX37" s="656"/>
      <c r="BY37" s="656"/>
      <c r="BZ37" s="656"/>
      <c r="CA37" s="656"/>
      <c r="CB37" s="656"/>
      <c r="CC37" s="656"/>
      <c r="CD37" s="656"/>
      <c r="CE37" s="656"/>
      <c r="CF37" s="656"/>
      <c r="CG37" s="656"/>
      <c r="CH37" s="656"/>
      <c r="CI37" s="656"/>
      <c r="CJ37" s="656"/>
      <c r="CK37" s="656"/>
      <c r="CL37" s="656"/>
      <c r="CM37" s="656"/>
      <c r="CN37" s="656"/>
      <c r="CO37" s="656"/>
      <c r="CP37" s="656"/>
      <c r="CQ37" s="656"/>
      <c r="CR37" s="656"/>
      <c r="CS37" s="656"/>
      <c r="CT37" s="656"/>
      <c r="CU37" s="656"/>
      <c r="CV37" s="656"/>
      <c r="CW37" s="656"/>
      <c r="CX37" s="656"/>
      <c r="CY37" s="656"/>
      <c r="CZ37" s="656"/>
      <c r="DA37" s="656"/>
      <c r="DB37" s="656"/>
      <c r="DC37" s="656"/>
      <c r="DD37" s="656"/>
      <c r="DE37" s="656"/>
      <c r="DF37" s="656"/>
      <c r="DG37" s="656"/>
      <c r="DH37" s="656"/>
      <c r="DI37" s="656"/>
      <c r="DJ37" s="656"/>
      <c r="DK37" s="656"/>
      <c r="DL37" s="656"/>
      <c r="DM37" s="656"/>
      <c r="DN37" s="656"/>
      <c r="DO37" s="656"/>
      <c r="DP37" s="656"/>
      <c r="DQ37" s="656"/>
      <c r="DR37" s="656"/>
      <c r="DS37" s="656"/>
      <c r="DT37" s="656"/>
      <c r="DU37" s="656"/>
      <c r="DV37" s="656"/>
      <c r="DW37" s="656"/>
      <c r="DX37" s="656"/>
      <c r="DY37" s="656"/>
      <c r="DZ37" s="656"/>
    </row>
    <row r="38" spans="1:130">
      <c r="A38" s="437"/>
      <c r="B38" s="1009" t="s">
        <v>1145</v>
      </c>
      <c r="C38" s="1010"/>
      <c r="D38" s="432"/>
      <c r="E38" s="554" t="s">
        <v>1023</v>
      </c>
      <c r="F38" s="432"/>
      <c r="G38" s="432"/>
      <c r="H38" s="432"/>
      <c r="I38" s="438" t="s">
        <v>1024</v>
      </c>
      <c r="J38" s="438" t="s">
        <v>1025</v>
      </c>
      <c r="K38" s="438" t="s">
        <v>1026</v>
      </c>
      <c r="L38" s="438" t="s">
        <v>1027</v>
      </c>
      <c r="M38" s="435"/>
      <c r="N38" s="434"/>
      <c r="O38" s="432"/>
      <c r="P38" s="434"/>
      <c r="Q38" s="435"/>
      <c r="R38" s="435"/>
      <c r="S38" s="439">
        <f t="array" ref="S38">SUM(1*E39:E80)</f>
        <v>40</v>
      </c>
      <c r="T38" s="432"/>
      <c r="U38" s="478">
        <v>49373</v>
      </c>
      <c r="V38" s="479">
        <v>0.77038582702483793</v>
      </c>
      <c r="W38" s="435"/>
      <c r="X38" s="580" t="str">
        <f>_xll.xlFutCode(H34)</f>
        <v>H0</v>
      </c>
      <c r="Y38" s="482">
        <f>_xll.RtGet($AE$29,$AE$30&amp;$X38&amp;$AE$31,Y$29)</f>
        <v>99.752499999999998</v>
      </c>
      <c r="Z38" s="581">
        <f>_xll.RtGet($AE$29,$AE$30&amp;$X38&amp;$AE$31,Z$29)</f>
        <v>99.752499999999998</v>
      </c>
      <c r="AA38" s="582">
        <f>_xll.RtGet($AE$29,$AE$30&amp;$X38&amp;$AE$31,AA$29)</f>
        <v>3.2500000000000003E-3</v>
      </c>
      <c r="AB38" s="583">
        <f>_xll.RtGet($AE$29,$AE$30&amp;$X38&amp;$AE$31,AB$29)</f>
        <v>43908</v>
      </c>
      <c r="AC38" s="432"/>
      <c r="AD38" s="435"/>
      <c r="AE38" s="435"/>
      <c r="AF38" s="435"/>
      <c r="AG38" s="429"/>
      <c r="AH38" s="429"/>
      <c r="AI38" s="429"/>
      <c r="AJ38" s="429"/>
      <c r="AK38" s="435"/>
      <c r="AL38" s="431"/>
      <c r="AM38" s="435"/>
      <c r="AN38" s="435"/>
      <c r="AO38" s="432"/>
      <c r="AP38" s="487" t="b">
        <v>1</v>
      </c>
      <c r="AQ38" s="591" t="str">
        <f t="shared" si="19"/>
        <v>8Y</v>
      </c>
      <c r="AR38" s="434">
        <f t="shared" si="10"/>
        <v>96</v>
      </c>
      <c r="AS38" s="475" t="s">
        <v>1096</v>
      </c>
      <c r="AT38" s="470">
        <f t="shared" si="20"/>
        <v>0.68399999900000008</v>
      </c>
      <c r="AU38" s="471"/>
      <c r="AV38" s="472"/>
      <c r="AW38" s="473">
        <f t="shared" si="11"/>
        <v>0.68399999900000008</v>
      </c>
      <c r="AX38" s="474">
        <f t="shared" si="17"/>
        <v>36</v>
      </c>
      <c r="AY38" s="475">
        <f t="shared" si="12"/>
        <v>36</v>
      </c>
      <c r="AZ38" s="474">
        <f t="shared" si="18"/>
        <v>36</v>
      </c>
      <c r="BA38" s="475">
        <f t="shared" si="13"/>
        <v>36</v>
      </c>
      <c r="BB38" s="474">
        <f t="shared" si="14"/>
        <v>96</v>
      </c>
      <c r="BC38" s="434" t="str">
        <f t="shared" si="15"/>
        <v>e</v>
      </c>
      <c r="BD38" s="473">
        <f t="shared" si="16"/>
        <v>0.68399999900000008</v>
      </c>
      <c r="BE38" s="432"/>
      <c r="BF38" s="489" t="str">
        <v>-</v>
      </c>
      <c r="BG38" s="479" t="str">
        <v>-</v>
      </c>
      <c r="BH38" s="435"/>
      <c r="BI38" s="590" t="s">
        <v>1143</v>
      </c>
      <c r="BJ38" s="482">
        <f>_xll.RtGet($BN$7,$BN$8&amp;BI38&amp;$BN$9,$BJ$7)</f>
        <v>0.42799999900000002</v>
      </c>
      <c r="BK38" s="483">
        <f>_xll.RtGet($BN$7,$BN$8&amp;BI38&amp;$BN$9,$BK$7)</f>
        <v>0.42799999900000002</v>
      </c>
      <c r="BL38" s="432"/>
      <c r="BM38" s="435"/>
      <c r="BN38" s="435"/>
      <c r="BO38" s="430"/>
      <c r="BP38" s="655"/>
      <c r="BQ38" s="656"/>
      <c r="BR38" s="656"/>
      <c r="BS38" s="656"/>
      <c r="BT38" s="656"/>
      <c r="BU38" s="656"/>
      <c r="BV38" s="656"/>
      <c r="BW38" s="656"/>
      <c r="BX38" s="656"/>
      <c r="BY38" s="656"/>
      <c r="BZ38" s="656"/>
      <c r="CA38" s="656"/>
      <c r="CB38" s="656"/>
      <c r="CC38" s="656"/>
      <c r="CD38" s="656"/>
      <c r="CE38" s="656"/>
      <c r="CF38" s="656"/>
      <c r="CG38" s="656"/>
      <c r="CH38" s="656"/>
      <c r="CI38" s="656"/>
      <c r="CJ38" s="656"/>
      <c r="CK38" s="656"/>
      <c r="CL38" s="656"/>
      <c r="CM38" s="656"/>
      <c r="CN38" s="656"/>
      <c r="CO38" s="656"/>
      <c r="CP38" s="656"/>
      <c r="CQ38" s="656"/>
      <c r="CR38" s="656"/>
      <c r="CS38" s="656"/>
      <c r="CT38" s="656"/>
      <c r="CU38" s="656"/>
      <c r="CV38" s="656"/>
      <c r="CW38" s="656"/>
      <c r="CX38" s="656"/>
      <c r="CY38" s="656"/>
      <c r="CZ38" s="656"/>
      <c r="DA38" s="656"/>
      <c r="DB38" s="656"/>
      <c r="DC38" s="656"/>
      <c r="DD38" s="656"/>
      <c r="DE38" s="656"/>
      <c r="DF38" s="656"/>
      <c r="DG38" s="656"/>
      <c r="DH38" s="656"/>
      <c r="DI38" s="656"/>
      <c r="DJ38" s="656"/>
      <c r="DK38" s="656"/>
      <c r="DL38" s="656"/>
      <c r="DM38" s="656"/>
      <c r="DN38" s="656"/>
      <c r="DO38" s="656"/>
      <c r="DP38" s="656"/>
      <c r="DQ38" s="656"/>
      <c r="DR38" s="656"/>
      <c r="DS38" s="656"/>
      <c r="DT38" s="656"/>
      <c r="DU38" s="656"/>
      <c r="DV38" s="656"/>
      <c r="DW38" s="656"/>
      <c r="DX38" s="656"/>
      <c r="DY38" s="656"/>
      <c r="DZ38" s="656"/>
    </row>
    <row r="39" spans="1:130">
      <c r="A39" s="437"/>
      <c r="B39" s="576" t="s">
        <v>1147</v>
      </c>
      <c r="C39" s="596">
        <v>2314</v>
      </c>
      <c r="D39" s="432"/>
      <c r="E39" s="499" t="b">
        <v>0</v>
      </c>
      <c r="F39" s="597">
        <f t="shared" ref="F39:F77" si="31">IF(LEN(X43)&gt;0,X43,"")</f>
        <v>1</v>
      </c>
      <c r="G39" s="432"/>
      <c r="H39" s="432"/>
      <c r="I39" s="455">
        <f t="shared" ref="I39:I77" si="32">AVERAGE(Y43:Z43)</f>
        <v>-0.25250223300000002</v>
      </c>
      <c r="J39" s="546"/>
      <c r="K39" s="457"/>
      <c r="L39" s="546">
        <f t="shared" ref="L39:L80" si="33">IF(ISNUMBER(J39),J39,I39)+K39</f>
        <v>-0.25250223300000002</v>
      </c>
      <c r="M39" s="459">
        <v>1</v>
      </c>
      <c r="N39" s="460" t="str">
        <f t="shared" ref="N39:N80" si="34">IF(E39,M39,"")</f>
        <v/>
      </c>
      <c r="O39" s="439">
        <f>IF($S$38&gt;0,1,"")</f>
        <v>1</v>
      </c>
      <c r="P39" s="460">
        <f t="shared" ref="P39:P80" si="35">IF(LEN(O39)&gt;0,SMALL($N$39:$N$80,O39),"")</f>
        <v>3</v>
      </c>
      <c r="Q39" s="435"/>
      <c r="R39" s="598">
        <f t="shared" ref="R39:R80" si="36">IF(LEN(P39)&gt;0,INDEX($F$39:$F$80,$P39),"")</f>
        <v>3</v>
      </c>
      <c r="S39" s="458">
        <f t="shared" ref="S39:S80" si="37">IF(LEN(P39)&gt;0,INDEX($L$39:$L$80,$P39),"")</f>
        <v>7.6999999999999999E-2</v>
      </c>
      <c r="T39" s="432"/>
      <c r="U39" s="478">
        <v>49739</v>
      </c>
      <c r="V39" s="479">
        <v>0.7544870685647882</v>
      </c>
      <c r="W39" s="435"/>
      <c r="X39" s="580" t="str">
        <f>_xll.xlFutCode(H35)</f>
        <v>M0</v>
      </c>
      <c r="Y39" s="482">
        <f>_xll.RtGet($AE$29,$AE$30&amp;$X39&amp;$AE$31,Y$29)</f>
        <v>99.642499999999998</v>
      </c>
      <c r="Z39" s="581">
        <f>_xll.RtGet($AE$29,$AE$30&amp;$X39&amp;$AE$31,Z$29)</f>
        <v>99.642499999999998</v>
      </c>
      <c r="AA39" s="582">
        <f>_xll.RtGet($AE$29,$AE$30&amp;$X39&amp;$AE$31,AA$29)</f>
        <v>3.7500000000000003E-3</v>
      </c>
      <c r="AB39" s="583">
        <f>_xll.RtGet($AE$29,$AE$30&amp;$X39&amp;$AE$31,AB$29)</f>
        <v>43999</v>
      </c>
      <c r="AC39" s="432"/>
      <c r="AD39" s="435"/>
      <c r="AE39" s="435"/>
      <c r="AF39" s="435"/>
      <c r="AG39" s="429"/>
      <c r="AH39" s="429"/>
      <c r="AI39" s="429"/>
      <c r="AJ39" s="429"/>
      <c r="AK39" s="435"/>
      <c r="AL39" s="431"/>
      <c r="AM39" s="435"/>
      <c r="AN39" s="435"/>
      <c r="AO39" s="432"/>
      <c r="AP39" s="487" t="b">
        <v>1</v>
      </c>
      <c r="AQ39" s="591" t="str">
        <f t="shared" si="19"/>
        <v>9Y</v>
      </c>
      <c r="AR39" s="434">
        <f t="shared" si="10"/>
        <v>108</v>
      </c>
      <c r="AS39" s="475" t="s">
        <v>1096</v>
      </c>
      <c r="AT39" s="470">
        <f t="shared" si="20"/>
        <v>0.79199999800000009</v>
      </c>
      <c r="AU39" s="471"/>
      <c r="AV39" s="472"/>
      <c r="AW39" s="473">
        <f t="shared" si="11"/>
        <v>0.79199999800000009</v>
      </c>
      <c r="AX39" s="474">
        <f t="shared" si="17"/>
        <v>37</v>
      </c>
      <c r="AY39" s="475">
        <f t="shared" si="12"/>
        <v>37</v>
      </c>
      <c r="AZ39" s="474">
        <f t="shared" si="18"/>
        <v>37</v>
      </c>
      <c r="BA39" s="475">
        <f t="shared" si="13"/>
        <v>37</v>
      </c>
      <c r="BB39" s="474">
        <f t="shared" si="14"/>
        <v>108</v>
      </c>
      <c r="BC39" s="434" t="str">
        <f t="shared" si="15"/>
        <v>e</v>
      </c>
      <c r="BD39" s="473">
        <f t="shared" si="16"/>
        <v>0.79199999800000009</v>
      </c>
      <c r="BE39" s="432"/>
      <c r="BF39" s="489" t="str">
        <v>-</v>
      </c>
      <c r="BG39" s="479" t="str">
        <v>-</v>
      </c>
      <c r="BH39" s="435"/>
      <c r="BI39" s="590" t="s">
        <v>1144</v>
      </c>
      <c r="BJ39" s="482">
        <f>_xll.RtGet($BN$7,$BN$8&amp;BI39&amp;$BN$9,$BJ$7)</f>
        <v>0.56299999900000008</v>
      </c>
      <c r="BK39" s="483">
        <f>_xll.RtGet($BN$7,$BN$8&amp;BI39&amp;$BN$9,$BK$7)</f>
        <v>0.56299999900000008</v>
      </c>
      <c r="BL39" s="432"/>
      <c r="BM39" s="435"/>
      <c r="BN39" s="435"/>
      <c r="BO39" s="430"/>
      <c r="BP39" s="655"/>
      <c r="BQ39" s="656"/>
      <c r="BR39" s="656"/>
      <c r="BS39" s="656"/>
      <c r="BT39" s="656"/>
      <c r="BU39" s="656"/>
      <c r="BV39" s="656"/>
      <c r="BW39" s="656"/>
      <c r="BX39" s="656"/>
      <c r="BY39" s="656"/>
      <c r="BZ39" s="656"/>
      <c r="CA39" s="656"/>
      <c r="CB39" s="656"/>
      <c r="CC39" s="656"/>
      <c r="CD39" s="656"/>
      <c r="CE39" s="656"/>
      <c r="CF39" s="656"/>
      <c r="CG39" s="656"/>
      <c r="CH39" s="656"/>
      <c r="CI39" s="656"/>
      <c r="CJ39" s="656"/>
      <c r="CK39" s="656"/>
      <c r="CL39" s="656"/>
      <c r="CM39" s="656"/>
      <c r="CN39" s="656"/>
      <c r="CO39" s="656"/>
      <c r="CP39" s="656"/>
      <c r="CQ39" s="656"/>
      <c r="CR39" s="656"/>
      <c r="CS39" s="656"/>
      <c r="CT39" s="656"/>
      <c r="CU39" s="656"/>
      <c r="CV39" s="656"/>
      <c r="CW39" s="656"/>
      <c r="CX39" s="656"/>
      <c r="CY39" s="656"/>
      <c r="CZ39" s="656"/>
      <c r="DA39" s="656"/>
      <c r="DB39" s="656"/>
      <c r="DC39" s="656"/>
      <c r="DD39" s="656"/>
      <c r="DE39" s="656"/>
      <c r="DF39" s="656"/>
      <c r="DG39" s="656"/>
      <c r="DH39" s="656"/>
      <c r="DI39" s="656"/>
      <c r="DJ39" s="656"/>
      <c r="DK39" s="656"/>
      <c r="DL39" s="656"/>
      <c r="DM39" s="656"/>
      <c r="DN39" s="656"/>
      <c r="DO39" s="656"/>
      <c r="DP39" s="656"/>
      <c r="DQ39" s="656"/>
      <c r="DR39" s="656"/>
      <c r="DS39" s="656"/>
      <c r="DT39" s="656"/>
      <c r="DU39" s="656"/>
      <c r="DV39" s="656"/>
      <c r="DW39" s="656"/>
      <c r="DX39" s="656"/>
      <c r="DY39" s="656"/>
      <c r="DZ39" s="656"/>
    </row>
    <row r="40" spans="1:130">
      <c r="A40" s="437"/>
      <c r="B40" s="579" t="s">
        <v>1149</v>
      </c>
      <c r="C40" s="599">
        <f>R26</f>
        <v>43362</v>
      </c>
      <c r="D40" s="432"/>
      <c r="E40" s="452" t="b">
        <v>0</v>
      </c>
      <c r="F40" s="600">
        <f t="shared" si="31"/>
        <v>2</v>
      </c>
      <c r="G40" s="432"/>
      <c r="H40" s="432"/>
      <c r="I40" s="470">
        <f t="shared" si="32"/>
        <v>-0.12088731200000001</v>
      </c>
      <c r="J40" s="569"/>
      <c r="K40" s="472"/>
      <c r="L40" s="569">
        <f t="shared" si="33"/>
        <v>-0.12088731200000001</v>
      </c>
      <c r="M40" s="474">
        <f t="shared" ref="M40:M80" si="38">M39+1</f>
        <v>2</v>
      </c>
      <c r="N40" s="475" t="str">
        <f t="shared" si="34"/>
        <v/>
      </c>
      <c r="O40" s="474">
        <f t="shared" ref="O40:O80" si="39">IF(O39&lt;$S$38,O39+1,"")</f>
        <v>2</v>
      </c>
      <c r="P40" s="475">
        <f t="shared" si="35"/>
        <v>4</v>
      </c>
      <c r="Q40" s="435"/>
      <c r="R40" s="601">
        <f t="shared" si="36"/>
        <v>4</v>
      </c>
      <c r="S40" s="473">
        <f t="shared" si="37"/>
        <v>0.27600000000000002</v>
      </c>
      <c r="T40" s="432"/>
      <c r="U40" s="478">
        <v>50104</v>
      </c>
      <c r="V40" s="479">
        <v>0.73934817910159711</v>
      </c>
      <c r="W40" s="435"/>
      <c r="X40" s="553" t="str">
        <f>_xll.xlFutCode(H36)</f>
        <v>U0</v>
      </c>
      <c r="Y40" s="538">
        <f>_xll.RtGet($AE$29,$AE$30&amp;$X40&amp;$AE$31,Y$29)</f>
        <v>99.527500000000003</v>
      </c>
      <c r="Z40" s="602">
        <f>_xll.RtGet($AE$29,$AE$30&amp;$X40&amp;$AE$31,Z$29)</f>
        <v>99.527500000000003</v>
      </c>
      <c r="AA40" s="603">
        <f>_xll.RtGet($AE$29,$AE$30&amp;$X40&amp;$AE$31,AA$29)</f>
        <v>0.01</v>
      </c>
      <c r="AB40" s="604">
        <f>_xll.RtGet($AE$29,$AE$30&amp;$X40&amp;$AE$31,AB$29)</f>
        <v>44090</v>
      </c>
      <c r="AC40" s="432"/>
      <c r="AD40" s="435"/>
      <c r="AE40" s="435"/>
      <c r="AF40" s="435"/>
      <c r="AG40" s="429"/>
      <c r="AH40" s="429"/>
      <c r="AI40" s="429"/>
      <c r="AJ40" s="429"/>
      <c r="AK40" s="435"/>
      <c r="AL40" s="431"/>
      <c r="AM40" s="435"/>
      <c r="AN40" s="435"/>
      <c r="AO40" s="432"/>
      <c r="AP40" s="487" t="b">
        <v>1</v>
      </c>
      <c r="AQ40" s="591" t="str">
        <f t="shared" si="19"/>
        <v>10Y</v>
      </c>
      <c r="AR40" s="434">
        <f t="shared" si="10"/>
        <v>120</v>
      </c>
      <c r="AS40" s="475" t="s">
        <v>1096</v>
      </c>
      <c r="AT40" s="470">
        <f t="shared" si="20"/>
        <v>0.8869999970000001</v>
      </c>
      <c r="AU40" s="471"/>
      <c r="AV40" s="472"/>
      <c r="AW40" s="473">
        <f t="shared" si="11"/>
        <v>0.8869999970000001</v>
      </c>
      <c r="AX40" s="474">
        <f t="shared" si="17"/>
        <v>38</v>
      </c>
      <c r="AY40" s="475">
        <f t="shared" si="12"/>
        <v>38</v>
      </c>
      <c r="AZ40" s="474">
        <f t="shared" si="18"/>
        <v>38</v>
      </c>
      <c r="BA40" s="475">
        <f t="shared" si="13"/>
        <v>38</v>
      </c>
      <c r="BB40" s="474">
        <f t="shared" si="14"/>
        <v>120</v>
      </c>
      <c r="BC40" s="434" t="str">
        <f t="shared" si="15"/>
        <v>e</v>
      </c>
      <c r="BD40" s="473">
        <f t="shared" si="16"/>
        <v>0.8869999970000001</v>
      </c>
      <c r="BE40" s="432"/>
      <c r="BF40" s="489" t="str">
        <v>-</v>
      </c>
      <c r="BG40" s="479" t="str">
        <v>-</v>
      </c>
      <c r="BH40" s="435"/>
      <c r="BI40" s="590" t="s">
        <v>1146</v>
      </c>
      <c r="BJ40" s="482">
        <f>_xll.RtGet($BN$7,$BN$8&amp;BI40&amp;$BN$9,$BJ$7)</f>
        <v>0.68399999900000008</v>
      </c>
      <c r="BK40" s="483">
        <f>_xll.RtGet($BN$7,$BN$8&amp;BI40&amp;$BN$9,$BK$7)</f>
        <v>0.68399999900000008</v>
      </c>
      <c r="BL40" s="432"/>
      <c r="BM40" s="435"/>
      <c r="BN40" s="435"/>
      <c r="BO40" s="430"/>
      <c r="BP40" s="655"/>
      <c r="BQ40" s="656"/>
      <c r="BR40" s="656"/>
      <c r="BS40" s="656"/>
      <c r="BT40" s="656"/>
      <c r="BU40" s="656"/>
      <c r="BV40" s="656"/>
      <c r="BW40" s="656"/>
      <c r="BX40" s="656"/>
      <c r="BY40" s="656"/>
      <c r="BZ40" s="656"/>
      <c r="CA40" s="656"/>
      <c r="CB40" s="656"/>
      <c r="CC40" s="656"/>
      <c r="CD40" s="656"/>
      <c r="CE40" s="656"/>
      <c r="CF40" s="656"/>
      <c r="CG40" s="656"/>
      <c r="CH40" s="656"/>
      <c r="CI40" s="656"/>
      <c r="CJ40" s="656"/>
      <c r="CK40" s="656"/>
      <c r="CL40" s="656"/>
      <c r="CM40" s="656"/>
      <c r="CN40" s="656"/>
      <c r="CO40" s="656"/>
      <c r="CP40" s="656"/>
      <c r="CQ40" s="656"/>
      <c r="CR40" s="656"/>
      <c r="CS40" s="656"/>
      <c r="CT40" s="656"/>
      <c r="CU40" s="656"/>
      <c r="CV40" s="656"/>
      <c r="CW40" s="656"/>
      <c r="CX40" s="656"/>
      <c r="CY40" s="656"/>
      <c r="CZ40" s="656"/>
      <c r="DA40" s="656"/>
      <c r="DB40" s="656"/>
      <c r="DC40" s="656"/>
      <c r="DD40" s="656"/>
      <c r="DE40" s="656"/>
      <c r="DF40" s="656"/>
      <c r="DG40" s="656"/>
      <c r="DH40" s="656"/>
      <c r="DI40" s="656"/>
      <c r="DJ40" s="656"/>
      <c r="DK40" s="656"/>
      <c r="DL40" s="656"/>
      <c r="DM40" s="656"/>
      <c r="DN40" s="656"/>
      <c r="DO40" s="656"/>
      <c r="DP40" s="656"/>
      <c r="DQ40" s="656"/>
      <c r="DR40" s="656"/>
      <c r="DS40" s="656"/>
      <c r="DT40" s="656"/>
      <c r="DU40" s="656"/>
      <c r="DV40" s="656"/>
      <c r="DW40" s="656"/>
      <c r="DX40" s="656"/>
      <c r="DY40" s="656"/>
      <c r="DZ40" s="656"/>
    </row>
    <row r="41" spans="1:130">
      <c r="A41" s="437"/>
      <c r="B41" s="585" t="s">
        <v>1151</v>
      </c>
      <c r="C41" s="504" t="b">
        <v>1</v>
      </c>
      <c r="D41" s="432"/>
      <c r="E41" s="452" t="b">
        <v>1</v>
      </c>
      <c r="F41" s="600">
        <f t="shared" si="31"/>
        <v>3</v>
      </c>
      <c r="G41" s="432"/>
      <c r="H41" s="432"/>
      <c r="I41" s="470">
        <f t="shared" si="32"/>
        <v>7.6999999999999999E-2</v>
      </c>
      <c r="J41" s="569"/>
      <c r="K41" s="472"/>
      <c r="L41" s="569">
        <f t="shared" si="33"/>
        <v>7.6999999999999999E-2</v>
      </c>
      <c r="M41" s="474">
        <f t="shared" si="38"/>
        <v>3</v>
      </c>
      <c r="N41" s="475">
        <f t="shared" si="34"/>
        <v>3</v>
      </c>
      <c r="O41" s="474">
        <f t="shared" si="39"/>
        <v>3</v>
      </c>
      <c r="P41" s="475">
        <f t="shared" si="35"/>
        <v>5</v>
      </c>
      <c r="Q41" s="432"/>
      <c r="R41" s="601">
        <f t="shared" si="36"/>
        <v>5</v>
      </c>
      <c r="S41" s="473">
        <f t="shared" si="37"/>
        <v>0.45400000000000001</v>
      </c>
      <c r="T41" s="432"/>
      <c r="U41" s="478">
        <v>50469</v>
      </c>
      <c r="V41" s="479">
        <v>0.72494826641211674</v>
      </c>
      <c r="W41" s="435"/>
      <c r="X41" s="432"/>
      <c r="Y41" s="432"/>
      <c r="Z41" s="432"/>
      <c r="AA41" s="432"/>
      <c r="AB41" s="432"/>
      <c r="AC41" s="432"/>
      <c r="AD41" s="435"/>
      <c r="AE41" s="435"/>
      <c r="AF41" s="435"/>
      <c r="AG41" s="429"/>
      <c r="AH41" s="429"/>
      <c r="AI41" s="429"/>
      <c r="AJ41" s="429"/>
      <c r="AK41" s="435"/>
      <c r="AL41" s="431"/>
      <c r="AM41" s="435"/>
      <c r="AN41" s="435"/>
      <c r="AO41" s="432"/>
      <c r="AP41" s="487" t="b">
        <v>1</v>
      </c>
      <c r="AQ41" s="591" t="str">
        <f t="shared" si="19"/>
        <v>11Y</v>
      </c>
      <c r="AR41" s="434">
        <f t="shared" si="10"/>
        <v>132</v>
      </c>
      <c r="AS41" s="475" t="s">
        <v>1096</v>
      </c>
      <c r="AT41" s="470">
        <f t="shared" si="20"/>
        <v>0.97299999600000009</v>
      </c>
      <c r="AU41" s="471"/>
      <c r="AV41" s="472"/>
      <c r="AW41" s="473">
        <f t="shared" si="11"/>
        <v>0.97299999600000009</v>
      </c>
      <c r="AX41" s="474">
        <f t="shared" si="17"/>
        <v>39</v>
      </c>
      <c r="AY41" s="475">
        <f t="shared" si="12"/>
        <v>39</v>
      </c>
      <c r="AZ41" s="474">
        <f t="shared" si="18"/>
        <v>39</v>
      </c>
      <c r="BA41" s="475">
        <f t="shared" si="13"/>
        <v>39</v>
      </c>
      <c r="BB41" s="474">
        <f t="shared" si="14"/>
        <v>132</v>
      </c>
      <c r="BC41" s="434" t="str">
        <f t="shared" si="15"/>
        <v>e</v>
      </c>
      <c r="BD41" s="473">
        <f t="shared" si="16"/>
        <v>0.97299999600000009</v>
      </c>
      <c r="BE41" s="432"/>
      <c r="BF41" s="489" t="str">
        <v>-</v>
      </c>
      <c r="BG41" s="479" t="str">
        <v>-</v>
      </c>
      <c r="BH41" s="435"/>
      <c r="BI41" s="590" t="s">
        <v>1148</v>
      </c>
      <c r="BJ41" s="482">
        <f>_xll.RtGet($BN$7,$BN$8&amp;BI41&amp;$BN$9,$BJ$7)</f>
        <v>0.79199999800000009</v>
      </c>
      <c r="BK41" s="483">
        <f>_xll.RtGet($BN$7,$BN$8&amp;BI41&amp;$BN$9,$BK$7)</f>
        <v>0.79199999800000009</v>
      </c>
      <c r="BL41" s="432"/>
      <c r="BM41" s="435"/>
      <c r="BN41" s="435"/>
      <c r="BO41" s="430"/>
      <c r="BP41" s="655"/>
      <c r="BQ41" s="656"/>
      <c r="BR41" s="656"/>
      <c r="BS41" s="656"/>
      <c r="BT41" s="656"/>
      <c r="BU41" s="656"/>
      <c r="BV41" s="656"/>
      <c r="BW41" s="656"/>
      <c r="BX41" s="656"/>
      <c r="BY41" s="656"/>
      <c r="BZ41" s="656"/>
      <c r="CA41" s="656"/>
      <c r="CB41" s="656"/>
      <c r="CC41" s="656"/>
      <c r="CD41" s="656"/>
      <c r="CE41" s="656"/>
      <c r="CF41" s="656"/>
      <c r="CG41" s="656"/>
      <c r="CH41" s="656"/>
      <c r="CI41" s="656"/>
      <c r="CJ41" s="656"/>
      <c r="CK41" s="656"/>
      <c r="CL41" s="656"/>
      <c r="CM41" s="656"/>
      <c r="CN41" s="656"/>
      <c r="CO41" s="656"/>
      <c r="CP41" s="656"/>
      <c r="CQ41" s="656"/>
      <c r="CR41" s="656"/>
      <c r="CS41" s="656"/>
      <c r="CT41" s="656"/>
      <c r="CU41" s="656"/>
      <c r="CV41" s="656"/>
      <c r="CW41" s="656"/>
      <c r="CX41" s="656"/>
      <c r="CY41" s="656"/>
      <c r="CZ41" s="656"/>
      <c r="DA41" s="656"/>
      <c r="DB41" s="656"/>
      <c r="DC41" s="656"/>
      <c r="DD41" s="656"/>
      <c r="DE41" s="656"/>
      <c r="DF41" s="656"/>
      <c r="DG41" s="656"/>
      <c r="DH41" s="656"/>
      <c r="DI41" s="656"/>
      <c r="DJ41" s="656"/>
      <c r="DK41" s="656"/>
      <c r="DL41" s="656"/>
      <c r="DM41" s="656"/>
      <c r="DN41" s="656"/>
      <c r="DO41" s="656"/>
      <c r="DP41" s="656"/>
      <c r="DQ41" s="656"/>
      <c r="DR41" s="656"/>
      <c r="DS41" s="656"/>
      <c r="DT41" s="656"/>
      <c r="DU41" s="656"/>
      <c r="DV41" s="656"/>
      <c r="DW41" s="656"/>
      <c r="DX41" s="656"/>
      <c r="DY41" s="656"/>
      <c r="DZ41" s="656"/>
    </row>
    <row r="42" spans="1:130">
      <c r="A42" s="437"/>
      <c r="B42" s="605" t="s">
        <v>1153</v>
      </c>
      <c r="C42" s="606" t="s">
        <v>103</v>
      </c>
      <c r="D42" s="435"/>
      <c r="E42" s="452" t="b">
        <v>1</v>
      </c>
      <c r="F42" s="600">
        <f t="shared" si="31"/>
        <v>4</v>
      </c>
      <c r="G42" s="432"/>
      <c r="H42" s="432"/>
      <c r="I42" s="470">
        <f t="shared" si="32"/>
        <v>0.27600000000000002</v>
      </c>
      <c r="J42" s="569"/>
      <c r="K42" s="472"/>
      <c r="L42" s="569">
        <f t="shared" si="33"/>
        <v>0.27600000000000002</v>
      </c>
      <c r="M42" s="474">
        <f t="shared" si="38"/>
        <v>4</v>
      </c>
      <c r="N42" s="475">
        <f t="shared" si="34"/>
        <v>4</v>
      </c>
      <c r="O42" s="474">
        <f t="shared" si="39"/>
        <v>4</v>
      </c>
      <c r="P42" s="475">
        <f t="shared" si="35"/>
        <v>6</v>
      </c>
      <c r="Q42" s="432"/>
      <c r="R42" s="601">
        <f t="shared" si="36"/>
        <v>6</v>
      </c>
      <c r="S42" s="473">
        <f t="shared" si="37"/>
        <v>0.61299999999999999</v>
      </c>
      <c r="T42" s="432"/>
      <c r="U42" s="478">
        <v>50836</v>
      </c>
      <c r="V42" s="479">
        <v>0.71120885326883976</v>
      </c>
      <c r="W42" s="435"/>
      <c r="X42" s="440" t="s">
        <v>1154</v>
      </c>
      <c r="Y42" s="574" t="s">
        <v>16</v>
      </c>
      <c r="Z42" s="442" t="s">
        <v>17</v>
      </c>
      <c r="AA42" s="432"/>
      <c r="AB42" s="432"/>
      <c r="AC42" s="432"/>
      <c r="AD42" s="449" t="s">
        <v>1032</v>
      </c>
      <c r="AE42" s="450" t="s">
        <v>1033</v>
      </c>
      <c r="AF42" s="435"/>
      <c r="AG42" s="429"/>
      <c r="AH42" s="429"/>
      <c r="AI42" s="429"/>
      <c r="AJ42" s="429"/>
      <c r="AK42" s="435"/>
      <c r="AL42" s="431"/>
      <c r="AM42" s="435"/>
      <c r="AN42" s="435"/>
      <c r="AO42" s="435"/>
      <c r="AP42" s="487" t="b">
        <v>1</v>
      </c>
      <c r="AQ42" s="591" t="str">
        <f t="shared" si="19"/>
        <v>12Y</v>
      </c>
      <c r="AR42" s="434">
        <f t="shared" si="10"/>
        <v>144</v>
      </c>
      <c r="AS42" s="475" t="s">
        <v>1096</v>
      </c>
      <c r="AT42" s="470">
        <f t="shared" si="20"/>
        <v>1.0499999950000001</v>
      </c>
      <c r="AU42" s="471"/>
      <c r="AV42" s="472"/>
      <c r="AW42" s="473">
        <f t="shared" si="11"/>
        <v>1.0499999950000001</v>
      </c>
      <c r="AX42" s="474">
        <f t="shared" si="17"/>
        <v>40</v>
      </c>
      <c r="AY42" s="475">
        <f t="shared" si="12"/>
        <v>40</v>
      </c>
      <c r="AZ42" s="474">
        <f t="shared" si="18"/>
        <v>40</v>
      </c>
      <c r="BA42" s="475">
        <f t="shared" si="13"/>
        <v>40</v>
      </c>
      <c r="BB42" s="474">
        <f t="shared" si="14"/>
        <v>144</v>
      </c>
      <c r="BC42" s="434" t="str">
        <f t="shared" si="15"/>
        <v>e</v>
      </c>
      <c r="BD42" s="473">
        <f t="shared" si="16"/>
        <v>1.0499999950000001</v>
      </c>
      <c r="BE42" s="432"/>
      <c r="BF42" s="489" t="str">
        <v>-</v>
      </c>
      <c r="BG42" s="479" t="str">
        <v>-</v>
      </c>
      <c r="BH42" s="435"/>
      <c r="BI42" s="590" t="s">
        <v>1150</v>
      </c>
      <c r="BJ42" s="482">
        <f>_xll.RtGet($BN$7,$BN$8&amp;BI42&amp;$BN$9,$BJ$7)</f>
        <v>0.8869999970000001</v>
      </c>
      <c r="BK42" s="483">
        <f>_xll.RtGet($BN$7,$BN$8&amp;BI42&amp;$BN$9,$BK$7)</f>
        <v>0.8869999970000001</v>
      </c>
      <c r="BL42" s="432"/>
      <c r="BM42" s="435"/>
      <c r="BN42" s="435"/>
      <c r="BO42" s="430"/>
      <c r="BP42" s="655"/>
      <c r="BQ42" s="656"/>
      <c r="BR42" s="656"/>
      <c r="BS42" s="656"/>
      <c r="BT42" s="656"/>
      <c r="BU42" s="656"/>
      <c r="BV42" s="656"/>
      <c r="BW42" s="656"/>
      <c r="BX42" s="656"/>
      <c r="BY42" s="656"/>
      <c r="BZ42" s="656"/>
      <c r="CA42" s="656"/>
      <c r="CB42" s="656"/>
      <c r="CC42" s="656"/>
      <c r="CD42" s="656"/>
      <c r="CE42" s="656"/>
      <c r="CF42" s="656"/>
      <c r="CG42" s="656"/>
      <c r="CH42" s="656"/>
      <c r="CI42" s="656"/>
      <c r="CJ42" s="656"/>
      <c r="CK42" s="656"/>
      <c r="CL42" s="656"/>
      <c r="CM42" s="656"/>
      <c r="CN42" s="656"/>
      <c r="CO42" s="656"/>
      <c r="CP42" s="656"/>
      <c r="CQ42" s="656"/>
      <c r="CR42" s="656"/>
      <c r="CS42" s="656"/>
      <c r="CT42" s="656"/>
      <c r="CU42" s="656"/>
      <c r="CV42" s="656"/>
      <c r="CW42" s="656"/>
      <c r="CX42" s="656"/>
      <c r="CY42" s="656"/>
      <c r="CZ42" s="656"/>
      <c r="DA42" s="656"/>
      <c r="DB42" s="656"/>
      <c r="DC42" s="656"/>
      <c r="DD42" s="656"/>
      <c r="DE42" s="656"/>
      <c r="DF42" s="656"/>
      <c r="DG42" s="656"/>
      <c r="DH42" s="656"/>
      <c r="DI42" s="656"/>
      <c r="DJ42" s="656"/>
      <c r="DK42" s="656"/>
      <c r="DL42" s="656"/>
      <c r="DM42" s="656"/>
      <c r="DN42" s="656"/>
      <c r="DO42" s="656"/>
      <c r="DP42" s="656"/>
      <c r="DQ42" s="656"/>
      <c r="DR42" s="656"/>
      <c r="DS42" s="656"/>
      <c r="DT42" s="656"/>
      <c r="DU42" s="656"/>
      <c r="DV42" s="656"/>
      <c r="DW42" s="656"/>
      <c r="DX42" s="656"/>
      <c r="DY42" s="656"/>
      <c r="DZ42" s="656"/>
    </row>
    <row r="43" spans="1:130">
      <c r="A43" s="437"/>
      <c r="B43" s="607" t="s">
        <v>1156</v>
      </c>
      <c r="C43" s="608" t="s">
        <v>69</v>
      </c>
      <c r="D43" s="432"/>
      <c r="E43" s="452" t="b">
        <v>1</v>
      </c>
      <c r="F43" s="600">
        <f t="shared" si="31"/>
        <v>5</v>
      </c>
      <c r="G43" s="432"/>
      <c r="H43" s="432"/>
      <c r="I43" s="470">
        <f t="shared" si="32"/>
        <v>0.45400000000000001</v>
      </c>
      <c r="J43" s="569"/>
      <c r="K43" s="472"/>
      <c r="L43" s="569">
        <f t="shared" si="33"/>
        <v>0.45400000000000001</v>
      </c>
      <c r="M43" s="474">
        <f t="shared" si="38"/>
        <v>5</v>
      </c>
      <c r="N43" s="475">
        <f t="shared" si="34"/>
        <v>5</v>
      </c>
      <c r="O43" s="474">
        <f t="shared" si="39"/>
        <v>5</v>
      </c>
      <c r="P43" s="475">
        <f t="shared" si="35"/>
        <v>7</v>
      </c>
      <c r="Q43" s="432"/>
      <c r="R43" s="601">
        <f t="shared" si="36"/>
        <v>7</v>
      </c>
      <c r="S43" s="473">
        <f t="shared" si="37"/>
        <v>0.754</v>
      </c>
      <c r="T43" s="432"/>
      <c r="U43" s="478">
        <v>51200</v>
      </c>
      <c r="V43" s="479">
        <v>0.69827261639443683</v>
      </c>
      <c r="W43" s="435"/>
      <c r="X43" s="609">
        <v>1</v>
      </c>
      <c r="Y43" s="463">
        <f>_xll.RtGet($AE$42,$AE$43&amp;$X43&amp;$AE$44,Y$42)</f>
        <v>-0.25250223300000002</v>
      </c>
      <c r="Z43" s="464">
        <f>_xll.RtGet($AE$42,$AE$43&amp;$X43&amp;$AE$44,Z$42)</f>
        <v>-0.25250223300000002</v>
      </c>
      <c r="AA43" s="432"/>
      <c r="AB43" s="432"/>
      <c r="AC43" s="432"/>
      <c r="AD43" s="467" t="s">
        <v>1038</v>
      </c>
      <c r="AE43" s="468" t="s">
        <v>1157</v>
      </c>
      <c r="AF43" s="435"/>
      <c r="AG43" s="429"/>
      <c r="AH43" s="429"/>
      <c r="AI43" s="429"/>
      <c r="AJ43" s="429"/>
      <c r="AK43" s="435"/>
      <c r="AL43" s="431"/>
      <c r="AM43" s="435"/>
      <c r="AN43" s="435"/>
      <c r="AO43" s="432"/>
      <c r="AP43" s="487" t="b">
        <v>1</v>
      </c>
      <c r="AQ43" s="591" t="str">
        <f t="shared" si="19"/>
        <v>13Y</v>
      </c>
      <c r="AR43" s="434">
        <f t="shared" si="10"/>
        <v>156</v>
      </c>
      <c r="AS43" s="475" t="s">
        <v>1096</v>
      </c>
      <c r="AT43" s="470">
        <f t="shared" si="20"/>
        <v>1.1172503630000001</v>
      </c>
      <c r="AU43" s="471"/>
      <c r="AV43" s="472"/>
      <c r="AW43" s="473">
        <f t="shared" si="11"/>
        <v>1.1172503630000001</v>
      </c>
      <c r="AX43" s="474">
        <f t="shared" si="17"/>
        <v>41</v>
      </c>
      <c r="AY43" s="475">
        <f t="shared" si="12"/>
        <v>41</v>
      </c>
      <c r="AZ43" s="474">
        <f t="shared" si="18"/>
        <v>41</v>
      </c>
      <c r="BA43" s="475">
        <f t="shared" si="13"/>
        <v>41</v>
      </c>
      <c r="BB43" s="474">
        <f t="shared" si="14"/>
        <v>156</v>
      </c>
      <c r="BC43" s="434" t="str">
        <f t="shared" si="15"/>
        <v>e</v>
      </c>
      <c r="BD43" s="473">
        <f t="shared" si="16"/>
        <v>1.1172503630000001</v>
      </c>
      <c r="BE43" s="432"/>
      <c r="BF43" s="489" t="str">
        <v>-</v>
      </c>
      <c r="BG43" s="479" t="str">
        <v>-</v>
      </c>
      <c r="BH43" s="435"/>
      <c r="BI43" s="590" t="s">
        <v>1152</v>
      </c>
      <c r="BJ43" s="482">
        <f>_xll.RtGet($BN$7,$BN$8&amp;BI43&amp;$BN$9,$BJ$7)</f>
        <v>0.97299999600000009</v>
      </c>
      <c r="BK43" s="483">
        <f>_xll.RtGet($BN$7,$BN$8&amp;BI43&amp;$BN$9,$BK$7)</f>
        <v>0.97299999600000009</v>
      </c>
      <c r="BL43" s="432"/>
      <c r="BM43" s="435"/>
      <c r="BN43" s="435"/>
      <c r="BO43" s="430"/>
      <c r="BP43" s="655"/>
      <c r="BQ43" s="656"/>
      <c r="BR43" s="656"/>
      <c r="BS43" s="656"/>
      <c r="BT43" s="656"/>
      <c r="BU43" s="656"/>
      <c r="BV43" s="656"/>
      <c r="BW43" s="656"/>
      <c r="BX43" s="656"/>
      <c r="BY43" s="656"/>
      <c r="BZ43" s="656"/>
      <c r="CA43" s="656"/>
      <c r="CB43" s="656"/>
      <c r="CC43" s="656"/>
      <c r="CD43" s="656"/>
      <c r="CE43" s="656"/>
      <c r="CF43" s="656"/>
      <c r="CG43" s="656"/>
      <c r="CH43" s="656"/>
      <c r="CI43" s="656"/>
      <c r="CJ43" s="656"/>
      <c r="CK43" s="656"/>
      <c r="CL43" s="656"/>
      <c r="CM43" s="656"/>
      <c r="CN43" s="656"/>
      <c r="CO43" s="656"/>
      <c r="CP43" s="656"/>
      <c r="CQ43" s="656"/>
      <c r="CR43" s="656"/>
      <c r="CS43" s="656"/>
      <c r="CT43" s="656"/>
      <c r="CU43" s="656"/>
      <c r="CV43" s="656"/>
      <c r="CW43" s="656"/>
      <c r="CX43" s="656"/>
      <c r="CY43" s="656"/>
      <c r="CZ43" s="656"/>
      <c r="DA43" s="656"/>
      <c r="DB43" s="656"/>
      <c r="DC43" s="656"/>
      <c r="DD43" s="656"/>
      <c r="DE43" s="656"/>
      <c r="DF43" s="656"/>
      <c r="DG43" s="656"/>
      <c r="DH43" s="656"/>
      <c r="DI43" s="656"/>
      <c r="DJ43" s="656"/>
      <c r="DK43" s="656"/>
      <c r="DL43" s="656"/>
      <c r="DM43" s="656"/>
      <c r="DN43" s="656"/>
      <c r="DO43" s="656"/>
      <c r="DP43" s="656"/>
      <c r="DQ43" s="656"/>
      <c r="DR43" s="656"/>
      <c r="DS43" s="656"/>
      <c r="DT43" s="656"/>
      <c r="DU43" s="656"/>
      <c r="DV43" s="656"/>
      <c r="DW43" s="656"/>
      <c r="DX43" s="656"/>
      <c r="DY43" s="656"/>
      <c r="DZ43" s="656"/>
    </row>
    <row r="44" spans="1:130">
      <c r="A44" s="437"/>
      <c r="B44" s="610" t="s">
        <v>1159</v>
      </c>
      <c r="C44" s="504" t="s">
        <v>68</v>
      </c>
      <c r="D44" s="432"/>
      <c r="E44" s="452" t="b">
        <v>1</v>
      </c>
      <c r="F44" s="600">
        <f t="shared" si="31"/>
        <v>6</v>
      </c>
      <c r="G44" s="432"/>
      <c r="H44" s="432"/>
      <c r="I44" s="470">
        <f t="shared" si="32"/>
        <v>0.61299999999999999</v>
      </c>
      <c r="J44" s="569"/>
      <c r="K44" s="472"/>
      <c r="L44" s="569">
        <f t="shared" si="33"/>
        <v>0.61299999999999999</v>
      </c>
      <c r="M44" s="474">
        <f t="shared" si="38"/>
        <v>6</v>
      </c>
      <c r="N44" s="475">
        <f t="shared" si="34"/>
        <v>6</v>
      </c>
      <c r="O44" s="474">
        <f t="shared" si="39"/>
        <v>6</v>
      </c>
      <c r="P44" s="475">
        <f t="shared" si="35"/>
        <v>8</v>
      </c>
      <c r="Q44" s="432"/>
      <c r="R44" s="601">
        <f t="shared" si="36"/>
        <v>8</v>
      </c>
      <c r="S44" s="473">
        <f t="shared" si="37"/>
        <v>0.878</v>
      </c>
      <c r="T44" s="432"/>
      <c r="U44" s="478">
        <v>51565</v>
      </c>
      <c r="V44" s="479">
        <v>0.68593765360579617</v>
      </c>
      <c r="W44" s="611"/>
      <c r="X44" s="591">
        <v>2</v>
      </c>
      <c r="Y44" s="482">
        <f>_xll.RtGet($AE$42,$AE$43&amp;$X44&amp;$AE$44,Y$42)</f>
        <v>-0.12088731200000001</v>
      </c>
      <c r="Z44" s="483">
        <f>_xll.RtGet($AE$42,$AE$43&amp;$X44&amp;$AE$44,Z$42)</f>
        <v>-0.12088731200000001</v>
      </c>
      <c r="AA44" s="432"/>
      <c r="AB44" s="432"/>
      <c r="AC44" s="432"/>
      <c r="AD44" s="520" t="s">
        <v>1047</v>
      </c>
      <c r="AE44" s="521" t="s">
        <v>1160</v>
      </c>
      <c r="AF44" s="435"/>
      <c r="AG44" s="429"/>
      <c r="AH44" s="429"/>
      <c r="AI44" s="429"/>
      <c r="AJ44" s="429"/>
      <c r="AK44" s="435"/>
      <c r="AL44" s="431"/>
      <c r="AM44" s="435"/>
      <c r="AN44" s="435"/>
      <c r="AO44" s="432"/>
      <c r="AP44" s="487" t="b">
        <v>1</v>
      </c>
      <c r="AQ44" s="591" t="str">
        <f t="shared" si="19"/>
        <v>14Y</v>
      </c>
      <c r="AR44" s="434">
        <f t="shared" si="10"/>
        <v>168</v>
      </c>
      <c r="AS44" s="475" t="s">
        <v>1096</v>
      </c>
      <c r="AT44" s="470">
        <f t="shared" si="20"/>
        <v>1.1758826180000002</v>
      </c>
      <c r="AU44" s="471"/>
      <c r="AV44" s="472"/>
      <c r="AW44" s="473">
        <f t="shared" si="11"/>
        <v>1.1758826180000002</v>
      </c>
      <c r="AX44" s="474">
        <f t="shared" si="17"/>
        <v>42</v>
      </c>
      <c r="AY44" s="475">
        <f t="shared" si="12"/>
        <v>42</v>
      </c>
      <c r="AZ44" s="474">
        <f t="shared" si="18"/>
        <v>42</v>
      </c>
      <c r="BA44" s="475">
        <f t="shared" si="13"/>
        <v>42</v>
      </c>
      <c r="BB44" s="474">
        <f t="shared" si="14"/>
        <v>168</v>
      </c>
      <c r="BC44" s="434" t="str">
        <f t="shared" si="15"/>
        <v>e</v>
      </c>
      <c r="BD44" s="473">
        <f t="shared" si="16"/>
        <v>1.1758826180000002</v>
      </c>
      <c r="BE44" s="432"/>
      <c r="BF44" s="489" t="str">
        <v>-</v>
      </c>
      <c r="BG44" s="479" t="str">
        <v>-</v>
      </c>
      <c r="BH44" s="611"/>
      <c r="BI44" s="590" t="s">
        <v>1155</v>
      </c>
      <c r="BJ44" s="482">
        <f>_xll.RtGet($BN$7,$BN$8&amp;BI44&amp;$BN$9,$BJ$7)</f>
        <v>1.0499999950000001</v>
      </c>
      <c r="BK44" s="483">
        <f>_xll.RtGet($BN$7,$BN$8&amp;BI44&amp;$BN$9,$BK$7)</f>
        <v>1.0499999950000001</v>
      </c>
      <c r="BL44" s="432"/>
      <c r="BM44" s="435"/>
      <c r="BN44" s="435"/>
      <c r="BO44" s="430"/>
      <c r="BP44" s="655"/>
      <c r="BQ44" s="656"/>
      <c r="BR44" s="656"/>
      <c r="BS44" s="656"/>
      <c r="BT44" s="656"/>
      <c r="BU44" s="656"/>
      <c r="BV44" s="656"/>
      <c r="BW44" s="656"/>
      <c r="BX44" s="656"/>
      <c r="BY44" s="656"/>
      <c r="BZ44" s="656"/>
      <c r="CA44" s="656"/>
      <c r="CB44" s="656"/>
      <c r="CC44" s="656"/>
      <c r="CD44" s="656"/>
      <c r="CE44" s="656"/>
      <c r="CF44" s="656"/>
      <c r="CG44" s="656"/>
      <c r="CH44" s="656"/>
      <c r="CI44" s="656"/>
      <c r="CJ44" s="656"/>
      <c r="CK44" s="656"/>
      <c r="CL44" s="656"/>
      <c r="CM44" s="656"/>
      <c r="CN44" s="656"/>
      <c r="CO44" s="656"/>
      <c r="CP44" s="656"/>
      <c r="CQ44" s="656"/>
      <c r="CR44" s="656"/>
      <c r="CS44" s="656"/>
      <c r="CT44" s="656"/>
      <c r="CU44" s="656"/>
      <c r="CV44" s="656"/>
      <c r="CW44" s="656"/>
      <c r="CX44" s="656"/>
      <c r="CY44" s="656"/>
      <c r="CZ44" s="656"/>
      <c r="DA44" s="656"/>
      <c r="DB44" s="656"/>
      <c r="DC44" s="656"/>
      <c r="DD44" s="656"/>
      <c r="DE44" s="656"/>
      <c r="DF44" s="656"/>
      <c r="DG44" s="656"/>
      <c r="DH44" s="656"/>
      <c r="DI44" s="656"/>
      <c r="DJ44" s="656"/>
      <c r="DK44" s="656"/>
      <c r="DL44" s="656"/>
      <c r="DM44" s="656"/>
      <c r="DN44" s="656"/>
      <c r="DO44" s="656"/>
      <c r="DP44" s="656"/>
      <c r="DQ44" s="656"/>
      <c r="DR44" s="656"/>
      <c r="DS44" s="656"/>
      <c r="DT44" s="656"/>
      <c r="DU44" s="656"/>
      <c r="DV44" s="656"/>
      <c r="DW44" s="656"/>
      <c r="DX44" s="656"/>
      <c r="DY44" s="656"/>
      <c r="DZ44" s="656"/>
    </row>
    <row r="45" spans="1:130">
      <c r="A45" s="437"/>
      <c r="B45" s="612" t="s">
        <v>1162</v>
      </c>
      <c r="C45" s="613">
        <v>3</v>
      </c>
      <c r="D45" s="432"/>
      <c r="E45" s="452" t="b">
        <v>1</v>
      </c>
      <c r="F45" s="600">
        <f t="shared" si="31"/>
        <v>7</v>
      </c>
      <c r="G45" s="432"/>
      <c r="H45" s="432"/>
      <c r="I45" s="470">
        <f t="shared" si="32"/>
        <v>0.754</v>
      </c>
      <c r="J45" s="569"/>
      <c r="K45" s="472"/>
      <c r="L45" s="569">
        <f t="shared" si="33"/>
        <v>0.754</v>
      </c>
      <c r="M45" s="474">
        <f t="shared" si="38"/>
        <v>7</v>
      </c>
      <c r="N45" s="475">
        <f t="shared" si="34"/>
        <v>7</v>
      </c>
      <c r="O45" s="474">
        <f t="shared" si="39"/>
        <v>7</v>
      </c>
      <c r="P45" s="475">
        <f t="shared" si="35"/>
        <v>9</v>
      </c>
      <c r="Q45" s="432"/>
      <c r="R45" s="601">
        <f t="shared" si="36"/>
        <v>9</v>
      </c>
      <c r="S45" s="473">
        <f t="shared" si="37"/>
        <v>0.98799999999999999</v>
      </c>
      <c r="T45" s="432"/>
      <c r="U45" s="478">
        <v>51930</v>
      </c>
      <c r="V45" s="479">
        <v>0.67416971297473394</v>
      </c>
      <c r="W45" s="611"/>
      <c r="X45" s="591">
        <v>3</v>
      </c>
      <c r="Y45" s="482">
        <f>_xll.RtGet($AE$42,$AE$43&amp;$X45&amp;$AE$44,Y$42)</f>
        <v>7.6999999999999999E-2</v>
      </c>
      <c r="Z45" s="483">
        <f>_xll.RtGet($AE$42,$AE$43&amp;$X45&amp;$AE$44,Z$42)</f>
        <v>7.6999999999999999E-2</v>
      </c>
      <c r="AA45" s="432"/>
      <c r="AB45" s="432"/>
      <c r="AC45" s="432"/>
      <c r="AD45" s="432"/>
      <c r="AE45" s="432"/>
      <c r="AF45" s="435"/>
      <c r="AG45" s="429"/>
      <c r="AH45" s="429"/>
      <c r="AI45" s="429"/>
      <c r="AJ45" s="429"/>
      <c r="AK45" s="435"/>
      <c r="AL45" s="431"/>
      <c r="AM45" s="435"/>
      <c r="AN45" s="435"/>
      <c r="AO45" s="432"/>
      <c r="AP45" s="487" t="b">
        <v>1</v>
      </c>
      <c r="AQ45" s="591" t="str">
        <f t="shared" si="19"/>
        <v>15Y</v>
      </c>
      <c r="AR45" s="434">
        <f t="shared" si="10"/>
        <v>180</v>
      </c>
      <c r="AS45" s="475" t="s">
        <v>1096</v>
      </c>
      <c r="AT45" s="470">
        <f t="shared" si="20"/>
        <v>1.2269999220000001</v>
      </c>
      <c r="AU45" s="471"/>
      <c r="AV45" s="472"/>
      <c r="AW45" s="473">
        <f t="shared" si="11"/>
        <v>1.2269999220000001</v>
      </c>
      <c r="AX45" s="474">
        <f t="shared" si="17"/>
        <v>43</v>
      </c>
      <c r="AY45" s="475">
        <f t="shared" si="12"/>
        <v>43</v>
      </c>
      <c r="AZ45" s="474">
        <f t="shared" si="18"/>
        <v>43</v>
      </c>
      <c r="BA45" s="475">
        <f t="shared" si="13"/>
        <v>43</v>
      </c>
      <c r="BB45" s="474">
        <f t="shared" si="14"/>
        <v>180</v>
      </c>
      <c r="BC45" s="434" t="str">
        <f t="shared" si="15"/>
        <v>e</v>
      </c>
      <c r="BD45" s="473">
        <f t="shared" si="16"/>
        <v>1.2269999220000001</v>
      </c>
      <c r="BE45" s="432"/>
      <c r="BF45" s="489" t="str">
        <v>-</v>
      </c>
      <c r="BG45" s="479" t="str">
        <v>-</v>
      </c>
      <c r="BH45" s="611"/>
      <c r="BI45" s="590" t="s">
        <v>1158</v>
      </c>
      <c r="BJ45" s="482">
        <f>_xll.RtGet($BN$7,$BN$8&amp;BI45&amp;$BN$9,$BJ$7)</f>
        <v>1.1172503630000001</v>
      </c>
      <c r="BK45" s="483">
        <f>_xll.RtGet($BN$7,$BN$8&amp;BI45&amp;$BN$9,$BK$7)</f>
        <v>1.1172503630000001</v>
      </c>
      <c r="BL45" s="432"/>
      <c r="BM45" s="435"/>
      <c r="BN45" s="435"/>
      <c r="BO45" s="430"/>
      <c r="BP45" s="655"/>
      <c r="BQ45" s="656"/>
      <c r="BR45" s="656"/>
      <c r="BS45" s="656"/>
      <c r="BT45" s="656"/>
      <c r="BU45" s="656"/>
      <c r="BV45" s="656"/>
      <c r="BW45" s="656"/>
      <c r="BX45" s="656"/>
      <c r="BY45" s="656"/>
      <c r="BZ45" s="656"/>
      <c r="CA45" s="656"/>
      <c r="CB45" s="656"/>
      <c r="CC45" s="656"/>
      <c r="CD45" s="656"/>
      <c r="CE45" s="656"/>
      <c r="CF45" s="656"/>
      <c r="CG45" s="656"/>
      <c r="CH45" s="656"/>
      <c r="CI45" s="656"/>
      <c r="CJ45" s="656"/>
      <c r="CK45" s="656"/>
      <c r="CL45" s="656"/>
      <c r="CM45" s="656"/>
      <c r="CN45" s="656"/>
      <c r="CO45" s="656"/>
      <c r="CP45" s="656"/>
      <c r="CQ45" s="656"/>
      <c r="CR45" s="656"/>
      <c r="CS45" s="656"/>
      <c r="CT45" s="656"/>
      <c r="CU45" s="656"/>
      <c r="CV45" s="656"/>
      <c r="CW45" s="656"/>
      <c r="CX45" s="656"/>
      <c r="CY45" s="656"/>
      <c r="CZ45" s="656"/>
      <c r="DA45" s="656"/>
      <c r="DB45" s="656"/>
      <c r="DC45" s="656"/>
      <c r="DD45" s="656"/>
      <c r="DE45" s="656"/>
      <c r="DF45" s="656"/>
      <c r="DG45" s="656"/>
      <c r="DH45" s="656"/>
      <c r="DI45" s="656"/>
      <c r="DJ45" s="656"/>
      <c r="DK45" s="656"/>
      <c r="DL45" s="656"/>
      <c r="DM45" s="656"/>
      <c r="DN45" s="656"/>
      <c r="DO45" s="656"/>
      <c r="DP45" s="656"/>
      <c r="DQ45" s="656"/>
      <c r="DR45" s="656"/>
      <c r="DS45" s="656"/>
      <c r="DT45" s="656"/>
      <c r="DU45" s="656"/>
      <c r="DV45" s="656"/>
      <c r="DW45" s="656"/>
      <c r="DX45" s="656"/>
      <c r="DY45" s="656"/>
      <c r="DZ45" s="656"/>
    </row>
    <row r="46" spans="1:130">
      <c r="A46" s="437"/>
      <c r="B46" s="614" t="s">
        <v>1164</v>
      </c>
      <c r="C46" s="494" t="s">
        <v>1088</v>
      </c>
      <c r="D46" s="432"/>
      <c r="E46" s="452" t="b">
        <v>1</v>
      </c>
      <c r="F46" s="600">
        <f t="shared" si="31"/>
        <v>8</v>
      </c>
      <c r="G46" s="432"/>
      <c r="H46" s="432"/>
      <c r="I46" s="470">
        <f t="shared" si="32"/>
        <v>0.878</v>
      </c>
      <c r="J46" s="569"/>
      <c r="K46" s="472"/>
      <c r="L46" s="569">
        <f t="shared" si="33"/>
        <v>0.878</v>
      </c>
      <c r="M46" s="474">
        <f t="shared" si="38"/>
        <v>8</v>
      </c>
      <c r="N46" s="475">
        <f t="shared" si="34"/>
        <v>8</v>
      </c>
      <c r="O46" s="474">
        <f t="shared" si="39"/>
        <v>8</v>
      </c>
      <c r="P46" s="475">
        <f t="shared" si="35"/>
        <v>10</v>
      </c>
      <c r="Q46" s="432"/>
      <c r="R46" s="601">
        <f t="shared" si="36"/>
        <v>10</v>
      </c>
      <c r="S46" s="473">
        <f t="shared" si="37"/>
        <v>1.085</v>
      </c>
      <c r="T46" s="432"/>
      <c r="U46" s="478">
        <v>52295</v>
      </c>
      <c r="V46" s="479">
        <v>0.66288441568300227</v>
      </c>
      <c r="W46" s="611"/>
      <c r="X46" s="591">
        <v>4</v>
      </c>
      <c r="Y46" s="482">
        <f>_xll.RtGet($AE$42,$AE$43&amp;$X46&amp;$AE$44,Y$42)</f>
        <v>0.27600000000000002</v>
      </c>
      <c r="Z46" s="483">
        <f>_xll.RtGet($AE$42,$AE$43&amp;$X46&amp;$AE$44,Z$42)</f>
        <v>0.27600000000000002</v>
      </c>
      <c r="AA46" s="432"/>
      <c r="AB46" s="432"/>
      <c r="AC46" s="432"/>
      <c r="AD46" s="432"/>
      <c r="AE46" s="432"/>
      <c r="AF46" s="435"/>
      <c r="AG46" s="429"/>
      <c r="AH46" s="429"/>
      <c r="AI46" s="429"/>
      <c r="AJ46" s="429"/>
      <c r="AK46" s="435"/>
      <c r="AL46" s="431"/>
      <c r="AM46" s="435"/>
      <c r="AN46" s="435"/>
      <c r="AO46" s="432"/>
      <c r="AP46" s="487" t="b">
        <v>1</v>
      </c>
      <c r="AQ46" s="591" t="str">
        <f t="shared" si="19"/>
        <v>16Y</v>
      </c>
      <c r="AR46" s="434">
        <f t="shared" si="10"/>
        <v>192</v>
      </c>
      <c r="AS46" s="475" t="s">
        <v>1096</v>
      </c>
      <c r="AT46" s="470">
        <f t="shared" si="20"/>
        <v>1.2711103800000001</v>
      </c>
      <c r="AU46" s="471"/>
      <c r="AV46" s="472"/>
      <c r="AW46" s="473">
        <f t="shared" si="11"/>
        <v>1.2711103800000001</v>
      </c>
      <c r="AX46" s="474">
        <f t="shared" si="17"/>
        <v>44</v>
      </c>
      <c r="AY46" s="475">
        <f t="shared" si="12"/>
        <v>44</v>
      </c>
      <c r="AZ46" s="474">
        <f t="shared" si="18"/>
        <v>44</v>
      </c>
      <c r="BA46" s="475">
        <f t="shared" si="13"/>
        <v>44</v>
      </c>
      <c r="BB46" s="474">
        <f t="shared" si="14"/>
        <v>192</v>
      </c>
      <c r="BC46" s="434" t="str">
        <f t="shared" si="15"/>
        <v>e</v>
      </c>
      <c r="BD46" s="473">
        <f t="shared" si="16"/>
        <v>1.2711103800000001</v>
      </c>
      <c r="BE46" s="432"/>
      <c r="BF46" s="489" t="str">
        <v>-</v>
      </c>
      <c r="BG46" s="479" t="str">
        <v>-</v>
      </c>
      <c r="BH46" s="611"/>
      <c r="BI46" s="590" t="s">
        <v>1161</v>
      </c>
      <c r="BJ46" s="482">
        <f>_xll.RtGet($BN$7,$BN$8&amp;BI46&amp;$BN$9,$BJ$7)</f>
        <v>1.1758826180000002</v>
      </c>
      <c r="BK46" s="483">
        <f>_xll.RtGet($BN$7,$BN$8&amp;BI46&amp;$BN$9,$BK$7)</f>
        <v>1.1758826180000002</v>
      </c>
      <c r="BL46" s="432"/>
      <c r="BM46" s="435"/>
      <c r="BN46" s="435"/>
      <c r="BO46" s="430"/>
      <c r="BP46" s="655"/>
      <c r="BQ46" s="656"/>
      <c r="BR46" s="656"/>
      <c r="BS46" s="656"/>
      <c r="BT46" s="656"/>
      <c r="BU46" s="656"/>
      <c r="BV46" s="656"/>
      <c r="BW46" s="656"/>
      <c r="BX46" s="656"/>
      <c r="BY46" s="656"/>
      <c r="BZ46" s="656"/>
      <c r="CA46" s="656"/>
      <c r="CB46" s="656"/>
      <c r="CC46" s="656"/>
      <c r="CD46" s="656"/>
      <c r="CE46" s="656"/>
      <c r="CF46" s="656"/>
      <c r="CG46" s="656"/>
      <c r="CH46" s="656"/>
      <c r="CI46" s="656"/>
      <c r="CJ46" s="656"/>
      <c r="CK46" s="656"/>
      <c r="CL46" s="656"/>
      <c r="CM46" s="656"/>
      <c r="CN46" s="656"/>
      <c r="CO46" s="656"/>
      <c r="CP46" s="656"/>
      <c r="CQ46" s="656"/>
      <c r="CR46" s="656"/>
      <c r="CS46" s="656"/>
      <c r="CT46" s="656"/>
      <c r="CU46" s="656"/>
      <c r="CV46" s="656"/>
      <c r="CW46" s="656"/>
      <c r="CX46" s="656"/>
      <c r="CY46" s="656"/>
      <c r="CZ46" s="656"/>
      <c r="DA46" s="656"/>
      <c r="DB46" s="656"/>
      <c r="DC46" s="656"/>
      <c r="DD46" s="656"/>
      <c r="DE46" s="656"/>
      <c r="DF46" s="656"/>
      <c r="DG46" s="656"/>
      <c r="DH46" s="656"/>
      <c r="DI46" s="656"/>
      <c r="DJ46" s="656"/>
      <c r="DK46" s="656"/>
      <c r="DL46" s="656"/>
      <c r="DM46" s="656"/>
      <c r="DN46" s="656"/>
      <c r="DO46" s="656"/>
      <c r="DP46" s="656"/>
      <c r="DQ46" s="656"/>
      <c r="DR46" s="656"/>
      <c r="DS46" s="656"/>
      <c r="DT46" s="656"/>
      <c r="DU46" s="656"/>
      <c r="DV46" s="656"/>
      <c r="DW46" s="656"/>
      <c r="DX46" s="656"/>
      <c r="DY46" s="656"/>
      <c r="DZ46" s="656"/>
    </row>
    <row r="47" spans="1:130">
      <c r="A47" s="437"/>
      <c r="B47" s="615" t="s">
        <v>1166</v>
      </c>
      <c r="C47" s="606" t="s">
        <v>1094</v>
      </c>
      <c r="D47" s="432"/>
      <c r="E47" s="452" t="b">
        <v>1</v>
      </c>
      <c r="F47" s="600">
        <f t="shared" si="31"/>
        <v>9</v>
      </c>
      <c r="G47" s="432"/>
      <c r="H47" s="432"/>
      <c r="I47" s="470">
        <f t="shared" si="32"/>
        <v>0.98799999999999999</v>
      </c>
      <c r="J47" s="569"/>
      <c r="K47" s="472"/>
      <c r="L47" s="569">
        <f t="shared" si="33"/>
        <v>0.98799999999999999</v>
      </c>
      <c r="M47" s="474">
        <f t="shared" si="38"/>
        <v>9</v>
      </c>
      <c r="N47" s="475">
        <f t="shared" si="34"/>
        <v>9</v>
      </c>
      <c r="O47" s="474">
        <f t="shared" si="39"/>
        <v>9</v>
      </c>
      <c r="P47" s="475">
        <f t="shared" si="35"/>
        <v>11</v>
      </c>
      <c r="Q47" s="432"/>
      <c r="R47" s="601">
        <f t="shared" si="36"/>
        <v>11</v>
      </c>
      <c r="S47" s="473">
        <f t="shared" si="37"/>
        <v>1.170797262</v>
      </c>
      <c r="T47" s="432"/>
      <c r="U47" s="478">
        <v>52663</v>
      </c>
      <c r="V47" s="479">
        <v>0.65187724516655587</v>
      </c>
      <c r="W47" s="611"/>
      <c r="X47" s="591">
        <v>5</v>
      </c>
      <c r="Y47" s="482">
        <f>_xll.RtGet($AE$42,$AE$43&amp;$X47&amp;$AE$44,Y$42)</f>
        <v>0.45400000000000001</v>
      </c>
      <c r="Z47" s="483">
        <f>_xll.RtGet($AE$42,$AE$43&amp;$X47&amp;$AE$44,Z$42)</f>
        <v>0.45400000000000001</v>
      </c>
      <c r="AA47" s="432"/>
      <c r="AB47" s="432"/>
      <c r="AC47" s="432"/>
      <c r="AD47" s="432"/>
      <c r="AE47" s="432"/>
      <c r="AF47" s="435"/>
      <c r="AG47" s="429"/>
      <c r="AH47" s="429"/>
      <c r="AI47" s="429"/>
      <c r="AJ47" s="429"/>
      <c r="AK47" s="435"/>
      <c r="AL47" s="431"/>
      <c r="AM47" s="435"/>
      <c r="AN47" s="435"/>
      <c r="AO47" s="432"/>
      <c r="AP47" s="487" t="b">
        <v>1</v>
      </c>
      <c r="AQ47" s="591" t="str">
        <f t="shared" si="19"/>
        <v>17Y</v>
      </c>
      <c r="AR47" s="434">
        <f t="shared" si="10"/>
        <v>204</v>
      </c>
      <c r="AS47" s="475" t="s">
        <v>1096</v>
      </c>
      <c r="AT47" s="470">
        <f t="shared" si="20"/>
        <v>1.3091729560000001</v>
      </c>
      <c r="AU47" s="471"/>
      <c r="AV47" s="472"/>
      <c r="AW47" s="473">
        <f t="shared" si="11"/>
        <v>1.3091729560000001</v>
      </c>
      <c r="AX47" s="474">
        <f t="shared" si="17"/>
        <v>45</v>
      </c>
      <c r="AY47" s="475">
        <f t="shared" si="12"/>
        <v>45</v>
      </c>
      <c r="AZ47" s="474">
        <f t="shared" si="18"/>
        <v>45</v>
      </c>
      <c r="BA47" s="475">
        <f t="shared" si="13"/>
        <v>45</v>
      </c>
      <c r="BB47" s="474">
        <f t="shared" si="14"/>
        <v>204</v>
      </c>
      <c r="BC47" s="434" t="str">
        <f t="shared" si="15"/>
        <v>e</v>
      </c>
      <c r="BD47" s="473">
        <f t="shared" si="16"/>
        <v>1.3091729560000001</v>
      </c>
      <c r="BE47" s="432"/>
      <c r="BF47" s="489" t="str">
        <v>-</v>
      </c>
      <c r="BG47" s="479" t="str">
        <v>-</v>
      </c>
      <c r="BH47" s="611"/>
      <c r="BI47" s="590" t="s">
        <v>1163</v>
      </c>
      <c r="BJ47" s="482">
        <f>_xll.RtGet($BN$7,$BN$8&amp;BI47&amp;$BN$9,$BJ$7)</f>
        <v>1.2269999220000001</v>
      </c>
      <c r="BK47" s="483">
        <f>_xll.RtGet($BN$7,$BN$8&amp;BI47&amp;$BN$9,$BK$7)</f>
        <v>1.2269999220000001</v>
      </c>
      <c r="BL47" s="432"/>
      <c r="BM47" s="435"/>
      <c r="BN47" s="435"/>
      <c r="BO47" s="430"/>
      <c r="BP47" s="655"/>
      <c r="BQ47" s="656"/>
      <c r="BR47" s="656"/>
      <c r="BS47" s="656"/>
      <c r="BT47" s="656"/>
      <c r="BU47" s="656"/>
      <c r="BV47" s="656"/>
      <c r="BW47" s="656"/>
      <c r="BX47" s="656"/>
      <c r="BY47" s="656"/>
      <c r="BZ47" s="656"/>
      <c r="CA47" s="656"/>
      <c r="CB47" s="656"/>
      <c r="CC47" s="656"/>
      <c r="CD47" s="656"/>
      <c r="CE47" s="656"/>
      <c r="CF47" s="656"/>
      <c r="CG47" s="656"/>
      <c r="CH47" s="656"/>
      <c r="CI47" s="656"/>
      <c r="CJ47" s="656"/>
      <c r="CK47" s="656"/>
      <c r="CL47" s="656"/>
      <c r="CM47" s="656"/>
      <c r="CN47" s="656"/>
      <c r="CO47" s="656"/>
      <c r="CP47" s="656"/>
      <c r="CQ47" s="656"/>
      <c r="CR47" s="656"/>
      <c r="CS47" s="656"/>
      <c r="CT47" s="656"/>
      <c r="CU47" s="656"/>
      <c r="CV47" s="656"/>
      <c r="CW47" s="656"/>
      <c r="CX47" s="656"/>
      <c r="CY47" s="656"/>
      <c r="CZ47" s="656"/>
      <c r="DA47" s="656"/>
      <c r="DB47" s="656"/>
      <c r="DC47" s="656"/>
      <c r="DD47" s="656"/>
      <c r="DE47" s="656"/>
      <c r="DF47" s="656"/>
      <c r="DG47" s="656"/>
      <c r="DH47" s="656"/>
      <c r="DI47" s="656"/>
      <c r="DJ47" s="656"/>
      <c r="DK47" s="656"/>
      <c r="DL47" s="656"/>
      <c r="DM47" s="656"/>
      <c r="DN47" s="656"/>
      <c r="DO47" s="656"/>
      <c r="DP47" s="656"/>
      <c r="DQ47" s="656"/>
      <c r="DR47" s="656"/>
      <c r="DS47" s="656"/>
      <c r="DT47" s="656"/>
      <c r="DU47" s="656"/>
      <c r="DV47" s="656"/>
      <c r="DW47" s="656"/>
      <c r="DX47" s="656"/>
      <c r="DY47" s="656"/>
      <c r="DZ47" s="656"/>
    </row>
    <row r="48" spans="1:130">
      <c r="A48" s="437"/>
      <c r="B48" s="616" t="s">
        <v>1168</v>
      </c>
      <c r="C48" s="608">
        <v>1</v>
      </c>
      <c r="D48" s="432"/>
      <c r="E48" s="452" t="b">
        <v>1</v>
      </c>
      <c r="F48" s="600">
        <f t="shared" si="31"/>
        <v>10</v>
      </c>
      <c r="G48" s="432"/>
      <c r="H48" s="432"/>
      <c r="I48" s="470">
        <f t="shared" si="32"/>
        <v>1.085</v>
      </c>
      <c r="J48" s="569"/>
      <c r="K48" s="472"/>
      <c r="L48" s="569">
        <f t="shared" si="33"/>
        <v>1.085</v>
      </c>
      <c r="M48" s="474">
        <f t="shared" si="38"/>
        <v>10</v>
      </c>
      <c r="N48" s="475">
        <f t="shared" si="34"/>
        <v>10</v>
      </c>
      <c r="O48" s="474">
        <f t="shared" si="39"/>
        <v>10</v>
      </c>
      <c r="P48" s="475">
        <f t="shared" si="35"/>
        <v>12</v>
      </c>
      <c r="Q48" s="432"/>
      <c r="R48" s="601">
        <f t="shared" si="36"/>
        <v>12</v>
      </c>
      <c r="S48" s="473">
        <f t="shared" si="37"/>
        <v>1.2470000000000001</v>
      </c>
      <c r="T48" s="432"/>
      <c r="U48" s="478">
        <v>53027</v>
      </c>
      <c r="V48" s="479">
        <v>0.64129332859972554</v>
      </c>
      <c r="W48" s="435"/>
      <c r="X48" s="591">
        <v>6</v>
      </c>
      <c r="Y48" s="482">
        <f>_xll.RtGet($AE$42,$AE$43&amp;$X48&amp;$AE$44,Y$42)</f>
        <v>0.61299999999999999</v>
      </c>
      <c r="Z48" s="483">
        <f>_xll.RtGet($AE$42,$AE$43&amp;$X48&amp;$AE$44,Z$42)</f>
        <v>0.61299999999999999</v>
      </c>
      <c r="AA48" s="432"/>
      <c r="AB48" s="432"/>
      <c r="AC48" s="432"/>
      <c r="AD48" s="432"/>
      <c r="AE48" s="432"/>
      <c r="AF48" s="435"/>
      <c r="AG48" s="429"/>
      <c r="AH48" s="429"/>
      <c r="AI48" s="429"/>
      <c r="AJ48" s="429"/>
      <c r="AK48" s="435"/>
      <c r="AL48" s="431"/>
      <c r="AM48" s="435"/>
      <c r="AN48" s="435"/>
      <c r="AO48" s="432"/>
      <c r="AP48" s="487" t="b">
        <v>1</v>
      </c>
      <c r="AQ48" s="591" t="str">
        <f t="shared" si="19"/>
        <v>18Y</v>
      </c>
      <c r="AR48" s="434">
        <f t="shared" si="10"/>
        <v>216</v>
      </c>
      <c r="AS48" s="475" t="s">
        <v>1096</v>
      </c>
      <c r="AT48" s="470">
        <f t="shared" si="20"/>
        <v>1.341730246</v>
      </c>
      <c r="AU48" s="471"/>
      <c r="AV48" s="472"/>
      <c r="AW48" s="473">
        <f t="shared" si="11"/>
        <v>1.341730246</v>
      </c>
      <c r="AX48" s="474">
        <f t="shared" si="17"/>
        <v>46</v>
      </c>
      <c r="AY48" s="475">
        <f t="shared" si="12"/>
        <v>46</v>
      </c>
      <c r="AZ48" s="474">
        <f t="shared" si="18"/>
        <v>46</v>
      </c>
      <c r="BA48" s="475">
        <f t="shared" si="13"/>
        <v>46</v>
      </c>
      <c r="BB48" s="474">
        <f t="shared" si="14"/>
        <v>216</v>
      </c>
      <c r="BC48" s="434" t="str">
        <f t="shared" si="15"/>
        <v>e</v>
      </c>
      <c r="BD48" s="473">
        <f t="shared" si="16"/>
        <v>1.341730246</v>
      </c>
      <c r="BE48" s="432"/>
      <c r="BF48" s="489" t="str">
        <v>-</v>
      </c>
      <c r="BG48" s="479" t="str">
        <v>-</v>
      </c>
      <c r="BH48" s="435"/>
      <c r="BI48" s="590" t="s">
        <v>1165</v>
      </c>
      <c r="BJ48" s="482">
        <f>_xll.RtGet($BN$7,$BN$8&amp;BI48&amp;$BN$9,$BJ$7)</f>
        <v>1.2711103800000001</v>
      </c>
      <c r="BK48" s="483">
        <f>_xll.RtGet($BN$7,$BN$8&amp;BI48&amp;$BN$9,$BK$7)</f>
        <v>1.2711103800000001</v>
      </c>
      <c r="BL48" s="432"/>
      <c r="BM48" s="435"/>
      <c r="BN48" s="435"/>
      <c r="BO48" s="430"/>
      <c r="BP48" s="655"/>
      <c r="BQ48" s="656"/>
      <c r="BR48" s="656"/>
      <c r="BS48" s="656"/>
      <c r="BT48" s="656"/>
      <c r="BU48" s="656"/>
      <c r="BV48" s="656"/>
      <c r="BW48" s="656"/>
      <c r="BX48" s="656"/>
      <c r="BY48" s="656"/>
      <c r="BZ48" s="656"/>
      <c r="CA48" s="656"/>
      <c r="CB48" s="656"/>
      <c r="CC48" s="656"/>
      <c r="CD48" s="656"/>
      <c r="CE48" s="656"/>
      <c r="CF48" s="656"/>
      <c r="CG48" s="656"/>
      <c r="CH48" s="656"/>
      <c r="CI48" s="656"/>
      <c r="CJ48" s="656"/>
      <c r="CK48" s="656"/>
      <c r="CL48" s="656"/>
      <c r="CM48" s="656"/>
      <c r="CN48" s="656"/>
      <c r="CO48" s="656"/>
      <c r="CP48" s="656"/>
      <c r="CQ48" s="656"/>
      <c r="CR48" s="656"/>
      <c r="CS48" s="656"/>
      <c r="CT48" s="656"/>
      <c r="CU48" s="656"/>
      <c r="CV48" s="656"/>
      <c r="CW48" s="656"/>
      <c r="CX48" s="656"/>
      <c r="CY48" s="656"/>
      <c r="CZ48" s="656"/>
      <c r="DA48" s="656"/>
      <c r="DB48" s="656"/>
      <c r="DC48" s="656"/>
      <c r="DD48" s="656"/>
      <c r="DE48" s="656"/>
      <c r="DF48" s="656"/>
      <c r="DG48" s="656"/>
      <c r="DH48" s="656"/>
      <c r="DI48" s="656"/>
      <c r="DJ48" s="656"/>
      <c r="DK48" s="656"/>
      <c r="DL48" s="656"/>
      <c r="DM48" s="656"/>
      <c r="DN48" s="656"/>
      <c r="DO48" s="656"/>
      <c r="DP48" s="656"/>
      <c r="DQ48" s="656"/>
      <c r="DR48" s="656"/>
      <c r="DS48" s="656"/>
      <c r="DT48" s="656"/>
      <c r="DU48" s="656"/>
      <c r="DV48" s="656"/>
      <c r="DW48" s="656"/>
      <c r="DX48" s="656"/>
      <c r="DY48" s="656"/>
      <c r="DZ48" s="656"/>
    </row>
    <row r="49" spans="1:130">
      <c r="A49" s="437"/>
      <c r="B49" s="616" t="s">
        <v>1170</v>
      </c>
      <c r="C49" s="608" t="s">
        <v>1072</v>
      </c>
      <c r="D49" s="432"/>
      <c r="E49" s="452" t="b">
        <v>1</v>
      </c>
      <c r="F49" s="600">
        <f t="shared" si="31"/>
        <v>11</v>
      </c>
      <c r="G49" s="432"/>
      <c r="H49" s="432"/>
      <c r="I49" s="470">
        <f t="shared" si="32"/>
        <v>1.170797262</v>
      </c>
      <c r="J49" s="569"/>
      <c r="K49" s="472"/>
      <c r="L49" s="569">
        <f t="shared" si="33"/>
        <v>1.170797262</v>
      </c>
      <c r="M49" s="474">
        <f t="shared" si="38"/>
        <v>11</v>
      </c>
      <c r="N49" s="475">
        <f t="shared" si="34"/>
        <v>11</v>
      </c>
      <c r="O49" s="474">
        <f t="shared" si="39"/>
        <v>11</v>
      </c>
      <c r="P49" s="475">
        <f t="shared" si="35"/>
        <v>13</v>
      </c>
      <c r="Q49" s="432"/>
      <c r="R49" s="601">
        <f t="shared" si="36"/>
        <v>13</v>
      </c>
      <c r="S49" s="473">
        <f t="shared" si="37"/>
        <v>1.3128633599999999</v>
      </c>
      <c r="T49" s="432"/>
      <c r="U49" s="478">
        <v>53391</v>
      </c>
      <c r="V49" s="479">
        <v>0.63099305789629967</v>
      </c>
      <c r="W49" s="435"/>
      <c r="X49" s="591">
        <v>7</v>
      </c>
      <c r="Y49" s="482">
        <f>_xll.RtGet($AE$42,$AE$43&amp;$X49&amp;$AE$44,Y$42)</f>
        <v>0.754</v>
      </c>
      <c r="Z49" s="483">
        <f>_xll.RtGet($AE$42,$AE$43&amp;$X49&amp;$AE$44,Z$42)</f>
        <v>0.754</v>
      </c>
      <c r="AA49" s="432"/>
      <c r="AB49" s="432"/>
      <c r="AC49" s="432"/>
      <c r="AD49" s="432"/>
      <c r="AE49" s="432"/>
      <c r="AF49" s="435"/>
      <c r="AG49" s="429"/>
      <c r="AH49" s="429"/>
      <c r="AI49" s="429"/>
      <c r="AJ49" s="429"/>
      <c r="AK49" s="435"/>
      <c r="AL49" s="431"/>
      <c r="AM49" s="435"/>
      <c r="AN49" s="435"/>
      <c r="AO49" s="432"/>
      <c r="AP49" s="487" t="b">
        <v>1</v>
      </c>
      <c r="AQ49" s="591" t="str">
        <f t="shared" si="19"/>
        <v>19Y</v>
      </c>
      <c r="AR49" s="434">
        <f t="shared" si="10"/>
        <v>228</v>
      </c>
      <c r="AS49" s="475" t="s">
        <v>1096</v>
      </c>
      <c r="AT49" s="470">
        <f t="shared" si="20"/>
        <v>1.368854751</v>
      </c>
      <c r="AU49" s="471"/>
      <c r="AV49" s="472"/>
      <c r="AW49" s="473">
        <f t="shared" si="11"/>
        <v>1.368854751</v>
      </c>
      <c r="AX49" s="474">
        <f t="shared" si="17"/>
        <v>47</v>
      </c>
      <c r="AY49" s="475">
        <f t="shared" si="12"/>
        <v>47</v>
      </c>
      <c r="AZ49" s="474">
        <f t="shared" si="18"/>
        <v>47</v>
      </c>
      <c r="BA49" s="475">
        <f t="shared" si="13"/>
        <v>47</v>
      </c>
      <c r="BB49" s="474">
        <f t="shared" si="14"/>
        <v>228</v>
      </c>
      <c r="BC49" s="434" t="str">
        <f t="shared" si="15"/>
        <v>e</v>
      </c>
      <c r="BD49" s="473">
        <f t="shared" si="16"/>
        <v>1.368854751</v>
      </c>
      <c r="BE49" s="432"/>
      <c r="BF49" s="489" t="str">
        <v>-</v>
      </c>
      <c r="BG49" s="479" t="str">
        <v>-</v>
      </c>
      <c r="BH49" s="435"/>
      <c r="BI49" s="590" t="s">
        <v>1167</v>
      </c>
      <c r="BJ49" s="482">
        <f>_xll.RtGet($BN$7,$BN$8&amp;BI49&amp;$BN$9,$BJ$7)</f>
        <v>1.3091729560000001</v>
      </c>
      <c r="BK49" s="483">
        <f>_xll.RtGet($BN$7,$BN$8&amp;BI49&amp;$BN$9,$BK$7)</f>
        <v>1.3091729560000001</v>
      </c>
      <c r="BL49" s="432"/>
      <c r="BM49" s="435"/>
      <c r="BN49" s="435"/>
      <c r="BO49" s="430"/>
      <c r="BP49" s="655"/>
      <c r="BQ49" s="656"/>
      <c r="BR49" s="656"/>
      <c r="BS49" s="656"/>
      <c r="BT49" s="656"/>
      <c r="BU49" s="656"/>
      <c r="BV49" s="656"/>
      <c r="BW49" s="656"/>
      <c r="BX49" s="656"/>
      <c r="BY49" s="656"/>
      <c r="BZ49" s="656"/>
      <c r="CA49" s="656"/>
      <c r="CB49" s="656"/>
      <c r="CC49" s="656"/>
      <c r="CD49" s="656"/>
      <c r="CE49" s="656"/>
      <c r="CF49" s="656"/>
      <c r="CG49" s="656"/>
      <c r="CH49" s="656"/>
      <c r="CI49" s="656"/>
      <c r="CJ49" s="656"/>
      <c r="CK49" s="656"/>
      <c r="CL49" s="656"/>
      <c r="CM49" s="656"/>
      <c r="CN49" s="656"/>
      <c r="CO49" s="656"/>
      <c r="CP49" s="656"/>
      <c r="CQ49" s="656"/>
      <c r="CR49" s="656"/>
      <c r="CS49" s="656"/>
      <c r="CT49" s="656"/>
      <c r="CU49" s="656"/>
      <c r="CV49" s="656"/>
      <c r="CW49" s="656"/>
      <c r="CX49" s="656"/>
      <c r="CY49" s="656"/>
      <c r="CZ49" s="656"/>
      <c r="DA49" s="656"/>
      <c r="DB49" s="656"/>
      <c r="DC49" s="656"/>
      <c r="DD49" s="656"/>
      <c r="DE49" s="656"/>
      <c r="DF49" s="656"/>
      <c r="DG49" s="656"/>
      <c r="DH49" s="656"/>
      <c r="DI49" s="656"/>
      <c r="DJ49" s="656"/>
      <c r="DK49" s="656"/>
      <c r="DL49" s="656"/>
      <c r="DM49" s="656"/>
      <c r="DN49" s="656"/>
      <c r="DO49" s="656"/>
      <c r="DP49" s="656"/>
      <c r="DQ49" s="656"/>
      <c r="DR49" s="656"/>
      <c r="DS49" s="656"/>
      <c r="DT49" s="656"/>
      <c r="DU49" s="656"/>
      <c r="DV49" s="656"/>
      <c r="DW49" s="656"/>
      <c r="DX49" s="656"/>
      <c r="DY49" s="656"/>
      <c r="DZ49" s="656"/>
    </row>
    <row r="50" spans="1:130">
      <c r="A50" s="437"/>
      <c r="B50" s="616" t="s">
        <v>1172</v>
      </c>
      <c r="C50" s="617">
        <v>2</v>
      </c>
      <c r="D50" s="432"/>
      <c r="E50" s="452" t="b">
        <v>1</v>
      </c>
      <c r="F50" s="600">
        <f t="shared" si="31"/>
        <v>12</v>
      </c>
      <c r="G50" s="432"/>
      <c r="H50" s="432"/>
      <c r="I50" s="470">
        <f t="shared" si="32"/>
        <v>1.2470000000000001</v>
      </c>
      <c r="J50" s="569"/>
      <c r="K50" s="472"/>
      <c r="L50" s="569">
        <f t="shared" si="33"/>
        <v>1.2470000000000001</v>
      </c>
      <c r="M50" s="474">
        <f t="shared" si="38"/>
        <v>12</v>
      </c>
      <c r="N50" s="475">
        <f t="shared" si="34"/>
        <v>12</v>
      </c>
      <c r="O50" s="474">
        <f t="shared" si="39"/>
        <v>12</v>
      </c>
      <c r="P50" s="475">
        <f t="shared" si="35"/>
        <v>14</v>
      </c>
      <c r="Q50" s="432"/>
      <c r="R50" s="601">
        <f t="shared" si="36"/>
        <v>14</v>
      </c>
      <c r="S50" s="473">
        <f t="shared" si="37"/>
        <v>1.3696515580000002</v>
      </c>
      <c r="T50" s="432"/>
      <c r="U50" s="478">
        <v>53756</v>
      </c>
      <c r="V50" s="479">
        <v>0.62092895524901814</v>
      </c>
      <c r="W50" s="435"/>
      <c r="X50" s="591">
        <v>8</v>
      </c>
      <c r="Y50" s="482">
        <f>_xll.RtGet($AE$42,$AE$43&amp;$X50&amp;$AE$44,Y$42)</f>
        <v>0.878</v>
      </c>
      <c r="Z50" s="483">
        <f>_xll.RtGet($AE$42,$AE$43&amp;$X50&amp;$AE$44,Z$42)</f>
        <v>0.878</v>
      </c>
      <c r="AA50" s="432"/>
      <c r="AB50" s="432"/>
      <c r="AC50" s="432"/>
      <c r="AD50" s="432"/>
      <c r="AE50" s="432"/>
      <c r="AF50" s="435"/>
      <c r="AG50" s="429"/>
      <c r="AH50" s="429"/>
      <c r="AI50" s="429"/>
      <c r="AJ50" s="429"/>
      <c r="AK50" s="435"/>
      <c r="AL50" s="431"/>
      <c r="AM50" s="435"/>
      <c r="AN50" s="435"/>
      <c r="AO50" s="432"/>
      <c r="AP50" s="487" t="b">
        <v>1</v>
      </c>
      <c r="AQ50" s="591" t="str">
        <f t="shared" si="19"/>
        <v>20Y</v>
      </c>
      <c r="AR50" s="434">
        <f t="shared" si="10"/>
        <v>240</v>
      </c>
      <c r="AS50" s="475" t="s">
        <v>1096</v>
      </c>
      <c r="AT50" s="470">
        <f t="shared" si="20"/>
        <v>1.391000011</v>
      </c>
      <c r="AU50" s="471"/>
      <c r="AV50" s="472"/>
      <c r="AW50" s="473">
        <f t="shared" si="11"/>
        <v>1.391000011</v>
      </c>
      <c r="AX50" s="474">
        <f t="shared" si="17"/>
        <v>48</v>
      </c>
      <c r="AY50" s="475">
        <f t="shared" si="12"/>
        <v>48</v>
      </c>
      <c r="AZ50" s="474">
        <f t="shared" si="18"/>
        <v>48</v>
      </c>
      <c r="BA50" s="475">
        <f t="shared" si="13"/>
        <v>48</v>
      </c>
      <c r="BB50" s="474">
        <f t="shared" si="14"/>
        <v>240</v>
      </c>
      <c r="BC50" s="434" t="str">
        <f t="shared" si="15"/>
        <v>e</v>
      </c>
      <c r="BD50" s="473">
        <f t="shared" si="16"/>
        <v>1.391000011</v>
      </c>
      <c r="BE50" s="432"/>
      <c r="BF50" s="489" t="str">
        <v>-</v>
      </c>
      <c r="BG50" s="479" t="str">
        <v>-</v>
      </c>
      <c r="BH50" s="435"/>
      <c r="BI50" s="590" t="s">
        <v>1169</v>
      </c>
      <c r="BJ50" s="482">
        <f>_xll.RtGet($BN$7,$BN$8&amp;BI50&amp;$BN$9,$BJ$7)</f>
        <v>1.341730246</v>
      </c>
      <c r="BK50" s="483">
        <f>_xll.RtGet($BN$7,$BN$8&amp;BI50&amp;$BN$9,$BK$7)</f>
        <v>1.341730246</v>
      </c>
      <c r="BL50" s="432"/>
      <c r="BM50" s="435"/>
      <c r="BN50" s="435"/>
      <c r="BO50" s="430"/>
      <c r="BP50" s="655"/>
      <c r="BQ50" s="656"/>
      <c r="BR50" s="656"/>
      <c r="BS50" s="656"/>
      <c r="BT50" s="656"/>
      <c r="BU50" s="656"/>
      <c r="BV50" s="656"/>
      <c r="BW50" s="656"/>
      <c r="BX50" s="656"/>
      <c r="BY50" s="656"/>
      <c r="BZ50" s="656"/>
      <c r="CA50" s="656"/>
      <c r="CB50" s="656"/>
      <c r="CC50" s="656"/>
      <c r="CD50" s="656"/>
      <c r="CE50" s="656"/>
      <c r="CF50" s="656"/>
      <c r="CG50" s="656"/>
      <c r="CH50" s="656"/>
      <c r="CI50" s="656"/>
      <c r="CJ50" s="656"/>
      <c r="CK50" s="656"/>
      <c r="CL50" s="656"/>
      <c r="CM50" s="656"/>
      <c r="CN50" s="656"/>
      <c r="CO50" s="656"/>
      <c r="CP50" s="656"/>
      <c r="CQ50" s="656"/>
      <c r="CR50" s="656"/>
      <c r="CS50" s="656"/>
      <c r="CT50" s="656"/>
      <c r="CU50" s="656"/>
      <c r="CV50" s="656"/>
      <c r="CW50" s="656"/>
      <c r="CX50" s="656"/>
      <c r="CY50" s="656"/>
      <c r="CZ50" s="656"/>
      <c r="DA50" s="656"/>
      <c r="DB50" s="656"/>
      <c r="DC50" s="656"/>
      <c r="DD50" s="656"/>
      <c r="DE50" s="656"/>
      <c r="DF50" s="656"/>
      <c r="DG50" s="656"/>
      <c r="DH50" s="656"/>
      <c r="DI50" s="656"/>
      <c r="DJ50" s="656"/>
      <c r="DK50" s="656"/>
      <c r="DL50" s="656"/>
      <c r="DM50" s="656"/>
      <c r="DN50" s="656"/>
      <c r="DO50" s="656"/>
      <c r="DP50" s="656"/>
      <c r="DQ50" s="656"/>
      <c r="DR50" s="656"/>
      <c r="DS50" s="656"/>
      <c r="DT50" s="656"/>
      <c r="DU50" s="656"/>
      <c r="DV50" s="656"/>
      <c r="DW50" s="656"/>
      <c r="DX50" s="656"/>
      <c r="DY50" s="656"/>
      <c r="DZ50" s="656"/>
    </row>
    <row r="51" spans="1:130">
      <c r="A51" s="437"/>
      <c r="B51" s="618" t="s">
        <v>1174</v>
      </c>
      <c r="C51" s="504" t="s">
        <v>1059</v>
      </c>
      <c r="D51" s="432"/>
      <c r="E51" s="452" t="b">
        <v>1</v>
      </c>
      <c r="F51" s="600">
        <f t="shared" si="31"/>
        <v>13</v>
      </c>
      <c r="G51" s="432"/>
      <c r="H51" s="432"/>
      <c r="I51" s="470">
        <f t="shared" si="32"/>
        <v>1.3128633599999999</v>
      </c>
      <c r="J51" s="569"/>
      <c r="K51" s="472"/>
      <c r="L51" s="569">
        <f t="shared" si="33"/>
        <v>1.3128633599999999</v>
      </c>
      <c r="M51" s="474">
        <f t="shared" si="38"/>
        <v>13</v>
      </c>
      <c r="N51" s="475">
        <f t="shared" si="34"/>
        <v>13</v>
      </c>
      <c r="O51" s="474">
        <f t="shared" si="39"/>
        <v>13</v>
      </c>
      <c r="P51" s="475">
        <f t="shared" si="35"/>
        <v>15</v>
      </c>
      <c r="Q51" s="432"/>
      <c r="R51" s="601">
        <f t="shared" si="36"/>
        <v>15</v>
      </c>
      <c r="S51" s="473">
        <f t="shared" si="37"/>
        <v>1.4179999999999999</v>
      </c>
      <c r="T51" s="432"/>
      <c r="U51" s="478">
        <v>54122</v>
      </c>
      <c r="V51" s="479">
        <v>0.61108010687843928</v>
      </c>
      <c r="W51" s="435"/>
      <c r="X51" s="591">
        <v>9</v>
      </c>
      <c r="Y51" s="482">
        <f>_xll.RtGet($AE$42,$AE$43&amp;$X51&amp;$AE$44,Y$42)</f>
        <v>0.98799999999999999</v>
      </c>
      <c r="Z51" s="483">
        <f>_xll.RtGet($AE$42,$AE$43&amp;$X51&amp;$AE$44,Z$42)</f>
        <v>0.98799999999999999</v>
      </c>
      <c r="AA51" s="432"/>
      <c r="AB51" s="432"/>
      <c r="AC51" s="432"/>
      <c r="AD51" s="432"/>
      <c r="AE51" s="432"/>
      <c r="AF51" s="435"/>
      <c r="AG51" s="429"/>
      <c r="AH51" s="429"/>
      <c r="AI51" s="429"/>
      <c r="AJ51" s="429"/>
      <c r="AK51" s="435"/>
      <c r="AL51" s="431"/>
      <c r="AM51" s="435"/>
      <c r="AN51" s="435"/>
      <c r="AO51" s="432"/>
      <c r="AP51" s="487" t="b">
        <v>1</v>
      </c>
      <c r="AQ51" s="591" t="str">
        <f t="shared" si="19"/>
        <v>21Y</v>
      </c>
      <c r="AR51" s="434">
        <f t="shared" si="10"/>
        <v>252</v>
      </c>
      <c r="AS51" s="475" t="s">
        <v>1096</v>
      </c>
      <c r="AT51" s="470">
        <f t="shared" si="20"/>
        <v>1.4086647700000001</v>
      </c>
      <c r="AU51" s="471"/>
      <c r="AV51" s="472"/>
      <c r="AW51" s="473">
        <f t="shared" si="11"/>
        <v>1.4086647700000001</v>
      </c>
      <c r="AX51" s="474">
        <f t="shared" si="17"/>
        <v>49</v>
      </c>
      <c r="AY51" s="475">
        <f t="shared" si="12"/>
        <v>49</v>
      </c>
      <c r="AZ51" s="474">
        <f t="shared" si="18"/>
        <v>49</v>
      </c>
      <c r="BA51" s="475">
        <f t="shared" si="13"/>
        <v>49</v>
      </c>
      <c r="BB51" s="474">
        <f t="shared" si="14"/>
        <v>252</v>
      </c>
      <c r="BC51" s="434" t="str">
        <f t="shared" si="15"/>
        <v>e</v>
      </c>
      <c r="BD51" s="473">
        <f t="shared" si="16"/>
        <v>1.4086647700000001</v>
      </c>
      <c r="BE51" s="432"/>
      <c r="BF51" s="489" t="str">
        <v>-</v>
      </c>
      <c r="BG51" s="479" t="str">
        <v>-</v>
      </c>
      <c r="BH51" s="435"/>
      <c r="BI51" s="590" t="s">
        <v>1171</v>
      </c>
      <c r="BJ51" s="482">
        <f>_xll.RtGet($BN$7,$BN$8&amp;BI51&amp;$BN$9,$BJ$7)</f>
        <v>1.368854751</v>
      </c>
      <c r="BK51" s="483">
        <f>_xll.RtGet($BN$7,$BN$8&amp;BI51&amp;$BN$9,$BK$7)</f>
        <v>1.368854751</v>
      </c>
      <c r="BL51" s="432"/>
      <c r="BM51" s="435"/>
      <c r="BN51" s="435"/>
      <c r="BO51" s="430"/>
      <c r="BP51" s="655"/>
      <c r="BQ51" s="656"/>
      <c r="BR51" s="656"/>
      <c r="BS51" s="656"/>
      <c r="BT51" s="656"/>
      <c r="BU51" s="656"/>
      <c r="BV51" s="656"/>
      <c r="BW51" s="656"/>
      <c r="BX51" s="656"/>
      <c r="BY51" s="656"/>
      <c r="BZ51" s="656"/>
      <c r="CA51" s="656"/>
      <c r="CB51" s="656"/>
      <c r="CC51" s="656"/>
      <c r="CD51" s="656"/>
      <c r="CE51" s="656"/>
      <c r="CF51" s="656"/>
      <c r="CG51" s="656"/>
      <c r="CH51" s="656"/>
      <c r="CI51" s="656"/>
      <c r="CJ51" s="656"/>
      <c r="CK51" s="656"/>
      <c r="CL51" s="656"/>
      <c r="CM51" s="656"/>
      <c r="CN51" s="656"/>
      <c r="CO51" s="656"/>
      <c r="CP51" s="656"/>
      <c r="CQ51" s="656"/>
      <c r="CR51" s="656"/>
      <c r="CS51" s="656"/>
      <c r="CT51" s="656"/>
      <c r="CU51" s="656"/>
      <c r="CV51" s="656"/>
      <c r="CW51" s="656"/>
      <c r="CX51" s="656"/>
      <c r="CY51" s="656"/>
      <c r="CZ51" s="656"/>
      <c r="DA51" s="656"/>
      <c r="DB51" s="656"/>
      <c r="DC51" s="656"/>
      <c r="DD51" s="656"/>
      <c r="DE51" s="656"/>
      <c r="DF51" s="656"/>
      <c r="DG51" s="656"/>
      <c r="DH51" s="656"/>
      <c r="DI51" s="656"/>
      <c r="DJ51" s="656"/>
      <c r="DK51" s="656"/>
      <c r="DL51" s="656"/>
      <c r="DM51" s="656"/>
      <c r="DN51" s="656"/>
      <c r="DO51" s="656"/>
      <c r="DP51" s="656"/>
      <c r="DQ51" s="656"/>
      <c r="DR51" s="656"/>
      <c r="DS51" s="656"/>
      <c r="DT51" s="656"/>
      <c r="DU51" s="656"/>
      <c r="DV51" s="656"/>
      <c r="DW51" s="656"/>
      <c r="DX51" s="656"/>
      <c r="DY51" s="656"/>
      <c r="DZ51" s="656"/>
    </row>
    <row r="52" spans="1:130">
      <c r="A52" s="619"/>
      <c r="B52" s="620" t="s">
        <v>1176</v>
      </c>
      <c r="C52" s="621" t="b">
        <f>IF(Z26=C26,TRUE,FALSE)</f>
        <v>0</v>
      </c>
      <c r="D52" s="432"/>
      <c r="E52" s="452" t="b">
        <v>1</v>
      </c>
      <c r="F52" s="600">
        <f t="shared" si="31"/>
        <v>14</v>
      </c>
      <c r="G52" s="432"/>
      <c r="H52" s="432"/>
      <c r="I52" s="470">
        <f t="shared" si="32"/>
        <v>1.3696515580000002</v>
      </c>
      <c r="J52" s="569"/>
      <c r="K52" s="472"/>
      <c r="L52" s="569">
        <f t="shared" si="33"/>
        <v>1.3696515580000002</v>
      </c>
      <c r="M52" s="474">
        <f t="shared" si="38"/>
        <v>14</v>
      </c>
      <c r="N52" s="475">
        <f t="shared" si="34"/>
        <v>14</v>
      </c>
      <c r="O52" s="474">
        <f t="shared" si="39"/>
        <v>14</v>
      </c>
      <c r="P52" s="475">
        <f t="shared" si="35"/>
        <v>16</v>
      </c>
      <c r="Q52" s="432"/>
      <c r="R52" s="601">
        <f t="shared" si="36"/>
        <v>16</v>
      </c>
      <c r="S52" s="473">
        <f t="shared" si="37"/>
        <v>1.458769588</v>
      </c>
      <c r="T52" s="432"/>
      <c r="U52" s="478">
        <v>54487</v>
      </c>
      <c r="V52" s="479">
        <v>0.60147350135003019</v>
      </c>
      <c r="W52" s="435"/>
      <c r="X52" s="591">
        <v>10</v>
      </c>
      <c r="Y52" s="482">
        <f>_xll.RtGet($AE$42,$AE$43&amp;$X52&amp;$AE$44,Y$42)</f>
        <v>1.085</v>
      </c>
      <c r="Z52" s="483">
        <f>_xll.RtGet($AE$42,$AE$43&amp;$X52&amp;$AE$44,Z$42)</f>
        <v>1.085</v>
      </c>
      <c r="AA52" s="432"/>
      <c r="AB52" s="432"/>
      <c r="AC52" s="432"/>
      <c r="AD52" s="432"/>
      <c r="AE52" s="432"/>
      <c r="AF52" s="435"/>
      <c r="AG52" s="429"/>
      <c r="AH52" s="429"/>
      <c r="AI52" s="429"/>
      <c r="AJ52" s="429"/>
      <c r="AK52" s="435"/>
      <c r="AL52" s="431"/>
      <c r="AM52" s="435"/>
      <c r="AN52" s="435"/>
      <c r="AO52" s="432"/>
      <c r="AP52" s="487" t="b">
        <v>1</v>
      </c>
      <c r="AQ52" s="591" t="str">
        <f t="shared" si="19"/>
        <v>22Y</v>
      </c>
      <c r="AR52" s="434">
        <f t="shared" si="10"/>
        <v>264</v>
      </c>
      <c r="AS52" s="475" t="s">
        <v>1096</v>
      </c>
      <c r="AT52" s="470">
        <f t="shared" si="20"/>
        <v>1.4222897330000002</v>
      </c>
      <c r="AU52" s="471"/>
      <c r="AV52" s="472"/>
      <c r="AW52" s="473">
        <f t="shared" si="11"/>
        <v>1.4222897330000002</v>
      </c>
      <c r="AX52" s="474">
        <f t="shared" si="17"/>
        <v>50</v>
      </c>
      <c r="AY52" s="475">
        <f t="shared" si="12"/>
        <v>50</v>
      </c>
      <c r="AZ52" s="474">
        <f t="shared" si="18"/>
        <v>50</v>
      </c>
      <c r="BA52" s="475">
        <f t="shared" si="13"/>
        <v>50</v>
      </c>
      <c r="BB52" s="474">
        <f t="shared" si="14"/>
        <v>264</v>
      </c>
      <c r="BC52" s="434" t="str">
        <f t="shared" si="15"/>
        <v>e</v>
      </c>
      <c r="BD52" s="473">
        <f t="shared" si="16"/>
        <v>1.4222897330000002</v>
      </c>
      <c r="BE52" s="432"/>
      <c r="BF52" s="489" t="str">
        <v>-</v>
      </c>
      <c r="BG52" s="479" t="str">
        <v>-</v>
      </c>
      <c r="BH52" s="435"/>
      <c r="BI52" s="590" t="s">
        <v>1173</v>
      </c>
      <c r="BJ52" s="482">
        <f>_xll.RtGet($BN$7,$BN$8&amp;BI52&amp;$BN$9,$BJ$7)</f>
        <v>1.391000011</v>
      </c>
      <c r="BK52" s="483">
        <f>_xll.RtGet($BN$7,$BN$8&amp;BI52&amp;$BN$9,$BK$7)</f>
        <v>1.391000011</v>
      </c>
      <c r="BL52" s="432"/>
      <c r="BM52" s="435"/>
      <c r="BN52" s="435"/>
      <c r="BO52" s="430"/>
      <c r="BP52" s="655"/>
      <c r="BQ52" s="656"/>
      <c r="BR52" s="656"/>
      <c r="BS52" s="656"/>
      <c r="BT52" s="656"/>
      <c r="BU52" s="656"/>
      <c r="BV52" s="656"/>
      <c r="BW52" s="656"/>
      <c r="BX52" s="656"/>
      <c r="BY52" s="656"/>
      <c r="BZ52" s="656"/>
      <c r="CA52" s="656"/>
      <c r="CB52" s="656"/>
      <c r="CC52" s="656"/>
      <c r="CD52" s="656"/>
      <c r="CE52" s="656"/>
      <c r="CF52" s="656"/>
      <c r="CG52" s="656"/>
      <c r="CH52" s="656"/>
      <c r="CI52" s="656"/>
      <c r="CJ52" s="656"/>
      <c r="CK52" s="656"/>
      <c r="CL52" s="656"/>
      <c r="CM52" s="656"/>
      <c r="CN52" s="656"/>
      <c r="CO52" s="656"/>
      <c r="CP52" s="656"/>
      <c r="CQ52" s="656"/>
      <c r="CR52" s="656"/>
      <c r="CS52" s="656"/>
      <c r="CT52" s="656"/>
      <c r="CU52" s="656"/>
      <c r="CV52" s="656"/>
      <c r="CW52" s="656"/>
      <c r="CX52" s="656"/>
      <c r="CY52" s="656"/>
      <c r="CZ52" s="656"/>
      <c r="DA52" s="656"/>
      <c r="DB52" s="656"/>
      <c r="DC52" s="656"/>
      <c r="DD52" s="656"/>
      <c r="DE52" s="656"/>
      <c r="DF52" s="656"/>
      <c r="DG52" s="656"/>
      <c r="DH52" s="656"/>
      <c r="DI52" s="656"/>
      <c r="DJ52" s="656"/>
      <c r="DK52" s="656"/>
      <c r="DL52" s="656"/>
      <c r="DM52" s="656"/>
      <c r="DN52" s="656"/>
      <c r="DO52" s="656"/>
      <c r="DP52" s="656"/>
      <c r="DQ52" s="656"/>
      <c r="DR52" s="656"/>
      <c r="DS52" s="656"/>
      <c r="DT52" s="656"/>
      <c r="DU52" s="656"/>
      <c r="DV52" s="656"/>
      <c r="DW52" s="656"/>
      <c r="DX52" s="656"/>
      <c r="DY52" s="656"/>
      <c r="DZ52" s="656"/>
    </row>
    <row r="53" spans="1:130">
      <c r="A53" s="622"/>
      <c r="B53" s="435"/>
      <c r="C53" s="435"/>
      <c r="D53" s="432"/>
      <c r="E53" s="452" t="b">
        <v>1</v>
      </c>
      <c r="F53" s="600">
        <f t="shared" si="31"/>
        <v>15</v>
      </c>
      <c r="G53" s="432"/>
      <c r="H53" s="432"/>
      <c r="I53" s="470">
        <f t="shared" si="32"/>
        <v>1.4179999999999999</v>
      </c>
      <c r="J53" s="569"/>
      <c r="K53" s="472"/>
      <c r="L53" s="569">
        <f t="shared" si="33"/>
        <v>1.4179999999999999</v>
      </c>
      <c r="M53" s="474">
        <f t="shared" si="38"/>
        <v>15</v>
      </c>
      <c r="N53" s="475">
        <f t="shared" si="34"/>
        <v>15</v>
      </c>
      <c r="O53" s="474">
        <f t="shared" si="39"/>
        <v>15</v>
      </c>
      <c r="P53" s="475">
        <f t="shared" si="35"/>
        <v>17</v>
      </c>
      <c r="Q53" s="432"/>
      <c r="R53" s="601">
        <f t="shared" si="36"/>
        <v>17</v>
      </c>
      <c r="S53" s="473">
        <f t="shared" si="37"/>
        <v>1.4930594480000001</v>
      </c>
      <c r="T53" s="432"/>
      <c r="U53" s="478">
        <v>54854</v>
      </c>
      <c r="V53" s="479">
        <v>0.59202780610721684</v>
      </c>
      <c r="W53" s="435"/>
      <c r="X53" s="591">
        <v>11</v>
      </c>
      <c r="Y53" s="482">
        <f>_xll.RtGet($AE$42,$AE$43&amp;$X53&amp;$AE$44,Y$42)</f>
        <v>1.170797262</v>
      </c>
      <c r="Z53" s="483">
        <f>_xll.RtGet($AE$42,$AE$43&amp;$X53&amp;$AE$44,Z$42)</f>
        <v>1.170797262</v>
      </c>
      <c r="AA53" s="432"/>
      <c r="AB53" s="432"/>
      <c r="AC53" s="432"/>
      <c r="AD53" s="432"/>
      <c r="AE53" s="432"/>
      <c r="AF53" s="435"/>
      <c r="AG53" s="435"/>
      <c r="AH53" s="435"/>
      <c r="AI53" s="435"/>
      <c r="AJ53" s="435"/>
      <c r="AK53" s="435"/>
      <c r="AL53" s="431"/>
      <c r="AM53" s="435"/>
      <c r="AN53" s="435"/>
      <c r="AO53" s="432"/>
      <c r="AP53" s="487" t="b">
        <v>1</v>
      </c>
      <c r="AQ53" s="591" t="str">
        <f t="shared" si="19"/>
        <v>23Y</v>
      </c>
      <c r="AR53" s="434">
        <f t="shared" si="10"/>
        <v>276</v>
      </c>
      <c r="AS53" s="475" t="s">
        <v>1096</v>
      </c>
      <c r="AT53" s="470">
        <f t="shared" si="20"/>
        <v>1.4327793230000001</v>
      </c>
      <c r="AU53" s="471"/>
      <c r="AV53" s="472"/>
      <c r="AW53" s="473">
        <f t="shared" si="11"/>
        <v>1.4327793230000001</v>
      </c>
      <c r="AX53" s="474">
        <f t="shared" si="17"/>
        <v>51</v>
      </c>
      <c r="AY53" s="475">
        <f t="shared" si="12"/>
        <v>51</v>
      </c>
      <c r="AZ53" s="474">
        <f t="shared" si="18"/>
        <v>51</v>
      </c>
      <c r="BA53" s="475">
        <f t="shared" si="13"/>
        <v>51</v>
      </c>
      <c r="BB53" s="474">
        <f t="shared" si="14"/>
        <v>276</v>
      </c>
      <c r="BC53" s="434" t="str">
        <f t="shared" si="15"/>
        <v>e</v>
      </c>
      <c r="BD53" s="473">
        <f t="shared" si="16"/>
        <v>1.4327793230000001</v>
      </c>
      <c r="BE53" s="432"/>
      <c r="BF53" s="489" t="str">
        <v>-</v>
      </c>
      <c r="BG53" s="479" t="str">
        <v>-</v>
      </c>
      <c r="BH53" s="435"/>
      <c r="BI53" s="590" t="s">
        <v>1175</v>
      </c>
      <c r="BJ53" s="482">
        <f>_xll.RtGet($BN$7,$BN$8&amp;BI53&amp;$BN$9,$BJ$7)</f>
        <v>1.4086647700000001</v>
      </c>
      <c r="BK53" s="483">
        <f>_xll.RtGet($BN$7,$BN$8&amp;BI53&amp;$BN$9,$BK$7)</f>
        <v>1.4086647700000001</v>
      </c>
      <c r="BL53" s="432"/>
      <c r="BM53" s="435"/>
      <c r="BN53" s="435"/>
      <c r="BO53" s="430"/>
      <c r="BP53" s="655"/>
      <c r="BQ53" s="656"/>
      <c r="BR53" s="656"/>
      <c r="BS53" s="656"/>
      <c r="BT53" s="656"/>
      <c r="BU53" s="656"/>
      <c r="BV53" s="656"/>
      <c r="BW53" s="656"/>
      <c r="BX53" s="656"/>
      <c r="BY53" s="656"/>
      <c r="BZ53" s="656"/>
      <c r="CA53" s="656"/>
      <c r="CB53" s="656"/>
      <c r="CC53" s="656"/>
      <c r="CD53" s="656"/>
      <c r="CE53" s="656"/>
      <c r="CF53" s="656"/>
      <c r="CG53" s="656"/>
      <c r="CH53" s="656"/>
      <c r="CI53" s="656"/>
      <c r="CJ53" s="656"/>
      <c r="CK53" s="656"/>
      <c r="CL53" s="656"/>
      <c r="CM53" s="656"/>
      <c r="CN53" s="656"/>
      <c r="CO53" s="656"/>
      <c r="CP53" s="656"/>
      <c r="CQ53" s="656"/>
      <c r="CR53" s="656"/>
      <c r="CS53" s="656"/>
      <c r="CT53" s="656"/>
      <c r="CU53" s="656"/>
      <c r="CV53" s="656"/>
      <c r="CW53" s="656"/>
      <c r="CX53" s="656"/>
      <c r="CY53" s="656"/>
      <c r="CZ53" s="656"/>
      <c r="DA53" s="656"/>
      <c r="DB53" s="656"/>
      <c r="DC53" s="656"/>
      <c r="DD53" s="656"/>
      <c r="DE53" s="656"/>
      <c r="DF53" s="656"/>
      <c r="DG53" s="656"/>
      <c r="DH53" s="656"/>
      <c r="DI53" s="656"/>
      <c r="DJ53" s="656"/>
      <c r="DK53" s="656"/>
      <c r="DL53" s="656"/>
      <c r="DM53" s="656"/>
      <c r="DN53" s="656"/>
      <c r="DO53" s="656"/>
      <c r="DP53" s="656"/>
      <c r="DQ53" s="656"/>
      <c r="DR53" s="656"/>
      <c r="DS53" s="656"/>
      <c r="DT53" s="656"/>
      <c r="DU53" s="656"/>
      <c r="DV53" s="656"/>
      <c r="DW53" s="656"/>
      <c r="DX53" s="656"/>
      <c r="DY53" s="656"/>
      <c r="DZ53" s="656"/>
    </row>
    <row r="54" spans="1:130">
      <c r="A54" s="622"/>
      <c r="B54" s="528" t="s">
        <v>1179</v>
      </c>
      <c r="C54" s="528">
        <v>10000</v>
      </c>
      <c r="D54" s="432"/>
      <c r="E54" s="452" t="b">
        <v>1</v>
      </c>
      <c r="F54" s="600">
        <f t="shared" si="31"/>
        <v>16</v>
      </c>
      <c r="G54" s="432"/>
      <c r="H54" s="432"/>
      <c r="I54" s="470">
        <f t="shared" si="32"/>
        <v>1.458769588</v>
      </c>
      <c r="J54" s="569"/>
      <c r="K54" s="472"/>
      <c r="L54" s="569">
        <f t="shared" si="33"/>
        <v>1.458769588</v>
      </c>
      <c r="M54" s="474">
        <f t="shared" si="38"/>
        <v>16</v>
      </c>
      <c r="N54" s="475">
        <f t="shared" si="34"/>
        <v>16</v>
      </c>
      <c r="O54" s="474">
        <f t="shared" si="39"/>
        <v>16</v>
      </c>
      <c r="P54" s="475">
        <f t="shared" si="35"/>
        <v>18</v>
      </c>
      <c r="Q54" s="432"/>
      <c r="R54" s="601">
        <f t="shared" si="36"/>
        <v>18</v>
      </c>
      <c r="S54" s="473">
        <f t="shared" si="37"/>
        <v>1.5217765630000002</v>
      </c>
      <c r="T54" s="432"/>
      <c r="U54" s="478">
        <v>55218</v>
      </c>
      <c r="V54" s="479">
        <v>0.58288431692872611</v>
      </c>
      <c r="W54" s="435"/>
      <c r="X54" s="591">
        <v>12</v>
      </c>
      <c r="Y54" s="482">
        <f>_xll.RtGet($AE$42,$AE$43&amp;$X54&amp;$AE$44,Y$42)</f>
        <v>1.2470000000000001</v>
      </c>
      <c r="Z54" s="483">
        <f>_xll.RtGet($AE$42,$AE$43&amp;$X54&amp;$AE$44,Z$42)</f>
        <v>1.2470000000000001</v>
      </c>
      <c r="AA54" s="432"/>
      <c r="AB54" s="432"/>
      <c r="AC54" s="432"/>
      <c r="AD54" s="432"/>
      <c r="AE54" s="432"/>
      <c r="AF54" s="435"/>
      <c r="AG54" s="435"/>
      <c r="AH54" s="435"/>
      <c r="AI54" s="435"/>
      <c r="AJ54" s="435"/>
      <c r="AK54" s="435"/>
      <c r="AL54" s="431"/>
      <c r="AM54" s="435"/>
      <c r="AN54" s="435"/>
      <c r="AO54" s="432"/>
      <c r="AP54" s="487" t="b">
        <v>1</v>
      </c>
      <c r="AQ54" s="591" t="str">
        <f t="shared" si="19"/>
        <v>24Y</v>
      </c>
      <c r="AR54" s="434">
        <f t="shared" si="10"/>
        <v>288</v>
      </c>
      <c r="AS54" s="475" t="s">
        <v>1096</v>
      </c>
      <c r="AT54" s="470">
        <f t="shared" si="20"/>
        <v>1.4407885660000002</v>
      </c>
      <c r="AU54" s="471"/>
      <c r="AV54" s="472"/>
      <c r="AW54" s="473">
        <f t="shared" si="11"/>
        <v>1.4407885660000002</v>
      </c>
      <c r="AX54" s="474">
        <f t="shared" si="17"/>
        <v>52</v>
      </c>
      <c r="AY54" s="475">
        <f t="shared" si="12"/>
        <v>52</v>
      </c>
      <c r="AZ54" s="474">
        <f t="shared" si="18"/>
        <v>52</v>
      </c>
      <c r="BA54" s="475">
        <f t="shared" si="13"/>
        <v>52</v>
      </c>
      <c r="BB54" s="474">
        <f t="shared" si="14"/>
        <v>288</v>
      </c>
      <c r="BC54" s="434" t="str">
        <f t="shared" si="15"/>
        <v>e</v>
      </c>
      <c r="BD54" s="473">
        <f t="shared" si="16"/>
        <v>1.4407885660000002</v>
      </c>
      <c r="BE54" s="432"/>
      <c r="BF54" s="489" t="str">
        <v>-</v>
      </c>
      <c r="BG54" s="479" t="str">
        <v>-</v>
      </c>
      <c r="BH54" s="435"/>
      <c r="BI54" s="590" t="s">
        <v>1177</v>
      </c>
      <c r="BJ54" s="482">
        <f>_xll.RtGet($BN$7,$BN$8&amp;BI54&amp;$BN$9,$BJ$7)</f>
        <v>1.4222897330000002</v>
      </c>
      <c r="BK54" s="483">
        <f>_xll.RtGet($BN$7,$BN$8&amp;BI54&amp;$BN$9,$BK$7)</f>
        <v>1.4222897330000002</v>
      </c>
      <c r="BL54" s="432"/>
      <c r="BM54" s="435"/>
      <c r="BN54" s="435"/>
      <c r="BO54" s="430"/>
      <c r="BP54" s="655"/>
      <c r="BQ54" s="656"/>
      <c r="BR54" s="656"/>
      <c r="BS54" s="656"/>
      <c r="BT54" s="656"/>
      <c r="BU54" s="656"/>
      <c r="BV54" s="656"/>
      <c r="BW54" s="656"/>
      <c r="BX54" s="656"/>
      <c r="BY54" s="656"/>
      <c r="BZ54" s="656"/>
      <c r="CA54" s="656"/>
      <c r="CB54" s="656"/>
      <c r="CC54" s="656"/>
      <c r="CD54" s="656"/>
      <c r="CE54" s="656"/>
      <c r="CF54" s="656"/>
      <c r="CG54" s="656"/>
      <c r="CH54" s="656"/>
      <c r="CI54" s="656"/>
      <c r="CJ54" s="656"/>
      <c r="CK54" s="656"/>
      <c r="CL54" s="656"/>
      <c r="CM54" s="656"/>
      <c r="CN54" s="656"/>
      <c r="CO54" s="656"/>
      <c r="CP54" s="656"/>
      <c r="CQ54" s="656"/>
      <c r="CR54" s="656"/>
      <c r="CS54" s="656"/>
      <c r="CT54" s="656"/>
      <c r="CU54" s="656"/>
      <c r="CV54" s="656"/>
      <c r="CW54" s="656"/>
      <c r="CX54" s="656"/>
      <c r="CY54" s="656"/>
      <c r="CZ54" s="656"/>
      <c r="DA54" s="656"/>
      <c r="DB54" s="656"/>
      <c r="DC54" s="656"/>
      <c r="DD54" s="656"/>
      <c r="DE54" s="656"/>
      <c r="DF54" s="656"/>
      <c r="DG54" s="656"/>
      <c r="DH54" s="656"/>
      <c r="DI54" s="656"/>
      <c r="DJ54" s="656"/>
      <c r="DK54" s="656"/>
      <c r="DL54" s="656"/>
      <c r="DM54" s="656"/>
      <c r="DN54" s="656"/>
      <c r="DO54" s="656"/>
      <c r="DP54" s="656"/>
      <c r="DQ54" s="656"/>
      <c r="DR54" s="656"/>
      <c r="DS54" s="656"/>
      <c r="DT54" s="656"/>
      <c r="DU54" s="656"/>
      <c r="DV54" s="656"/>
      <c r="DW54" s="656"/>
      <c r="DX54" s="656"/>
      <c r="DY54" s="656"/>
      <c r="DZ54" s="656"/>
    </row>
    <row r="55" spans="1:130">
      <c r="A55" s="622"/>
      <c r="B55" s="528" t="s">
        <v>1077</v>
      </c>
      <c r="C55" s="528">
        <f>VLOOKUP(C33,AG3:AH12,2)</f>
        <v>5</v>
      </c>
      <c r="D55" s="432"/>
      <c r="E55" s="452" t="b">
        <v>1</v>
      </c>
      <c r="F55" s="600">
        <f t="shared" si="31"/>
        <v>17</v>
      </c>
      <c r="G55" s="432"/>
      <c r="H55" s="432"/>
      <c r="I55" s="470">
        <f t="shared" si="32"/>
        <v>1.4930594480000001</v>
      </c>
      <c r="J55" s="569"/>
      <c r="K55" s="472"/>
      <c r="L55" s="569">
        <f t="shared" si="33"/>
        <v>1.4930594480000001</v>
      </c>
      <c r="M55" s="474">
        <f t="shared" si="38"/>
        <v>17</v>
      </c>
      <c r="N55" s="475">
        <f t="shared" si="34"/>
        <v>17</v>
      </c>
      <c r="O55" s="474">
        <f t="shared" si="39"/>
        <v>17</v>
      </c>
      <c r="P55" s="475">
        <f t="shared" si="35"/>
        <v>19</v>
      </c>
      <c r="Q55" s="432"/>
      <c r="R55" s="601">
        <f t="shared" si="36"/>
        <v>19</v>
      </c>
      <c r="S55" s="473">
        <f t="shared" si="37"/>
        <v>1.5448139700000001</v>
      </c>
      <c r="T55" s="432"/>
      <c r="U55" s="478">
        <v>55583</v>
      </c>
      <c r="V55" s="479">
        <v>0.57395464258380025</v>
      </c>
      <c r="W55" s="435"/>
      <c r="X55" s="591">
        <v>13</v>
      </c>
      <c r="Y55" s="482">
        <f>_xll.RtGet($AE$42,$AE$43&amp;$X55&amp;$AE$44,Y$42)</f>
        <v>1.3128633599999999</v>
      </c>
      <c r="Z55" s="483">
        <f>_xll.RtGet($AE$42,$AE$43&amp;$X55&amp;$AE$44,Z$42)</f>
        <v>1.3128633599999999</v>
      </c>
      <c r="AA55" s="432"/>
      <c r="AB55" s="432"/>
      <c r="AC55" s="432"/>
      <c r="AD55" s="432"/>
      <c r="AE55" s="432"/>
      <c r="AF55" s="435"/>
      <c r="AG55" s="435"/>
      <c r="AH55" s="435"/>
      <c r="AI55" s="435"/>
      <c r="AJ55" s="435"/>
      <c r="AK55" s="435"/>
      <c r="AL55" s="431"/>
      <c r="AM55" s="435"/>
      <c r="AN55" s="435"/>
      <c r="AO55" s="432"/>
      <c r="AP55" s="487" t="b">
        <v>1</v>
      </c>
      <c r="AQ55" s="591" t="str">
        <f t="shared" si="19"/>
        <v>25Y</v>
      </c>
      <c r="AR55" s="434">
        <f t="shared" si="10"/>
        <v>300</v>
      </c>
      <c r="AS55" s="475" t="s">
        <v>1096</v>
      </c>
      <c r="AT55" s="470">
        <f t="shared" si="20"/>
        <v>1.4470000000000001</v>
      </c>
      <c r="AU55" s="471"/>
      <c r="AV55" s="472"/>
      <c r="AW55" s="473">
        <f t="shared" si="11"/>
        <v>1.4470000000000001</v>
      </c>
      <c r="AX55" s="474">
        <f t="shared" si="17"/>
        <v>53</v>
      </c>
      <c r="AY55" s="475">
        <f t="shared" si="12"/>
        <v>53</v>
      </c>
      <c r="AZ55" s="474">
        <f t="shared" si="18"/>
        <v>53</v>
      </c>
      <c r="BA55" s="475">
        <f t="shared" si="13"/>
        <v>53</v>
      </c>
      <c r="BB55" s="474">
        <f t="shared" si="14"/>
        <v>300</v>
      </c>
      <c r="BC55" s="434" t="str">
        <f t="shared" si="15"/>
        <v>e</v>
      </c>
      <c r="BD55" s="473">
        <f t="shared" si="16"/>
        <v>1.4470000000000001</v>
      </c>
      <c r="BE55" s="432"/>
      <c r="BF55" s="489" t="str">
        <v>-</v>
      </c>
      <c r="BG55" s="479" t="str">
        <v>-</v>
      </c>
      <c r="BH55" s="435"/>
      <c r="BI55" s="590" t="s">
        <v>1178</v>
      </c>
      <c r="BJ55" s="482">
        <f>_xll.RtGet($BN$7,$BN$8&amp;BI55&amp;$BN$9,$BJ$7)</f>
        <v>1.4327793230000001</v>
      </c>
      <c r="BK55" s="483">
        <f>_xll.RtGet($BN$7,$BN$8&amp;BI55&amp;$BN$9,$BK$7)</f>
        <v>1.4327793230000001</v>
      </c>
      <c r="BL55" s="432"/>
      <c r="BM55" s="435"/>
      <c r="BN55" s="435"/>
      <c r="BO55" s="430"/>
      <c r="BP55" s="655"/>
      <c r="BQ55" s="656"/>
      <c r="BR55" s="656"/>
      <c r="BS55" s="656"/>
      <c r="BT55" s="656"/>
      <c r="BU55" s="656"/>
      <c r="BV55" s="656"/>
      <c r="BW55" s="656"/>
      <c r="BX55" s="656"/>
      <c r="BY55" s="656"/>
      <c r="BZ55" s="656"/>
      <c r="CA55" s="656"/>
      <c r="CB55" s="656"/>
      <c r="CC55" s="656"/>
      <c r="CD55" s="656"/>
      <c r="CE55" s="656"/>
      <c r="CF55" s="656"/>
      <c r="CG55" s="656"/>
      <c r="CH55" s="656"/>
      <c r="CI55" s="656"/>
      <c r="CJ55" s="656"/>
      <c r="CK55" s="656"/>
      <c r="CL55" s="656"/>
      <c r="CM55" s="656"/>
      <c r="CN55" s="656"/>
      <c r="CO55" s="656"/>
      <c r="CP55" s="656"/>
      <c r="CQ55" s="656"/>
      <c r="CR55" s="656"/>
      <c r="CS55" s="656"/>
      <c r="CT55" s="656"/>
      <c r="CU55" s="656"/>
      <c r="CV55" s="656"/>
      <c r="CW55" s="656"/>
      <c r="CX55" s="656"/>
      <c r="CY55" s="656"/>
      <c r="CZ55" s="656"/>
      <c r="DA55" s="656"/>
      <c r="DB55" s="656"/>
      <c r="DC55" s="656"/>
      <c r="DD55" s="656"/>
      <c r="DE55" s="656"/>
      <c r="DF55" s="656"/>
      <c r="DG55" s="656"/>
      <c r="DH55" s="656"/>
      <c r="DI55" s="656"/>
      <c r="DJ55" s="656"/>
      <c r="DK55" s="656"/>
      <c r="DL55" s="656"/>
      <c r="DM55" s="656"/>
      <c r="DN55" s="656"/>
      <c r="DO55" s="656"/>
      <c r="DP55" s="656"/>
      <c r="DQ55" s="656"/>
      <c r="DR55" s="656"/>
      <c r="DS55" s="656"/>
      <c r="DT55" s="656"/>
      <c r="DU55" s="656"/>
      <c r="DV55" s="656"/>
      <c r="DW55" s="656"/>
      <c r="DX55" s="656"/>
      <c r="DY55" s="656"/>
      <c r="DZ55" s="656"/>
    </row>
    <row r="56" spans="1:130">
      <c r="A56" s="622"/>
      <c r="B56" s="435"/>
      <c r="C56" s="435"/>
      <c r="D56" s="435"/>
      <c r="E56" s="452" t="b">
        <v>1</v>
      </c>
      <c r="F56" s="600">
        <f t="shared" si="31"/>
        <v>18</v>
      </c>
      <c r="G56" s="432"/>
      <c r="H56" s="432"/>
      <c r="I56" s="470">
        <f t="shared" si="32"/>
        <v>1.5217765630000002</v>
      </c>
      <c r="J56" s="569"/>
      <c r="K56" s="472"/>
      <c r="L56" s="569">
        <f t="shared" si="33"/>
        <v>1.5217765630000002</v>
      </c>
      <c r="M56" s="474">
        <f t="shared" si="38"/>
        <v>18</v>
      </c>
      <c r="N56" s="475">
        <f t="shared" si="34"/>
        <v>18</v>
      </c>
      <c r="O56" s="474">
        <f t="shared" si="39"/>
        <v>18</v>
      </c>
      <c r="P56" s="475">
        <f t="shared" si="35"/>
        <v>20</v>
      </c>
      <c r="Q56" s="432"/>
      <c r="R56" s="601">
        <f t="shared" si="36"/>
        <v>20</v>
      </c>
      <c r="S56" s="473">
        <f t="shared" si="37"/>
        <v>1.5629999999999999</v>
      </c>
      <c r="T56" s="432"/>
      <c r="U56" s="478">
        <v>55948</v>
      </c>
      <c r="V56" s="479">
        <v>0.56527991397766442</v>
      </c>
      <c r="W56" s="435"/>
      <c r="X56" s="591">
        <v>14</v>
      </c>
      <c r="Y56" s="482">
        <f>_xll.RtGet($AE$42,$AE$43&amp;$X56&amp;$AE$44,Y$42)</f>
        <v>1.3696515580000002</v>
      </c>
      <c r="Z56" s="483">
        <f>_xll.RtGet($AE$42,$AE$43&amp;$X56&amp;$AE$44,Z$42)</f>
        <v>1.3696515580000002</v>
      </c>
      <c r="AA56" s="432"/>
      <c r="AB56" s="432"/>
      <c r="AC56" s="432"/>
      <c r="AD56" s="432"/>
      <c r="AE56" s="432"/>
      <c r="AF56" s="435"/>
      <c r="AG56" s="435"/>
      <c r="AH56" s="435"/>
      <c r="AI56" s="435"/>
      <c r="AJ56" s="435"/>
      <c r="AK56" s="435"/>
      <c r="AL56" s="431"/>
      <c r="AM56" s="435"/>
      <c r="AN56" s="435"/>
      <c r="AO56" s="435"/>
      <c r="AP56" s="487" t="b">
        <v>1</v>
      </c>
      <c r="AQ56" s="591" t="str">
        <f t="shared" si="19"/>
        <v>26Y</v>
      </c>
      <c r="AR56" s="434">
        <f t="shared" si="10"/>
        <v>312</v>
      </c>
      <c r="AS56" s="475" t="s">
        <v>1096</v>
      </c>
      <c r="AT56" s="470">
        <f t="shared" si="20"/>
        <v>1.4520397150000002</v>
      </c>
      <c r="AU56" s="471"/>
      <c r="AV56" s="472"/>
      <c r="AW56" s="473">
        <f t="shared" si="11"/>
        <v>1.4520397150000002</v>
      </c>
      <c r="AX56" s="474">
        <f t="shared" si="17"/>
        <v>54</v>
      </c>
      <c r="AY56" s="475">
        <f t="shared" si="12"/>
        <v>54</v>
      </c>
      <c r="AZ56" s="474">
        <f t="shared" si="18"/>
        <v>54</v>
      </c>
      <c r="BA56" s="475">
        <f t="shared" si="13"/>
        <v>54</v>
      </c>
      <c r="BB56" s="474">
        <f t="shared" si="14"/>
        <v>312</v>
      </c>
      <c r="BC56" s="434" t="str">
        <f t="shared" si="15"/>
        <v>e</v>
      </c>
      <c r="BD56" s="473">
        <f t="shared" si="16"/>
        <v>1.4520397150000002</v>
      </c>
      <c r="BE56" s="432"/>
      <c r="BF56" s="489" t="str">
        <v>-</v>
      </c>
      <c r="BG56" s="479" t="str">
        <v>-</v>
      </c>
      <c r="BH56" s="435"/>
      <c r="BI56" s="590" t="s">
        <v>1180</v>
      </c>
      <c r="BJ56" s="482">
        <f>_xll.RtGet($BN$7,$BN$8&amp;BI56&amp;$BN$9,$BJ$7)</f>
        <v>1.4407885660000002</v>
      </c>
      <c r="BK56" s="483">
        <f>_xll.RtGet($BN$7,$BN$8&amp;BI56&amp;$BN$9,$BK$7)</f>
        <v>1.4407885660000002</v>
      </c>
      <c r="BL56" s="432"/>
      <c r="BM56" s="435"/>
      <c r="BN56" s="435"/>
      <c r="BO56" s="430"/>
      <c r="BP56" s="655"/>
      <c r="BQ56" s="656"/>
      <c r="BR56" s="656"/>
      <c r="BS56" s="656"/>
      <c r="BT56" s="656"/>
      <c r="BU56" s="656"/>
      <c r="BV56" s="656"/>
      <c r="BW56" s="656"/>
      <c r="BX56" s="656"/>
      <c r="BY56" s="656"/>
      <c r="BZ56" s="656"/>
      <c r="CA56" s="656"/>
      <c r="CB56" s="656"/>
      <c r="CC56" s="656"/>
      <c r="CD56" s="656"/>
      <c r="CE56" s="656"/>
      <c r="CF56" s="656"/>
      <c r="CG56" s="656"/>
      <c r="CH56" s="656"/>
      <c r="CI56" s="656"/>
      <c r="CJ56" s="656"/>
      <c r="CK56" s="656"/>
      <c r="CL56" s="656"/>
      <c r="CM56" s="656"/>
      <c r="CN56" s="656"/>
      <c r="CO56" s="656"/>
      <c r="CP56" s="656"/>
      <c r="CQ56" s="656"/>
      <c r="CR56" s="656"/>
      <c r="CS56" s="656"/>
      <c r="CT56" s="656"/>
      <c r="CU56" s="656"/>
      <c r="CV56" s="656"/>
      <c r="CW56" s="656"/>
      <c r="CX56" s="656"/>
      <c r="CY56" s="656"/>
      <c r="CZ56" s="656"/>
      <c r="DA56" s="656"/>
      <c r="DB56" s="656"/>
      <c r="DC56" s="656"/>
      <c r="DD56" s="656"/>
      <c r="DE56" s="656"/>
      <c r="DF56" s="656"/>
      <c r="DG56" s="656"/>
      <c r="DH56" s="656"/>
      <c r="DI56" s="656"/>
      <c r="DJ56" s="656"/>
      <c r="DK56" s="656"/>
      <c r="DL56" s="656"/>
      <c r="DM56" s="656"/>
      <c r="DN56" s="656"/>
      <c r="DO56" s="656"/>
      <c r="DP56" s="656"/>
      <c r="DQ56" s="656"/>
      <c r="DR56" s="656"/>
      <c r="DS56" s="656"/>
      <c r="DT56" s="656"/>
      <c r="DU56" s="656"/>
      <c r="DV56" s="656"/>
      <c r="DW56" s="656"/>
      <c r="DX56" s="656"/>
      <c r="DY56" s="656"/>
      <c r="DZ56" s="656"/>
    </row>
    <row r="57" spans="1:130">
      <c r="A57" s="622"/>
      <c r="B57" s="528" t="s">
        <v>1068</v>
      </c>
      <c r="C57" s="528" t="s">
        <v>1069</v>
      </c>
      <c r="D57" s="435"/>
      <c r="E57" s="452" t="b">
        <v>1</v>
      </c>
      <c r="F57" s="600">
        <f t="shared" si="31"/>
        <v>19</v>
      </c>
      <c r="G57" s="432"/>
      <c r="H57" s="432"/>
      <c r="I57" s="470">
        <f t="shared" si="32"/>
        <v>1.5448139700000001</v>
      </c>
      <c r="J57" s="569"/>
      <c r="K57" s="472"/>
      <c r="L57" s="569">
        <f t="shared" si="33"/>
        <v>1.5448139700000001</v>
      </c>
      <c r="M57" s="474">
        <f t="shared" si="38"/>
        <v>19</v>
      </c>
      <c r="N57" s="475">
        <f t="shared" si="34"/>
        <v>19</v>
      </c>
      <c r="O57" s="474">
        <f t="shared" si="39"/>
        <v>19</v>
      </c>
      <c r="P57" s="475">
        <f t="shared" si="35"/>
        <v>21</v>
      </c>
      <c r="Q57" s="432"/>
      <c r="R57" s="601">
        <f t="shared" si="36"/>
        <v>21</v>
      </c>
      <c r="S57" s="473">
        <f t="shared" si="37"/>
        <v>1.5769851840000002</v>
      </c>
      <c r="T57" s="432"/>
      <c r="U57" s="478">
        <v>56313</v>
      </c>
      <c r="V57" s="479">
        <v>0.55687149648145207</v>
      </c>
      <c r="W57" s="435"/>
      <c r="X57" s="591">
        <v>15</v>
      </c>
      <c r="Y57" s="482">
        <f>_xll.RtGet($AE$42,$AE$43&amp;$X57&amp;$AE$44,Y$42)</f>
        <v>1.4179999999999999</v>
      </c>
      <c r="Z57" s="483">
        <f>_xll.RtGet($AE$42,$AE$43&amp;$X57&amp;$AE$44,Z$42)</f>
        <v>1.4179999999999999</v>
      </c>
      <c r="AA57" s="432"/>
      <c r="AB57" s="432"/>
      <c r="AC57" s="432"/>
      <c r="AD57" s="432"/>
      <c r="AE57" s="432"/>
      <c r="AF57" s="435"/>
      <c r="AG57" s="435"/>
      <c r="AH57" s="435"/>
      <c r="AI57" s="435"/>
      <c r="AJ57" s="435"/>
      <c r="AK57" s="435"/>
      <c r="AL57" s="431"/>
      <c r="AM57" s="435"/>
      <c r="AN57" s="435"/>
      <c r="AO57" s="435"/>
      <c r="AP57" s="487" t="b">
        <v>1</v>
      </c>
      <c r="AQ57" s="591" t="str">
        <f t="shared" si="19"/>
        <v>27Y</v>
      </c>
      <c r="AR57" s="434">
        <f t="shared" si="10"/>
        <v>324</v>
      </c>
      <c r="AS57" s="475" t="s">
        <v>1096</v>
      </c>
      <c r="AT57" s="470">
        <f t="shared" si="20"/>
        <v>1.4560590470000001</v>
      </c>
      <c r="AU57" s="471"/>
      <c r="AV57" s="472"/>
      <c r="AW57" s="473">
        <f t="shared" si="11"/>
        <v>1.4560590470000001</v>
      </c>
      <c r="AX57" s="474">
        <f t="shared" si="17"/>
        <v>55</v>
      </c>
      <c r="AY57" s="475">
        <f t="shared" si="12"/>
        <v>55</v>
      </c>
      <c r="AZ57" s="474">
        <f t="shared" si="18"/>
        <v>55</v>
      </c>
      <c r="BA57" s="475">
        <f t="shared" si="13"/>
        <v>55</v>
      </c>
      <c r="BB57" s="474">
        <f t="shared" si="14"/>
        <v>324</v>
      </c>
      <c r="BC57" s="434" t="str">
        <f t="shared" si="15"/>
        <v>e</v>
      </c>
      <c r="BD57" s="473">
        <f t="shared" si="16"/>
        <v>1.4560590470000001</v>
      </c>
      <c r="BE57" s="432"/>
      <c r="BF57" s="489" t="str">
        <v>-</v>
      </c>
      <c r="BG57" s="479" t="str">
        <v>-</v>
      </c>
      <c r="BH57" s="435"/>
      <c r="BI57" s="590" t="s">
        <v>1181</v>
      </c>
      <c r="BJ57" s="482">
        <f>_xll.RtGet($BN$7,$BN$8&amp;BI57&amp;$BN$9,$BJ$7)</f>
        <v>1.4470000000000001</v>
      </c>
      <c r="BK57" s="483">
        <f>_xll.RtGet($BN$7,$BN$8&amp;BI57&amp;$BN$9,$BK$7)</f>
        <v>1.4470000000000001</v>
      </c>
      <c r="BL57" s="432"/>
      <c r="BM57" s="435"/>
      <c r="BN57" s="435"/>
      <c r="BO57" s="430"/>
      <c r="BP57" s="655"/>
      <c r="BQ57" s="656"/>
      <c r="BR57" s="656"/>
      <c r="BS57" s="656"/>
      <c r="BT57" s="656"/>
      <c r="BU57" s="656"/>
      <c r="BV57" s="656"/>
      <c r="BW57" s="656"/>
      <c r="BX57" s="656"/>
      <c r="BY57" s="656"/>
      <c r="BZ57" s="656"/>
      <c r="CA57" s="656"/>
      <c r="CB57" s="656"/>
      <c r="CC57" s="656"/>
      <c r="CD57" s="656"/>
      <c r="CE57" s="656"/>
      <c r="CF57" s="656"/>
      <c r="CG57" s="656"/>
      <c r="CH57" s="656"/>
      <c r="CI57" s="656"/>
      <c r="CJ57" s="656"/>
      <c r="CK57" s="656"/>
      <c r="CL57" s="656"/>
      <c r="CM57" s="656"/>
      <c r="CN57" s="656"/>
      <c r="CO57" s="656"/>
      <c r="CP57" s="656"/>
      <c r="CQ57" s="656"/>
      <c r="CR57" s="656"/>
      <c r="CS57" s="656"/>
      <c r="CT57" s="656"/>
      <c r="CU57" s="656"/>
      <c r="CV57" s="656"/>
      <c r="CW57" s="656"/>
      <c r="CX57" s="656"/>
      <c r="CY57" s="656"/>
      <c r="CZ57" s="656"/>
      <c r="DA57" s="656"/>
      <c r="DB57" s="656"/>
      <c r="DC57" s="656"/>
      <c r="DD57" s="656"/>
      <c r="DE57" s="656"/>
      <c r="DF57" s="656"/>
      <c r="DG57" s="656"/>
      <c r="DH57" s="656"/>
      <c r="DI57" s="656"/>
      <c r="DJ57" s="656"/>
      <c r="DK57" s="656"/>
      <c r="DL57" s="656"/>
      <c r="DM57" s="656"/>
      <c r="DN57" s="656"/>
      <c r="DO57" s="656"/>
      <c r="DP57" s="656"/>
      <c r="DQ57" s="656"/>
      <c r="DR57" s="656"/>
      <c r="DS57" s="656"/>
      <c r="DT57" s="656"/>
      <c r="DU57" s="656"/>
      <c r="DV57" s="656"/>
      <c r="DW57" s="656"/>
      <c r="DX57" s="656"/>
      <c r="DY57" s="656"/>
      <c r="DZ57" s="656"/>
    </row>
    <row r="58" spans="1:130">
      <c r="A58" s="622"/>
      <c r="B58" s="623" t="str">
        <f>"DiscCurveName"&amp;IF(ISBLANK(C29),"","#"&amp;C29)</f>
        <v>DiscCurveName</v>
      </c>
      <c r="C58" s="624">
        <f>exoDisc</f>
        <v>0</v>
      </c>
      <c r="D58" s="435"/>
      <c r="E58" s="452" t="b">
        <v>1</v>
      </c>
      <c r="F58" s="600">
        <f t="shared" si="31"/>
        <v>20</v>
      </c>
      <c r="G58" s="432"/>
      <c r="H58" s="432"/>
      <c r="I58" s="470">
        <f t="shared" si="32"/>
        <v>1.5629999999999999</v>
      </c>
      <c r="J58" s="569"/>
      <c r="K58" s="472"/>
      <c r="L58" s="569">
        <f t="shared" si="33"/>
        <v>1.5629999999999999</v>
      </c>
      <c r="M58" s="474">
        <f t="shared" si="38"/>
        <v>20</v>
      </c>
      <c r="N58" s="475">
        <f t="shared" si="34"/>
        <v>20</v>
      </c>
      <c r="O58" s="474">
        <f t="shared" si="39"/>
        <v>20</v>
      </c>
      <c r="P58" s="475">
        <f t="shared" si="35"/>
        <v>22</v>
      </c>
      <c r="Q58" s="432"/>
      <c r="R58" s="601">
        <f t="shared" si="36"/>
        <v>22</v>
      </c>
      <c r="S58" s="473">
        <f t="shared" si="37"/>
        <v>1.587431075</v>
      </c>
      <c r="T58" s="432"/>
      <c r="U58" s="478">
        <v>56678</v>
      </c>
      <c r="V58" s="479">
        <v>0.54872573831856752</v>
      </c>
      <c r="W58" s="435"/>
      <c r="X58" s="591">
        <v>16</v>
      </c>
      <c r="Y58" s="482">
        <f>_xll.RtGet($AE$42,$AE$43&amp;$X58&amp;$AE$44,Y$42)</f>
        <v>1.458769588</v>
      </c>
      <c r="Z58" s="483">
        <f>_xll.RtGet($AE$42,$AE$43&amp;$X58&amp;$AE$44,Z$42)</f>
        <v>1.458769588</v>
      </c>
      <c r="AA58" s="432"/>
      <c r="AB58" s="432"/>
      <c r="AC58" s="432"/>
      <c r="AD58" s="432"/>
      <c r="AE58" s="432"/>
      <c r="AF58" s="435"/>
      <c r="AG58" s="435"/>
      <c r="AH58" s="435"/>
      <c r="AI58" s="435"/>
      <c r="AJ58" s="435"/>
      <c r="AK58" s="435"/>
      <c r="AL58" s="431"/>
      <c r="AM58" s="435"/>
      <c r="AN58" s="435"/>
      <c r="AO58" s="435"/>
      <c r="AP58" s="487" t="b">
        <v>1</v>
      </c>
      <c r="AQ58" s="591" t="str">
        <f t="shared" si="19"/>
        <v>28Y</v>
      </c>
      <c r="AR58" s="434">
        <f t="shared" si="10"/>
        <v>336</v>
      </c>
      <c r="AS58" s="475" t="s">
        <v>1096</v>
      </c>
      <c r="AT58" s="470">
        <f t="shared" si="20"/>
        <v>1.459284343</v>
      </c>
      <c r="AU58" s="471"/>
      <c r="AV58" s="472"/>
      <c r="AW58" s="473">
        <f t="shared" si="11"/>
        <v>1.459284343</v>
      </c>
      <c r="AX58" s="474">
        <f t="shared" si="17"/>
        <v>56</v>
      </c>
      <c r="AY58" s="475">
        <f t="shared" si="12"/>
        <v>56</v>
      </c>
      <c r="AZ58" s="474">
        <f t="shared" si="18"/>
        <v>56</v>
      </c>
      <c r="BA58" s="475">
        <f t="shared" si="13"/>
        <v>56</v>
      </c>
      <c r="BB58" s="474">
        <f t="shared" si="14"/>
        <v>336</v>
      </c>
      <c r="BC58" s="434" t="str">
        <f t="shared" si="15"/>
        <v>e</v>
      </c>
      <c r="BD58" s="473">
        <f t="shared" si="16"/>
        <v>1.459284343</v>
      </c>
      <c r="BE58" s="432"/>
      <c r="BF58" s="489" t="str">
        <v>-</v>
      </c>
      <c r="BG58" s="479" t="str">
        <v>-</v>
      </c>
      <c r="BH58" s="435"/>
      <c r="BI58" s="590" t="s">
        <v>1182</v>
      </c>
      <c r="BJ58" s="482">
        <f>_xll.RtGet($BN$7,$BN$8&amp;BI58&amp;$BN$9,$BJ$7)</f>
        <v>1.4520397150000002</v>
      </c>
      <c r="BK58" s="483">
        <f>_xll.RtGet($BN$7,$BN$8&amp;BI58&amp;$BN$9,$BK$7)</f>
        <v>1.4520397150000002</v>
      </c>
      <c r="BL58" s="432"/>
      <c r="BM58" s="435"/>
      <c r="BN58" s="435"/>
      <c r="BO58" s="430"/>
      <c r="BP58" s="655"/>
      <c r="BQ58" s="656"/>
      <c r="BR58" s="656"/>
      <c r="BS58" s="656"/>
      <c r="BT58" s="656"/>
      <c r="BU58" s="656"/>
      <c r="BV58" s="656"/>
      <c r="BW58" s="656"/>
      <c r="BX58" s="656"/>
      <c r="BY58" s="656"/>
      <c r="BZ58" s="656"/>
      <c r="CA58" s="656"/>
      <c r="CB58" s="656"/>
      <c r="CC58" s="656"/>
      <c r="CD58" s="656"/>
      <c r="CE58" s="656"/>
      <c r="CF58" s="656"/>
      <c r="CG58" s="656"/>
      <c r="CH58" s="656"/>
      <c r="CI58" s="656"/>
      <c r="CJ58" s="656"/>
      <c r="CK58" s="656"/>
      <c r="CL58" s="656"/>
      <c r="CM58" s="656"/>
      <c r="CN58" s="656"/>
      <c r="CO58" s="656"/>
      <c r="CP58" s="656"/>
      <c r="CQ58" s="656"/>
      <c r="CR58" s="656"/>
      <c r="CS58" s="656"/>
      <c r="CT58" s="656"/>
      <c r="CU58" s="656"/>
      <c r="CV58" s="656"/>
      <c r="CW58" s="656"/>
      <c r="CX58" s="656"/>
      <c r="CY58" s="656"/>
      <c r="CZ58" s="656"/>
      <c r="DA58" s="656"/>
      <c r="DB58" s="656"/>
      <c r="DC58" s="656"/>
      <c r="DD58" s="656"/>
      <c r="DE58" s="656"/>
      <c r="DF58" s="656"/>
      <c r="DG58" s="656"/>
      <c r="DH58" s="656"/>
      <c r="DI58" s="656"/>
      <c r="DJ58" s="656"/>
      <c r="DK58" s="656"/>
      <c r="DL58" s="656"/>
      <c r="DM58" s="656"/>
      <c r="DN58" s="656"/>
      <c r="DO58" s="656"/>
      <c r="DP58" s="656"/>
      <c r="DQ58" s="656"/>
      <c r="DR58" s="656"/>
      <c r="DS58" s="656"/>
      <c r="DT58" s="656"/>
      <c r="DU58" s="656"/>
      <c r="DV58" s="656"/>
      <c r="DW58" s="656"/>
      <c r="DX58" s="656"/>
      <c r="DY58" s="656"/>
      <c r="DZ58" s="656"/>
    </row>
    <row r="59" spans="1:130">
      <c r="A59" s="622"/>
      <c r="B59" s="625" t="str">
        <f>"FutEndDate"&amp;IF(ISBLANK(C44),"","#"&amp;C44)</f>
        <v>FutEndDate#standard</v>
      </c>
      <c r="C59" s="626">
        <v>0</v>
      </c>
      <c r="D59" s="435"/>
      <c r="E59" s="452" t="b">
        <v>1</v>
      </c>
      <c r="F59" s="600">
        <f t="shared" si="31"/>
        <v>21</v>
      </c>
      <c r="G59" s="432"/>
      <c r="H59" s="432"/>
      <c r="I59" s="470">
        <f t="shared" si="32"/>
        <v>1.5769851840000002</v>
      </c>
      <c r="J59" s="569"/>
      <c r="K59" s="472"/>
      <c r="L59" s="569">
        <f t="shared" si="33"/>
        <v>1.5769851840000002</v>
      </c>
      <c r="M59" s="474">
        <f t="shared" si="38"/>
        <v>21</v>
      </c>
      <c r="N59" s="475">
        <f t="shared" si="34"/>
        <v>21</v>
      </c>
      <c r="O59" s="474">
        <f t="shared" si="39"/>
        <v>21</v>
      </c>
      <c r="P59" s="475">
        <f t="shared" si="35"/>
        <v>23</v>
      </c>
      <c r="Q59" s="432"/>
      <c r="R59" s="601">
        <f t="shared" si="36"/>
        <v>23</v>
      </c>
      <c r="S59" s="473">
        <f t="shared" si="37"/>
        <v>1.5947736050000001</v>
      </c>
      <c r="T59" s="432"/>
      <c r="U59" s="478">
        <v>57045</v>
      </c>
      <c r="V59" s="479">
        <v>0.54079174834453703</v>
      </c>
      <c r="W59" s="435"/>
      <c r="X59" s="591">
        <v>17</v>
      </c>
      <c r="Y59" s="482">
        <f>_xll.RtGet($AE$42,$AE$43&amp;$X59&amp;$AE$44,Y$42)</f>
        <v>1.4930594480000001</v>
      </c>
      <c r="Z59" s="483">
        <f>_xll.RtGet($AE$42,$AE$43&amp;$X59&amp;$AE$44,Z$42)</f>
        <v>1.4930594480000001</v>
      </c>
      <c r="AA59" s="432"/>
      <c r="AB59" s="432"/>
      <c r="AC59" s="432"/>
      <c r="AD59" s="432"/>
      <c r="AE59" s="432"/>
      <c r="AF59" s="435"/>
      <c r="AG59" s="435"/>
      <c r="AH59" s="435"/>
      <c r="AI59" s="435"/>
      <c r="AJ59" s="435"/>
      <c r="AK59" s="435"/>
      <c r="AL59" s="431"/>
      <c r="AM59" s="435"/>
      <c r="AN59" s="435"/>
      <c r="AO59" s="435"/>
      <c r="AP59" s="487" t="b">
        <v>1</v>
      </c>
      <c r="AQ59" s="591" t="str">
        <f t="shared" si="19"/>
        <v>29Y</v>
      </c>
      <c r="AR59" s="434">
        <f t="shared" si="10"/>
        <v>348</v>
      </c>
      <c r="AS59" s="475" t="s">
        <v>1096</v>
      </c>
      <c r="AT59" s="470">
        <f t="shared" si="20"/>
        <v>1.461880904</v>
      </c>
      <c r="AU59" s="471"/>
      <c r="AV59" s="472"/>
      <c r="AW59" s="473">
        <f t="shared" si="11"/>
        <v>1.461880904</v>
      </c>
      <c r="AX59" s="474">
        <f t="shared" si="17"/>
        <v>57</v>
      </c>
      <c r="AY59" s="475">
        <f t="shared" si="12"/>
        <v>57</v>
      </c>
      <c r="AZ59" s="474">
        <f t="shared" si="18"/>
        <v>57</v>
      </c>
      <c r="BA59" s="475">
        <f t="shared" si="13"/>
        <v>57</v>
      </c>
      <c r="BB59" s="474">
        <f t="shared" si="14"/>
        <v>348</v>
      </c>
      <c r="BC59" s="434" t="str">
        <f t="shared" si="15"/>
        <v>e</v>
      </c>
      <c r="BD59" s="473">
        <f t="shared" si="16"/>
        <v>1.461880904</v>
      </c>
      <c r="BE59" s="432"/>
      <c r="BF59" s="489" t="str">
        <v>-</v>
      </c>
      <c r="BG59" s="479" t="str">
        <v>-</v>
      </c>
      <c r="BH59" s="435"/>
      <c r="BI59" s="590" t="s">
        <v>1183</v>
      </c>
      <c r="BJ59" s="482">
        <f>_xll.RtGet($BN$7,$BN$8&amp;BI59&amp;$BN$9,$BJ$7)</f>
        <v>1.4560590470000001</v>
      </c>
      <c r="BK59" s="483">
        <f>_xll.RtGet($BN$7,$BN$8&amp;BI59&amp;$BN$9,$BK$7)</f>
        <v>1.4560590470000001</v>
      </c>
      <c r="BL59" s="432"/>
      <c r="BM59" s="435"/>
      <c r="BN59" s="435"/>
      <c r="BO59" s="430"/>
      <c r="BP59" s="655"/>
      <c r="BQ59" s="656"/>
      <c r="BR59" s="656"/>
      <c r="BS59" s="656"/>
      <c r="BT59" s="656"/>
      <c r="BU59" s="656"/>
      <c r="BV59" s="656"/>
      <c r="BW59" s="656"/>
      <c r="BX59" s="656"/>
      <c r="BY59" s="656"/>
      <c r="BZ59" s="656"/>
      <c r="CA59" s="656"/>
      <c r="CB59" s="656"/>
      <c r="CC59" s="656"/>
      <c r="CD59" s="656"/>
      <c r="CE59" s="656"/>
      <c r="CF59" s="656"/>
      <c r="CG59" s="656"/>
      <c r="CH59" s="656"/>
      <c r="CI59" s="656"/>
      <c r="CJ59" s="656"/>
      <c r="CK59" s="656"/>
      <c r="CL59" s="656"/>
      <c r="CM59" s="656"/>
      <c r="CN59" s="656"/>
      <c r="CO59" s="656"/>
      <c r="CP59" s="656"/>
      <c r="CQ59" s="656"/>
      <c r="CR59" s="656"/>
      <c r="CS59" s="656"/>
      <c r="CT59" s="656"/>
      <c r="CU59" s="656"/>
      <c r="CV59" s="656"/>
      <c r="CW59" s="656"/>
      <c r="CX59" s="656"/>
      <c r="CY59" s="656"/>
      <c r="CZ59" s="656"/>
      <c r="DA59" s="656"/>
      <c r="DB59" s="656"/>
      <c r="DC59" s="656"/>
      <c r="DD59" s="656"/>
      <c r="DE59" s="656"/>
      <c r="DF59" s="656"/>
      <c r="DG59" s="656"/>
      <c r="DH59" s="656"/>
      <c r="DI59" s="656"/>
      <c r="DJ59" s="656"/>
      <c r="DK59" s="656"/>
      <c r="DL59" s="656"/>
      <c r="DM59" s="656"/>
      <c r="DN59" s="656"/>
      <c r="DO59" s="656"/>
      <c r="DP59" s="656"/>
      <c r="DQ59" s="656"/>
      <c r="DR59" s="656"/>
      <c r="DS59" s="656"/>
      <c r="DT59" s="656"/>
      <c r="DU59" s="656"/>
      <c r="DV59" s="656"/>
      <c r="DW59" s="656"/>
      <c r="DX59" s="656"/>
      <c r="DY59" s="656"/>
      <c r="DZ59" s="656"/>
    </row>
    <row r="60" spans="1:130">
      <c r="A60" s="622"/>
      <c r="B60" s="625" t="str">
        <f>"MatBlockCons"&amp;IF(ISBLANK(C43),"","#"&amp;C43)</f>
        <v>MatBlockCons#on</v>
      </c>
      <c r="C60" s="626">
        <v>0</v>
      </c>
      <c r="D60" s="435"/>
      <c r="E60" s="452" t="b">
        <v>1</v>
      </c>
      <c r="F60" s="600">
        <f t="shared" si="31"/>
        <v>22</v>
      </c>
      <c r="G60" s="432"/>
      <c r="H60" s="432"/>
      <c r="I60" s="470">
        <f t="shared" si="32"/>
        <v>1.587431075</v>
      </c>
      <c r="J60" s="569"/>
      <c r="K60" s="472"/>
      <c r="L60" s="569">
        <f t="shared" si="33"/>
        <v>1.587431075</v>
      </c>
      <c r="M60" s="474">
        <f t="shared" si="38"/>
        <v>22</v>
      </c>
      <c r="N60" s="475">
        <f t="shared" si="34"/>
        <v>22</v>
      </c>
      <c r="O60" s="474">
        <f t="shared" si="39"/>
        <v>22</v>
      </c>
      <c r="P60" s="475">
        <f t="shared" si="35"/>
        <v>24</v>
      </c>
      <c r="Q60" s="432"/>
      <c r="R60" s="601">
        <f t="shared" si="36"/>
        <v>24</v>
      </c>
      <c r="S60" s="473">
        <f t="shared" si="37"/>
        <v>1.5997635800000001</v>
      </c>
      <c r="T60" s="432"/>
      <c r="U60" s="478">
        <v>57409</v>
      </c>
      <c r="V60" s="479">
        <v>0.53316871599122928</v>
      </c>
      <c r="W60" s="435"/>
      <c r="X60" s="591">
        <v>18</v>
      </c>
      <c r="Y60" s="482">
        <f>_xll.RtGet($AE$42,$AE$43&amp;$X60&amp;$AE$44,Y$42)</f>
        <v>1.5217765630000002</v>
      </c>
      <c r="Z60" s="483">
        <f>_xll.RtGet($AE$42,$AE$43&amp;$X60&amp;$AE$44,Z$42)</f>
        <v>1.5217765630000002</v>
      </c>
      <c r="AA60" s="432"/>
      <c r="AB60" s="432"/>
      <c r="AC60" s="432"/>
      <c r="AD60" s="432"/>
      <c r="AE60" s="432"/>
      <c r="AF60" s="435"/>
      <c r="AG60" s="435"/>
      <c r="AH60" s="435"/>
      <c r="AI60" s="435"/>
      <c r="AJ60" s="435"/>
      <c r="AK60" s="435"/>
      <c r="AL60" s="431"/>
      <c r="AM60" s="435"/>
      <c r="AN60" s="435"/>
      <c r="AO60" s="435"/>
      <c r="AP60" s="487" t="b">
        <v>1</v>
      </c>
      <c r="AQ60" s="591" t="str">
        <f t="shared" si="19"/>
        <v>30Y</v>
      </c>
      <c r="AR60" s="434">
        <f t="shared" si="10"/>
        <v>360</v>
      </c>
      <c r="AS60" s="475" t="s">
        <v>1096</v>
      </c>
      <c r="AT60" s="470">
        <f t="shared" si="20"/>
        <v>1.4640000070000001</v>
      </c>
      <c r="AU60" s="471"/>
      <c r="AV60" s="472"/>
      <c r="AW60" s="473">
        <f t="shared" si="11"/>
        <v>1.4640000070000001</v>
      </c>
      <c r="AX60" s="474">
        <f t="shared" si="17"/>
        <v>58</v>
      </c>
      <c r="AY60" s="475">
        <f t="shared" si="12"/>
        <v>58</v>
      </c>
      <c r="AZ60" s="474">
        <f t="shared" si="18"/>
        <v>58</v>
      </c>
      <c r="BA60" s="475">
        <f t="shared" si="13"/>
        <v>58</v>
      </c>
      <c r="BB60" s="474">
        <f t="shared" si="14"/>
        <v>360</v>
      </c>
      <c r="BC60" s="434" t="str">
        <f t="shared" si="15"/>
        <v>e</v>
      </c>
      <c r="BD60" s="473">
        <f t="shared" si="16"/>
        <v>1.4640000070000001</v>
      </c>
      <c r="BE60" s="432"/>
      <c r="BF60" s="489" t="str">
        <v>-</v>
      </c>
      <c r="BG60" s="479" t="str">
        <v>-</v>
      </c>
      <c r="BH60" s="435"/>
      <c r="BI60" s="590" t="s">
        <v>1184</v>
      </c>
      <c r="BJ60" s="482">
        <f>_xll.RtGet($BN$7,$BN$8&amp;BI60&amp;$BN$9,$BJ$7)</f>
        <v>1.459284343</v>
      </c>
      <c r="BK60" s="483">
        <f>_xll.RtGet($BN$7,$BN$8&amp;BI60&amp;$BN$9,$BK$7)</f>
        <v>1.459284343</v>
      </c>
      <c r="BL60" s="432"/>
      <c r="BM60" s="435"/>
      <c r="BN60" s="435"/>
      <c r="BO60" s="430"/>
      <c r="BP60" s="655"/>
      <c r="BQ60" s="656"/>
      <c r="BR60" s="656"/>
      <c r="BS60" s="656"/>
      <c r="BT60" s="656"/>
      <c r="BU60" s="656"/>
      <c r="BV60" s="656"/>
      <c r="BW60" s="656"/>
      <c r="BX60" s="656"/>
      <c r="BY60" s="656"/>
      <c r="BZ60" s="656"/>
      <c r="CA60" s="656"/>
      <c r="CB60" s="656"/>
      <c r="CC60" s="656"/>
      <c r="CD60" s="656"/>
      <c r="CE60" s="656"/>
      <c r="CF60" s="656"/>
      <c r="CG60" s="656"/>
      <c r="CH60" s="656"/>
      <c r="CI60" s="656"/>
      <c r="CJ60" s="656"/>
      <c r="CK60" s="656"/>
      <c r="CL60" s="656"/>
      <c r="CM60" s="656"/>
      <c r="CN60" s="656"/>
      <c r="CO60" s="656"/>
      <c r="CP60" s="656"/>
      <c r="CQ60" s="656"/>
      <c r="CR60" s="656"/>
      <c r="CS60" s="656"/>
      <c r="CT60" s="656"/>
      <c r="CU60" s="656"/>
      <c r="CV60" s="656"/>
      <c r="CW60" s="656"/>
      <c r="CX60" s="656"/>
      <c r="CY60" s="656"/>
      <c r="CZ60" s="656"/>
      <c r="DA60" s="656"/>
      <c r="DB60" s="656"/>
      <c r="DC60" s="656"/>
      <c r="DD60" s="656"/>
      <c r="DE60" s="656"/>
      <c r="DF60" s="656"/>
      <c r="DG60" s="656"/>
      <c r="DH60" s="656"/>
      <c r="DI60" s="656"/>
      <c r="DJ60" s="656"/>
      <c r="DK60" s="656"/>
      <c r="DL60" s="656"/>
      <c r="DM60" s="656"/>
      <c r="DN60" s="656"/>
      <c r="DO60" s="656"/>
      <c r="DP60" s="656"/>
      <c r="DQ60" s="656"/>
      <c r="DR60" s="656"/>
      <c r="DS60" s="656"/>
      <c r="DT60" s="656"/>
      <c r="DU60" s="656"/>
      <c r="DV60" s="656"/>
      <c r="DW60" s="656"/>
      <c r="DX60" s="656"/>
      <c r="DY60" s="656"/>
      <c r="DZ60" s="656"/>
    </row>
    <row r="61" spans="1:130">
      <c r="A61" s="622"/>
      <c r="B61" s="625" t="str">
        <f>"FutBlockCons"&amp;IF(ISBLANK(C42),"","#"&amp;C42)</f>
        <v>FutBlockCons#stub</v>
      </c>
      <c r="C61" s="626">
        <v>0</v>
      </c>
      <c r="D61" s="435"/>
      <c r="E61" s="452" t="b">
        <v>1</v>
      </c>
      <c r="F61" s="600">
        <f t="shared" si="31"/>
        <v>23</v>
      </c>
      <c r="G61" s="432"/>
      <c r="H61" s="432"/>
      <c r="I61" s="470">
        <f t="shared" si="32"/>
        <v>1.5947736050000001</v>
      </c>
      <c r="J61" s="569"/>
      <c r="K61" s="472"/>
      <c r="L61" s="569">
        <f t="shared" si="33"/>
        <v>1.5947736050000001</v>
      </c>
      <c r="M61" s="474">
        <f t="shared" si="38"/>
        <v>23</v>
      </c>
      <c r="N61" s="475">
        <f t="shared" si="34"/>
        <v>23</v>
      </c>
      <c r="O61" s="474">
        <f t="shared" si="39"/>
        <v>23</v>
      </c>
      <c r="P61" s="475">
        <f t="shared" si="35"/>
        <v>25</v>
      </c>
      <c r="Q61" s="432"/>
      <c r="R61" s="601">
        <f t="shared" si="36"/>
        <v>25</v>
      </c>
      <c r="S61" s="473">
        <f t="shared" si="37"/>
        <v>1.603</v>
      </c>
      <c r="T61" s="432"/>
      <c r="U61" s="478">
        <v>57774</v>
      </c>
      <c r="V61" s="479">
        <v>0.52576158199867229</v>
      </c>
      <c r="W61" s="435"/>
      <c r="X61" s="591">
        <v>19</v>
      </c>
      <c r="Y61" s="482">
        <f>_xll.RtGet($AE$42,$AE$43&amp;$X61&amp;$AE$44,Y$42)</f>
        <v>1.5448139700000001</v>
      </c>
      <c r="Z61" s="483">
        <f>_xll.RtGet($AE$42,$AE$43&amp;$X61&amp;$AE$44,Z$42)</f>
        <v>1.5448139700000001</v>
      </c>
      <c r="AA61" s="432"/>
      <c r="AB61" s="432"/>
      <c r="AC61" s="432"/>
      <c r="AD61" s="432"/>
      <c r="AE61" s="432"/>
      <c r="AF61" s="435"/>
      <c r="AG61" s="435"/>
      <c r="AH61" s="435"/>
      <c r="AI61" s="435"/>
      <c r="AJ61" s="435"/>
      <c r="AK61" s="435"/>
      <c r="AL61" s="431"/>
      <c r="AM61" s="435"/>
      <c r="AN61" s="435"/>
      <c r="AO61" s="435"/>
      <c r="AP61" s="487" t="b">
        <v>1</v>
      </c>
      <c r="AQ61" s="591" t="str">
        <f t="shared" si="19"/>
        <v>35Y</v>
      </c>
      <c r="AR61" s="434">
        <f t="shared" si="10"/>
        <v>420</v>
      </c>
      <c r="AS61" s="475" t="s">
        <v>1096</v>
      </c>
      <c r="AT61" s="470">
        <f t="shared" si="20"/>
        <v>1.4691504080000002</v>
      </c>
      <c r="AU61" s="471"/>
      <c r="AV61" s="472"/>
      <c r="AW61" s="473">
        <f t="shared" si="11"/>
        <v>1.4691504080000002</v>
      </c>
      <c r="AX61" s="474">
        <f t="shared" si="17"/>
        <v>59</v>
      </c>
      <c r="AY61" s="475">
        <f t="shared" si="12"/>
        <v>59</v>
      </c>
      <c r="AZ61" s="474">
        <f t="shared" si="18"/>
        <v>59</v>
      </c>
      <c r="BA61" s="475">
        <f t="shared" si="13"/>
        <v>59</v>
      </c>
      <c r="BB61" s="474">
        <f t="shared" si="14"/>
        <v>420</v>
      </c>
      <c r="BC61" s="434" t="str">
        <f t="shared" si="15"/>
        <v>e</v>
      </c>
      <c r="BD61" s="473">
        <f t="shared" si="16"/>
        <v>1.4691504080000002</v>
      </c>
      <c r="BE61" s="432"/>
      <c r="BF61" s="489" t="str">
        <v>-</v>
      </c>
      <c r="BG61" s="479" t="str">
        <v>-</v>
      </c>
      <c r="BH61" s="435"/>
      <c r="BI61" s="590" t="s">
        <v>1185</v>
      </c>
      <c r="BJ61" s="482">
        <f>_xll.RtGet($BN$7,$BN$8&amp;BI61&amp;$BN$9,$BJ$7)</f>
        <v>1.461880904</v>
      </c>
      <c r="BK61" s="483">
        <f>_xll.RtGet($BN$7,$BN$8&amp;BI61&amp;$BN$9,$BK$7)</f>
        <v>1.461880904</v>
      </c>
      <c r="BL61" s="432"/>
      <c r="BM61" s="435"/>
      <c r="BN61" s="435"/>
      <c r="BO61" s="430"/>
      <c r="BP61" s="655"/>
      <c r="BQ61" s="656"/>
      <c r="BR61" s="656"/>
      <c r="BS61" s="656"/>
      <c r="BT61" s="656"/>
      <c r="BU61" s="656"/>
      <c r="BV61" s="656"/>
      <c r="BW61" s="656"/>
      <c r="BX61" s="656"/>
      <c r="BY61" s="656"/>
      <c r="BZ61" s="656"/>
      <c r="CA61" s="656"/>
      <c r="CB61" s="656"/>
      <c r="CC61" s="656"/>
      <c r="CD61" s="656"/>
      <c r="CE61" s="656"/>
      <c r="CF61" s="656"/>
      <c r="CG61" s="656"/>
      <c r="CH61" s="656"/>
      <c r="CI61" s="656"/>
      <c r="CJ61" s="656"/>
      <c r="CK61" s="656"/>
      <c r="CL61" s="656"/>
      <c r="CM61" s="656"/>
      <c r="CN61" s="656"/>
      <c r="CO61" s="656"/>
      <c r="CP61" s="656"/>
      <c r="CQ61" s="656"/>
      <c r="CR61" s="656"/>
      <c r="CS61" s="656"/>
      <c r="CT61" s="656"/>
      <c r="CU61" s="656"/>
      <c r="CV61" s="656"/>
      <c r="CW61" s="656"/>
      <c r="CX61" s="656"/>
      <c r="CY61" s="656"/>
      <c r="CZ61" s="656"/>
      <c r="DA61" s="656"/>
      <c r="DB61" s="656"/>
      <c r="DC61" s="656"/>
      <c r="DD61" s="656"/>
      <c r="DE61" s="656"/>
      <c r="DF61" s="656"/>
      <c r="DG61" s="656"/>
      <c r="DH61" s="656"/>
      <c r="DI61" s="656"/>
      <c r="DJ61" s="656"/>
      <c r="DK61" s="656"/>
      <c r="DL61" s="656"/>
      <c r="DM61" s="656"/>
      <c r="DN61" s="656"/>
      <c r="DO61" s="656"/>
      <c r="DP61" s="656"/>
      <c r="DQ61" s="656"/>
      <c r="DR61" s="656"/>
      <c r="DS61" s="656"/>
      <c r="DT61" s="656"/>
      <c r="DU61" s="656"/>
      <c r="DV61" s="656"/>
      <c r="DW61" s="656"/>
      <c r="DX61" s="656"/>
      <c r="DY61" s="656"/>
      <c r="DZ61" s="656"/>
    </row>
    <row r="62" spans="1:130">
      <c r="A62" s="622"/>
      <c r="B62" s="625" t="s">
        <v>1188</v>
      </c>
      <c r="C62" s="626">
        <f>IF(E22,1,0)</f>
        <v>1</v>
      </c>
      <c r="D62" s="435"/>
      <c r="E62" s="452" t="b">
        <v>1</v>
      </c>
      <c r="F62" s="600">
        <f t="shared" si="31"/>
        <v>24</v>
      </c>
      <c r="G62" s="432"/>
      <c r="H62" s="432"/>
      <c r="I62" s="470">
        <f t="shared" si="32"/>
        <v>1.5997635800000001</v>
      </c>
      <c r="J62" s="569"/>
      <c r="K62" s="472"/>
      <c r="L62" s="569">
        <f t="shared" si="33"/>
        <v>1.5997635800000001</v>
      </c>
      <c r="M62" s="474">
        <f t="shared" si="38"/>
        <v>24</v>
      </c>
      <c r="N62" s="475">
        <f t="shared" si="34"/>
        <v>24</v>
      </c>
      <c r="O62" s="474">
        <f t="shared" si="39"/>
        <v>24</v>
      </c>
      <c r="P62" s="475">
        <f t="shared" si="35"/>
        <v>26</v>
      </c>
      <c r="Q62" s="432"/>
      <c r="R62" s="601">
        <f t="shared" si="36"/>
        <v>26</v>
      </c>
      <c r="S62" s="473">
        <f t="shared" si="37"/>
        <v>1.6053031870000001</v>
      </c>
      <c r="T62" s="432"/>
      <c r="U62" s="478">
        <v>61427</v>
      </c>
      <c r="V62" s="479">
        <v>0.46338410080681758</v>
      </c>
      <c r="W62" s="435"/>
      <c r="X62" s="591">
        <v>20</v>
      </c>
      <c r="Y62" s="482">
        <f>_xll.RtGet($AE$42,$AE$43&amp;$X62&amp;$AE$44,Y$42)</f>
        <v>1.5629999999999999</v>
      </c>
      <c r="Z62" s="483">
        <f>_xll.RtGet($AE$42,$AE$43&amp;$X62&amp;$AE$44,Z$42)</f>
        <v>1.5629999999999999</v>
      </c>
      <c r="AA62" s="432"/>
      <c r="AB62" s="432"/>
      <c r="AC62" s="432"/>
      <c r="AD62" s="432"/>
      <c r="AE62" s="432"/>
      <c r="AF62" s="435"/>
      <c r="AG62" s="435"/>
      <c r="AH62" s="435"/>
      <c r="AI62" s="435"/>
      <c r="AJ62" s="435"/>
      <c r="AK62" s="435"/>
      <c r="AL62" s="431"/>
      <c r="AM62" s="435"/>
      <c r="AN62" s="435"/>
      <c r="AO62" s="435"/>
      <c r="AP62" s="487" t="b">
        <v>1</v>
      </c>
      <c r="AQ62" s="591" t="str">
        <f t="shared" si="19"/>
        <v>40Y</v>
      </c>
      <c r="AR62" s="434">
        <f t="shared" si="10"/>
        <v>480</v>
      </c>
      <c r="AS62" s="475" t="s">
        <v>1096</v>
      </c>
      <c r="AT62" s="470">
        <f t="shared" si="20"/>
        <v>1.464000027</v>
      </c>
      <c r="AU62" s="471"/>
      <c r="AV62" s="472"/>
      <c r="AW62" s="473">
        <f t="shared" si="11"/>
        <v>1.464000027</v>
      </c>
      <c r="AX62" s="474">
        <f t="shared" si="17"/>
        <v>60</v>
      </c>
      <c r="AY62" s="475">
        <f t="shared" si="12"/>
        <v>60</v>
      </c>
      <c r="AZ62" s="474">
        <f t="shared" si="18"/>
        <v>60</v>
      </c>
      <c r="BA62" s="475">
        <f t="shared" si="13"/>
        <v>60</v>
      </c>
      <c r="BB62" s="474">
        <f t="shared" si="14"/>
        <v>480</v>
      </c>
      <c r="BC62" s="434" t="str">
        <f t="shared" si="15"/>
        <v>e</v>
      </c>
      <c r="BD62" s="473">
        <f t="shared" si="16"/>
        <v>1.464000027</v>
      </c>
      <c r="BE62" s="432"/>
      <c r="BF62" s="489" t="str">
        <v>-</v>
      </c>
      <c r="BG62" s="479" t="str">
        <v>-</v>
      </c>
      <c r="BH62" s="435"/>
      <c r="BI62" s="590" t="s">
        <v>1186</v>
      </c>
      <c r="BJ62" s="482">
        <f>_xll.RtGet($BN$7,$BN$8&amp;BI62&amp;$BN$9,$BJ$7)</f>
        <v>1.4640000070000001</v>
      </c>
      <c r="BK62" s="483">
        <f>_xll.RtGet($BN$7,$BN$8&amp;BI62&amp;$BN$9,$BK$7)</f>
        <v>1.4640000070000001</v>
      </c>
      <c r="BL62" s="432"/>
      <c r="BM62" s="435"/>
      <c r="BN62" s="435"/>
      <c r="BO62" s="430"/>
      <c r="BP62" s="655"/>
      <c r="BQ62" s="656"/>
      <c r="BR62" s="656"/>
      <c r="BS62" s="656"/>
      <c r="BT62" s="656"/>
      <c r="BU62" s="656"/>
      <c r="BV62" s="656"/>
      <c r="BW62" s="656"/>
      <c r="BX62" s="656"/>
      <c r="BY62" s="656"/>
      <c r="BZ62" s="656"/>
      <c r="CA62" s="656"/>
      <c r="CB62" s="656"/>
      <c r="CC62" s="656"/>
      <c r="CD62" s="656"/>
      <c r="CE62" s="656"/>
      <c r="CF62" s="656"/>
      <c r="CG62" s="656"/>
      <c r="CH62" s="656"/>
      <c r="CI62" s="656"/>
      <c r="CJ62" s="656"/>
      <c r="CK62" s="656"/>
      <c r="CL62" s="656"/>
      <c r="CM62" s="656"/>
      <c r="CN62" s="656"/>
      <c r="CO62" s="656"/>
      <c r="CP62" s="656"/>
      <c r="CQ62" s="656"/>
      <c r="CR62" s="656"/>
      <c r="CS62" s="656"/>
      <c r="CT62" s="656"/>
      <c r="CU62" s="656"/>
      <c r="CV62" s="656"/>
      <c r="CW62" s="656"/>
      <c r="CX62" s="656"/>
      <c r="CY62" s="656"/>
      <c r="CZ62" s="656"/>
      <c r="DA62" s="656"/>
      <c r="DB62" s="656"/>
      <c r="DC62" s="656"/>
      <c r="DD62" s="656"/>
      <c r="DE62" s="656"/>
      <c r="DF62" s="656"/>
      <c r="DG62" s="656"/>
      <c r="DH62" s="656"/>
      <c r="DI62" s="656"/>
      <c r="DJ62" s="656"/>
      <c r="DK62" s="656"/>
      <c r="DL62" s="656"/>
      <c r="DM62" s="656"/>
      <c r="DN62" s="656"/>
      <c r="DO62" s="656"/>
      <c r="DP62" s="656"/>
      <c r="DQ62" s="656"/>
      <c r="DR62" s="656"/>
      <c r="DS62" s="656"/>
      <c r="DT62" s="656"/>
      <c r="DU62" s="656"/>
      <c r="DV62" s="656"/>
      <c r="DW62" s="656"/>
      <c r="DX62" s="656"/>
      <c r="DY62" s="656"/>
      <c r="DZ62" s="656"/>
    </row>
    <row r="63" spans="1:130">
      <c r="A63" s="622"/>
      <c r="B63" s="625" t="str">
        <f>IF(E22,"FutBlockStubRate","")</f>
        <v>FutBlockStubRate</v>
      </c>
      <c r="C63" s="627">
        <f>IF(E22,stubRate,0)</f>
        <v>-0.26066666700000002</v>
      </c>
      <c r="D63" s="435"/>
      <c r="E63" s="452" t="b">
        <v>1</v>
      </c>
      <c r="F63" s="600">
        <f t="shared" si="31"/>
        <v>25</v>
      </c>
      <c r="G63" s="432"/>
      <c r="H63" s="432"/>
      <c r="I63" s="470">
        <f t="shared" si="32"/>
        <v>1.603</v>
      </c>
      <c r="J63" s="569"/>
      <c r="K63" s="472"/>
      <c r="L63" s="569">
        <f t="shared" si="33"/>
        <v>1.603</v>
      </c>
      <c r="M63" s="474">
        <f t="shared" si="38"/>
        <v>25</v>
      </c>
      <c r="N63" s="475">
        <f t="shared" si="34"/>
        <v>25</v>
      </c>
      <c r="O63" s="474">
        <f t="shared" si="39"/>
        <v>25</v>
      </c>
      <c r="P63" s="475">
        <f t="shared" si="35"/>
        <v>27</v>
      </c>
      <c r="Q63" s="432"/>
      <c r="R63" s="601">
        <f t="shared" si="36"/>
        <v>27</v>
      </c>
      <c r="S63" s="473">
        <f t="shared" si="37"/>
        <v>1.6067265640000001</v>
      </c>
      <c r="T63" s="432"/>
      <c r="U63" s="478">
        <v>65081</v>
      </c>
      <c r="V63" s="479">
        <v>0.40788556625479155</v>
      </c>
      <c r="W63" s="435"/>
      <c r="X63" s="591">
        <v>21</v>
      </c>
      <c r="Y63" s="482">
        <f>_xll.RtGet($AE$42,$AE$43&amp;$X63&amp;$AE$44,Y$42)</f>
        <v>1.5769851840000002</v>
      </c>
      <c r="Z63" s="483">
        <f>_xll.RtGet($AE$42,$AE$43&amp;$X63&amp;$AE$44,Z$42)</f>
        <v>1.5769851840000002</v>
      </c>
      <c r="AA63" s="432"/>
      <c r="AB63" s="432"/>
      <c r="AC63" s="432"/>
      <c r="AD63" s="432"/>
      <c r="AE63" s="432"/>
      <c r="AF63" s="435"/>
      <c r="AG63" s="435"/>
      <c r="AH63" s="435"/>
      <c r="AI63" s="435"/>
      <c r="AJ63" s="435"/>
      <c r="AK63" s="435"/>
      <c r="AL63" s="431"/>
      <c r="AM63" s="435"/>
      <c r="AN63" s="435"/>
      <c r="AO63" s="435"/>
      <c r="AP63" s="487" t="b">
        <v>1</v>
      </c>
      <c r="AQ63" s="591" t="str">
        <f t="shared" si="19"/>
        <v>50Y</v>
      </c>
      <c r="AR63" s="434">
        <f t="shared" si="10"/>
        <v>600</v>
      </c>
      <c r="AS63" s="475" t="s">
        <v>1096</v>
      </c>
      <c r="AT63" s="470">
        <f t="shared" si="20"/>
        <v>1.430999994</v>
      </c>
      <c r="AU63" s="471"/>
      <c r="AV63" s="472"/>
      <c r="AW63" s="473">
        <f t="shared" si="11"/>
        <v>1.430999994</v>
      </c>
      <c r="AX63" s="474">
        <f t="shared" si="17"/>
        <v>61</v>
      </c>
      <c r="AY63" s="475">
        <f t="shared" si="12"/>
        <v>61</v>
      </c>
      <c r="AZ63" s="474">
        <f t="shared" si="18"/>
        <v>61</v>
      </c>
      <c r="BA63" s="475">
        <f t="shared" si="13"/>
        <v>61</v>
      </c>
      <c r="BB63" s="474">
        <f t="shared" si="14"/>
        <v>600</v>
      </c>
      <c r="BC63" s="434" t="str">
        <f t="shared" si="15"/>
        <v>e</v>
      </c>
      <c r="BD63" s="473">
        <f t="shared" si="16"/>
        <v>1.430999994</v>
      </c>
      <c r="BE63" s="432"/>
      <c r="BF63" s="489" t="str">
        <v>-</v>
      </c>
      <c r="BG63" s="479" t="str">
        <v>-</v>
      </c>
      <c r="BH63" s="435"/>
      <c r="BI63" s="590" t="s">
        <v>1190</v>
      </c>
      <c r="BJ63" s="482">
        <f>_xll.RtGet($BN$7,$BN$8&amp;BI63&amp;$BN$9,$BJ$7)</f>
        <v>1.4691504080000002</v>
      </c>
      <c r="BK63" s="483">
        <f>_xll.RtGet($BN$7,$BN$8&amp;BI63&amp;$BN$9,$BK$7)</f>
        <v>1.4691504080000002</v>
      </c>
      <c r="BL63" s="432"/>
      <c r="BM63" s="435"/>
      <c r="BN63" s="435"/>
      <c r="BO63" s="430"/>
      <c r="BP63" s="655"/>
      <c r="BQ63" s="656"/>
      <c r="BR63" s="656"/>
      <c r="BS63" s="656"/>
      <c r="BT63" s="656"/>
      <c r="BU63" s="656"/>
      <c r="BV63" s="656"/>
      <c r="BW63" s="656"/>
      <c r="BX63" s="656"/>
      <c r="BY63" s="656"/>
      <c r="BZ63" s="656"/>
      <c r="CA63" s="656"/>
      <c r="CB63" s="656"/>
      <c r="CC63" s="656"/>
      <c r="CD63" s="656"/>
      <c r="CE63" s="656"/>
      <c r="CF63" s="656"/>
      <c r="CG63" s="656"/>
      <c r="CH63" s="656"/>
      <c r="CI63" s="656"/>
      <c r="CJ63" s="656"/>
      <c r="CK63" s="656"/>
      <c r="CL63" s="656"/>
      <c r="CM63" s="656"/>
      <c r="CN63" s="656"/>
      <c r="CO63" s="656"/>
      <c r="CP63" s="656"/>
      <c r="CQ63" s="656"/>
      <c r="CR63" s="656"/>
      <c r="CS63" s="656"/>
      <c r="CT63" s="656"/>
      <c r="CU63" s="656"/>
      <c r="CV63" s="656"/>
      <c r="CW63" s="656"/>
      <c r="CX63" s="656"/>
      <c r="CY63" s="656"/>
      <c r="CZ63" s="656"/>
      <c r="DA63" s="656"/>
      <c r="DB63" s="656"/>
      <c r="DC63" s="656"/>
      <c r="DD63" s="656"/>
      <c r="DE63" s="656"/>
      <c r="DF63" s="656"/>
      <c r="DG63" s="656"/>
      <c r="DH63" s="656"/>
      <c r="DI63" s="656"/>
      <c r="DJ63" s="656"/>
      <c r="DK63" s="656"/>
      <c r="DL63" s="656"/>
      <c r="DM63" s="656"/>
      <c r="DN63" s="656"/>
      <c r="DO63" s="656"/>
      <c r="DP63" s="656"/>
      <c r="DQ63" s="656"/>
      <c r="DR63" s="656"/>
      <c r="DS63" s="656"/>
      <c r="DT63" s="656"/>
      <c r="DU63" s="656"/>
      <c r="DV63" s="656"/>
      <c r="DW63" s="656"/>
      <c r="DX63" s="656"/>
      <c r="DY63" s="656"/>
      <c r="DZ63" s="656"/>
    </row>
    <row r="64" spans="1:130">
      <c r="A64" s="622"/>
      <c r="B64" s="625" t="str">
        <f>"BlockOrder"&amp;IF(ISBLANK(C39),"","#"&amp;C39)</f>
        <v>BlockOrder#2314</v>
      </c>
      <c r="C64" s="626">
        <f>C39</f>
        <v>2314</v>
      </c>
      <c r="D64" s="435"/>
      <c r="E64" s="452" t="b">
        <v>1</v>
      </c>
      <c r="F64" s="600">
        <f t="shared" si="31"/>
        <v>26</v>
      </c>
      <c r="G64" s="432"/>
      <c r="H64" s="432"/>
      <c r="I64" s="470">
        <f t="shared" si="32"/>
        <v>1.6053031870000001</v>
      </c>
      <c r="J64" s="569"/>
      <c r="K64" s="472"/>
      <c r="L64" s="569">
        <f t="shared" si="33"/>
        <v>1.6053031870000001</v>
      </c>
      <c r="M64" s="474">
        <f t="shared" si="38"/>
        <v>26</v>
      </c>
      <c r="N64" s="475">
        <f t="shared" si="34"/>
        <v>26</v>
      </c>
      <c r="O64" s="474">
        <f t="shared" si="39"/>
        <v>26</v>
      </c>
      <c r="P64" s="475">
        <f t="shared" si="35"/>
        <v>28</v>
      </c>
      <c r="Q64" s="432"/>
      <c r="R64" s="601">
        <f t="shared" si="36"/>
        <v>28</v>
      </c>
      <c r="S64" s="473">
        <f t="shared" si="37"/>
        <v>1.6075546260000002</v>
      </c>
      <c r="T64" s="432"/>
      <c r="U64" s="478" t="e">
        <v>#N/A</v>
      </c>
      <c r="V64" s="479" t="e">
        <v>#N/A</v>
      </c>
      <c r="W64" s="435"/>
      <c r="X64" s="591">
        <v>22</v>
      </c>
      <c r="Y64" s="482">
        <f>_xll.RtGet($AE$42,$AE$43&amp;$X64&amp;$AE$44,Y$42)</f>
        <v>1.587431075</v>
      </c>
      <c r="Z64" s="483">
        <f>_xll.RtGet($AE$42,$AE$43&amp;$X64&amp;$AE$44,Z$42)</f>
        <v>1.587431075</v>
      </c>
      <c r="AA64" s="432"/>
      <c r="AB64" s="432"/>
      <c r="AC64" s="432"/>
      <c r="AD64" s="432"/>
      <c r="AE64" s="432"/>
      <c r="AF64" s="435"/>
      <c r="AG64" s="435"/>
      <c r="AH64" s="435"/>
      <c r="AI64" s="435"/>
      <c r="AJ64" s="435"/>
      <c r="AK64" s="435"/>
      <c r="AL64" s="431"/>
      <c r="AM64" s="435"/>
      <c r="AN64" s="435"/>
      <c r="AO64" s="435"/>
      <c r="AP64" s="534" t="b">
        <v>1</v>
      </c>
      <c r="AQ64" s="628" t="str">
        <f t="shared" si="19"/>
        <v>60Y</v>
      </c>
      <c r="AR64" s="509">
        <f t="shared" si="10"/>
        <v>720</v>
      </c>
      <c r="AS64" s="509" t="s">
        <v>1096</v>
      </c>
      <c r="AT64" s="510">
        <f t="shared" si="20"/>
        <v>1.411</v>
      </c>
      <c r="AU64" s="511"/>
      <c r="AV64" s="512"/>
      <c r="AW64" s="513">
        <f t="shared" si="11"/>
        <v>1.411</v>
      </c>
      <c r="AX64" s="536">
        <f t="shared" si="17"/>
        <v>62</v>
      </c>
      <c r="AY64" s="537">
        <f t="shared" si="12"/>
        <v>62</v>
      </c>
      <c r="AZ64" s="536">
        <f t="shared" si="18"/>
        <v>62</v>
      </c>
      <c r="BA64" s="537">
        <f t="shared" si="13"/>
        <v>62</v>
      </c>
      <c r="BB64" s="536">
        <f t="shared" si="14"/>
        <v>720</v>
      </c>
      <c r="BC64" s="509" t="str">
        <f t="shared" si="15"/>
        <v>e</v>
      </c>
      <c r="BD64" s="513">
        <f t="shared" si="16"/>
        <v>1.411</v>
      </c>
      <c r="BE64" s="432"/>
      <c r="BF64" s="489" t="str">
        <v>-</v>
      </c>
      <c r="BG64" s="479" t="str">
        <v>-</v>
      </c>
      <c r="BH64" s="435"/>
      <c r="BI64" s="590" t="s">
        <v>1187</v>
      </c>
      <c r="BJ64" s="482">
        <f>_xll.RtGet($BN$7,$BN$8&amp;BI64&amp;$BN$9,$BJ$7)</f>
        <v>1.464000027</v>
      </c>
      <c r="BK64" s="483">
        <f>_xll.RtGet($BN$7,$BN$8&amp;BI64&amp;$BN$9,$BK$7)</f>
        <v>1.464000027</v>
      </c>
      <c r="BL64" s="432"/>
      <c r="BM64" s="435"/>
      <c r="BN64" s="435"/>
      <c r="BO64" s="430"/>
      <c r="BP64" s="655"/>
      <c r="BQ64" s="656"/>
      <c r="BR64" s="656"/>
      <c r="BS64" s="656"/>
      <c r="BT64" s="656"/>
      <c r="BU64" s="656"/>
      <c r="BV64" s="656"/>
      <c r="BW64" s="656"/>
      <c r="BX64" s="656"/>
      <c r="BY64" s="656"/>
      <c r="BZ64" s="656"/>
      <c r="CA64" s="656"/>
      <c r="CB64" s="656"/>
      <c r="CC64" s="656"/>
      <c r="CD64" s="656"/>
      <c r="CE64" s="656"/>
      <c r="CF64" s="656"/>
      <c r="CG64" s="656"/>
      <c r="CH64" s="656"/>
      <c r="CI64" s="656"/>
      <c r="CJ64" s="656"/>
      <c r="CK64" s="656"/>
      <c r="CL64" s="656"/>
      <c r="CM64" s="656"/>
      <c r="CN64" s="656"/>
      <c r="CO64" s="656"/>
      <c r="CP64" s="656"/>
      <c r="CQ64" s="656"/>
      <c r="CR64" s="656"/>
      <c r="CS64" s="656"/>
      <c r="CT64" s="656"/>
      <c r="CU64" s="656"/>
      <c r="CV64" s="656"/>
      <c r="CW64" s="656"/>
      <c r="CX64" s="656"/>
      <c r="CY64" s="656"/>
      <c r="CZ64" s="656"/>
      <c r="DA64" s="656"/>
      <c r="DB64" s="656"/>
      <c r="DC64" s="656"/>
      <c r="DD64" s="656"/>
      <c r="DE64" s="656"/>
      <c r="DF64" s="656"/>
      <c r="DG64" s="656"/>
      <c r="DH64" s="656"/>
      <c r="DI64" s="656"/>
      <c r="DJ64" s="656"/>
      <c r="DK64" s="656"/>
      <c r="DL64" s="656"/>
      <c r="DM64" s="656"/>
      <c r="DN64" s="656"/>
      <c r="DO64" s="656"/>
      <c r="DP64" s="656"/>
      <c r="DQ64" s="656"/>
      <c r="DR64" s="656"/>
      <c r="DS64" s="656"/>
      <c r="DT64" s="656"/>
      <c r="DU64" s="656"/>
      <c r="DV64" s="656"/>
      <c r="DW64" s="656"/>
      <c r="DX64" s="656"/>
      <c r="DY64" s="656"/>
      <c r="DZ64" s="656"/>
    </row>
    <row r="65" spans="1:130">
      <c r="A65" s="622"/>
      <c r="B65" s="484" t="s">
        <v>1191</v>
      </c>
      <c r="C65" s="629">
        <f>IF(E22,1,0)</f>
        <v>1</v>
      </c>
      <c r="D65" s="435"/>
      <c r="E65" s="452" t="b">
        <v>1</v>
      </c>
      <c r="F65" s="600">
        <f t="shared" si="31"/>
        <v>27</v>
      </c>
      <c r="G65" s="432"/>
      <c r="H65" s="432"/>
      <c r="I65" s="470">
        <f t="shared" si="32"/>
        <v>1.6067265640000001</v>
      </c>
      <c r="J65" s="569"/>
      <c r="K65" s="472"/>
      <c r="L65" s="569">
        <f t="shared" si="33"/>
        <v>1.6067265640000001</v>
      </c>
      <c r="M65" s="474">
        <f t="shared" si="38"/>
        <v>27</v>
      </c>
      <c r="N65" s="475">
        <f t="shared" si="34"/>
        <v>27</v>
      </c>
      <c r="O65" s="474">
        <f t="shared" si="39"/>
        <v>27</v>
      </c>
      <c r="P65" s="475">
        <f t="shared" si="35"/>
        <v>29</v>
      </c>
      <c r="Q65" s="432"/>
      <c r="R65" s="601">
        <f t="shared" si="36"/>
        <v>29</v>
      </c>
      <c r="S65" s="473">
        <f t="shared" si="37"/>
        <v>1.6079038080000001</v>
      </c>
      <c r="T65" s="432"/>
      <c r="U65" s="478" t="e">
        <v>#N/A</v>
      </c>
      <c r="V65" s="479" t="e">
        <v>#N/A</v>
      </c>
      <c r="W65" s="435"/>
      <c r="X65" s="591">
        <v>23</v>
      </c>
      <c r="Y65" s="482">
        <f>_xll.RtGet($AE$42,$AE$43&amp;$X65&amp;$AE$44,Y$42)</f>
        <v>1.5947736050000001</v>
      </c>
      <c r="Z65" s="483">
        <f>_xll.RtGet($AE$42,$AE$43&amp;$X65&amp;$AE$44,Z$42)</f>
        <v>1.5947736050000001</v>
      </c>
      <c r="AA65" s="432"/>
      <c r="AB65" s="432"/>
      <c r="AC65" s="432"/>
      <c r="AD65" s="432"/>
      <c r="AE65" s="432"/>
      <c r="AF65" s="435"/>
      <c r="AG65" s="435"/>
      <c r="AH65" s="435"/>
      <c r="AI65" s="435"/>
      <c r="AJ65" s="435"/>
      <c r="AK65" s="435"/>
      <c r="AL65" s="431"/>
      <c r="AM65" s="435"/>
      <c r="AN65" s="435"/>
      <c r="AO65" s="435"/>
      <c r="AP65" s="432"/>
      <c r="AQ65" s="432"/>
      <c r="AR65" s="434"/>
      <c r="AS65" s="434"/>
      <c r="AT65" s="432"/>
      <c r="AU65" s="432"/>
      <c r="AV65" s="432"/>
      <c r="AW65" s="432"/>
      <c r="AX65" s="432"/>
      <c r="AY65" s="432"/>
      <c r="AZ65" s="432"/>
      <c r="BA65" s="432"/>
      <c r="BB65" s="432"/>
      <c r="BC65" s="432"/>
      <c r="BD65" s="432"/>
      <c r="BE65" s="432"/>
      <c r="BF65" s="489" t="str">
        <v>-</v>
      </c>
      <c r="BG65" s="479" t="str">
        <v>-</v>
      </c>
      <c r="BH65" s="435"/>
      <c r="BI65" s="590" t="s">
        <v>1189</v>
      </c>
      <c r="BJ65" s="482">
        <f>_xll.RtGet($BN$7,$BN$8&amp;BI65&amp;$BN$9,$BJ$7)</f>
        <v>1.430999994</v>
      </c>
      <c r="BK65" s="483">
        <f>_xll.RtGet($BN$7,$BN$8&amp;BI65&amp;$BN$9,$BK$7)</f>
        <v>1.430999994</v>
      </c>
      <c r="BL65" s="432"/>
      <c r="BM65" s="435"/>
      <c r="BN65" s="435"/>
      <c r="BO65" s="430"/>
      <c r="BP65" s="655"/>
      <c r="BQ65" s="656"/>
      <c r="BR65" s="656"/>
      <c r="BS65" s="656"/>
      <c r="BT65" s="656"/>
      <c r="BU65" s="656"/>
      <c r="BV65" s="656"/>
      <c r="BW65" s="656"/>
      <c r="BX65" s="656"/>
      <c r="BY65" s="656"/>
      <c r="BZ65" s="656"/>
      <c r="CA65" s="656"/>
      <c r="CB65" s="656"/>
      <c r="CC65" s="656"/>
      <c r="CD65" s="656"/>
      <c r="CE65" s="656"/>
      <c r="CF65" s="656"/>
      <c r="CG65" s="656"/>
      <c r="CH65" s="656"/>
      <c r="CI65" s="656"/>
      <c r="CJ65" s="656"/>
      <c r="CK65" s="656"/>
      <c r="CL65" s="656"/>
      <c r="CM65" s="656"/>
      <c r="CN65" s="656"/>
      <c r="CO65" s="656"/>
      <c r="CP65" s="656"/>
      <c r="CQ65" s="656"/>
      <c r="CR65" s="656"/>
      <c r="CS65" s="656"/>
      <c r="CT65" s="656"/>
      <c r="CU65" s="656"/>
      <c r="CV65" s="656"/>
      <c r="CW65" s="656"/>
      <c r="CX65" s="656"/>
      <c r="CY65" s="656"/>
      <c r="CZ65" s="656"/>
      <c r="DA65" s="656"/>
      <c r="DB65" s="656"/>
      <c r="DC65" s="656"/>
      <c r="DD65" s="656"/>
      <c r="DE65" s="656"/>
      <c r="DF65" s="656"/>
      <c r="DG65" s="656"/>
      <c r="DH65" s="656"/>
      <c r="DI65" s="656"/>
      <c r="DJ65" s="656"/>
      <c r="DK65" s="656"/>
      <c r="DL65" s="656"/>
      <c r="DM65" s="656"/>
      <c r="DN65" s="656"/>
      <c r="DO65" s="656"/>
      <c r="DP65" s="656"/>
      <c r="DQ65" s="656"/>
      <c r="DR65" s="656"/>
      <c r="DS65" s="656"/>
      <c r="DT65" s="656"/>
      <c r="DU65" s="656"/>
      <c r="DV65" s="656"/>
      <c r="DW65" s="656"/>
      <c r="DX65" s="656"/>
      <c r="DY65" s="656"/>
      <c r="DZ65" s="656"/>
    </row>
    <row r="66" spans="1:130">
      <c r="A66" s="622"/>
      <c r="B66" s="625" t="str">
        <f>IF(ISBLANK(C45),"","FraFutTenor")</f>
        <v>FraFutTenor</v>
      </c>
      <c r="C66" s="626">
        <f>C45</f>
        <v>3</v>
      </c>
      <c r="D66" s="435"/>
      <c r="E66" s="452" t="b">
        <v>1</v>
      </c>
      <c r="F66" s="600">
        <f t="shared" si="31"/>
        <v>28</v>
      </c>
      <c r="G66" s="432"/>
      <c r="H66" s="432"/>
      <c r="I66" s="470">
        <f t="shared" si="32"/>
        <v>1.6075546260000002</v>
      </c>
      <c r="J66" s="569"/>
      <c r="K66" s="472"/>
      <c r="L66" s="569">
        <f t="shared" si="33"/>
        <v>1.6075546260000002</v>
      </c>
      <c r="M66" s="474">
        <f t="shared" si="38"/>
        <v>28</v>
      </c>
      <c r="N66" s="475">
        <f t="shared" si="34"/>
        <v>28</v>
      </c>
      <c r="O66" s="474">
        <f t="shared" si="39"/>
        <v>28</v>
      </c>
      <c r="P66" s="475">
        <f t="shared" si="35"/>
        <v>30</v>
      </c>
      <c r="Q66" s="432"/>
      <c r="R66" s="601">
        <f t="shared" si="36"/>
        <v>30</v>
      </c>
      <c r="S66" s="473">
        <f t="shared" si="37"/>
        <v>1.6080000000000001</v>
      </c>
      <c r="T66" s="432"/>
      <c r="U66" s="478" t="e">
        <v>#N/A</v>
      </c>
      <c r="V66" s="479" t="e">
        <v>#N/A</v>
      </c>
      <c r="W66" s="435"/>
      <c r="X66" s="591">
        <v>24</v>
      </c>
      <c r="Y66" s="482">
        <f>_xll.RtGet($AE$42,$AE$43&amp;$X66&amp;$AE$44,Y$42)</f>
        <v>1.5997635800000001</v>
      </c>
      <c r="Z66" s="483">
        <f>_xll.RtGet($AE$42,$AE$43&amp;$X66&amp;$AE$44,Z$42)</f>
        <v>1.5997635800000001</v>
      </c>
      <c r="AA66" s="432"/>
      <c r="AB66" s="432"/>
      <c r="AC66" s="432"/>
      <c r="AD66" s="432"/>
      <c r="AE66" s="432"/>
      <c r="AF66" s="435"/>
      <c r="AG66" s="435"/>
      <c r="AH66" s="435"/>
      <c r="AI66" s="435"/>
      <c r="AJ66" s="435"/>
      <c r="AK66" s="435"/>
      <c r="AL66" s="431"/>
      <c r="AM66" s="435"/>
      <c r="AN66" s="435"/>
      <c r="AO66" s="435"/>
      <c r="AP66" s="432"/>
      <c r="AQ66" s="432"/>
      <c r="AR66" s="434"/>
      <c r="AS66" s="434"/>
      <c r="AT66" s="432"/>
      <c r="AU66" s="432"/>
      <c r="AV66" s="432"/>
      <c r="AW66" s="432"/>
      <c r="AX66" s="432"/>
      <c r="AY66" s="432"/>
      <c r="AZ66" s="432"/>
      <c r="BA66" s="432"/>
      <c r="BB66" s="432"/>
      <c r="BC66" s="432"/>
      <c r="BD66" s="432"/>
      <c r="BE66" s="432"/>
      <c r="BF66" s="489" t="str">
        <v>-</v>
      </c>
      <c r="BG66" s="479" t="str">
        <v>-</v>
      </c>
      <c r="BH66" s="435"/>
      <c r="BI66" s="630" t="s">
        <v>1192</v>
      </c>
      <c r="BJ66" s="538">
        <f>_xll.RtGet($BN$7,$BN$8&amp;BI66&amp;$BN$9,$BJ$7)</f>
        <v>1.411</v>
      </c>
      <c r="BK66" s="539">
        <f>_xll.RtGet($BN$7,$BN$8&amp;BI66&amp;$BN$9,$BK$7)</f>
        <v>1.411</v>
      </c>
      <c r="BL66" s="432"/>
      <c r="BM66" s="435"/>
      <c r="BN66" s="435"/>
      <c r="BO66" s="430"/>
      <c r="BP66" s="655"/>
      <c r="BQ66" s="656"/>
      <c r="BR66" s="656"/>
      <c r="BS66" s="656"/>
      <c r="BT66" s="656"/>
      <c r="BU66" s="656"/>
      <c r="BV66" s="656"/>
      <c r="BW66" s="656"/>
      <c r="BX66" s="656"/>
      <c r="BY66" s="656"/>
      <c r="BZ66" s="656"/>
      <c r="CA66" s="656"/>
      <c r="CB66" s="656"/>
      <c r="CC66" s="656"/>
      <c r="CD66" s="656"/>
      <c r="CE66" s="656"/>
      <c r="CF66" s="656"/>
      <c r="CG66" s="656"/>
      <c r="CH66" s="656"/>
      <c r="CI66" s="656"/>
      <c r="CJ66" s="656"/>
      <c r="CK66" s="656"/>
      <c r="CL66" s="656"/>
      <c r="CM66" s="656"/>
      <c r="CN66" s="656"/>
      <c r="CO66" s="656"/>
      <c r="CP66" s="656"/>
      <c r="CQ66" s="656"/>
      <c r="CR66" s="656"/>
      <c r="CS66" s="656"/>
      <c r="CT66" s="656"/>
      <c r="CU66" s="656"/>
      <c r="CV66" s="656"/>
      <c r="CW66" s="656"/>
      <c r="CX66" s="656"/>
      <c r="CY66" s="656"/>
      <c r="CZ66" s="656"/>
      <c r="DA66" s="656"/>
      <c r="DB66" s="656"/>
      <c r="DC66" s="656"/>
      <c r="DD66" s="656"/>
      <c r="DE66" s="656"/>
      <c r="DF66" s="656"/>
      <c r="DG66" s="656"/>
      <c r="DH66" s="656"/>
      <c r="DI66" s="656"/>
      <c r="DJ66" s="656"/>
      <c r="DK66" s="656"/>
      <c r="DL66" s="656"/>
      <c r="DM66" s="656"/>
      <c r="DN66" s="656"/>
      <c r="DO66" s="656"/>
      <c r="DP66" s="656"/>
      <c r="DQ66" s="656"/>
      <c r="DR66" s="656"/>
      <c r="DS66" s="656"/>
      <c r="DT66" s="656"/>
      <c r="DU66" s="656"/>
      <c r="DV66" s="656"/>
      <c r="DW66" s="656"/>
      <c r="DX66" s="656"/>
      <c r="DY66" s="656"/>
      <c r="DZ66" s="656"/>
    </row>
    <row r="67" spans="1:130">
      <c r="A67" s="622"/>
      <c r="B67" s="625" t="str">
        <f>IF(ISBLANK(C46),"","FraFutAdjType")</f>
        <v>FraFutAdjType</v>
      </c>
      <c r="C67" s="626">
        <f>VLOOKUP(C46,AG15:AH18,2)</f>
        <v>3</v>
      </c>
      <c r="D67" s="435"/>
      <c r="E67" s="452" t="b">
        <v>1</v>
      </c>
      <c r="F67" s="600">
        <f t="shared" si="31"/>
        <v>29</v>
      </c>
      <c r="G67" s="432"/>
      <c r="H67" s="432"/>
      <c r="I67" s="470">
        <f t="shared" si="32"/>
        <v>1.6079038080000001</v>
      </c>
      <c r="J67" s="569"/>
      <c r="K67" s="472"/>
      <c r="L67" s="569">
        <f t="shared" si="33"/>
        <v>1.6079038080000001</v>
      </c>
      <c r="M67" s="474">
        <f t="shared" si="38"/>
        <v>29</v>
      </c>
      <c r="N67" s="475">
        <f t="shared" si="34"/>
        <v>29</v>
      </c>
      <c r="O67" s="474">
        <f t="shared" si="39"/>
        <v>29</v>
      </c>
      <c r="P67" s="475">
        <f t="shared" si="35"/>
        <v>31</v>
      </c>
      <c r="Q67" s="432"/>
      <c r="R67" s="601">
        <f t="shared" si="36"/>
        <v>31</v>
      </c>
      <c r="S67" s="473">
        <f t="shared" si="37"/>
        <v>1.6077374480000002</v>
      </c>
      <c r="T67" s="432"/>
      <c r="U67" s="478" t="e">
        <v>#N/A</v>
      </c>
      <c r="V67" s="479" t="e">
        <v>#N/A</v>
      </c>
      <c r="W67" s="435"/>
      <c r="X67" s="591">
        <v>25</v>
      </c>
      <c r="Y67" s="482">
        <f>_xll.RtGet($AE$42,$AE$43&amp;$X67&amp;$AE$44,Y$42)</f>
        <v>1.603</v>
      </c>
      <c r="Z67" s="483">
        <f>_xll.RtGet($AE$42,$AE$43&amp;$X67&amp;$AE$44,Z$42)</f>
        <v>1.603</v>
      </c>
      <c r="AA67" s="432"/>
      <c r="AB67" s="432"/>
      <c r="AC67" s="432"/>
      <c r="AD67" s="432"/>
      <c r="AE67" s="432"/>
      <c r="AF67" s="435"/>
      <c r="AG67" s="435"/>
      <c r="AH67" s="435"/>
      <c r="AI67" s="435"/>
      <c r="AJ67" s="435"/>
      <c r="AK67" s="435"/>
      <c r="AL67" s="431"/>
      <c r="AM67" s="435"/>
      <c r="AN67" s="435"/>
      <c r="AO67" s="435"/>
      <c r="AP67" s="432"/>
      <c r="AQ67" s="432"/>
      <c r="AR67" s="434"/>
      <c r="AS67" s="434"/>
      <c r="AT67" s="432"/>
      <c r="AU67" s="432"/>
      <c r="AV67" s="432"/>
      <c r="AW67" s="432"/>
      <c r="AX67" s="432"/>
      <c r="AY67" s="432"/>
      <c r="AZ67" s="432"/>
      <c r="BA67" s="432"/>
      <c r="BB67" s="432"/>
      <c r="BC67" s="432"/>
      <c r="BD67" s="432"/>
      <c r="BE67" s="432"/>
      <c r="BF67" s="489" t="str">
        <v>-</v>
      </c>
      <c r="BG67" s="479" t="str">
        <v>-</v>
      </c>
      <c r="BH67" s="435"/>
      <c r="BI67" s="432"/>
      <c r="BJ67" s="432"/>
      <c r="BK67" s="432"/>
      <c r="BL67" s="432"/>
      <c r="BM67" s="435"/>
      <c r="BN67" s="435"/>
      <c r="BO67" s="430"/>
      <c r="BP67" s="655"/>
      <c r="BQ67" s="656"/>
      <c r="BR67" s="656"/>
      <c r="BS67" s="656"/>
      <c r="BT67" s="656"/>
      <c r="BU67" s="656"/>
      <c r="BV67" s="656"/>
      <c r="BW67" s="656"/>
      <c r="BX67" s="656"/>
      <c r="BY67" s="656"/>
      <c r="BZ67" s="656"/>
      <c r="CA67" s="656"/>
      <c r="CB67" s="656"/>
      <c r="CC67" s="656"/>
      <c r="CD67" s="656"/>
      <c r="CE67" s="656"/>
      <c r="CF67" s="656"/>
      <c r="CG67" s="656"/>
      <c r="CH67" s="656"/>
      <c r="CI67" s="656"/>
      <c r="CJ67" s="656"/>
      <c r="CK67" s="656"/>
      <c r="CL67" s="656"/>
      <c r="CM67" s="656"/>
      <c r="CN67" s="656"/>
      <c r="CO67" s="656"/>
      <c r="CP67" s="656"/>
      <c r="CQ67" s="656"/>
      <c r="CR67" s="656"/>
      <c r="CS67" s="656"/>
      <c r="CT67" s="656"/>
      <c r="CU67" s="656"/>
      <c r="CV67" s="656"/>
      <c r="CW67" s="656"/>
      <c r="CX67" s="656"/>
      <c r="CY67" s="656"/>
      <c r="CZ67" s="656"/>
      <c r="DA67" s="656"/>
      <c r="DB67" s="656"/>
      <c r="DC67" s="656"/>
      <c r="DD67" s="656"/>
      <c r="DE67" s="656"/>
      <c r="DF67" s="656"/>
      <c r="DG67" s="656"/>
      <c r="DH67" s="656"/>
      <c r="DI67" s="656"/>
      <c r="DJ67" s="656"/>
      <c r="DK67" s="656"/>
      <c r="DL67" s="656"/>
      <c r="DM67" s="656"/>
      <c r="DN67" s="656"/>
      <c r="DO67" s="656"/>
      <c r="DP67" s="656"/>
      <c r="DQ67" s="656"/>
      <c r="DR67" s="656"/>
      <c r="DS67" s="656"/>
      <c r="DT67" s="656"/>
      <c r="DU67" s="656"/>
      <c r="DV67" s="656"/>
      <c r="DW67" s="656"/>
      <c r="DX67" s="656"/>
      <c r="DY67" s="656"/>
      <c r="DZ67" s="656"/>
    </row>
    <row r="68" spans="1:130">
      <c r="A68" s="622"/>
      <c r="B68" s="625" t="str">
        <f>IF(ISBLANK(C50),"","SwapFltFreq")</f>
        <v>SwapFltFreq</v>
      </c>
      <c r="C68" s="626">
        <v>2</v>
      </c>
      <c r="D68" s="435"/>
      <c r="E68" s="452" t="b">
        <v>1</v>
      </c>
      <c r="F68" s="600">
        <f t="shared" si="31"/>
        <v>30</v>
      </c>
      <c r="G68" s="432"/>
      <c r="H68" s="432"/>
      <c r="I68" s="470">
        <f t="shared" si="32"/>
        <v>1.6080000000000001</v>
      </c>
      <c r="J68" s="569"/>
      <c r="K68" s="472"/>
      <c r="L68" s="569">
        <f t="shared" si="33"/>
        <v>1.6080000000000001</v>
      </c>
      <c r="M68" s="474">
        <f t="shared" si="38"/>
        <v>30</v>
      </c>
      <c r="N68" s="475">
        <f t="shared" si="34"/>
        <v>30</v>
      </c>
      <c r="O68" s="474">
        <f t="shared" si="39"/>
        <v>30</v>
      </c>
      <c r="P68" s="475">
        <f t="shared" si="35"/>
        <v>32</v>
      </c>
      <c r="Q68" s="432"/>
      <c r="R68" s="601">
        <f t="shared" si="36"/>
        <v>32</v>
      </c>
      <c r="S68" s="473">
        <f t="shared" si="37"/>
        <v>1.60724333</v>
      </c>
      <c r="T68" s="432"/>
      <c r="U68" s="478" t="e">
        <v>#N/A</v>
      </c>
      <c r="V68" s="479" t="e">
        <v>#N/A</v>
      </c>
      <c r="W68" s="435"/>
      <c r="X68" s="591">
        <v>26</v>
      </c>
      <c r="Y68" s="482">
        <f>_xll.RtGet($AE$42,$AE$43&amp;$X68&amp;$AE$44,Y$42)</f>
        <v>1.6053031870000001</v>
      </c>
      <c r="Z68" s="483">
        <f>_xll.RtGet($AE$42,$AE$43&amp;$X68&amp;$AE$44,Z$42)</f>
        <v>1.6053031870000001</v>
      </c>
      <c r="AA68" s="432"/>
      <c r="AB68" s="432"/>
      <c r="AC68" s="432"/>
      <c r="AD68" s="432"/>
      <c r="AE68" s="432"/>
      <c r="AF68" s="435"/>
      <c r="AG68" s="435"/>
      <c r="AH68" s="435"/>
      <c r="AI68" s="435"/>
      <c r="AJ68" s="435"/>
      <c r="AK68" s="435"/>
      <c r="AL68" s="431"/>
      <c r="AM68" s="435"/>
      <c r="AN68" s="435"/>
      <c r="AO68" s="435"/>
      <c r="AP68" s="432"/>
      <c r="AQ68" s="432"/>
      <c r="AR68" s="434"/>
      <c r="AS68" s="434"/>
      <c r="AT68" s="432"/>
      <c r="AU68" s="432"/>
      <c r="AV68" s="432"/>
      <c r="AW68" s="432"/>
      <c r="AX68" s="432"/>
      <c r="AY68" s="432"/>
      <c r="AZ68" s="432"/>
      <c r="BA68" s="432"/>
      <c r="BB68" s="432"/>
      <c r="BC68" s="432"/>
      <c r="BD68" s="432"/>
      <c r="BE68" s="432"/>
      <c r="BF68" s="489" t="str">
        <v>-</v>
      </c>
      <c r="BG68" s="479" t="str">
        <v>-</v>
      </c>
      <c r="BH68" s="435"/>
      <c r="BI68" s="432"/>
      <c r="BJ68" s="432"/>
      <c r="BK68" s="432"/>
      <c r="BL68" s="432"/>
      <c r="BM68" s="435"/>
      <c r="BN68" s="435"/>
      <c r="BO68" s="430"/>
      <c r="BP68" s="655"/>
      <c r="BQ68" s="656"/>
      <c r="BR68" s="656"/>
      <c r="BS68" s="656"/>
      <c r="BT68" s="656"/>
      <c r="BU68" s="656"/>
      <c r="BV68" s="656"/>
      <c r="BW68" s="656"/>
      <c r="BX68" s="656"/>
      <c r="BY68" s="656"/>
      <c r="BZ68" s="656"/>
      <c r="CA68" s="656"/>
      <c r="CB68" s="656"/>
      <c r="CC68" s="656"/>
      <c r="CD68" s="656"/>
      <c r="CE68" s="656"/>
      <c r="CF68" s="656"/>
      <c r="CG68" s="656"/>
      <c r="CH68" s="656"/>
      <c r="CI68" s="656"/>
      <c r="CJ68" s="656"/>
      <c r="CK68" s="656"/>
      <c r="CL68" s="656"/>
      <c r="CM68" s="656"/>
      <c r="CN68" s="656"/>
      <c r="CO68" s="656"/>
      <c r="CP68" s="656"/>
      <c r="CQ68" s="656"/>
      <c r="CR68" s="656"/>
      <c r="CS68" s="656"/>
      <c r="CT68" s="656"/>
      <c r="CU68" s="656"/>
      <c r="CV68" s="656"/>
      <c r="CW68" s="656"/>
      <c r="CX68" s="656"/>
      <c r="CY68" s="656"/>
      <c r="CZ68" s="656"/>
      <c r="DA68" s="656"/>
      <c r="DB68" s="656"/>
      <c r="DC68" s="656"/>
      <c r="DD68" s="656"/>
      <c r="DE68" s="656"/>
      <c r="DF68" s="656"/>
      <c r="DG68" s="656"/>
      <c r="DH68" s="656"/>
      <c r="DI68" s="656"/>
      <c r="DJ68" s="656"/>
      <c r="DK68" s="656"/>
      <c r="DL68" s="656"/>
      <c r="DM68" s="656"/>
      <c r="DN68" s="656"/>
      <c r="DO68" s="656"/>
      <c r="DP68" s="656"/>
      <c r="DQ68" s="656"/>
      <c r="DR68" s="656"/>
      <c r="DS68" s="656"/>
      <c r="DT68" s="656"/>
      <c r="DU68" s="656"/>
      <c r="DV68" s="656"/>
      <c r="DW68" s="656"/>
      <c r="DX68" s="656"/>
      <c r="DY68" s="656"/>
      <c r="DZ68" s="656"/>
    </row>
    <row r="69" spans="1:130">
      <c r="A69" s="622"/>
      <c r="B69" s="625" t="str">
        <f>IF(ISBLANK(#REF!),"","SwapFixFreq")</f>
        <v>SwapFixFreq</v>
      </c>
      <c r="C69" s="626">
        <v>1</v>
      </c>
      <c r="D69" s="435"/>
      <c r="E69" s="452" t="b">
        <v>1</v>
      </c>
      <c r="F69" s="600">
        <f t="shared" si="31"/>
        <v>31</v>
      </c>
      <c r="G69" s="432"/>
      <c r="H69" s="432"/>
      <c r="I69" s="470">
        <f t="shared" si="32"/>
        <v>1.6077374480000002</v>
      </c>
      <c r="J69" s="569"/>
      <c r="K69" s="472"/>
      <c r="L69" s="569">
        <f t="shared" si="33"/>
        <v>1.6077374480000002</v>
      </c>
      <c r="M69" s="474">
        <f t="shared" si="38"/>
        <v>31</v>
      </c>
      <c r="N69" s="475">
        <f t="shared" si="34"/>
        <v>31</v>
      </c>
      <c r="O69" s="474">
        <f t="shared" si="39"/>
        <v>31</v>
      </c>
      <c r="P69" s="475">
        <f t="shared" si="35"/>
        <v>33</v>
      </c>
      <c r="Q69" s="432"/>
      <c r="R69" s="601">
        <f t="shared" si="36"/>
        <v>33</v>
      </c>
      <c r="S69" s="473">
        <f t="shared" si="37"/>
        <v>1.6064775310000001</v>
      </c>
      <c r="T69" s="432"/>
      <c r="U69" s="478" t="e">
        <v>#N/A</v>
      </c>
      <c r="V69" s="479" t="e">
        <v>#N/A</v>
      </c>
      <c r="W69" s="435"/>
      <c r="X69" s="591">
        <v>27</v>
      </c>
      <c r="Y69" s="482">
        <f>_xll.RtGet($AE$42,$AE$43&amp;$X69&amp;$AE$44,Y$42)</f>
        <v>1.6067265640000001</v>
      </c>
      <c r="Z69" s="483">
        <f>_xll.RtGet($AE$42,$AE$43&amp;$X69&amp;$AE$44,Z$42)</f>
        <v>1.6067265640000001</v>
      </c>
      <c r="AA69" s="432"/>
      <c r="AB69" s="432"/>
      <c r="AC69" s="432"/>
      <c r="AD69" s="432"/>
      <c r="AE69" s="432"/>
      <c r="AF69" s="435"/>
      <c r="AG69" s="435"/>
      <c r="AH69" s="435"/>
      <c r="AI69" s="435"/>
      <c r="AJ69" s="435"/>
      <c r="AK69" s="435"/>
      <c r="AL69" s="431"/>
      <c r="AM69" s="435"/>
      <c r="AN69" s="435"/>
      <c r="AO69" s="435"/>
      <c r="AP69" s="432"/>
      <c r="AQ69" s="432"/>
      <c r="AR69" s="434"/>
      <c r="AS69" s="434"/>
      <c r="AT69" s="432"/>
      <c r="AU69" s="432"/>
      <c r="AV69" s="432"/>
      <c r="AW69" s="432"/>
      <c r="AX69" s="432"/>
      <c r="AY69" s="432"/>
      <c r="AZ69" s="432"/>
      <c r="BA69" s="432"/>
      <c r="BB69" s="432"/>
      <c r="BC69" s="432"/>
      <c r="BD69" s="432"/>
      <c r="BE69" s="432"/>
      <c r="BF69" s="489" t="str">
        <v>-</v>
      </c>
      <c r="BG69" s="479" t="str">
        <v>-</v>
      </c>
      <c r="BH69" s="435"/>
      <c r="BI69" s="432"/>
      <c r="BJ69" s="432"/>
      <c r="BK69" s="432"/>
      <c r="BL69" s="432"/>
      <c r="BM69" s="435"/>
      <c r="BN69" s="435"/>
      <c r="BO69" s="430"/>
      <c r="BP69" s="655"/>
      <c r="BQ69" s="656"/>
      <c r="BR69" s="656"/>
      <c r="BS69" s="656"/>
      <c r="BT69" s="656"/>
      <c r="BU69" s="656"/>
      <c r="BV69" s="656"/>
      <c r="BW69" s="656"/>
      <c r="BX69" s="656"/>
      <c r="BY69" s="656"/>
      <c r="BZ69" s="656"/>
      <c r="CA69" s="656"/>
      <c r="CB69" s="656"/>
      <c r="CC69" s="656"/>
      <c r="CD69" s="656"/>
      <c r="CE69" s="656"/>
      <c r="CF69" s="656"/>
      <c r="CG69" s="656"/>
      <c r="CH69" s="656"/>
      <c r="CI69" s="656"/>
      <c r="CJ69" s="656"/>
      <c r="CK69" s="656"/>
      <c r="CL69" s="656"/>
      <c r="CM69" s="656"/>
      <c r="CN69" s="656"/>
      <c r="CO69" s="656"/>
      <c r="CP69" s="656"/>
      <c r="CQ69" s="656"/>
      <c r="CR69" s="656"/>
      <c r="CS69" s="656"/>
      <c r="CT69" s="656"/>
      <c r="CU69" s="656"/>
      <c r="CV69" s="656"/>
      <c r="CW69" s="656"/>
      <c r="CX69" s="656"/>
      <c r="CY69" s="656"/>
      <c r="CZ69" s="656"/>
      <c r="DA69" s="656"/>
      <c r="DB69" s="656"/>
      <c r="DC69" s="656"/>
      <c r="DD69" s="656"/>
      <c r="DE69" s="656"/>
      <c r="DF69" s="656"/>
      <c r="DG69" s="656"/>
      <c r="DH69" s="656"/>
      <c r="DI69" s="656"/>
      <c r="DJ69" s="656"/>
      <c r="DK69" s="656"/>
      <c r="DL69" s="656"/>
      <c r="DM69" s="656"/>
      <c r="DN69" s="656"/>
      <c r="DO69" s="656"/>
      <c r="DP69" s="656"/>
      <c r="DQ69" s="656"/>
      <c r="DR69" s="656"/>
      <c r="DS69" s="656"/>
      <c r="DT69" s="656"/>
      <c r="DU69" s="656"/>
      <c r="DV69" s="656"/>
      <c r="DW69" s="656"/>
      <c r="DX69" s="656"/>
      <c r="DY69" s="656"/>
      <c r="DZ69" s="656"/>
    </row>
    <row r="70" spans="1:130">
      <c r="A70" s="622"/>
      <c r="B70" s="625" t="str">
        <f>IF(ISBLANK(C51),"","SwapFltYrf")</f>
        <v>SwapFltYrf</v>
      </c>
      <c r="C70" s="626">
        <v>4</v>
      </c>
      <c r="D70" s="435"/>
      <c r="E70" s="452" t="b">
        <v>1</v>
      </c>
      <c r="F70" s="600">
        <f t="shared" si="31"/>
        <v>32</v>
      </c>
      <c r="G70" s="432"/>
      <c r="H70" s="432"/>
      <c r="I70" s="470">
        <f t="shared" si="32"/>
        <v>1.60724333</v>
      </c>
      <c r="J70" s="569"/>
      <c r="K70" s="472"/>
      <c r="L70" s="569">
        <f t="shared" si="33"/>
        <v>1.60724333</v>
      </c>
      <c r="M70" s="474">
        <f t="shared" si="38"/>
        <v>32</v>
      </c>
      <c r="N70" s="475">
        <f t="shared" si="34"/>
        <v>32</v>
      </c>
      <c r="O70" s="474">
        <f t="shared" si="39"/>
        <v>32</v>
      </c>
      <c r="P70" s="475">
        <f t="shared" si="35"/>
        <v>34</v>
      </c>
      <c r="Q70" s="432"/>
      <c r="R70" s="601">
        <f t="shared" si="36"/>
        <v>34</v>
      </c>
      <c r="S70" s="473">
        <f t="shared" si="37"/>
        <v>1.6054783990000001</v>
      </c>
      <c r="T70" s="432"/>
      <c r="U70" s="478" t="e">
        <v>#N/A</v>
      </c>
      <c r="V70" s="479" t="e">
        <v>#N/A</v>
      </c>
      <c r="W70" s="435"/>
      <c r="X70" s="591">
        <v>28</v>
      </c>
      <c r="Y70" s="482">
        <f>_xll.RtGet($AE$42,$AE$43&amp;$X70&amp;$AE$44,Y$42)</f>
        <v>1.6075546260000002</v>
      </c>
      <c r="Z70" s="483">
        <f>_xll.RtGet($AE$42,$AE$43&amp;$X70&amp;$AE$44,Z$42)</f>
        <v>1.6075546260000002</v>
      </c>
      <c r="AA70" s="432"/>
      <c r="AB70" s="432"/>
      <c r="AC70" s="432"/>
      <c r="AD70" s="432"/>
      <c r="AE70" s="432"/>
      <c r="AF70" s="435"/>
      <c r="AG70" s="435"/>
      <c r="AH70" s="435"/>
      <c r="AI70" s="435"/>
      <c r="AJ70" s="435"/>
      <c r="AK70" s="435"/>
      <c r="AL70" s="431"/>
      <c r="AM70" s="435"/>
      <c r="AN70" s="435"/>
      <c r="AO70" s="435"/>
      <c r="AP70" s="432"/>
      <c r="AQ70" s="432"/>
      <c r="AR70" s="434"/>
      <c r="AS70" s="434"/>
      <c r="AT70" s="432"/>
      <c r="AU70" s="432"/>
      <c r="AV70" s="432"/>
      <c r="AW70" s="432"/>
      <c r="AX70" s="432"/>
      <c r="AY70" s="432"/>
      <c r="AZ70" s="432"/>
      <c r="BA70" s="432"/>
      <c r="BB70" s="432"/>
      <c r="BC70" s="432"/>
      <c r="BD70" s="432"/>
      <c r="BE70" s="432"/>
      <c r="BF70" s="489" t="str">
        <v>-</v>
      </c>
      <c r="BG70" s="479" t="str">
        <v>-</v>
      </c>
      <c r="BH70" s="435"/>
      <c r="BI70" s="432"/>
      <c r="BJ70" s="432"/>
      <c r="BK70" s="432"/>
      <c r="BL70" s="432"/>
      <c r="BM70" s="435"/>
      <c r="BN70" s="435"/>
      <c r="BO70" s="430"/>
      <c r="BP70" s="655"/>
      <c r="BQ70" s="656"/>
      <c r="BR70" s="656"/>
      <c r="BS70" s="656"/>
      <c r="BT70" s="656"/>
      <c r="BU70" s="656"/>
      <c r="BV70" s="656"/>
      <c r="BW70" s="656"/>
      <c r="BX70" s="656"/>
      <c r="BY70" s="656"/>
      <c r="BZ70" s="656"/>
      <c r="CA70" s="656"/>
      <c r="CB70" s="656"/>
      <c r="CC70" s="656"/>
      <c r="CD70" s="656"/>
      <c r="CE70" s="656"/>
      <c r="CF70" s="656"/>
      <c r="CG70" s="656"/>
      <c r="CH70" s="656"/>
      <c r="CI70" s="656"/>
      <c r="CJ70" s="656"/>
      <c r="CK70" s="656"/>
      <c r="CL70" s="656"/>
      <c r="CM70" s="656"/>
      <c r="CN70" s="656"/>
      <c r="CO70" s="656"/>
      <c r="CP70" s="656"/>
      <c r="CQ70" s="656"/>
      <c r="CR70" s="656"/>
      <c r="CS70" s="656"/>
      <c r="CT70" s="656"/>
      <c r="CU70" s="656"/>
      <c r="CV70" s="656"/>
      <c r="CW70" s="656"/>
      <c r="CX70" s="656"/>
      <c r="CY70" s="656"/>
      <c r="CZ70" s="656"/>
      <c r="DA70" s="656"/>
      <c r="DB70" s="656"/>
      <c r="DC70" s="656"/>
      <c r="DD70" s="656"/>
      <c r="DE70" s="656"/>
      <c r="DF70" s="656"/>
      <c r="DG70" s="656"/>
      <c r="DH70" s="656"/>
      <c r="DI70" s="656"/>
      <c r="DJ70" s="656"/>
      <c r="DK70" s="656"/>
      <c r="DL70" s="656"/>
      <c r="DM70" s="656"/>
      <c r="DN70" s="656"/>
      <c r="DO70" s="656"/>
      <c r="DP70" s="656"/>
      <c r="DQ70" s="656"/>
      <c r="DR70" s="656"/>
      <c r="DS70" s="656"/>
      <c r="DT70" s="656"/>
      <c r="DU70" s="656"/>
      <c r="DV70" s="656"/>
      <c r="DW70" s="656"/>
      <c r="DX70" s="656"/>
      <c r="DY70" s="656"/>
      <c r="DZ70" s="656"/>
    </row>
    <row r="71" spans="1:130">
      <c r="A71" s="622"/>
      <c r="B71" s="625" t="str">
        <f>IF(ISBLANK(C49),"","SwapFixYrf")</f>
        <v>SwapFixYrf</v>
      </c>
      <c r="C71" s="626">
        <v>8</v>
      </c>
      <c r="D71" s="435"/>
      <c r="E71" s="452" t="b">
        <v>1</v>
      </c>
      <c r="F71" s="600">
        <f t="shared" si="31"/>
        <v>33</v>
      </c>
      <c r="G71" s="432"/>
      <c r="H71" s="432"/>
      <c r="I71" s="470">
        <f t="shared" si="32"/>
        <v>1.6064775310000001</v>
      </c>
      <c r="J71" s="569"/>
      <c r="K71" s="472"/>
      <c r="L71" s="569">
        <f t="shared" si="33"/>
        <v>1.6064775310000001</v>
      </c>
      <c r="M71" s="474">
        <f t="shared" si="38"/>
        <v>33</v>
      </c>
      <c r="N71" s="475">
        <f t="shared" si="34"/>
        <v>33</v>
      </c>
      <c r="O71" s="474">
        <f t="shared" si="39"/>
        <v>33</v>
      </c>
      <c r="P71" s="475">
        <f t="shared" si="35"/>
        <v>35</v>
      </c>
      <c r="Q71" s="432"/>
      <c r="R71" s="601">
        <f t="shared" si="36"/>
        <v>35</v>
      </c>
      <c r="S71" s="473">
        <f t="shared" si="37"/>
        <v>1.6040000000000001</v>
      </c>
      <c r="T71" s="432"/>
      <c r="U71" s="478" t="e">
        <v>#N/A</v>
      </c>
      <c r="V71" s="479" t="e">
        <v>#N/A</v>
      </c>
      <c r="W71" s="435"/>
      <c r="X71" s="591">
        <v>29</v>
      </c>
      <c r="Y71" s="482">
        <f>_xll.RtGet($AE$42,$AE$43&amp;$X71&amp;$AE$44,Y$42)</f>
        <v>1.6079038080000001</v>
      </c>
      <c r="Z71" s="483">
        <f>_xll.RtGet($AE$42,$AE$43&amp;$X71&amp;$AE$44,Z$42)</f>
        <v>1.6079038080000001</v>
      </c>
      <c r="AA71" s="432"/>
      <c r="AB71" s="432"/>
      <c r="AC71" s="432"/>
      <c r="AD71" s="432"/>
      <c r="AE71" s="432"/>
      <c r="AF71" s="435"/>
      <c r="AG71" s="435"/>
      <c r="AH71" s="435"/>
      <c r="AI71" s="435"/>
      <c r="AJ71" s="435"/>
      <c r="AK71" s="435"/>
      <c r="AL71" s="431"/>
      <c r="AM71" s="435"/>
      <c r="AN71" s="435"/>
      <c r="AO71" s="435"/>
      <c r="AP71" s="432"/>
      <c r="AQ71" s="432"/>
      <c r="AR71" s="434"/>
      <c r="AS71" s="434"/>
      <c r="AT71" s="432"/>
      <c r="AU71" s="432"/>
      <c r="AV71" s="432"/>
      <c r="AW71" s="432"/>
      <c r="AX71" s="432"/>
      <c r="AY71" s="432"/>
      <c r="AZ71" s="432"/>
      <c r="BA71" s="432"/>
      <c r="BB71" s="432"/>
      <c r="BC71" s="432"/>
      <c r="BD71" s="432"/>
      <c r="BE71" s="432"/>
      <c r="BF71" s="489" t="str">
        <v>-</v>
      </c>
      <c r="BG71" s="479" t="str">
        <v>-</v>
      </c>
      <c r="BH71" s="435"/>
      <c r="BI71" s="432"/>
      <c r="BJ71" s="432"/>
      <c r="BK71" s="432"/>
      <c r="BL71" s="432"/>
      <c r="BM71" s="435"/>
      <c r="BN71" s="435"/>
      <c r="BO71" s="430"/>
      <c r="BP71" s="655"/>
      <c r="BQ71" s="656"/>
      <c r="BR71" s="656"/>
      <c r="BS71" s="656"/>
      <c r="BT71" s="656"/>
      <c r="BU71" s="656"/>
      <c r="BV71" s="656"/>
      <c r="BW71" s="656"/>
      <c r="BX71" s="656"/>
      <c r="BY71" s="656"/>
      <c r="BZ71" s="656"/>
      <c r="CA71" s="656"/>
      <c r="CB71" s="656"/>
      <c r="CC71" s="656"/>
      <c r="CD71" s="656"/>
      <c r="CE71" s="656"/>
      <c r="CF71" s="656"/>
      <c r="CG71" s="656"/>
      <c r="CH71" s="656"/>
      <c r="CI71" s="656"/>
      <c r="CJ71" s="656"/>
      <c r="CK71" s="656"/>
      <c r="CL71" s="656"/>
      <c r="CM71" s="656"/>
      <c r="CN71" s="656"/>
      <c r="CO71" s="656"/>
      <c r="CP71" s="656"/>
      <c r="CQ71" s="656"/>
      <c r="CR71" s="656"/>
      <c r="CS71" s="656"/>
      <c r="CT71" s="656"/>
      <c r="CU71" s="656"/>
      <c r="CV71" s="656"/>
      <c r="CW71" s="656"/>
      <c r="CX71" s="656"/>
      <c r="CY71" s="656"/>
      <c r="CZ71" s="656"/>
      <c r="DA71" s="656"/>
      <c r="DB71" s="656"/>
      <c r="DC71" s="656"/>
      <c r="DD71" s="656"/>
      <c r="DE71" s="656"/>
      <c r="DF71" s="656"/>
      <c r="DG71" s="656"/>
      <c r="DH71" s="656"/>
      <c r="DI71" s="656"/>
      <c r="DJ71" s="656"/>
      <c r="DK71" s="656"/>
      <c r="DL71" s="656"/>
      <c r="DM71" s="656"/>
      <c r="DN71" s="656"/>
      <c r="DO71" s="656"/>
      <c r="DP71" s="656"/>
      <c r="DQ71" s="656"/>
      <c r="DR71" s="656"/>
      <c r="DS71" s="656"/>
      <c r="DT71" s="656"/>
      <c r="DU71" s="656"/>
      <c r="DV71" s="656"/>
      <c r="DW71" s="656"/>
      <c r="DX71" s="656"/>
      <c r="DY71" s="656"/>
      <c r="DZ71" s="656"/>
    </row>
    <row r="72" spans="1:130">
      <c r="A72" s="622"/>
      <c r="B72" s="625" t="str">
        <f>IF(ISBLANK(C47),"","SwapMatType")</f>
        <v>SwapMatType</v>
      </c>
      <c r="C72" s="626">
        <v>0</v>
      </c>
      <c r="D72" s="435"/>
      <c r="E72" s="452" t="b">
        <v>1</v>
      </c>
      <c r="F72" s="600">
        <f t="shared" si="31"/>
        <v>34</v>
      </c>
      <c r="G72" s="432"/>
      <c r="H72" s="432"/>
      <c r="I72" s="470">
        <f t="shared" si="32"/>
        <v>1.6054783990000001</v>
      </c>
      <c r="J72" s="569"/>
      <c r="K72" s="472"/>
      <c r="L72" s="569">
        <f t="shared" si="33"/>
        <v>1.6054783990000001</v>
      </c>
      <c r="M72" s="474">
        <f t="shared" si="38"/>
        <v>34</v>
      </c>
      <c r="N72" s="475">
        <f t="shared" si="34"/>
        <v>34</v>
      </c>
      <c r="O72" s="474">
        <f t="shared" si="39"/>
        <v>34</v>
      </c>
      <c r="P72" s="475">
        <f t="shared" si="35"/>
        <v>36</v>
      </c>
      <c r="Q72" s="432"/>
      <c r="R72" s="601">
        <f t="shared" si="36"/>
        <v>36</v>
      </c>
      <c r="S72" s="473">
        <f t="shared" si="37"/>
        <v>1.6021064060000001</v>
      </c>
      <c r="T72" s="432"/>
      <c r="U72" s="478" t="e">
        <v>#N/A</v>
      </c>
      <c r="V72" s="479" t="e">
        <v>#N/A</v>
      </c>
      <c r="W72" s="435"/>
      <c r="X72" s="591">
        <v>30</v>
      </c>
      <c r="Y72" s="482">
        <f>_xll.RtGet($AE$42,$AE$43&amp;$X72&amp;$AE$44,Y$42)</f>
        <v>1.6080000000000001</v>
      </c>
      <c r="Z72" s="483">
        <f>_xll.RtGet($AE$42,$AE$43&amp;$X72&amp;$AE$44,Z$42)</f>
        <v>1.6080000000000001</v>
      </c>
      <c r="AA72" s="432"/>
      <c r="AB72" s="432"/>
      <c r="AC72" s="432"/>
      <c r="AD72" s="432"/>
      <c r="AE72" s="432"/>
      <c r="AF72" s="435"/>
      <c r="AG72" s="435"/>
      <c r="AH72" s="435"/>
      <c r="AI72" s="435"/>
      <c r="AJ72" s="435"/>
      <c r="AK72" s="435"/>
      <c r="AL72" s="431"/>
      <c r="AM72" s="435"/>
      <c r="AN72" s="435"/>
      <c r="AO72" s="435"/>
      <c r="AP72" s="432"/>
      <c r="AQ72" s="432"/>
      <c r="AR72" s="434"/>
      <c r="AS72" s="434"/>
      <c r="AT72" s="432"/>
      <c r="AU72" s="432"/>
      <c r="AV72" s="432"/>
      <c r="AW72" s="432"/>
      <c r="AX72" s="432"/>
      <c r="AY72" s="432"/>
      <c r="AZ72" s="432"/>
      <c r="BA72" s="432"/>
      <c r="BB72" s="432"/>
      <c r="BC72" s="432"/>
      <c r="BD72" s="432"/>
      <c r="BE72" s="432"/>
      <c r="BF72" s="489" t="str">
        <v>-</v>
      </c>
      <c r="BG72" s="479" t="str">
        <v>-</v>
      </c>
      <c r="BH72" s="435"/>
      <c r="BI72" s="432"/>
      <c r="BJ72" s="432"/>
      <c r="BK72" s="432"/>
      <c r="BL72" s="432"/>
      <c r="BM72" s="435"/>
      <c r="BN72" s="435"/>
      <c r="BO72" s="430"/>
      <c r="BP72" s="655"/>
      <c r="BQ72" s="656"/>
      <c r="BR72" s="656"/>
      <c r="BS72" s="656"/>
      <c r="BT72" s="656"/>
      <c r="BU72" s="656"/>
      <c r="BV72" s="656"/>
      <c r="BW72" s="656"/>
      <c r="BX72" s="656"/>
      <c r="BY72" s="656"/>
      <c r="BZ72" s="656"/>
      <c r="CA72" s="656"/>
      <c r="CB72" s="656"/>
      <c r="CC72" s="656"/>
      <c r="CD72" s="656"/>
      <c r="CE72" s="656"/>
      <c r="CF72" s="656"/>
      <c r="CG72" s="656"/>
      <c r="CH72" s="656"/>
      <c r="CI72" s="656"/>
      <c r="CJ72" s="656"/>
      <c r="CK72" s="656"/>
      <c r="CL72" s="656"/>
      <c r="CM72" s="656"/>
      <c r="CN72" s="656"/>
      <c r="CO72" s="656"/>
      <c r="CP72" s="656"/>
      <c r="CQ72" s="656"/>
      <c r="CR72" s="656"/>
      <c r="CS72" s="656"/>
      <c r="CT72" s="656"/>
      <c r="CU72" s="656"/>
      <c r="CV72" s="656"/>
      <c r="CW72" s="656"/>
      <c r="CX72" s="656"/>
      <c r="CY72" s="656"/>
      <c r="CZ72" s="656"/>
      <c r="DA72" s="656"/>
      <c r="DB72" s="656"/>
      <c r="DC72" s="656"/>
      <c r="DD72" s="656"/>
      <c r="DE72" s="656"/>
      <c r="DF72" s="656"/>
      <c r="DG72" s="656"/>
      <c r="DH72" s="656"/>
      <c r="DI72" s="656"/>
      <c r="DJ72" s="656"/>
      <c r="DK72" s="656"/>
      <c r="DL72" s="656"/>
      <c r="DM72" s="656"/>
      <c r="DN72" s="656"/>
      <c r="DO72" s="656"/>
      <c r="DP72" s="656"/>
      <c r="DQ72" s="656"/>
      <c r="DR72" s="656"/>
      <c r="DS72" s="656"/>
      <c r="DT72" s="656"/>
      <c r="DU72" s="656"/>
      <c r="DV72" s="656"/>
      <c r="DW72" s="656"/>
      <c r="DX72" s="656"/>
      <c r="DY72" s="656"/>
      <c r="DZ72" s="656"/>
    </row>
    <row r="73" spans="1:130">
      <c r="A73" s="622"/>
      <c r="B73" s="484" t="s">
        <v>1193</v>
      </c>
      <c r="C73" s="629">
        <v>0</v>
      </c>
      <c r="D73" s="435"/>
      <c r="E73" s="452" t="b">
        <v>1</v>
      </c>
      <c r="F73" s="600">
        <f t="shared" si="31"/>
        <v>35</v>
      </c>
      <c r="G73" s="432"/>
      <c r="H73" s="432"/>
      <c r="I73" s="470">
        <f t="shared" si="32"/>
        <v>1.6040000000000001</v>
      </c>
      <c r="J73" s="569"/>
      <c r="K73" s="472"/>
      <c r="L73" s="569">
        <f t="shared" si="33"/>
        <v>1.6040000000000001</v>
      </c>
      <c r="M73" s="474">
        <f t="shared" si="38"/>
        <v>35</v>
      </c>
      <c r="N73" s="475">
        <f t="shared" si="34"/>
        <v>35</v>
      </c>
      <c r="O73" s="474">
        <f t="shared" si="39"/>
        <v>35</v>
      </c>
      <c r="P73" s="475">
        <f t="shared" si="35"/>
        <v>37</v>
      </c>
      <c r="Q73" s="432"/>
      <c r="R73" s="601">
        <f t="shared" si="36"/>
        <v>37</v>
      </c>
      <c r="S73" s="473">
        <f t="shared" si="37"/>
        <v>1.5998185610000002</v>
      </c>
      <c r="T73" s="432"/>
      <c r="U73" s="478" t="e">
        <v>#N/A</v>
      </c>
      <c r="V73" s="479" t="e">
        <v>#N/A</v>
      </c>
      <c r="W73" s="435"/>
      <c r="X73" s="591">
        <v>31</v>
      </c>
      <c r="Y73" s="482">
        <f>_xll.RtGet($AE$42,$AE$43&amp;$X73&amp;$AE$44,Y$42)</f>
        <v>1.6077374480000002</v>
      </c>
      <c r="Z73" s="483">
        <f>_xll.RtGet($AE$42,$AE$43&amp;$X73&amp;$AE$44,Z$42)</f>
        <v>1.6077374480000002</v>
      </c>
      <c r="AA73" s="432"/>
      <c r="AB73" s="432"/>
      <c r="AC73" s="432"/>
      <c r="AD73" s="432"/>
      <c r="AE73" s="432"/>
      <c r="AF73" s="435"/>
      <c r="AG73" s="435"/>
      <c r="AH73" s="435"/>
      <c r="AI73" s="435"/>
      <c r="AJ73" s="435"/>
      <c r="AK73" s="435"/>
      <c r="AL73" s="431"/>
      <c r="AM73" s="435"/>
      <c r="AN73" s="435"/>
      <c r="AO73" s="435"/>
      <c r="AP73" s="432"/>
      <c r="AQ73" s="432"/>
      <c r="AR73" s="434"/>
      <c r="AS73" s="434"/>
      <c r="AT73" s="432"/>
      <c r="AU73" s="432"/>
      <c r="AV73" s="432"/>
      <c r="AW73" s="432"/>
      <c r="AX73" s="432"/>
      <c r="AY73" s="432"/>
      <c r="AZ73" s="432"/>
      <c r="BA73" s="432"/>
      <c r="BB73" s="432"/>
      <c r="BC73" s="432"/>
      <c r="BD73" s="432"/>
      <c r="BE73" s="432"/>
      <c r="BF73" s="489" t="str">
        <v>-</v>
      </c>
      <c r="BG73" s="479" t="str">
        <v>-</v>
      </c>
      <c r="BH73" s="435"/>
      <c r="BI73" s="432"/>
      <c r="BJ73" s="432"/>
      <c r="BK73" s="432"/>
      <c r="BL73" s="432"/>
      <c r="BM73" s="435"/>
      <c r="BN73" s="435"/>
      <c r="BO73" s="430"/>
      <c r="BP73" s="655"/>
      <c r="BQ73" s="656"/>
      <c r="BR73" s="656"/>
      <c r="BS73" s="656"/>
      <c r="BT73" s="656"/>
      <c r="BU73" s="656"/>
      <c r="BV73" s="656"/>
      <c r="BW73" s="656"/>
      <c r="BX73" s="656"/>
      <c r="BY73" s="656"/>
      <c r="BZ73" s="656"/>
      <c r="CA73" s="656"/>
      <c r="CB73" s="656"/>
      <c r="CC73" s="656"/>
      <c r="CD73" s="656"/>
      <c r="CE73" s="656"/>
      <c r="CF73" s="656"/>
      <c r="CG73" s="656"/>
      <c r="CH73" s="656"/>
      <c r="CI73" s="656"/>
      <c r="CJ73" s="656"/>
      <c r="CK73" s="656"/>
      <c r="CL73" s="656"/>
      <c r="CM73" s="656"/>
      <c r="CN73" s="656"/>
      <c r="CO73" s="656"/>
      <c r="CP73" s="656"/>
      <c r="CQ73" s="656"/>
      <c r="CR73" s="656"/>
      <c r="CS73" s="656"/>
      <c r="CT73" s="656"/>
      <c r="CU73" s="656"/>
      <c r="CV73" s="656"/>
      <c r="CW73" s="656"/>
      <c r="CX73" s="656"/>
      <c r="CY73" s="656"/>
      <c r="CZ73" s="656"/>
      <c r="DA73" s="656"/>
      <c r="DB73" s="656"/>
      <c r="DC73" s="656"/>
      <c r="DD73" s="656"/>
      <c r="DE73" s="656"/>
      <c r="DF73" s="656"/>
      <c r="DG73" s="656"/>
      <c r="DH73" s="656"/>
      <c r="DI73" s="656"/>
      <c r="DJ73" s="656"/>
      <c r="DK73" s="656"/>
      <c r="DL73" s="656"/>
      <c r="DM73" s="656"/>
      <c r="DN73" s="656"/>
      <c r="DO73" s="656"/>
      <c r="DP73" s="656"/>
      <c r="DQ73" s="656"/>
      <c r="DR73" s="656"/>
      <c r="DS73" s="656"/>
      <c r="DT73" s="656"/>
      <c r="DU73" s="656"/>
      <c r="DV73" s="656"/>
      <c r="DW73" s="656"/>
      <c r="DX73" s="656"/>
      <c r="DY73" s="656"/>
      <c r="DZ73" s="656"/>
    </row>
    <row r="74" spans="1:130">
      <c r="A74" s="622"/>
      <c r="B74" s="484" t="s">
        <v>1194</v>
      </c>
      <c r="C74" s="629">
        <v>0</v>
      </c>
      <c r="D74" s="435"/>
      <c r="E74" s="452" t="b">
        <v>1</v>
      </c>
      <c r="F74" s="600">
        <f t="shared" si="31"/>
        <v>36</v>
      </c>
      <c r="G74" s="432"/>
      <c r="H74" s="432"/>
      <c r="I74" s="470">
        <f t="shared" si="32"/>
        <v>1.6021064060000001</v>
      </c>
      <c r="J74" s="569"/>
      <c r="K74" s="472"/>
      <c r="L74" s="569">
        <f t="shared" si="33"/>
        <v>1.6021064060000001</v>
      </c>
      <c r="M74" s="474">
        <f t="shared" si="38"/>
        <v>36</v>
      </c>
      <c r="N74" s="475">
        <f t="shared" si="34"/>
        <v>36</v>
      </c>
      <c r="O74" s="474">
        <f t="shared" si="39"/>
        <v>36</v>
      </c>
      <c r="P74" s="475">
        <f t="shared" si="35"/>
        <v>38</v>
      </c>
      <c r="Q74" s="432"/>
      <c r="R74" s="601">
        <f t="shared" si="36"/>
        <v>38</v>
      </c>
      <c r="S74" s="473">
        <f t="shared" si="37"/>
        <v>1.5972388820000001</v>
      </c>
      <c r="T74" s="432"/>
      <c r="U74" s="478" t="e">
        <v>#N/A</v>
      </c>
      <c r="V74" s="479" t="e">
        <v>#N/A</v>
      </c>
      <c r="W74" s="435"/>
      <c r="X74" s="591">
        <v>32</v>
      </c>
      <c r="Y74" s="482">
        <f>_xll.RtGet($AE$42,$AE$43&amp;$X74&amp;$AE$44,Y$42)</f>
        <v>1.60724333</v>
      </c>
      <c r="Z74" s="483">
        <f>_xll.RtGet($AE$42,$AE$43&amp;$X74&amp;$AE$44,Z$42)</f>
        <v>1.60724333</v>
      </c>
      <c r="AA74" s="432"/>
      <c r="AB74" s="432"/>
      <c r="AC74" s="432"/>
      <c r="AD74" s="432"/>
      <c r="AE74" s="432"/>
      <c r="AF74" s="435"/>
      <c r="AG74" s="435"/>
      <c r="AH74" s="435"/>
      <c r="AI74" s="435"/>
      <c r="AJ74" s="435"/>
      <c r="AK74" s="435"/>
      <c r="AL74" s="431"/>
      <c r="AM74" s="435"/>
      <c r="AN74" s="435"/>
      <c r="AO74" s="435"/>
      <c r="AP74" s="432"/>
      <c r="AQ74" s="432"/>
      <c r="AR74" s="434"/>
      <c r="AS74" s="434"/>
      <c r="AT74" s="432"/>
      <c r="AU74" s="432"/>
      <c r="AV74" s="432"/>
      <c r="AW74" s="432"/>
      <c r="AX74" s="432"/>
      <c r="AY74" s="432"/>
      <c r="AZ74" s="432"/>
      <c r="BA74" s="432"/>
      <c r="BB74" s="432"/>
      <c r="BC74" s="432"/>
      <c r="BD74" s="432"/>
      <c r="BE74" s="432"/>
      <c r="BF74" s="489" t="str">
        <v>-</v>
      </c>
      <c r="BG74" s="479" t="str">
        <v>-</v>
      </c>
      <c r="BH74" s="435"/>
      <c r="BI74" s="432"/>
      <c r="BJ74" s="432"/>
      <c r="BK74" s="432"/>
      <c r="BL74" s="432"/>
      <c r="BM74" s="435"/>
      <c r="BN74" s="435"/>
      <c r="BO74" s="430"/>
      <c r="BP74" s="655"/>
      <c r="BQ74" s="656"/>
      <c r="BR74" s="656"/>
      <c r="BS74" s="656"/>
      <c r="BT74" s="656"/>
      <c r="BU74" s="656"/>
      <c r="BV74" s="656"/>
      <c r="BW74" s="656"/>
      <c r="BX74" s="656"/>
      <c r="BY74" s="656"/>
      <c r="BZ74" s="656"/>
      <c r="CA74" s="656"/>
      <c r="CB74" s="656"/>
      <c r="CC74" s="656"/>
      <c r="CD74" s="656"/>
      <c r="CE74" s="656"/>
      <c r="CF74" s="656"/>
      <c r="CG74" s="656"/>
      <c r="CH74" s="656"/>
      <c r="CI74" s="656"/>
      <c r="CJ74" s="656"/>
      <c r="CK74" s="656"/>
      <c r="CL74" s="656"/>
      <c r="CM74" s="656"/>
      <c r="CN74" s="656"/>
      <c r="CO74" s="656"/>
      <c r="CP74" s="656"/>
      <c r="CQ74" s="656"/>
      <c r="CR74" s="656"/>
      <c r="CS74" s="656"/>
      <c r="CT74" s="656"/>
      <c r="CU74" s="656"/>
      <c r="CV74" s="656"/>
      <c r="CW74" s="656"/>
      <c r="CX74" s="656"/>
      <c r="CY74" s="656"/>
      <c r="CZ74" s="656"/>
      <c r="DA74" s="656"/>
      <c r="DB74" s="656"/>
      <c r="DC74" s="656"/>
      <c r="DD74" s="656"/>
      <c r="DE74" s="656"/>
      <c r="DF74" s="656"/>
      <c r="DG74" s="656"/>
      <c r="DH74" s="656"/>
      <c r="DI74" s="656"/>
      <c r="DJ74" s="656"/>
      <c r="DK74" s="656"/>
      <c r="DL74" s="656"/>
      <c r="DM74" s="656"/>
      <c r="DN74" s="656"/>
      <c r="DO74" s="656"/>
      <c r="DP74" s="656"/>
      <c r="DQ74" s="656"/>
      <c r="DR74" s="656"/>
      <c r="DS74" s="656"/>
      <c r="DT74" s="656"/>
      <c r="DU74" s="656"/>
      <c r="DV74" s="656"/>
      <c r="DW74" s="656"/>
      <c r="DX74" s="656"/>
      <c r="DY74" s="656"/>
      <c r="DZ74" s="656"/>
    </row>
    <row r="75" spans="1:130">
      <c r="A75" s="622"/>
      <c r="B75" s="484" t="s">
        <v>1195</v>
      </c>
      <c r="C75" s="631">
        <f>IF(AND(C52,E23),1,0)</f>
        <v>0</v>
      </c>
      <c r="D75" s="435"/>
      <c r="E75" s="452" t="b">
        <v>1</v>
      </c>
      <c r="F75" s="600">
        <f t="shared" si="31"/>
        <v>37</v>
      </c>
      <c r="G75" s="432"/>
      <c r="H75" s="432"/>
      <c r="I75" s="470">
        <f t="shared" si="32"/>
        <v>1.5998185610000002</v>
      </c>
      <c r="J75" s="569"/>
      <c r="K75" s="472"/>
      <c r="L75" s="569">
        <f t="shared" si="33"/>
        <v>1.5998185610000002</v>
      </c>
      <c r="M75" s="474">
        <f t="shared" si="38"/>
        <v>37</v>
      </c>
      <c r="N75" s="475">
        <f t="shared" si="34"/>
        <v>37</v>
      </c>
      <c r="O75" s="474">
        <f t="shared" si="39"/>
        <v>37</v>
      </c>
      <c r="P75" s="475">
        <f t="shared" si="35"/>
        <v>39</v>
      </c>
      <c r="Q75" s="432"/>
      <c r="R75" s="601">
        <f t="shared" si="36"/>
        <v>39</v>
      </c>
      <c r="S75" s="473">
        <f t="shared" si="37"/>
        <v>1.5942704470000002</v>
      </c>
      <c r="T75" s="432"/>
      <c r="U75" s="478" t="e">
        <v>#N/A</v>
      </c>
      <c r="V75" s="479" t="e">
        <v>#N/A</v>
      </c>
      <c r="W75" s="435"/>
      <c r="X75" s="591">
        <v>33</v>
      </c>
      <c r="Y75" s="482">
        <f>_xll.RtGet($AE$42,$AE$43&amp;$X75&amp;$AE$44,Y$42)</f>
        <v>1.6064775310000001</v>
      </c>
      <c r="Z75" s="483">
        <f>_xll.RtGet($AE$42,$AE$43&amp;$X75&amp;$AE$44,Z$42)</f>
        <v>1.6064775310000001</v>
      </c>
      <c r="AA75" s="432"/>
      <c r="AB75" s="432"/>
      <c r="AC75" s="432"/>
      <c r="AD75" s="432"/>
      <c r="AE75" s="432"/>
      <c r="AF75" s="435"/>
      <c r="AG75" s="435"/>
      <c r="AH75" s="435"/>
      <c r="AI75" s="435"/>
      <c r="AJ75" s="435"/>
      <c r="AK75" s="435"/>
      <c r="AL75" s="431"/>
      <c r="AM75" s="435"/>
      <c r="AN75" s="435"/>
      <c r="AO75" s="435"/>
      <c r="AP75" s="432"/>
      <c r="AQ75" s="432"/>
      <c r="AR75" s="434"/>
      <c r="AS75" s="434"/>
      <c r="AT75" s="432"/>
      <c r="AU75" s="432"/>
      <c r="AV75" s="432"/>
      <c r="AW75" s="432"/>
      <c r="AX75" s="432"/>
      <c r="AY75" s="432"/>
      <c r="AZ75" s="432"/>
      <c r="BA75" s="432"/>
      <c r="BB75" s="432"/>
      <c r="BC75" s="432"/>
      <c r="BD75" s="432"/>
      <c r="BE75" s="432"/>
      <c r="BF75" s="489" t="str">
        <v>-</v>
      </c>
      <c r="BG75" s="479" t="str">
        <v>-</v>
      </c>
      <c r="BH75" s="435"/>
      <c r="BI75" s="432"/>
      <c r="BJ75" s="432"/>
      <c r="BK75" s="432"/>
      <c r="BL75" s="432"/>
      <c r="BM75" s="435"/>
      <c r="BN75" s="435"/>
      <c r="BO75" s="430"/>
      <c r="BP75" s="655"/>
      <c r="BQ75" s="656"/>
      <c r="BR75" s="656"/>
      <c r="BS75" s="656"/>
      <c r="BT75" s="656"/>
      <c r="BU75" s="656"/>
      <c r="BV75" s="656"/>
      <c r="BW75" s="656"/>
      <c r="BX75" s="656"/>
      <c r="BY75" s="656"/>
      <c r="BZ75" s="656"/>
      <c r="CA75" s="656"/>
      <c r="CB75" s="656"/>
      <c r="CC75" s="656"/>
      <c r="CD75" s="656"/>
      <c r="CE75" s="656"/>
      <c r="CF75" s="656"/>
      <c r="CG75" s="656"/>
      <c r="CH75" s="656"/>
      <c r="CI75" s="656"/>
      <c r="CJ75" s="656"/>
      <c r="CK75" s="656"/>
      <c r="CL75" s="656"/>
      <c r="CM75" s="656"/>
      <c r="CN75" s="656"/>
      <c r="CO75" s="656"/>
      <c r="CP75" s="656"/>
      <c r="CQ75" s="656"/>
      <c r="CR75" s="656"/>
      <c r="CS75" s="656"/>
      <c r="CT75" s="656"/>
      <c r="CU75" s="656"/>
      <c r="CV75" s="656"/>
      <c r="CW75" s="656"/>
      <c r="CX75" s="656"/>
      <c r="CY75" s="656"/>
      <c r="CZ75" s="656"/>
      <c r="DA75" s="656"/>
      <c r="DB75" s="656"/>
      <c r="DC75" s="656"/>
      <c r="DD75" s="656"/>
      <c r="DE75" s="656"/>
      <c r="DF75" s="656"/>
      <c r="DG75" s="656"/>
      <c r="DH75" s="656"/>
      <c r="DI75" s="656"/>
      <c r="DJ75" s="656"/>
      <c r="DK75" s="656"/>
      <c r="DL75" s="656"/>
      <c r="DM75" s="656"/>
      <c r="DN75" s="656"/>
      <c r="DO75" s="656"/>
      <c r="DP75" s="656"/>
      <c r="DQ75" s="656"/>
      <c r="DR75" s="656"/>
      <c r="DS75" s="656"/>
      <c r="DT75" s="656"/>
      <c r="DU75" s="656"/>
      <c r="DV75" s="656"/>
      <c r="DW75" s="656"/>
      <c r="DX75" s="656"/>
      <c r="DY75" s="656"/>
      <c r="DZ75" s="656"/>
    </row>
    <row r="76" spans="1:130">
      <c r="A76" s="622"/>
      <c r="B76" s="484" t="s">
        <v>1196</v>
      </c>
      <c r="C76" s="632">
        <f>+L23</f>
        <v>-0.27</v>
      </c>
      <c r="D76" s="435"/>
      <c r="E76" s="452" t="b">
        <v>1</v>
      </c>
      <c r="F76" s="600">
        <f t="shared" si="31"/>
        <v>38</v>
      </c>
      <c r="G76" s="432"/>
      <c r="H76" s="432"/>
      <c r="I76" s="470">
        <f t="shared" si="32"/>
        <v>1.5972388820000001</v>
      </c>
      <c r="J76" s="569"/>
      <c r="K76" s="472"/>
      <c r="L76" s="569">
        <f t="shared" si="33"/>
        <v>1.5972388820000001</v>
      </c>
      <c r="M76" s="474">
        <f t="shared" si="38"/>
        <v>38</v>
      </c>
      <c r="N76" s="475">
        <f t="shared" si="34"/>
        <v>38</v>
      </c>
      <c r="O76" s="474">
        <f t="shared" si="39"/>
        <v>38</v>
      </c>
      <c r="P76" s="475">
        <f t="shared" si="35"/>
        <v>40</v>
      </c>
      <c r="Q76" s="432"/>
      <c r="R76" s="601">
        <f t="shared" si="36"/>
        <v>40</v>
      </c>
      <c r="S76" s="473">
        <f t="shared" si="37"/>
        <v>1.591</v>
      </c>
      <c r="T76" s="432"/>
      <c r="U76" s="478" t="e">
        <v>#N/A</v>
      </c>
      <c r="V76" s="479" t="e">
        <v>#N/A</v>
      </c>
      <c r="W76" s="435"/>
      <c r="X76" s="591">
        <v>34</v>
      </c>
      <c r="Y76" s="482">
        <f>_xll.RtGet($AE$42,$AE$43&amp;$X76&amp;$AE$44,Y$42)</f>
        <v>1.6054783990000001</v>
      </c>
      <c r="Z76" s="483">
        <f>_xll.RtGet($AE$42,$AE$43&amp;$X76&amp;$AE$44,Z$42)</f>
        <v>1.6054783990000001</v>
      </c>
      <c r="AA76" s="432"/>
      <c r="AB76" s="432"/>
      <c r="AC76" s="432"/>
      <c r="AD76" s="432"/>
      <c r="AE76" s="432"/>
      <c r="AF76" s="435"/>
      <c r="AG76" s="435"/>
      <c r="AH76" s="435"/>
      <c r="AI76" s="435"/>
      <c r="AJ76" s="435"/>
      <c r="AK76" s="435"/>
      <c r="AL76" s="431"/>
      <c r="AM76" s="435"/>
      <c r="AN76" s="435"/>
      <c r="AO76" s="435"/>
      <c r="AP76" s="432"/>
      <c r="AQ76" s="432"/>
      <c r="AR76" s="434"/>
      <c r="AS76" s="434"/>
      <c r="AT76" s="432"/>
      <c r="AU76" s="432"/>
      <c r="AV76" s="432"/>
      <c r="AW76" s="432"/>
      <c r="AX76" s="432"/>
      <c r="AY76" s="432"/>
      <c r="AZ76" s="432"/>
      <c r="BA76" s="432"/>
      <c r="BB76" s="432"/>
      <c r="BC76" s="432"/>
      <c r="BD76" s="432"/>
      <c r="BE76" s="432"/>
      <c r="BF76" s="489" t="str">
        <v>-</v>
      </c>
      <c r="BG76" s="479" t="str">
        <v>-</v>
      </c>
      <c r="BH76" s="435"/>
      <c r="BI76" s="432"/>
      <c r="BJ76" s="432"/>
      <c r="BK76" s="432"/>
      <c r="BL76" s="432"/>
      <c r="BM76" s="435"/>
      <c r="BN76" s="435"/>
      <c r="BO76" s="430"/>
      <c r="BP76" s="655"/>
      <c r="BQ76" s="656"/>
      <c r="BR76" s="656"/>
      <c r="BS76" s="656"/>
      <c r="BT76" s="656"/>
      <c r="BU76" s="656"/>
      <c r="BV76" s="656"/>
      <c r="BW76" s="656"/>
      <c r="BX76" s="656"/>
      <c r="BY76" s="656"/>
      <c r="BZ76" s="656"/>
      <c r="CA76" s="656"/>
      <c r="CB76" s="656"/>
      <c r="CC76" s="656"/>
      <c r="CD76" s="656"/>
      <c r="CE76" s="656"/>
      <c r="CF76" s="656"/>
      <c r="CG76" s="656"/>
      <c r="CH76" s="656"/>
      <c r="CI76" s="656"/>
      <c r="CJ76" s="656"/>
      <c r="CK76" s="656"/>
      <c r="CL76" s="656"/>
      <c r="CM76" s="656"/>
      <c r="CN76" s="656"/>
      <c r="CO76" s="656"/>
      <c r="CP76" s="656"/>
      <c r="CQ76" s="656"/>
      <c r="CR76" s="656"/>
      <c r="CS76" s="656"/>
      <c r="CT76" s="656"/>
      <c r="CU76" s="656"/>
      <c r="CV76" s="656"/>
      <c r="CW76" s="656"/>
      <c r="CX76" s="656"/>
      <c r="CY76" s="656"/>
      <c r="CZ76" s="656"/>
      <c r="DA76" s="656"/>
      <c r="DB76" s="656"/>
      <c r="DC76" s="656"/>
      <c r="DD76" s="656"/>
      <c r="DE76" s="656"/>
      <c r="DF76" s="656"/>
      <c r="DG76" s="656"/>
      <c r="DH76" s="656"/>
      <c r="DI76" s="656"/>
      <c r="DJ76" s="656"/>
      <c r="DK76" s="656"/>
      <c r="DL76" s="656"/>
      <c r="DM76" s="656"/>
      <c r="DN76" s="656"/>
      <c r="DO76" s="656"/>
      <c r="DP76" s="656"/>
      <c r="DQ76" s="656"/>
      <c r="DR76" s="656"/>
      <c r="DS76" s="656"/>
      <c r="DT76" s="656"/>
      <c r="DU76" s="656"/>
      <c r="DV76" s="656"/>
      <c r="DW76" s="656"/>
      <c r="DX76" s="656"/>
      <c r="DY76" s="656"/>
      <c r="DZ76" s="656"/>
    </row>
    <row r="77" spans="1:130">
      <c r="A77" s="622"/>
      <c r="B77" s="633" t="s">
        <v>1071</v>
      </c>
      <c r="C77" s="634">
        <f>VLOOKUP(C34,AG26:AH27,2)</f>
        <v>0</v>
      </c>
      <c r="D77" s="435"/>
      <c r="E77" s="452" t="b">
        <v>1</v>
      </c>
      <c r="F77" s="600">
        <f t="shared" si="31"/>
        <v>39</v>
      </c>
      <c r="G77" s="432"/>
      <c r="H77" s="432"/>
      <c r="I77" s="470">
        <f t="shared" si="32"/>
        <v>1.5942704470000002</v>
      </c>
      <c r="J77" s="569"/>
      <c r="K77" s="472"/>
      <c r="L77" s="569">
        <f t="shared" si="33"/>
        <v>1.5942704470000002</v>
      </c>
      <c r="M77" s="474">
        <f t="shared" si="38"/>
        <v>39</v>
      </c>
      <c r="N77" s="475">
        <f t="shared" si="34"/>
        <v>39</v>
      </c>
      <c r="O77" s="474">
        <f t="shared" si="39"/>
        <v>39</v>
      </c>
      <c r="P77" s="475">
        <f t="shared" si="35"/>
        <v>41</v>
      </c>
      <c r="Q77" s="432"/>
      <c r="R77" s="601">
        <f t="shared" si="36"/>
        <v>50</v>
      </c>
      <c r="S77" s="473">
        <f t="shared" si="37"/>
        <v>1.546</v>
      </c>
      <c r="T77" s="432"/>
      <c r="U77" s="478" t="e">
        <v>#N/A</v>
      </c>
      <c r="V77" s="479" t="e">
        <v>#N/A</v>
      </c>
      <c r="W77" s="435"/>
      <c r="X77" s="591">
        <v>35</v>
      </c>
      <c r="Y77" s="482">
        <f>_xll.RtGet($AE$42,$AE$43&amp;$X77&amp;$AE$44,Y$42)</f>
        <v>1.6040000000000001</v>
      </c>
      <c r="Z77" s="483">
        <f>_xll.RtGet($AE$42,$AE$43&amp;$X77&amp;$AE$44,Z$42)</f>
        <v>1.6040000000000001</v>
      </c>
      <c r="AA77" s="432"/>
      <c r="AB77" s="432"/>
      <c r="AC77" s="432"/>
      <c r="AD77" s="432"/>
      <c r="AE77" s="432"/>
      <c r="AF77" s="435"/>
      <c r="AG77" s="435"/>
      <c r="AH77" s="435"/>
      <c r="AI77" s="435"/>
      <c r="AJ77" s="435"/>
      <c r="AK77" s="435"/>
      <c r="AL77" s="431"/>
      <c r="AM77" s="435"/>
      <c r="AN77" s="435"/>
      <c r="AO77" s="435"/>
      <c r="AP77" s="432"/>
      <c r="AQ77" s="432"/>
      <c r="AR77" s="434"/>
      <c r="AS77" s="434"/>
      <c r="AT77" s="432"/>
      <c r="AU77" s="432"/>
      <c r="AV77" s="432"/>
      <c r="AW77" s="432"/>
      <c r="AX77" s="432"/>
      <c r="AY77" s="432"/>
      <c r="AZ77" s="432"/>
      <c r="BA77" s="432"/>
      <c r="BB77" s="432"/>
      <c r="BC77" s="432"/>
      <c r="BD77" s="432"/>
      <c r="BE77" s="432"/>
      <c r="BF77" s="489" t="str">
        <v>-</v>
      </c>
      <c r="BG77" s="479" t="str">
        <v>-</v>
      </c>
      <c r="BH77" s="435"/>
      <c r="BI77" s="432"/>
      <c r="BJ77" s="432"/>
      <c r="BK77" s="432"/>
      <c r="BL77" s="432"/>
      <c r="BM77" s="435"/>
      <c r="BN77" s="435"/>
      <c r="BO77" s="430"/>
      <c r="BP77" s="655"/>
      <c r="BQ77" s="656"/>
      <c r="BR77" s="656"/>
      <c r="BS77" s="656"/>
      <c r="BT77" s="656"/>
      <c r="BU77" s="656"/>
      <c r="BV77" s="656"/>
      <c r="BW77" s="656"/>
      <c r="BX77" s="656"/>
      <c r="BY77" s="656"/>
      <c r="BZ77" s="656"/>
      <c r="CA77" s="656"/>
      <c r="CB77" s="656"/>
      <c r="CC77" s="656"/>
      <c r="CD77" s="656"/>
      <c r="CE77" s="656"/>
      <c r="CF77" s="656"/>
      <c r="CG77" s="656"/>
      <c r="CH77" s="656"/>
      <c r="CI77" s="656"/>
      <c r="CJ77" s="656"/>
      <c r="CK77" s="656"/>
      <c r="CL77" s="656"/>
      <c r="CM77" s="656"/>
      <c r="CN77" s="656"/>
      <c r="CO77" s="656"/>
      <c r="CP77" s="656"/>
      <c r="CQ77" s="656"/>
      <c r="CR77" s="656"/>
      <c r="CS77" s="656"/>
      <c r="CT77" s="656"/>
      <c r="CU77" s="656"/>
      <c r="CV77" s="656"/>
      <c r="CW77" s="656"/>
      <c r="CX77" s="656"/>
      <c r="CY77" s="656"/>
      <c r="CZ77" s="656"/>
      <c r="DA77" s="656"/>
      <c r="DB77" s="656"/>
      <c r="DC77" s="656"/>
      <c r="DD77" s="656"/>
      <c r="DE77" s="656"/>
      <c r="DF77" s="656"/>
      <c r="DG77" s="656"/>
      <c r="DH77" s="656"/>
      <c r="DI77" s="656"/>
      <c r="DJ77" s="656"/>
      <c r="DK77" s="656"/>
      <c r="DL77" s="656"/>
      <c r="DM77" s="656"/>
      <c r="DN77" s="656"/>
      <c r="DO77" s="656"/>
      <c r="DP77" s="656"/>
      <c r="DQ77" s="656"/>
      <c r="DR77" s="656"/>
      <c r="DS77" s="656"/>
      <c r="DT77" s="656"/>
      <c r="DU77" s="656"/>
      <c r="DV77" s="656"/>
      <c r="DW77" s="656"/>
      <c r="DX77" s="656"/>
      <c r="DY77" s="656"/>
      <c r="DZ77" s="656"/>
    </row>
    <row r="78" spans="1:130">
      <c r="A78" s="622"/>
      <c r="B78" s="635" t="s">
        <v>67</v>
      </c>
      <c r="C78" s="636">
        <f>S2</f>
        <v>15</v>
      </c>
      <c r="D78" s="435"/>
      <c r="E78" s="452" t="b">
        <v>1</v>
      </c>
      <c r="F78" s="600">
        <f>IF(LEN(X82)&gt;0,X82,"")</f>
        <v>40</v>
      </c>
      <c r="G78" s="432"/>
      <c r="H78" s="432"/>
      <c r="I78" s="470">
        <f>AVERAGE(Y82:Z82)</f>
        <v>1.591</v>
      </c>
      <c r="J78" s="569"/>
      <c r="K78" s="472"/>
      <c r="L78" s="569">
        <f t="shared" si="33"/>
        <v>1.591</v>
      </c>
      <c r="M78" s="474">
        <f t="shared" si="38"/>
        <v>40</v>
      </c>
      <c r="N78" s="475">
        <f t="shared" si="34"/>
        <v>40</v>
      </c>
      <c r="O78" s="474">
        <f t="shared" si="39"/>
        <v>40</v>
      </c>
      <c r="P78" s="475">
        <f t="shared" si="35"/>
        <v>42</v>
      </c>
      <c r="Q78" s="432"/>
      <c r="R78" s="601">
        <f t="shared" si="36"/>
        <v>60</v>
      </c>
      <c r="S78" s="473">
        <f t="shared" si="37"/>
        <v>1.5170000000000001</v>
      </c>
      <c r="T78" s="432"/>
      <c r="U78" s="478" t="e">
        <v>#N/A</v>
      </c>
      <c r="V78" s="479" t="e">
        <v>#N/A</v>
      </c>
      <c r="W78" s="435"/>
      <c r="X78" s="591">
        <v>36</v>
      </c>
      <c r="Y78" s="482">
        <f>_xll.RtGet($AE$42,$AE$43&amp;$X78&amp;$AE$44,Y$42)</f>
        <v>1.6021064060000001</v>
      </c>
      <c r="Z78" s="483">
        <f>_xll.RtGet($AE$42,$AE$43&amp;$X78&amp;$AE$44,Z$42)</f>
        <v>1.6021064060000001</v>
      </c>
      <c r="AA78" s="432"/>
      <c r="AB78" s="432"/>
      <c r="AC78" s="432"/>
      <c r="AD78" s="432"/>
      <c r="AE78" s="432"/>
      <c r="AF78" s="435"/>
      <c r="AG78" s="435"/>
      <c r="AH78" s="435"/>
      <c r="AI78" s="435"/>
      <c r="AJ78" s="435"/>
      <c r="AK78" s="435"/>
      <c r="AL78" s="431"/>
      <c r="AM78" s="435"/>
      <c r="AN78" s="435"/>
      <c r="AO78" s="435"/>
      <c r="AP78" s="432"/>
      <c r="AQ78" s="432"/>
      <c r="AR78" s="434"/>
      <c r="AS78" s="434"/>
      <c r="AT78" s="432"/>
      <c r="AU78" s="432"/>
      <c r="AV78" s="432"/>
      <c r="AW78" s="432"/>
      <c r="AX78" s="432"/>
      <c r="AY78" s="432"/>
      <c r="AZ78" s="432"/>
      <c r="BA78" s="432"/>
      <c r="BB78" s="432"/>
      <c r="BC78" s="432"/>
      <c r="BD78" s="432"/>
      <c r="BE78" s="432"/>
      <c r="BF78" s="489" t="str">
        <v>-</v>
      </c>
      <c r="BG78" s="479" t="str">
        <v>-</v>
      </c>
      <c r="BH78" s="435"/>
      <c r="BI78" s="432"/>
      <c r="BJ78" s="432"/>
      <c r="BK78" s="432"/>
      <c r="BL78" s="432"/>
      <c r="BM78" s="435"/>
      <c r="BN78" s="435"/>
      <c r="BO78" s="430"/>
      <c r="BP78" s="655"/>
      <c r="BQ78" s="656"/>
      <c r="BR78" s="656"/>
      <c r="BS78" s="656"/>
      <c r="BT78" s="656"/>
      <c r="BU78" s="656"/>
      <c r="BV78" s="656"/>
      <c r="BW78" s="656"/>
      <c r="BX78" s="656"/>
      <c r="BY78" s="656"/>
      <c r="BZ78" s="656"/>
      <c r="CA78" s="656"/>
      <c r="CB78" s="656"/>
      <c r="CC78" s="656"/>
      <c r="CD78" s="656"/>
      <c r="CE78" s="656"/>
      <c r="CF78" s="656"/>
      <c r="CG78" s="656"/>
      <c r="CH78" s="656"/>
      <c r="CI78" s="656"/>
      <c r="CJ78" s="656"/>
      <c r="CK78" s="656"/>
      <c r="CL78" s="656"/>
      <c r="CM78" s="656"/>
      <c r="CN78" s="656"/>
      <c r="CO78" s="656"/>
      <c r="CP78" s="656"/>
      <c r="CQ78" s="656"/>
      <c r="CR78" s="656"/>
      <c r="CS78" s="656"/>
      <c r="CT78" s="656"/>
      <c r="CU78" s="656"/>
      <c r="CV78" s="656"/>
      <c r="CW78" s="656"/>
      <c r="CX78" s="656"/>
      <c r="CY78" s="656"/>
      <c r="CZ78" s="656"/>
      <c r="DA78" s="656"/>
      <c r="DB78" s="656"/>
      <c r="DC78" s="656"/>
      <c r="DD78" s="656"/>
      <c r="DE78" s="656"/>
      <c r="DF78" s="656"/>
      <c r="DG78" s="656"/>
      <c r="DH78" s="656"/>
      <c r="DI78" s="656"/>
      <c r="DJ78" s="656"/>
      <c r="DK78" s="656"/>
      <c r="DL78" s="656"/>
      <c r="DM78" s="656"/>
      <c r="DN78" s="656"/>
      <c r="DO78" s="656"/>
      <c r="DP78" s="656"/>
      <c r="DQ78" s="656"/>
      <c r="DR78" s="656"/>
      <c r="DS78" s="656"/>
      <c r="DT78" s="656"/>
      <c r="DU78" s="656"/>
      <c r="DV78" s="656"/>
      <c r="DW78" s="656"/>
      <c r="DX78" s="656"/>
      <c r="DY78" s="656"/>
      <c r="DZ78" s="656"/>
    </row>
    <row r="79" spans="1:130">
      <c r="A79" s="622"/>
      <c r="B79" s="622" t="s">
        <v>1197</v>
      </c>
      <c r="C79" s="629">
        <f>S25</f>
        <v>6</v>
      </c>
      <c r="D79" s="435"/>
      <c r="E79" s="452" t="b">
        <v>1</v>
      </c>
      <c r="F79" s="600">
        <f>IF(LEN(X83)&gt;0,X83,"")</f>
        <v>50</v>
      </c>
      <c r="G79" s="432"/>
      <c r="H79" s="432"/>
      <c r="I79" s="470">
        <f>AVERAGE(Y83:Z83)</f>
        <v>1.546</v>
      </c>
      <c r="J79" s="569"/>
      <c r="K79" s="472"/>
      <c r="L79" s="569">
        <f t="shared" si="33"/>
        <v>1.546</v>
      </c>
      <c r="M79" s="474">
        <f t="shared" si="38"/>
        <v>41</v>
      </c>
      <c r="N79" s="475">
        <f t="shared" si="34"/>
        <v>41</v>
      </c>
      <c r="O79" s="474" t="str">
        <f t="shared" si="39"/>
        <v/>
      </c>
      <c r="P79" s="475" t="str">
        <f t="shared" si="35"/>
        <v/>
      </c>
      <c r="Q79" s="432"/>
      <c r="R79" s="601" t="str">
        <f t="shared" si="36"/>
        <v/>
      </c>
      <c r="S79" s="473" t="str">
        <f t="shared" si="37"/>
        <v/>
      </c>
      <c r="T79" s="432"/>
      <c r="U79" s="478" t="e">
        <v>#N/A</v>
      </c>
      <c r="V79" s="479" t="e">
        <v>#N/A</v>
      </c>
      <c r="W79" s="435"/>
      <c r="X79" s="591">
        <v>37</v>
      </c>
      <c r="Y79" s="482">
        <f>_xll.RtGet($AE$42,$AE$43&amp;$X79&amp;$AE$44,Y$42)</f>
        <v>1.5998185610000002</v>
      </c>
      <c r="Z79" s="483">
        <f>_xll.RtGet($AE$42,$AE$43&amp;$X79&amp;$AE$44,Z$42)</f>
        <v>1.5998185610000002</v>
      </c>
      <c r="AA79" s="432"/>
      <c r="AB79" s="432"/>
      <c r="AC79" s="432"/>
      <c r="AD79" s="432"/>
      <c r="AE79" s="432"/>
      <c r="AF79" s="435"/>
      <c r="AG79" s="435"/>
      <c r="AH79" s="435"/>
      <c r="AI79" s="435"/>
      <c r="AJ79" s="435"/>
      <c r="AK79" s="435"/>
      <c r="AL79" s="431"/>
      <c r="AM79" s="435"/>
      <c r="AN79" s="435"/>
      <c r="AO79" s="435"/>
      <c r="AP79" s="432"/>
      <c r="AQ79" s="432"/>
      <c r="AR79" s="434"/>
      <c r="AS79" s="434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89" t="str">
        <v>-</v>
      </c>
      <c r="BG79" s="479" t="str">
        <v>-</v>
      </c>
      <c r="BH79" s="435"/>
      <c r="BI79" s="432"/>
      <c r="BJ79" s="432"/>
      <c r="BK79" s="432"/>
      <c r="BL79" s="432"/>
      <c r="BM79" s="435"/>
      <c r="BN79" s="435"/>
      <c r="BO79" s="430"/>
      <c r="BP79" s="655"/>
      <c r="BQ79" s="656"/>
      <c r="BR79" s="656"/>
      <c r="BS79" s="656"/>
      <c r="BT79" s="656"/>
      <c r="BU79" s="656"/>
      <c r="BV79" s="656"/>
      <c r="BW79" s="656"/>
      <c r="BX79" s="656"/>
      <c r="BY79" s="656"/>
      <c r="BZ79" s="656"/>
      <c r="CA79" s="656"/>
      <c r="CB79" s="656"/>
      <c r="CC79" s="656"/>
      <c r="CD79" s="656"/>
      <c r="CE79" s="656"/>
      <c r="CF79" s="656"/>
      <c r="CG79" s="656"/>
      <c r="CH79" s="656"/>
      <c r="CI79" s="656"/>
      <c r="CJ79" s="656"/>
      <c r="CK79" s="656"/>
      <c r="CL79" s="656"/>
      <c r="CM79" s="656"/>
      <c r="CN79" s="656"/>
      <c r="CO79" s="656"/>
      <c r="CP79" s="656"/>
      <c r="CQ79" s="656"/>
      <c r="CR79" s="656"/>
      <c r="CS79" s="656"/>
      <c r="CT79" s="656"/>
      <c r="CU79" s="656"/>
      <c r="CV79" s="656"/>
      <c r="CW79" s="656"/>
      <c r="CX79" s="656"/>
      <c r="CY79" s="656"/>
      <c r="CZ79" s="656"/>
      <c r="DA79" s="656"/>
      <c r="DB79" s="656"/>
      <c r="DC79" s="656"/>
      <c r="DD79" s="656"/>
      <c r="DE79" s="656"/>
      <c r="DF79" s="656"/>
      <c r="DG79" s="656"/>
      <c r="DH79" s="656"/>
      <c r="DI79" s="656"/>
      <c r="DJ79" s="656"/>
      <c r="DK79" s="656"/>
      <c r="DL79" s="656"/>
      <c r="DM79" s="656"/>
      <c r="DN79" s="656"/>
      <c r="DO79" s="656"/>
      <c r="DP79" s="656"/>
      <c r="DQ79" s="656"/>
      <c r="DR79" s="656"/>
      <c r="DS79" s="656"/>
      <c r="DT79" s="656"/>
      <c r="DU79" s="656"/>
      <c r="DV79" s="656"/>
      <c r="DW79" s="656"/>
      <c r="DX79" s="656"/>
      <c r="DY79" s="656"/>
      <c r="DZ79" s="656"/>
    </row>
    <row r="80" spans="1:130">
      <c r="A80" s="622"/>
      <c r="B80" s="637" t="s">
        <v>72</v>
      </c>
      <c r="C80" s="638">
        <f>S38</f>
        <v>40</v>
      </c>
      <c r="D80" s="435"/>
      <c r="E80" s="507" t="b">
        <v>1</v>
      </c>
      <c r="F80" s="639">
        <f>IF(LEN(X84)&gt;0,X84,"")</f>
        <v>60</v>
      </c>
      <c r="G80" s="432"/>
      <c r="H80" s="432"/>
      <c r="I80" s="510">
        <f>AVERAGE(Y84:Z84)</f>
        <v>1.5170000000000001</v>
      </c>
      <c r="J80" s="552"/>
      <c r="K80" s="512"/>
      <c r="L80" s="552">
        <f t="shared" si="33"/>
        <v>1.5170000000000001</v>
      </c>
      <c r="M80" s="536">
        <f t="shared" si="38"/>
        <v>42</v>
      </c>
      <c r="N80" s="537">
        <f t="shared" si="34"/>
        <v>42</v>
      </c>
      <c r="O80" s="536" t="str">
        <f t="shared" si="39"/>
        <v/>
      </c>
      <c r="P80" s="537" t="str">
        <f t="shared" si="35"/>
        <v/>
      </c>
      <c r="Q80" s="432"/>
      <c r="R80" s="640" t="str">
        <f t="shared" si="36"/>
        <v/>
      </c>
      <c r="S80" s="513" t="str">
        <f t="shared" si="37"/>
        <v/>
      </c>
      <c r="T80" s="432"/>
      <c r="U80" s="641" t="e">
        <v>#N/A</v>
      </c>
      <c r="V80" s="480" t="e">
        <v>#N/A</v>
      </c>
      <c r="W80" s="435"/>
      <c r="X80" s="591">
        <v>38</v>
      </c>
      <c r="Y80" s="482">
        <f>_xll.RtGet($AE$42,$AE$43&amp;$X80&amp;$AE$44,Y$42)</f>
        <v>1.5972388820000001</v>
      </c>
      <c r="Z80" s="483">
        <f>_xll.RtGet($AE$42,$AE$43&amp;$X80&amp;$AE$44,Z$42)</f>
        <v>1.5972388820000001</v>
      </c>
      <c r="AA80" s="432"/>
      <c r="AB80" s="432"/>
      <c r="AC80" s="432"/>
      <c r="AD80" s="432"/>
      <c r="AE80" s="432"/>
      <c r="AF80" s="435"/>
      <c r="AG80" s="435"/>
      <c r="AH80" s="435"/>
      <c r="AI80" s="435"/>
      <c r="AJ80" s="435"/>
      <c r="AK80" s="435"/>
      <c r="AL80" s="431"/>
      <c r="AM80" s="435"/>
      <c r="AN80" s="435"/>
      <c r="AO80" s="435"/>
      <c r="AP80" s="432"/>
      <c r="AQ80" s="432"/>
      <c r="AR80" s="434"/>
      <c r="AS80" s="434"/>
      <c r="AT80" s="432"/>
      <c r="AU80" s="432"/>
      <c r="AV80" s="432"/>
      <c r="AW80" s="432"/>
      <c r="AX80" s="432"/>
      <c r="AY80" s="432"/>
      <c r="AZ80" s="432"/>
      <c r="BA80" s="432"/>
      <c r="BB80" s="432"/>
      <c r="BC80" s="432"/>
      <c r="BD80" s="432"/>
      <c r="BE80" s="432"/>
      <c r="BF80" s="490" t="str">
        <v>-</v>
      </c>
      <c r="BG80" s="480" t="str">
        <v>-</v>
      </c>
      <c r="BH80" s="435"/>
      <c r="BI80" s="432"/>
      <c r="BJ80" s="432"/>
      <c r="BK80" s="432"/>
      <c r="BL80" s="432"/>
      <c r="BM80" s="435"/>
      <c r="BN80" s="435"/>
      <c r="BO80" s="430"/>
      <c r="BP80" s="655"/>
      <c r="BQ80" s="656"/>
      <c r="BR80" s="656"/>
      <c r="BS80" s="656"/>
      <c r="BT80" s="656"/>
      <c r="BU80" s="656"/>
      <c r="BV80" s="656"/>
      <c r="BW80" s="656"/>
      <c r="BX80" s="656"/>
      <c r="BY80" s="656"/>
      <c r="BZ80" s="656"/>
      <c r="CA80" s="656"/>
      <c r="CB80" s="656"/>
      <c r="CC80" s="656"/>
      <c r="CD80" s="656"/>
      <c r="CE80" s="656"/>
      <c r="CF80" s="656"/>
      <c r="CG80" s="656"/>
      <c r="CH80" s="656"/>
      <c r="CI80" s="656"/>
      <c r="CJ80" s="656"/>
      <c r="CK80" s="656"/>
      <c r="CL80" s="656"/>
      <c r="CM80" s="656"/>
      <c r="CN80" s="656"/>
      <c r="CO80" s="656"/>
      <c r="CP80" s="656"/>
      <c r="CQ80" s="656"/>
      <c r="CR80" s="656"/>
      <c r="CS80" s="656"/>
      <c r="CT80" s="656"/>
      <c r="CU80" s="656"/>
      <c r="CV80" s="656"/>
      <c r="CW80" s="656"/>
      <c r="CX80" s="656"/>
      <c r="CY80" s="656"/>
      <c r="CZ80" s="656"/>
      <c r="DA80" s="656"/>
      <c r="DB80" s="656"/>
      <c r="DC80" s="656"/>
      <c r="DD80" s="656"/>
      <c r="DE80" s="656"/>
      <c r="DF80" s="656"/>
      <c r="DG80" s="656"/>
      <c r="DH80" s="656"/>
      <c r="DI80" s="656"/>
      <c r="DJ80" s="656"/>
      <c r="DK80" s="656"/>
      <c r="DL80" s="656"/>
      <c r="DM80" s="656"/>
      <c r="DN80" s="656"/>
      <c r="DO80" s="656"/>
      <c r="DP80" s="656"/>
      <c r="DQ80" s="656"/>
      <c r="DR80" s="656"/>
      <c r="DS80" s="656"/>
      <c r="DT80" s="656"/>
      <c r="DU80" s="656"/>
      <c r="DV80" s="656"/>
      <c r="DW80" s="656"/>
      <c r="DX80" s="656"/>
      <c r="DY80" s="656"/>
      <c r="DZ80" s="656"/>
    </row>
    <row r="81" spans="1:130">
      <c r="A81" s="622"/>
      <c r="B81" s="435"/>
      <c r="C81" s="435"/>
      <c r="D81" s="435"/>
      <c r="E81" s="432"/>
      <c r="F81" s="432"/>
      <c r="G81" s="432"/>
      <c r="H81" s="432"/>
      <c r="I81" s="432"/>
      <c r="J81" s="432"/>
      <c r="K81" s="432"/>
      <c r="L81" s="432"/>
      <c r="M81" s="432"/>
      <c r="N81" s="432"/>
      <c r="O81" s="432"/>
      <c r="P81" s="432"/>
      <c r="Q81" s="432"/>
      <c r="R81" s="432"/>
      <c r="S81" s="432"/>
      <c r="T81" s="432"/>
      <c r="U81" s="432"/>
      <c r="V81" s="432"/>
      <c r="W81" s="435"/>
      <c r="X81" s="591">
        <v>39</v>
      </c>
      <c r="Y81" s="482">
        <f>_xll.RtGet($AE$42,$AE$43&amp;$X81&amp;$AE$44,Y$42)</f>
        <v>1.5942704470000002</v>
      </c>
      <c r="Z81" s="483">
        <f>_xll.RtGet($AE$42,$AE$43&amp;$X81&amp;$AE$44,Z$42)</f>
        <v>1.5942704470000002</v>
      </c>
      <c r="AA81" s="581"/>
      <c r="AB81" s="581"/>
      <c r="AC81" s="432"/>
      <c r="AD81" s="432"/>
      <c r="AE81" s="432"/>
      <c r="AF81" s="435"/>
      <c r="AG81" s="435"/>
      <c r="AH81" s="435"/>
      <c r="AI81" s="435"/>
      <c r="AJ81" s="435"/>
      <c r="AK81" s="435"/>
      <c r="AL81" s="431"/>
      <c r="AM81" s="435"/>
      <c r="AN81" s="435"/>
      <c r="AO81" s="435"/>
      <c r="AP81" s="432"/>
      <c r="AQ81" s="432"/>
      <c r="AR81" s="434"/>
      <c r="AS81" s="434"/>
      <c r="AT81" s="432"/>
      <c r="AU81" s="432"/>
      <c r="AV81" s="432"/>
      <c r="AW81" s="432"/>
      <c r="AX81" s="432"/>
      <c r="AY81" s="432"/>
      <c r="AZ81" s="432"/>
      <c r="BA81" s="432"/>
      <c r="BB81" s="432"/>
      <c r="BC81" s="432"/>
      <c r="BD81" s="432"/>
      <c r="BE81" s="432"/>
      <c r="BF81" s="432"/>
      <c r="BG81" s="432"/>
      <c r="BH81" s="435"/>
      <c r="BI81" s="432"/>
      <c r="BJ81" s="432"/>
      <c r="BK81" s="432"/>
      <c r="BL81" s="432"/>
      <c r="BM81" s="435"/>
      <c r="BN81" s="435"/>
      <c r="BO81" s="430"/>
      <c r="BP81" s="655"/>
      <c r="BQ81" s="656"/>
      <c r="BR81" s="656"/>
      <c r="BS81" s="656"/>
      <c r="BT81" s="656"/>
      <c r="BU81" s="656"/>
      <c r="BV81" s="656"/>
      <c r="BW81" s="656"/>
      <c r="BX81" s="656"/>
      <c r="BY81" s="656"/>
      <c r="BZ81" s="656"/>
      <c r="CA81" s="656"/>
      <c r="CB81" s="656"/>
      <c r="CC81" s="656"/>
      <c r="CD81" s="656"/>
      <c r="CE81" s="656"/>
      <c r="CF81" s="656"/>
      <c r="CG81" s="656"/>
      <c r="CH81" s="656"/>
      <c r="CI81" s="656"/>
      <c r="CJ81" s="656"/>
      <c r="CK81" s="656"/>
      <c r="CL81" s="656"/>
      <c r="CM81" s="656"/>
      <c r="CN81" s="656"/>
      <c r="CO81" s="656"/>
      <c r="CP81" s="656"/>
      <c r="CQ81" s="656"/>
      <c r="CR81" s="656"/>
      <c r="CS81" s="656"/>
      <c r="CT81" s="656"/>
      <c r="CU81" s="656"/>
      <c r="CV81" s="656"/>
      <c r="CW81" s="656"/>
      <c r="CX81" s="656"/>
      <c r="CY81" s="656"/>
      <c r="CZ81" s="656"/>
      <c r="DA81" s="656"/>
      <c r="DB81" s="656"/>
      <c r="DC81" s="656"/>
      <c r="DD81" s="656"/>
      <c r="DE81" s="656"/>
      <c r="DF81" s="656"/>
      <c r="DG81" s="656"/>
      <c r="DH81" s="656"/>
      <c r="DI81" s="656"/>
      <c r="DJ81" s="656"/>
      <c r="DK81" s="656"/>
      <c r="DL81" s="656"/>
      <c r="DM81" s="656"/>
      <c r="DN81" s="656"/>
      <c r="DO81" s="656"/>
      <c r="DP81" s="656"/>
      <c r="DQ81" s="656"/>
      <c r="DR81" s="656"/>
      <c r="DS81" s="656"/>
      <c r="DT81" s="656"/>
      <c r="DU81" s="656"/>
      <c r="DV81" s="656"/>
      <c r="DW81" s="656"/>
      <c r="DX81" s="656"/>
      <c r="DY81" s="656"/>
      <c r="DZ81" s="656"/>
    </row>
    <row r="82" spans="1:130">
      <c r="A82" s="622"/>
      <c r="B82" s="435"/>
      <c r="C82" s="435"/>
      <c r="D82" s="435"/>
      <c r="E82" s="432"/>
      <c r="F82" s="432"/>
      <c r="G82" s="432"/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5"/>
      <c r="X82" s="591">
        <v>40</v>
      </c>
      <c r="Y82" s="482">
        <f>_xll.RtGet($AE$42,$AE$43&amp;$X82&amp;$AE$44,Y$42)</f>
        <v>1.591</v>
      </c>
      <c r="Z82" s="483">
        <f>_xll.RtGet($AE$42,$AE$43&amp;$X82&amp;$AE$44,Z$42)</f>
        <v>1.591</v>
      </c>
      <c r="AA82" s="581"/>
      <c r="AB82" s="581"/>
      <c r="AC82" s="432"/>
      <c r="AD82" s="432"/>
      <c r="AE82" s="432"/>
      <c r="AF82" s="435"/>
      <c r="AG82" s="435"/>
      <c r="AH82" s="435"/>
      <c r="AI82" s="435"/>
      <c r="AJ82" s="435"/>
      <c r="AK82" s="435"/>
      <c r="AL82" s="431"/>
      <c r="AM82" s="435"/>
      <c r="AN82" s="435"/>
      <c r="AO82" s="435"/>
      <c r="AP82" s="432"/>
      <c r="AQ82" s="432"/>
      <c r="AR82" s="434"/>
      <c r="AS82" s="434"/>
      <c r="AT82" s="432"/>
      <c r="AU82" s="432"/>
      <c r="AV82" s="432"/>
      <c r="AW82" s="432"/>
      <c r="AX82" s="432"/>
      <c r="AY82" s="432"/>
      <c r="AZ82" s="432"/>
      <c r="BA82" s="432"/>
      <c r="BB82" s="432"/>
      <c r="BC82" s="432"/>
      <c r="BD82" s="432"/>
      <c r="BE82" s="432"/>
      <c r="BF82" s="432"/>
      <c r="BG82" s="432"/>
      <c r="BH82" s="435"/>
      <c r="BI82" s="432"/>
      <c r="BJ82" s="432"/>
      <c r="BK82" s="432"/>
      <c r="BL82" s="432"/>
      <c r="BM82" s="435"/>
      <c r="BN82" s="435"/>
      <c r="BO82" s="430"/>
      <c r="BP82" s="655"/>
      <c r="BQ82" s="656"/>
      <c r="BR82" s="656"/>
      <c r="BS82" s="656"/>
      <c r="BT82" s="656"/>
      <c r="BU82" s="656"/>
      <c r="BV82" s="656"/>
      <c r="BW82" s="656"/>
      <c r="BX82" s="656"/>
      <c r="BY82" s="656"/>
      <c r="BZ82" s="656"/>
      <c r="CA82" s="656"/>
      <c r="CB82" s="656"/>
      <c r="CC82" s="656"/>
      <c r="CD82" s="656"/>
      <c r="CE82" s="656"/>
      <c r="CF82" s="656"/>
      <c r="CG82" s="656"/>
      <c r="CH82" s="656"/>
      <c r="CI82" s="656"/>
      <c r="CJ82" s="656"/>
      <c r="CK82" s="656"/>
      <c r="CL82" s="656"/>
      <c r="CM82" s="656"/>
      <c r="CN82" s="656"/>
      <c r="CO82" s="656"/>
      <c r="CP82" s="656"/>
      <c r="CQ82" s="656"/>
      <c r="CR82" s="656"/>
      <c r="CS82" s="656"/>
      <c r="CT82" s="656"/>
      <c r="CU82" s="656"/>
      <c r="CV82" s="656"/>
      <c r="CW82" s="656"/>
      <c r="CX82" s="656"/>
      <c r="CY82" s="656"/>
      <c r="CZ82" s="656"/>
      <c r="DA82" s="656"/>
      <c r="DB82" s="656"/>
      <c r="DC82" s="656"/>
      <c r="DD82" s="656"/>
      <c r="DE82" s="656"/>
      <c r="DF82" s="656"/>
      <c r="DG82" s="656"/>
      <c r="DH82" s="656"/>
      <c r="DI82" s="656"/>
      <c r="DJ82" s="656"/>
      <c r="DK82" s="656"/>
      <c r="DL82" s="656"/>
      <c r="DM82" s="656"/>
      <c r="DN82" s="656"/>
      <c r="DO82" s="656"/>
      <c r="DP82" s="656"/>
      <c r="DQ82" s="656"/>
      <c r="DR82" s="656"/>
      <c r="DS82" s="656"/>
      <c r="DT82" s="656"/>
      <c r="DU82" s="656"/>
      <c r="DV82" s="656"/>
      <c r="DW82" s="656"/>
      <c r="DX82" s="656"/>
      <c r="DY82" s="656"/>
      <c r="DZ82" s="656"/>
    </row>
    <row r="83" spans="1:130">
      <c r="A83" s="622"/>
      <c r="B83" s="435"/>
      <c r="C83" s="435"/>
      <c r="D83" s="435"/>
      <c r="E83" s="432"/>
      <c r="F83" s="432"/>
      <c r="G83" s="432"/>
      <c r="H83" s="432"/>
      <c r="I83" s="432"/>
      <c r="J83" s="432"/>
      <c r="K83" s="432"/>
      <c r="L83" s="432"/>
      <c r="M83" s="432"/>
      <c r="N83" s="435"/>
      <c r="O83" s="435"/>
      <c r="P83" s="432"/>
      <c r="Q83" s="432"/>
      <c r="R83" s="432"/>
      <c r="S83" s="432"/>
      <c r="T83" s="432"/>
      <c r="U83" s="432"/>
      <c r="V83" s="432"/>
      <c r="W83" s="435"/>
      <c r="X83" s="591">
        <v>50</v>
      </c>
      <c r="Y83" s="482">
        <f>_xll.RtGet($AE$42,$AE$43&amp;$X83&amp;$AE$44,Y$42)</f>
        <v>1.546</v>
      </c>
      <c r="Z83" s="483">
        <f>_xll.RtGet($AE$42,$AE$43&amp;$X83&amp;$AE$44,Z$42)</f>
        <v>1.546</v>
      </c>
      <c r="AA83" s="581"/>
      <c r="AB83" s="581"/>
      <c r="AC83" s="432"/>
      <c r="AD83" s="432"/>
      <c r="AE83" s="432"/>
      <c r="AF83" s="435"/>
      <c r="AG83" s="435"/>
      <c r="AH83" s="435"/>
      <c r="AI83" s="435"/>
      <c r="AJ83" s="435"/>
      <c r="AK83" s="435"/>
      <c r="AL83" s="431"/>
      <c r="AM83" s="435"/>
      <c r="AN83" s="435"/>
      <c r="AO83" s="435"/>
      <c r="AP83" s="432"/>
      <c r="AQ83" s="432"/>
      <c r="AR83" s="434"/>
      <c r="AS83" s="434"/>
      <c r="AT83" s="432"/>
      <c r="AU83" s="432"/>
      <c r="AV83" s="432"/>
      <c r="AW83" s="432"/>
      <c r="AX83" s="432"/>
      <c r="AY83" s="432"/>
      <c r="AZ83" s="432"/>
      <c r="BA83" s="432"/>
      <c r="BB83" s="432"/>
      <c r="BC83" s="432"/>
      <c r="BD83" s="432"/>
      <c r="BE83" s="432"/>
      <c r="BF83" s="432"/>
      <c r="BG83" s="432"/>
      <c r="BH83" s="435"/>
      <c r="BI83" s="432"/>
      <c r="BJ83" s="432"/>
      <c r="BK83" s="432"/>
      <c r="BL83" s="432"/>
      <c r="BM83" s="435"/>
      <c r="BN83" s="435"/>
      <c r="BO83" s="430"/>
      <c r="BP83" s="655"/>
      <c r="BQ83" s="656"/>
      <c r="BR83" s="656"/>
      <c r="BS83" s="656"/>
      <c r="BT83" s="656"/>
      <c r="BU83" s="656"/>
      <c r="BV83" s="656"/>
      <c r="BW83" s="656"/>
      <c r="BX83" s="656"/>
      <c r="BY83" s="656"/>
      <c r="BZ83" s="656"/>
      <c r="CA83" s="656"/>
      <c r="CB83" s="656"/>
      <c r="CC83" s="656"/>
      <c r="CD83" s="656"/>
      <c r="CE83" s="656"/>
      <c r="CF83" s="656"/>
      <c r="CG83" s="656"/>
      <c r="CH83" s="656"/>
      <c r="CI83" s="656"/>
      <c r="CJ83" s="656"/>
      <c r="CK83" s="656"/>
      <c r="CL83" s="656"/>
      <c r="CM83" s="656"/>
      <c r="CN83" s="656"/>
      <c r="CO83" s="656"/>
      <c r="CP83" s="656"/>
      <c r="CQ83" s="656"/>
      <c r="CR83" s="656"/>
      <c r="CS83" s="656"/>
      <c r="CT83" s="656"/>
      <c r="CU83" s="656"/>
      <c r="CV83" s="656"/>
      <c r="CW83" s="656"/>
      <c r="CX83" s="656"/>
      <c r="CY83" s="656"/>
      <c r="CZ83" s="656"/>
      <c r="DA83" s="656"/>
      <c r="DB83" s="656"/>
      <c r="DC83" s="656"/>
      <c r="DD83" s="656"/>
      <c r="DE83" s="656"/>
      <c r="DF83" s="656"/>
      <c r="DG83" s="656"/>
      <c r="DH83" s="656"/>
      <c r="DI83" s="656"/>
      <c r="DJ83" s="656"/>
      <c r="DK83" s="656"/>
      <c r="DL83" s="656"/>
      <c r="DM83" s="656"/>
      <c r="DN83" s="656"/>
      <c r="DO83" s="656"/>
      <c r="DP83" s="656"/>
      <c r="DQ83" s="656"/>
      <c r="DR83" s="656"/>
      <c r="DS83" s="656"/>
      <c r="DT83" s="656"/>
      <c r="DU83" s="656"/>
      <c r="DV83" s="656"/>
      <c r="DW83" s="656"/>
      <c r="DX83" s="656"/>
      <c r="DY83" s="656"/>
      <c r="DZ83" s="656"/>
    </row>
    <row r="84" spans="1:130">
      <c r="A84" s="622"/>
      <c r="B84" s="435"/>
      <c r="C84" s="435"/>
      <c r="D84" s="435"/>
      <c r="E84" s="432"/>
      <c r="F84" s="432"/>
      <c r="G84" s="432"/>
      <c r="H84" s="432"/>
      <c r="I84" s="432"/>
      <c r="J84" s="432"/>
      <c r="K84" s="432"/>
      <c r="L84" s="432"/>
      <c r="M84" s="432"/>
      <c r="N84" s="435"/>
      <c r="O84" s="435"/>
      <c r="P84" s="432"/>
      <c r="Q84" s="432"/>
      <c r="R84" s="432"/>
      <c r="S84" s="432"/>
      <c r="T84" s="432"/>
      <c r="U84" s="432"/>
      <c r="V84" s="432"/>
      <c r="W84" s="435"/>
      <c r="X84" s="628">
        <v>60</v>
      </c>
      <c r="Y84" s="538">
        <f>_xll.RtGet($AE$42,$AE$43&amp;$X84&amp;$AE$44,Y$42)</f>
        <v>1.5170000000000001</v>
      </c>
      <c r="Z84" s="539">
        <f>_xll.RtGet($AE$42,$AE$43&amp;$X84&amp;$AE$44,Z$42)</f>
        <v>1.5170000000000001</v>
      </c>
      <c r="AA84" s="581"/>
      <c r="AB84" s="581"/>
      <c r="AC84" s="432"/>
      <c r="AD84" s="432"/>
      <c r="AE84" s="432"/>
      <c r="AF84" s="435"/>
      <c r="AG84" s="435"/>
      <c r="AH84" s="435"/>
      <c r="AI84" s="435"/>
      <c r="AJ84" s="435"/>
      <c r="AK84" s="435"/>
      <c r="AL84" s="431"/>
      <c r="AM84" s="435"/>
      <c r="AN84" s="435"/>
      <c r="AO84" s="435"/>
      <c r="AP84" s="432"/>
      <c r="AQ84" s="432"/>
      <c r="AR84" s="434"/>
      <c r="AS84" s="434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5"/>
      <c r="BI84" s="432"/>
      <c r="BJ84" s="432"/>
      <c r="BK84" s="432"/>
      <c r="BL84" s="432"/>
      <c r="BM84" s="435"/>
      <c r="BN84" s="435"/>
      <c r="BO84" s="430"/>
      <c r="BP84" s="655"/>
      <c r="BQ84" s="656"/>
      <c r="BR84" s="656"/>
      <c r="BS84" s="656"/>
      <c r="BT84" s="656"/>
      <c r="BU84" s="656"/>
      <c r="BV84" s="656"/>
      <c r="BW84" s="656"/>
      <c r="BX84" s="656"/>
      <c r="BY84" s="656"/>
      <c r="BZ84" s="656"/>
      <c r="CA84" s="656"/>
      <c r="CB84" s="656"/>
      <c r="CC84" s="656"/>
      <c r="CD84" s="656"/>
      <c r="CE84" s="656"/>
      <c r="CF84" s="656"/>
      <c r="CG84" s="656"/>
      <c r="CH84" s="656"/>
      <c r="CI84" s="656"/>
      <c r="CJ84" s="656"/>
      <c r="CK84" s="656"/>
      <c r="CL84" s="656"/>
      <c r="CM84" s="656"/>
      <c r="CN84" s="656"/>
      <c r="CO84" s="656"/>
      <c r="CP84" s="656"/>
      <c r="CQ84" s="656"/>
      <c r="CR84" s="656"/>
      <c r="CS84" s="656"/>
      <c r="CT84" s="656"/>
      <c r="CU84" s="656"/>
      <c r="CV84" s="656"/>
      <c r="CW84" s="656"/>
      <c r="CX84" s="656"/>
      <c r="CY84" s="656"/>
      <c r="CZ84" s="656"/>
      <c r="DA84" s="656"/>
      <c r="DB84" s="656"/>
      <c r="DC84" s="656"/>
      <c r="DD84" s="656"/>
      <c r="DE84" s="656"/>
      <c r="DF84" s="656"/>
      <c r="DG84" s="656"/>
      <c r="DH84" s="656"/>
      <c r="DI84" s="656"/>
      <c r="DJ84" s="656"/>
      <c r="DK84" s="656"/>
      <c r="DL84" s="656"/>
      <c r="DM84" s="656"/>
      <c r="DN84" s="656"/>
      <c r="DO84" s="656"/>
      <c r="DP84" s="656"/>
      <c r="DQ84" s="656"/>
      <c r="DR84" s="656"/>
      <c r="DS84" s="656"/>
      <c r="DT84" s="656"/>
      <c r="DU84" s="656"/>
      <c r="DV84" s="656"/>
      <c r="DW84" s="656"/>
      <c r="DX84" s="656"/>
      <c r="DY84" s="656"/>
      <c r="DZ84" s="656"/>
    </row>
    <row r="85" spans="1:130">
      <c r="A85" s="622"/>
      <c r="B85" s="435"/>
      <c r="C85" s="435"/>
      <c r="D85" s="435"/>
      <c r="E85" s="432"/>
      <c r="F85" s="432"/>
      <c r="G85" s="432"/>
      <c r="H85" s="432"/>
      <c r="I85" s="432"/>
      <c r="J85" s="432"/>
      <c r="K85" s="432"/>
      <c r="L85" s="432"/>
      <c r="M85" s="432"/>
      <c r="N85" s="435"/>
      <c r="O85" s="435"/>
      <c r="P85" s="432"/>
      <c r="Q85" s="432"/>
      <c r="R85" s="432"/>
      <c r="S85" s="432"/>
      <c r="T85" s="432"/>
      <c r="U85" s="432"/>
      <c r="V85" s="432"/>
      <c r="W85" s="435"/>
      <c r="X85" s="642"/>
      <c r="Y85" s="642"/>
      <c r="Z85" s="642"/>
      <c r="AA85" s="642"/>
      <c r="AB85" s="642"/>
      <c r="AC85" s="642"/>
      <c r="AD85" s="642"/>
      <c r="AE85" s="642"/>
      <c r="AF85" s="435"/>
      <c r="AG85" s="435"/>
      <c r="AH85" s="435"/>
      <c r="AI85" s="435"/>
      <c r="AJ85" s="435"/>
      <c r="AK85" s="435"/>
      <c r="AL85" s="431"/>
      <c r="AM85" s="435"/>
      <c r="AN85" s="435"/>
      <c r="AO85" s="435"/>
      <c r="AP85" s="432"/>
      <c r="AQ85" s="432"/>
      <c r="AR85" s="434"/>
      <c r="AS85" s="434"/>
      <c r="AT85" s="432"/>
      <c r="AU85" s="432"/>
      <c r="AV85" s="432"/>
      <c r="AW85" s="432"/>
      <c r="AX85" s="432"/>
      <c r="AY85" s="432"/>
      <c r="AZ85" s="432"/>
      <c r="BA85" s="432"/>
      <c r="BB85" s="432"/>
      <c r="BC85" s="432"/>
      <c r="BD85" s="432"/>
      <c r="BE85" s="432"/>
      <c r="BF85" s="432"/>
      <c r="BG85" s="432"/>
      <c r="BH85" s="435"/>
      <c r="BI85" s="432"/>
      <c r="BJ85" s="432"/>
      <c r="BK85" s="432"/>
      <c r="BL85" s="432"/>
      <c r="BM85" s="435"/>
      <c r="BN85" s="435"/>
      <c r="BO85" s="430"/>
      <c r="BP85" s="655"/>
      <c r="BQ85" s="656"/>
      <c r="BR85" s="656"/>
      <c r="BS85" s="656"/>
      <c r="BT85" s="656"/>
      <c r="BU85" s="656"/>
      <c r="BV85" s="656"/>
      <c r="BW85" s="656"/>
      <c r="BX85" s="656"/>
      <c r="BY85" s="656"/>
      <c r="BZ85" s="656"/>
      <c r="CA85" s="656"/>
      <c r="CB85" s="656"/>
      <c r="CC85" s="656"/>
      <c r="CD85" s="656"/>
      <c r="CE85" s="656"/>
      <c r="CF85" s="656"/>
      <c r="CG85" s="656"/>
      <c r="CH85" s="656"/>
      <c r="CI85" s="656"/>
      <c r="CJ85" s="656"/>
      <c r="CK85" s="656"/>
      <c r="CL85" s="656"/>
      <c r="CM85" s="656"/>
      <c r="CN85" s="656"/>
      <c r="CO85" s="656"/>
      <c r="CP85" s="656"/>
      <c r="CQ85" s="656"/>
      <c r="CR85" s="656"/>
      <c r="CS85" s="656"/>
      <c r="CT85" s="656"/>
      <c r="CU85" s="656"/>
      <c r="CV85" s="656"/>
      <c r="CW85" s="656"/>
      <c r="CX85" s="656"/>
      <c r="CY85" s="656"/>
      <c r="CZ85" s="656"/>
      <c r="DA85" s="656"/>
      <c r="DB85" s="656"/>
      <c r="DC85" s="656"/>
      <c r="DD85" s="656"/>
      <c r="DE85" s="656"/>
      <c r="DF85" s="656"/>
      <c r="DG85" s="656"/>
      <c r="DH85" s="656"/>
      <c r="DI85" s="656"/>
      <c r="DJ85" s="656"/>
      <c r="DK85" s="656"/>
      <c r="DL85" s="656"/>
      <c r="DM85" s="656"/>
      <c r="DN85" s="656"/>
      <c r="DO85" s="656"/>
      <c r="DP85" s="656"/>
      <c r="DQ85" s="656"/>
      <c r="DR85" s="656"/>
      <c r="DS85" s="656"/>
      <c r="DT85" s="656"/>
      <c r="DU85" s="656"/>
      <c r="DV85" s="656"/>
      <c r="DW85" s="656"/>
      <c r="DX85" s="656"/>
      <c r="DY85" s="656"/>
      <c r="DZ85" s="656"/>
    </row>
    <row r="86" spans="1:130" ht="12.75" thickBot="1">
      <c r="A86" s="643"/>
      <c r="B86" s="644"/>
      <c r="C86" s="644"/>
      <c r="D86" s="644"/>
      <c r="E86" s="645"/>
      <c r="F86" s="645"/>
      <c r="G86" s="645"/>
      <c r="H86" s="645"/>
      <c r="I86" s="645"/>
      <c r="J86" s="645"/>
      <c r="K86" s="645"/>
      <c r="L86" s="645"/>
      <c r="M86" s="645"/>
      <c r="N86" s="644"/>
      <c r="O86" s="644"/>
      <c r="P86" s="645"/>
      <c r="Q86" s="645"/>
      <c r="R86" s="645"/>
      <c r="S86" s="645"/>
      <c r="T86" s="645"/>
      <c r="U86" s="645"/>
      <c r="V86" s="645"/>
      <c r="W86" s="644"/>
      <c r="X86" s="645"/>
      <c r="Y86" s="645"/>
      <c r="Z86" s="645"/>
      <c r="AA86" s="645"/>
      <c r="AB86" s="645"/>
      <c r="AC86" s="645"/>
      <c r="AD86" s="645"/>
      <c r="AE86" s="645"/>
      <c r="AF86" s="644"/>
      <c r="AG86" s="644"/>
      <c r="AH86" s="644"/>
      <c r="AI86" s="644"/>
      <c r="AJ86" s="644"/>
      <c r="AK86" s="644"/>
      <c r="AL86" s="646"/>
      <c r="AM86" s="645"/>
      <c r="AN86" s="645"/>
      <c r="AO86" s="645"/>
      <c r="AP86" s="645"/>
      <c r="AQ86" s="645"/>
      <c r="AR86" s="647"/>
      <c r="AS86" s="647"/>
      <c r="AT86" s="645"/>
      <c r="AU86" s="645"/>
      <c r="AV86" s="645"/>
      <c r="AW86" s="645"/>
      <c r="AX86" s="645"/>
      <c r="AY86" s="645"/>
      <c r="AZ86" s="645"/>
      <c r="BA86" s="645"/>
      <c r="BB86" s="645"/>
      <c r="BC86" s="645"/>
      <c r="BD86" s="645"/>
      <c r="BE86" s="645"/>
      <c r="BF86" s="645"/>
      <c r="BG86" s="645"/>
      <c r="BH86" s="645"/>
      <c r="BI86" s="645"/>
      <c r="BJ86" s="645"/>
      <c r="BK86" s="645"/>
      <c r="BL86" s="645"/>
      <c r="BM86" s="644"/>
      <c r="BN86" s="644"/>
      <c r="BO86" s="644"/>
      <c r="BP86" s="655"/>
      <c r="BQ86" s="656"/>
      <c r="BR86" s="656"/>
      <c r="BS86" s="656"/>
      <c r="BT86" s="656"/>
      <c r="BU86" s="656"/>
      <c r="BV86" s="656"/>
      <c r="BW86" s="656"/>
      <c r="BX86" s="656"/>
      <c r="BY86" s="656"/>
      <c r="BZ86" s="656"/>
      <c r="CA86" s="656"/>
      <c r="CB86" s="656"/>
      <c r="CC86" s="656"/>
      <c r="CD86" s="656"/>
      <c r="CE86" s="656"/>
      <c r="CF86" s="656"/>
      <c r="CG86" s="656"/>
      <c r="CH86" s="656"/>
      <c r="CI86" s="656"/>
      <c r="CJ86" s="656"/>
      <c r="CK86" s="656"/>
      <c r="CL86" s="656"/>
      <c r="CM86" s="656"/>
      <c r="CN86" s="656"/>
      <c r="CO86" s="656"/>
      <c r="CP86" s="656"/>
      <c r="CQ86" s="656"/>
      <c r="CR86" s="656"/>
      <c r="CS86" s="656"/>
      <c r="CT86" s="656"/>
      <c r="CU86" s="656"/>
      <c r="CV86" s="656"/>
      <c r="CW86" s="656"/>
      <c r="CX86" s="656"/>
      <c r="CY86" s="656"/>
      <c r="CZ86" s="656"/>
      <c r="DA86" s="656"/>
      <c r="DB86" s="656"/>
      <c r="DC86" s="656"/>
      <c r="DD86" s="656"/>
      <c r="DE86" s="656"/>
      <c r="DF86" s="656"/>
      <c r="DG86" s="656"/>
      <c r="DH86" s="656"/>
      <c r="DI86" s="656"/>
      <c r="DJ86" s="656"/>
      <c r="DK86" s="656"/>
      <c r="DL86" s="656"/>
      <c r="DM86" s="656"/>
      <c r="DN86" s="656"/>
      <c r="DO86" s="656"/>
      <c r="DP86" s="656"/>
      <c r="DQ86" s="656"/>
      <c r="DR86" s="656"/>
      <c r="DS86" s="656"/>
      <c r="DT86" s="656"/>
      <c r="DU86" s="656"/>
      <c r="DV86" s="656"/>
      <c r="DW86" s="656"/>
      <c r="DX86" s="656"/>
      <c r="DY86" s="656"/>
      <c r="DZ86" s="656"/>
    </row>
    <row r="87" spans="1:130" ht="12.75" thickTop="1">
      <c r="A87" s="656"/>
      <c r="B87" s="656"/>
      <c r="C87" s="656"/>
      <c r="D87" s="656"/>
      <c r="E87" s="656"/>
      <c r="F87" s="656"/>
      <c r="G87" s="656"/>
      <c r="H87" s="656"/>
      <c r="I87" s="656"/>
      <c r="J87" s="656"/>
      <c r="K87" s="656"/>
      <c r="L87" s="656"/>
      <c r="M87" s="656"/>
      <c r="N87" s="656"/>
      <c r="O87" s="656"/>
      <c r="P87" s="656"/>
      <c r="Q87" s="656"/>
      <c r="R87" s="656"/>
      <c r="S87" s="656"/>
      <c r="T87" s="656"/>
      <c r="U87" s="656"/>
      <c r="V87" s="656"/>
      <c r="W87" s="656"/>
      <c r="X87" s="656"/>
      <c r="Y87" s="656"/>
      <c r="Z87" s="656"/>
      <c r="AA87" s="656"/>
      <c r="AB87" s="656"/>
      <c r="AC87" s="656"/>
      <c r="AD87" s="656"/>
      <c r="AE87" s="656"/>
      <c r="AF87" s="656"/>
      <c r="AG87" s="656"/>
      <c r="AH87" s="656"/>
      <c r="AI87" s="656"/>
      <c r="AJ87" s="656"/>
      <c r="AK87" s="656"/>
      <c r="AL87" s="656"/>
      <c r="AM87" s="656"/>
      <c r="AN87" s="656"/>
      <c r="AO87" s="656"/>
      <c r="AP87" s="656"/>
      <c r="AQ87" s="656"/>
      <c r="AR87" s="656"/>
      <c r="AS87" s="656"/>
      <c r="AT87" s="656"/>
      <c r="AU87" s="656"/>
      <c r="AV87" s="656"/>
      <c r="AW87" s="656"/>
      <c r="AX87" s="656"/>
      <c r="AY87" s="656"/>
      <c r="AZ87" s="656"/>
      <c r="BA87" s="656"/>
      <c r="BB87" s="656"/>
      <c r="BC87" s="656"/>
      <c r="BD87" s="656"/>
      <c r="BE87" s="656"/>
      <c r="BF87" s="656"/>
      <c r="BG87" s="656"/>
      <c r="BH87" s="656"/>
      <c r="BI87" s="656"/>
      <c r="BJ87" s="656"/>
      <c r="BK87" s="656"/>
      <c r="BL87" s="656"/>
      <c r="BM87" s="656"/>
      <c r="BN87" s="656"/>
      <c r="BO87" s="656"/>
      <c r="BP87" s="656"/>
      <c r="BQ87" s="656"/>
      <c r="BR87" s="656"/>
      <c r="BS87" s="656"/>
      <c r="BT87" s="656"/>
      <c r="BU87" s="656"/>
      <c r="BV87" s="656"/>
      <c r="BW87" s="656"/>
      <c r="BX87" s="656"/>
      <c r="BY87" s="656"/>
      <c r="BZ87" s="656"/>
      <c r="CA87" s="656"/>
      <c r="CB87" s="656"/>
      <c r="CC87" s="656"/>
      <c r="CD87" s="656"/>
      <c r="CE87" s="656"/>
      <c r="CF87" s="656"/>
      <c r="CG87" s="656"/>
      <c r="CH87" s="656"/>
      <c r="CI87" s="656"/>
      <c r="CJ87" s="656"/>
      <c r="CK87" s="656"/>
      <c r="CL87" s="656"/>
      <c r="CM87" s="656"/>
      <c r="CN87" s="656"/>
      <c r="CO87" s="656"/>
      <c r="CP87" s="656"/>
      <c r="CQ87" s="656"/>
      <c r="CR87" s="656"/>
      <c r="CS87" s="656"/>
      <c r="CT87" s="656"/>
      <c r="CU87" s="656"/>
      <c r="CV87" s="656"/>
      <c r="CW87" s="656"/>
      <c r="CX87" s="656"/>
      <c r="CY87" s="656"/>
      <c r="CZ87" s="656"/>
      <c r="DA87" s="656"/>
      <c r="DB87" s="656"/>
      <c r="DC87" s="656"/>
      <c r="DD87" s="656"/>
      <c r="DE87" s="656"/>
      <c r="DF87" s="656"/>
      <c r="DG87" s="656"/>
      <c r="DH87" s="656"/>
      <c r="DI87" s="656"/>
      <c r="DJ87" s="656"/>
      <c r="DK87" s="656"/>
      <c r="DL87" s="656"/>
      <c r="DM87" s="656"/>
      <c r="DN87" s="656"/>
      <c r="DO87" s="656"/>
      <c r="DP87" s="656"/>
      <c r="DQ87" s="656"/>
      <c r="DR87" s="656"/>
      <c r="DS87" s="656"/>
      <c r="DT87" s="656"/>
      <c r="DU87" s="656"/>
      <c r="DV87" s="656"/>
      <c r="DW87" s="656"/>
      <c r="DX87" s="656"/>
      <c r="DY87" s="656"/>
      <c r="DZ87" s="656"/>
    </row>
    <row r="88" spans="1:130">
      <c r="A88" s="656"/>
      <c r="B88" s="656"/>
      <c r="C88" s="656"/>
      <c r="D88" s="656"/>
      <c r="E88" s="656"/>
      <c r="F88" s="656"/>
      <c r="G88" s="656"/>
      <c r="H88" s="656"/>
      <c r="I88" s="656"/>
      <c r="J88" s="656"/>
      <c r="K88" s="656"/>
      <c r="L88" s="656"/>
      <c r="M88" s="656"/>
      <c r="N88" s="656"/>
      <c r="O88" s="656"/>
      <c r="P88" s="656"/>
      <c r="Q88" s="656"/>
      <c r="R88" s="656"/>
      <c r="S88" s="656"/>
      <c r="T88" s="656"/>
      <c r="U88" s="656"/>
      <c r="V88" s="656"/>
      <c r="W88" s="656"/>
      <c r="X88" s="656"/>
      <c r="Y88" s="656"/>
      <c r="Z88" s="656"/>
      <c r="AA88" s="656"/>
      <c r="AB88" s="656"/>
      <c r="AC88" s="656"/>
      <c r="AD88" s="656"/>
      <c r="AE88" s="656"/>
      <c r="AF88" s="656"/>
      <c r="AG88" s="656"/>
      <c r="AH88" s="656"/>
      <c r="AI88" s="656"/>
      <c r="AJ88" s="656"/>
      <c r="AK88" s="656"/>
      <c r="AL88" s="656"/>
      <c r="AM88" s="656"/>
      <c r="AN88" s="656"/>
      <c r="AO88" s="656"/>
      <c r="AP88" s="656"/>
      <c r="AQ88" s="656"/>
      <c r="AR88" s="656"/>
      <c r="AS88" s="656"/>
      <c r="AT88" s="656"/>
      <c r="AU88" s="656"/>
      <c r="AV88" s="656"/>
      <c r="AW88" s="656"/>
      <c r="AX88" s="656"/>
      <c r="AY88" s="656"/>
      <c r="AZ88" s="656"/>
      <c r="BA88" s="656"/>
      <c r="BB88" s="656"/>
      <c r="BC88" s="656"/>
      <c r="BD88" s="656"/>
      <c r="BE88" s="656"/>
      <c r="BF88" s="656"/>
      <c r="BG88" s="656"/>
      <c r="BH88" s="656"/>
      <c r="BI88" s="656"/>
      <c r="BJ88" s="656"/>
      <c r="BK88" s="656"/>
      <c r="BL88" s="656"/>
      <c r="BM88" s="656"/>
      <c r="BN88" s="656"/>
      <c r="BO88" s="656"/>
      <c r="BP88" s="656"/>
      <c r="BQ88" s="656"/>
      <c r="BR88" s="656"/>
      <c r="BS88" s="656"/>
      <c r="BT88" s="656"/>
      <c r="BU88" s="656"/>
      <c r="BV88" s="656"/>
      <c r="BW88" s="656"/>
      <c r="BX88" s="656"/>
      <c r="BY88" s="656"/>
      <c r="BZ88" s="656"/>
      <c r="CA88" s="656"/>
      <c r="CB88" s="656"/>
      <c r="CC88" s="656"/>
      <c r="CD88" s="656"/>
      <c r="CE88" s="656"/>
      <c r="CF88" s="656"/>
      <c r="CG88" s="656"/>
      <c r="CH88" s="656"/>
      <c r="CI88" s="656"/>
      <c r="CJ88" s="656"/>
      <c r="CK88" s="656"/>
      <c r="CL88" s="656"/>
      <c r="CM88" s="656"/>
      <c r="CN88" s="656"/>
      <c r="CO88" s="656"/>
      <c r="CP88" s="656"/>
      <c r="CQ88" s="656"/>
      <c r="CR88" s="656"/>
      <c r="CS88" s="656"/>
      <c r="CT88" s="656"/>
      <c r="CU88" s="656"/>
      <c r="CV88" s="656"/>
      <c r="CW88" s="656"/>
      <c r="CX88" s="656"/>
      <c r="CY88" s="656"/>
      <c r="CZ88" s="656"/>
      <c r="DA88" s="656"/>
      <c r="DB88" s="656"/>
      <c r="DC88" s="656"/>
      <c r="DD88" s="656"/>
      <c r="DE88" s="656"/>
      <c r="DF88" s="656"/>
      <c r="DG88" s="656"/>
      <c r="DH88" s="656"/>
      <c r="DI88" s="656"/>
      <c r="DJ88" s="656"/>
      <c r="DK88" s="656"/>
      <c r="DL88" s="656"/>
      <c r="DM88" s="656"/>
      <c r="DN88" s="656"/>
      <c r="DO88" s="656"/>
      <c r="DP88" s="656"/>
      <c r="DQ88" s="656"/>
      <c r="DR88" s="656"/>
      <c r="DS88" s="656"/>
      <c r="DT88" s="656"/>
      <c r="DU88" s="656"/>
      <c r="DV88" s="656"/>
      <c r="DW88" s="656"/>
      <c r="DX88" s="656"/>
      <c r="DY88" s="656"/>
      <c r="DZ88" s="656"/>
    </row>
    <row r="89" spans="1:130">
      <c r="A89" s="656"/>
      <c r="B89" s="656"/>
      <c r="C89" s="656"/>
      <c r="D89" s="656"/>
      <c r="E89" s="656"/>
      <c r="F89" s="656"/>
      <c r="G89" s="656"/>
      <c r="H89" s="656"/>
      <c r="I89" s="656"/>
      <c r="J89" s="656"/>
      <c r="K89" s="656"/>
      <c r="L89" s="656"/>
      <c r="M89" s="656"/>
      <c r="N89" s="656"/>
      <c r="O89" s="656"/>
      <c r="P89" s="656"/>
      <c r="Q89" s="656"/>
      <c r="R89" s="656"/>
      <c r="S89" s="656"/>
      <c r="T89" s="656"/>
      <c r="U89" s="656"/>
      <c r="V89" s="656"/>
      <c r="W89" s="656"/>
      <c r="X89" s="656"/>
      <c r="Y89" s="656"/>
      <c r="Z89" s="656"/>
      <c r="AA89" s="656"/>
      <c r="AB89" s="656"/>
      <c r="AC89" s="656"/>
      <c r="AD89" s="656"/>
      <c r="AE89" s="656"/>
      <c r="AF89" s="656"/>
      <c r="AG89" s="656"/>
      <c r="AH89" s="656"/>
      <c r="AI89" s="656"/>
      <c r="AJ89" s="656"/>
      <c r="AK89" s="656"/>
      <c r="AL89" s="656"/>
      <c r="AM89" s="656"/>
      <c r="AN89" s="656"/>
      <c r="AO89" s="656"/>
      <c r="AP89" s="656"/>
      <c r="AQ89" s="656"/>
      <c r="AR89" s="656"/>
      <c r="AS89" s="656"/>
      <c r="AT89" s="656"/>
      <c r="AU89" s="656"/>
      <c r="AV89" s="656"/>
      <c r="AW89" s="656"/>
      <c r="AX89" s="656"/>
      <c r="AY89" s="656"/>
      <c r="AZ89" s="656"/>
      <c r="BA89" s="656"/>
      <c r="BB89" s="656"/>
      <c r="BC89" s="656"/>
      <c r="BD89" s="656"/>
      <c r="BE89" s="656"/>
      <c r="BF89" s="656"/>
      <c r="BG89" s="656"/>
      <c r="BH89" s="656"/>
      <c r="BI89" s="656"/>
      <c r="BJ89" s="656"/>
      <c r="BK89" s="656"/>
      <c r="BL89" s="656"/>
      <c r="BM89" s="656"/>
      <c r="BN89" s="656"/>
      <c r="BO89" s="656"/>
      <c r="BP89" s="656"/>
      <c r="BQ89" s="656"/>
      <c r="BR89" s="656"/>
      <c r="BS89" s="656"/>
      <c r="BT89" s="656"/>
      <c r="BU89" s="656"/>
      <c r="BV89" s="656"/>
      <c r="BW89" s="656"/>
      <c r="BX89" s="656"/>
      <c r="BY89" s="656"/>
      <c r="BZ89" s="656"/>
      <c r="CA89" s="656"/>
      <c r="CB89" s="656"/>
      <c r="CC89" s="656"/>
      <c r="CD89" s="656"/>
      <c r="CE89" s="656"/>
      <c r="CF89" s="656"/>
      <c r="CG89" s="656"/>
      <c r="CH89" s="656"/>
      <c r="CI89" s="656"/>
      <c r="CJ89" s="656"/>
      <c r="CK89" s="656"/>
      <c r="CL89" s="656"/>
      <c r="CM89" s="656"/>
      <c r="CN89" s="656"/>
      <c r="CO89" s="656"/>
      <c r="CP89" s="656"/>
      <c r="CQ89" s="656"/>
      <c r="CR89" s="656"/>
      <c r="CS89" s="656"/>
      <c r="CT89" s="656"/>
      <c r="CU89" s="656"/>
      <c r="CV89" s="656"/>
      <c r="CW89" s="656"/>
      <c r="CX89" s="656"/>
      <c r="CY89" s="656"/>
      <c r="CZ89" s="656"/>
      <c r="DA89" s="656"/>
      <c r="DB89" s="656"/>
      <c r="DC89" s="656"/>
      <c r="DD89" s="656"/>
      <c r="DE89" s="656"/>
      <c r="DF89" s="656"/>
      <c r="DG89" s="656"/>
      <c r="DH89" s="656"/>
      <c r="DI89" s="656"/>
      <c r="DJ89" s="656"/>
      <c r="DK89" s="656"/>
      <c r="DL89" s="656"/>
      <c r="DM89" s="656"/>
      <c r="DN89" s="656"/>
      <c r="DO89" s="656"/>
      <c r="DP89" s="656"/>
      <c r="DQ89" s="656"/>
      <c r="DR89" s="656"/>
      <c r="DS89" s="656"/>
      <c r="DT89" s="656"/>
      <c r="DU89" s="656"/>
      <c r="DV89" s="656"/>
      <c r="DW89" s="656"/>
      <c r="DX89" s="656"/>
      <c r="DY89" s="656"/>
      <c r="DZ89" s="656"/>
    </row>
    <row r="90" spans="1:130">
      <c r="A90" s="656"/>
      <c r="B90" s="656"/>
      <c r="C90" s="656"/>
      <c r="D90" s="656"/>
      <c r="E90" s="656"/>
      <c r="F90" s="656"/>
      <c r="G90" s="656"/>
      <c r="H90" s="656"/>
      <c r="I90" s="656"/>
      <c r="J90" s="656"/>
      <c r="K90" s="656"/>
      <c r="L90" s="656"/>
      <c r="M90" s="656"/>
      <c r="N90" s="656"/>
      <c r="O90" s="656"/>
      <c r="P90" s="656"/>
      <c r="Q90" s="656"/>
      <c r="R90" s="656"/>
      <c r="S90" s="656"/>
      <c r="T90" s="656"/>
      <c r="U90" s="656"/>
      <c r="V90" s="656"/>
      <c r="W90" s="656"/>
      <c r="X90" s="656"/>
      <c r="Y90" s="656"/>
      <c r="Z90" s="656"/>
      <c r="AA90" s="656"/>
      <c r="AB90" s="656"/>
      <c r="AC90" s="656"/>
      <c r="AD90" s="656"/>
      <c r="AE90" s="656"/>
      <c r="AF90" s="656"/>
      <c r="AG90" s="656"/>
      <c r="AH90" s="656"/>
      <c r="AI90" s="656"/>
      <c r="AJ90" s="656"/>
      <c r="AK90" s="656"/>
      <c r="AL90" s="656"/>
      <c r="AM90" s="656"/>
      <c r="AN90" s="656"/>
      <c r="AO90" s="656"/>
      <c r="AP90" s="656"/>
      <c r="AQ90" s="656"/>
      <c r="AR90" s="656"/>
      <c r="AS90" s="656"/>
      <c r="AT90" s="656"/>
      <c r="AU90" s="656"/>
      <c r="AV90" s="656"/>
      <c r="AW90" s="656"/>
      <c r="AX90" s="656"/>
      <c r="AY90" s="656"/>
      <c r="AZ90" s="656"/>
      <c r="BA90" s="656"/>
      <c r="BB90" s="656"/>
      <c r="BC90" s="656"/>
      <c r="BD90" s="656"/>
      <c r="BE90" s="656"/>
      <c r="BF90" s="656"/>
      <c r="BG90" s="656"/>
      <c r="BH90" s="656"/>
      <c r="BI90" s="656"/>
      <c r="BJ90" s="656"/>
      <c r="BK90" s="656"/>
      <c r="BL90" s="656"/>
      <c r="BM90" s="656"/>
      <c r="BN90" s="656"/>
      <c r="BO90" s="656"/>
      <c r="BP90" s="656"/>
      <c r="BQ90" s="656"/>
      <c r="BR90" s="656"/>
      <c r="BS90" s="656"/>
      <c r="BT90" s="656"/>
      <c r="BU90" s="656"/>
      <c r="BV90" s="656"/>
      <c r="BW90" s="656"/>
      <c r="BX90" s="656"/>
      <c r="BY90" s="656"/>
      <c r="BZ90" s="656"/>
      <c r="CA90" s="656"/>
      <c r="CB90" s="656"/>
      <c r="CC90" s="656"/>
      <c r="CD90" s="656"/>
      <c r="CE90" s="656"/>
      <c r="CF90" s="656"/>
      <c r="CG90" s="656"/>
      <c r="CH90" s="656"/>
      <c r="CI90" s="656"/>
      <c r="CJ90" s="656"/>
      <c r="CK90" s="656"/>
      <c r="CL90" s="656"/>
      <c r="CM90" s="656"/>
      <c r="CN90" s="656"/>
      <c r="CO90" s="656"/>
      <c r="CP90" s="656"/>
      <c r="CQ90" s="656"/>
      <c r="CR90" s="656"/>
      <c r="CS90" s="656"/>
      <c r="CT90" s="656"/>
      <c r="CU90" s="656"/>
      <c r="CV90" s="656"/>
      <c r="CW90" s="656"/>
      <c r="CX90" s="656"/>
      <c r="CY90" s="656"/>
      <c r="CZ90" s="656"/>
      <c r="DA90" s="656"/>
      <c r="DB90" s="656"/>
      <c r="DC90" s="656"/>
      <c r="DD90" s="656"/>
      <c r="DE90" s="656"/>
      <c r="DF90" s="656"/>
      <c r="DG90" s="656"/>
      <c r="DH90" s="656"/>
      <c r="DI90" s="656"/>
      <c r="DJ90" s="656"/>
      <c r="DK90" s="656"/>
      <c r="DL90" s="656"/>
      <c r="DM90" s="656"/>
      <c r="DN90" s="656"/>
      <c r="DO90" s="656"/>
      <c r="DP90" s="656"/>
      <c r="DQ90" s="656"/>
      <c r="DR90" s="656"/>
      <c r="DS90" s="656"/>
      <c r="DT90" s="656"/>
      <c r="DU90" s="656"/>
      <c r="DV90" s="656"/>
      <c r="DW90" s="656"/>
      <c r="DX90" s="656"/>
      <c r="DY90" s="656"/>
      <c r="DZ90" s="656"/>
    </row>
    <row r="91" spans="1:130">
      <c r="A91" s="656"/>
      <c r="B91" s="656"/>
      <c r="C91" s="656"/>
      <c r="D91" s="656"/>
      <c r="E91" s="656"/>
      <c r="F91" s="656"/>
      <c r="G91" s="656"/>
      <c r="H91" s="656"/>
      <c r="I91" s="656"/>
      <c r="J91" s="656"/>
      <c r="K91" s="656"/>
      <c r="L91" s="656"/>
      <c r="M91" s="656"/>
      <c r="N91" s="656"/>
      <c r="O91" s="656"/>
      <c r="P91" s="656"/>
      <c r="Q91" s="656"/>
      <c r="R91" s="656"/>
      <c r="S91" s="656"/>
      <c r="T91" s="656"/>
      <c r="U91" s="656"/>
      <c r="V91" s="656"/>
      <c r="W91" s="656"/>
      <c r="X91" s="656"/>
      <c r="Y91" s="656"/>
      <c r="Z91" s="656"/>
      <c r="AA91" s="656"/>
      <c r="AB91" s="656"/>
      <c r="AC91" s="656"/>
      <c r="AD91" s="656"/>
      <c r="AE91" s="656"/>
      <c r="AF91" s="656"/>
      <c r="AG91" s="656"/>
      <c r="AH91" s="656"/>
      <c r="AI91" s="656"/>
      <c r="AJ91" s="656"/>
      <c r="AK91" s="656"/>
      <c r="AL91" s="656"/>
      <c r="AM91" s="656"/>
      <c r="AN91" s="656"/>
      <c r="AO91" s="656"/>
      <c r="AP91" s="656"/>
      <c r="AQ91" s="656"/>
      <c r="AR91" s="656"/>
      <c r="AS91" s="656"/>
      <c r="AT91" s="656"/>
      <c r="AU91" s="656"/>
      <c r="AV91" s="656"/>
      <c r="AW91" s="656"/>
      <c r="AX91" s="656"/>
      <c r="AY91" s="656"/>
      <c r="AZ91" s="656"/>
      <c r="BA91" s="656"/>
      <c r="BB91" s="656"/>
      <c r="BC91" s="656"/>
      <c r="BD91" s="656"/>
      <c r="BE91" s="656"/>
      <c r="BF91" s="656"/>
      <c r="BG91" s="656"/>
      <c r="BH91" s="656"/>
      <c r="BI91" s="656"/>
      <c r="BJ91" s="656"/>
      <c r="BK91" s="656"/>
      <c r="BL91" s="656"/>
      <c r="BM91" s="656"/>
      <c r="BN91" s="656"/>
      <c r="BO91" s="656"/>
      <c r="BP91" s="656"/>
      <c r="BQ91" s="656"/>
      <c r="BR91" s="656"/>
      <c r="BS91" s="656"/>
      <c r="BT91" s="656"/>
      <c r="BU91" s="656"/>
      <c r="BV91" s="656"/>
      <c r="BW91" s="656"/>
      <c r="BX91" s="656"/>
      <c r="BY91" s="656"/>
      <c r="BZ91" s="656"/>
      <c r="CA91" s="656"/>
      <c r="CB91" s="656"/>
      <c r="CC91" s="656"/>
      <c r="CD91" s="656"/>
      <c r="CE91" s="656"/>
      <c r="CF91" s="656"/>
      <c r="CG91" s="656"/>
      <c r="CH91" s="656"/>
      <c r="CI91" s="656"/>
      <c r="CJ91" s="656"/>
      <c r="CK91" s="656"/>
      <c r="CL91" s="656"/>
      <c r="CM91" s="656"/>
      <c r="CN91" s="656"/>
      <c r="CO91" s="656"/>
      <c r="CP91" s="656"/>
      <c r="CQ91" s="656"/>
      <c r="CR91" s="656"/>
      <c r="CS91" s="656"/>
      <c r="CT91" s="656"/>
      <c r="CU91" s="656"/>
      <c r="CV91" s="656"/>
      <c r="CW91" s="656"/>
      <c r="CX91" s="656"/>
      <c r="CY91" s="656"/>
      <c r="CZ91" s="656"/>
      <c r="DA91" s="656"/>
      <c r="DB91" s="656"/>
      <c r="DC91" s="656"/>
      <c r="DD91" s="656"/>
      <c r="DE91" s="656"/>
      <c r="DF91" s="656"/>
      <c r="DG91" s="656"/>
      <c r="DH91" s="656"/>
      <c r="DI91" s="656"/>
      <c r="DJ91" s="656"/>
      <c r="DK91" s="656"/>
      <c r="DL91" s="656"/>
      <c r="DM91" s="656"/>
      <c r="DN91" s="656"/>
      <c r="DO91" s="656"/>
      <c r="DP91" s="656"/>
      <c r="DQ91" s="656"/>
      <c r="DR91" s="656"/>
      <c r="DS91" s="656"/>
      <c r="DT91" s="656"/>
      <c r="DU91" s="656"/>
      <c r="DV91" s="656"/>
      <c r="DW91" s="656"/>
      <c r="DX91" s="656"/>
      <c r="DY91" s="656"/>
      <c r="DZ91" s="656"/>
    </row>
    <row r="92" spans="1:130">
      <c r="A92" s="656"/>
      <c r="B92" s="656"/>
      <c r="C92" s="656"/>
      <c r="D92" s="656"/>
      <c r="E92" s="656"/>
      <c r="F92" s="656"/>
      <c r="G92" s="656"/>
      <c r="H92" s="656"/>
      <c r="I92" s="656"/>
      <c r="J92" s="656"/>
      <c r="K92" s="656"/>
      <c r="L92" s="656"/>
      <c r="M92" s="656"/>
      <c r="N92" s="656"/>
      <c r="O92" s="656"/>
      <c r="P92" s="656"/>
      <c r="Q92" s="656"/>
      <c r="R92" s="656"/>
      <c r="S92" s="656"/>
      <c r="T92" s="656"/>
      <c r="U92" s="656"/>
      <c r="V92" s="656"/>
      <c r="W92" s="656"/>
      <c r="X92" s="656"/>
      <c r="Y92" s="656"/>
      <c r="Z92" s="656"/>
      <c r="AA92" s="656"/>
      <c r="AB92" s="656"/>
      <c r="AC92" s="656"/>
      <c r="AD92" s="656"/>
      <c r="AE92" s="656"/>
      <c r="AF92" s="656"/>
      <c r="AG92" s="656"/>
      <c r="AH92" s="656"/>
      <c r="AI92" s="656"/>
      <c r="AJ92" s="656"/>
      <c r="AK92" s="656"/>
      <c r="AL92" s="656"/>
      <c r="AM92" s="656"/>
      <c r="AN92" s="656"/>
      <c r="AO92" s="656"/>
      <c r="AP92" s="656"/>
      <c r="AQ92" s="656"/>
      <c r="AR92" s="656"/>
      <c r="AS92" s="656"/>
      <c r="AT92" s="656"/>
      <c r="AU92" s="656"/>
      <c r="AV92" s="656"/>
      <c r="AW92" s="656"/>
      <c r="AX92" s="656"/>
      <c r="AY92" s="656"/>
      <c r="AZ92" s="656"/>
      <c r="BA92" s="656"/>
      <c r="BB92" s="656"/>
      <c r="BC92" s="656"/>
      <c r="BD92" s="656"/>
      <c r="BE92" s="656"/>
      <c r="BF92" s="656"/>
      <c r="BG92" s="656"/>
      <c r="BH92" s="656"/>
      <c r="BI92" s="656"/>
      <c r="BJ92" s="656"/>
      <c r="BK92" s="656"/>
      <c r="BL92" s="656"/>
      <c r="BM92" s="656"/>
      <c r="BN92" s="656"/>
      <c r="BO92" s="656"/>
      <c r="BP92" s="656"/>
      <c r="BQ92" s="656"/>
      <c r="BR92" s="656"/>
      <c r="BS92" s="656"/>
      <c r="BT92" s="656"/>
      <c r="BU92" s="656"/>
      <c r="BV92" s="656"/>
      <c r="BW92" s="656"/>
      <c r="BX92" s="656"/>
      <c r="BY92" s="656"/>
      <c r="BZ92" s="656"/>
      <c r="CA92" s="656"/>
      <c r="CB92" s="656"/>
      <c r="CC92" s="656"/>
      <c r="CD92" s="656"/>
      <c r="CE92" s="656"/>
      <c r="CF92" s="656"/>
      <c r="CG92" s="656"/>
      <c r="CH92" s="656"/>
      <c r="CI92" s="656"/>
      <c r="CJ92" s="656"/>
      <c r="CK92" s="656"/>
      <c r="CL92" s="656"/>
      <c r="CM92" s="656"/>
      <c r="CN92" s="656"/>
      <c r="CO92" s="656"/>
      <c r="CP92" s="656"/>
      <c r="CQ92" s="656"/>
      <c r="CR92" s="656"/>
      <c r="CS92" s="656"/>
      <c r="CT92" s="656"/>
      <c r="CU92" s="656"/>
      <c r="CV92" s="656"/>
      <c r="CW92" s="656"/>
      <c r="CX92" s="656"/>
      <c r="CY92" s="656"/>
      <c r="CZ92" s="656"/>
      <c r="DA92" s="656"/>
      <c r="DB92" s="656"/>
      <c r="DC92" s="656"/>
      <c r="DD92" s="656"/>
      <c r="DE92" s="656"/>
      <c r="DF92" s="656"/>
      <c r="DG92" s="656"/>
      <c r="DH92" s="656"/>
      <c r="DI92" s="656"/>
      <c r="DJ92" s="656"/>
      <c r="DK92" s="656"/>
      <c r="DL92" s="656"/>
      <c r="DM92" s="656"/>
      <c r="DN92" s="656"/>
      <c r="DO92" s="656"/>
      <c r="DP92" s="656"/>
      <c r="DQ92" s="656"/>
      <c r="DR92" s="656"/>
      <c r="DS92" s="656"/>
      <c r="DT92" s="656"/>
      <c r="DU92" s="656"/>
      <c r="DV92" s="656"/>
      <c r="DW92" s="656"/>
      <c r="DX92" s="656"/>
      <c r="DY92" s="656"/>
      <c r="DZ92" s="656"/>
    </row>
    <row r="93" spans="1:130">
      <c r="A93" s="656"/>
      <c r="B93" s="656"/>
      <c r="C93" s="656"/>
      <c r="D93" s="656"/>
      <c r="E93" s="656"/>
      <c r="F93" s="656"/>
      <c r="G93" s="656"/>
      <c r="H93" s="656"/>
      <c r="I93" s="656"/>
      <c r="J93" s="656"/>
      <c r="K93" s="656"/>
      <c r="L93" s="656"/>
      <c r="M93" s="656"/>
      <c r="N93" s="656"/>
      <c r="O93" s="656"/>
      <c r="P93" s="656"/>
      <c r="Q93" s="656"/>
      <c r="R93" s="656"/>
      <c r="S93" s="656"/>
      <c r="T93" s="656"/>
      <c r="U93" s="656"/>
      <c r="V93" s="656"/>
      <c r="W93" s="656"/>
      <c r="X93" s="656"/>
      <c r="Y93" s="656"/>
      <c r="Z93" s="656"/>
      <c r="AA93" s="656"/>
      <c r="AB93" s="656"/>
      <c r="AC93" s="656"/>
      <c r="AD93" s="656"/>
      <c r="AE93" s="656"/>
      <c r="AF93" s="656"/>
      <c r="AG93" s="656"/>
      <c r="AH93" s="656"/>
      <c r="AI93" s="656"/>
      <c r="AJ93" s="656"/>
      <c r="AK93" s="656"/>
      <c r="AL93" s="656"/>
      <c r="AM93" s="656"/>
      <c r="AN93" s="656"/>
      <c r="AO93" s="656"/>
      <c r="AP93" s="656"/>
      <c r="AQ93" s="656"/>
      <c r="AR93" s="656"/>
      <c r="AS93" s="656"/>
      <c r="AT93" s="656"/>
      <c r="AU93" s="656"/>
      <c r="AV93" s="656"/>
      <c r="AW93" s="656"/>
      <c r="AX93" s="656"/>
      <c r="AY93" s="656"/>
      <c r="AZ93" s="656"/>
      <c r="BA93" s="656"/>
      <c r="BB93" s="656"/>
      <c r="BC93" s="656"/>
      <c r="BD93" s="656"/>
      <c r="BE93" s="656"/>
      <c r="BF93" s="656"/>
      <c r="BG93" s="656"/>
      <c r="BH93" s="656"/>
      <c r="BI93" s="656"/>
      <c r="BJ93" s="656"/>
      <c r="BK93" s="656"/>
      <c r="BL93" s="656"/>
      <c r="BM93" s="656"/>
      <c r="BN93" s="656"/>
      <c r="BO93" s="656"/>
      <c r="BP93" s="656"/>
      <c r="BQ93" s="656"/>
      <c r="BR93" s="656"/>
      <c r="BS93" s="656"/>
      <c r="BT93" s="656"/>
      <c r="BU93" s="656"/>
      <c r="BV93" s="656"/>
      <c r="BW93" s="656"/>
      <c r="BX93" s="656"/>
      <c r="BY93" s="656"/>
      <c r="BZ93" s="656"/>
      <c r="CA93" s="656"/>
      <c r="CB93" s="656"/>
      <c r="CC93" s="656"/>
      <c r="CD93" s="656"/>
      <c r="CE93" s="656"/>
      <c r="CF93" s="656"/>
      <c r="CG93" s="656"/>
      <c r="CH93" s="656"/>
      <c r="CI93" s="656"/>
      <c r="CJ93" s="656"/>
      <c r="CK93" s="656"/>
      <c r="CL93" s="656"/>
      <c r="CM93" s="656"/>
      <c r="CN93" s="656"/>
      <c r="CO93" s="656"/>
      <c r="CP93" s="656"/>
      <c r="CQ93" s="656"/>
      <c r="CR93" s="656"/>
      <c r="CS93" s="656"/>
      <c r="CT93" s="656"/>
      <c r="CU93" s="656"/>
      <c r="CV93" s="656"/>
      <c r="CW93" s="656"/>
      <c r="CX93" s="656"/>
      <c r="CY93" s="656"/>
      <c r="CZ93" s="656"/>
      <c r="DA93" s="656"/>
      <c r="DB93" s="656"/>
      <c r="DC93" s="656"/>
      <c r="DD93" s="656"/>
      <c r="DE93" s="656"/>
      <c r="DF93" s="656"/>
      <c r="DG93" s="656"/>
      <c r="DH93" s="656"/>
      <c r="DI93" s="656"/>
      <c r="DJ93" s="656"/>
      <c r="DK93" s="656"/>
      <c r="DL93" s="656"/>
      <c r="DM93" s="656"/>
      <c r="DN93" s="656"/>
      <c r="DO93" s="656"/>
      <c r="DP93" s="656"/>
      <c r="DQ93" s="656"/>
      <c r="DR93" s="656"/>
      <c r="DS93" s="656"/>
      <c r="DT93" s="656"/>
      <c r="DU93" s="656"/>
      <c r="DV93" s="656"/>
      <c r="DW93" s="656"/>
      <c r="DX93" s="656"/>
      <c r="DY93" s="656"/>
      <c r="DZ93" s="656"/>
    </row>
    <row r="94" spans="1:130">
      <c r="A94" s="656"/>
      <c r="B94" s="656"/>
      <c r="C94" s="656"/>
      <c r="D94" s="656"/>
      <c r="E94" s="656"/>
      <c r="F94" s="656"/>
      <c r="G94" s="656"/>
      <c r="H94" s="656"/>
      <c r="I94" s="656"/>
      <c r="J94" s="656"/>
      <c r="K94" s="656"/>
      <c r="L94" s="656"/>
      <c r="M94" s="656"/>
      <c r="N94" s="656"/>
      <c r="O94" s="656"/>
      <c r="P94" s="656"/>
      <c r="Q94" s="656"/>
      <c r="R94" s="656"/>
      <c r="S94" s="656"/>
      <c r="T94" s="656"/>
      <c r="U94" s="656"/>
      <c r="V94" s="656"/>
      <c r="W94" s="656"/>
      <c r="X94" s="656"/>
      <c r="Y94" s="656"/>
      <c r="Z94" s="656"/>
      <c r="AA94" s="656"/>
      <c r="AB94" s="656"/>
      <c r="AC94" s="656"/>
      <c r="AD94" s="656"/>
      <c r="AE94" s="656"/>
      <c r="AF94" s="656"/>
      <c r="AG94" s="656"/>
      <c r="AH94" s="656"/>
      <c r="AI94" s="656"/>
      <c r="AJ94" s="656"/>
      <c r="AK94" s="656"/>
      <c r="AL94" s="656"/>
      <c r="AM94" s="656"/>
      <c r="AN94" s="656"/>
      <c r="AO94" s="656"/>
      <c r="AP94" s="656"/>
      <c r="AQ94" s="656"/>
      <c r="AR94" s="656"/>
      <c r="AS94" s="656"/>
      <c r="AT94" s="656"/>
      <c r="AU94" s="656"/>
      <c r="AV94" s="656"/>
      <c r="AW94" s="656"/>
      <c r="AX94" s="656"/>
      <c r="AY94" s="656"/>
      <c r="AZ94" s="656"/>
      <c r="BA94" s="656"/>
      <c r="BB94" s="656"/>
      <c r="BC94" s="656"/>
      <c r="BD94" s="656"/>
      <c r="BE94" s="656"/>
      <c r="BF94" s="656"/>
      <c r="BG94" s="656"/>
      <c r="BH94" s="656"/>
      <c r="BI94" s="656"/>
      <c r="BJ94" s="656"/>
      <c r="BK94" s="656"/>
      <c r="BL94" s="656"/>
      <c r="BM94" s="656"/>
      <c r="BN94" s="656"/>
      <c r="BO94" s="656"/>
      <c r="BP94" s="656"/>
      <c r="BQ94" s="656"/>
      <c r="BR94" s="656"/>
      <c r="BS94" s="656"/>
      <c r="BT94" s="656"/>
      <c r="BU94" s="656"/>
      <c r="BV94" s="656"/>
      <c r="BW94" s="656"/>
      <c r="BX94" s="656"/>
      <c r="BY94" s="656"/>
      <c r="BZ94" s="656"/>
      <c r="CA94" s="656"/>
      <c r="CB94" s="656"/>
      <c r="CC94" s="656"/>
      <c r="CD94" s="656"/>
      <c r="CE94" s="656"/>
      <c r="CF94" s="656"/>
      <c r="CG94" s="656"/>
      <c r="CH94" s="656"/>
      <c r="CI94" s="656"/>
      <c r="CJ94" s="656"/>
      <c r="CK94" s="656"/>
      <c r="CL94" s="656"/>
      <c r="CM94" s="656"/>
      <c r="CN94" s="656"/>
      <c r="CO94" s="656"/>
      <c r="CP94" s="656"/>
      <c r="CQ94" s="656"/>
      <c r="CR94" s="656"/>
      <c r="CS94" s="656"/>
      <c r="CT94" s="656"/>
      <c r="CU94" s="656"/>
      <c r="CV94" s="656"/>
      <c r="CW94" s="656"/>
      <c r="CX94" s="656"/>
      <c r="CY94" s="656"/>
      <c r="CZ94" s="656"/>
      <c r="DA94" s="656"/>
      <c r="DB94" s="656"/>
      <c r="DC94" s="656"/>
      <c r="DD94" s="656"/>
      <c r="DE94" s="656"/>
      <c r="DF94" s="656"/>
      <c r="DG94" s="656"/>
      <c r="DH94" s="656"/>
      <c r="DI94" s="656"/>
      <c r="DJ94" s="656"/>
      <c r="DK94" s="656"/>
      <c r="DL94" s="656"/>
      <c r="DM94" s="656"/>
      <c r="DN94" s="656"/>
      <c r="DO94" s="656"/>
      <c r="DP94" s="656"/>
      <c r="DQ94" s="656"/>
      <c r="DR94" s="656"/>
      <c r="DS94" s="656"/>
      <c r="DT94" s="656"/>
      <c r="DU94" s="656"/>
      <c r="DV94" s="656"/>
      <c r="DW94" s="656"/>
      <c r="DX94" s="656"/>
      <c r="DY94" s="656"/>
      <c r="DZ94" s="656"/>
    </row>
    <row r="95" spans="1:130">
      <c r="A95" s="656"/>
      <c r="B95" s="656"/>
      <c r="C95" s="656"/>
      <c r="D95" s="656"/>
      <c r="E95" s="656"/>
      <c r="F95" s="656"/>
      <c r="G95" s="656"/>
      <c r="H95" s="656"/>
      <c r="I95" s="656"/>
      <c r="J95" s="656"/>
      <c r="K95" s="656"/>
      <c r="L95" s="656"/>
      <c r="M95" s="656"/>
      <c r="N95" s="656"/>
      <c r="O95" s="656"/>
      <c r="P95" s="656"/>
      <c r="Q95" s="656"/>
      <c r="R95" s="656"/>
      <c r="S95" s="656"/>
      <c r="T95" s="656"/>
      <c r="U95" s="656"/>
      <c r="V95" s="656"/>
      <c r="W95" s="656"/>
      <c r="X95" s="656"/>
      <c r="Y95" s="656"/>
      <c r="Z95" s="656"/>
      <c r="AA95" s="656"/>
      <c r="AB95" s="656"/>
      <c r="AC95" s="656"/>
      <c r="AD95" s="656"/>
      <c r="AE95" s="656"/>
      <c r="AF95" s="656"/>
      <c r="AG95" s="656"/>
      <c r="AH95" s="656"/>
      <c r="AI95" s="656"/>
      <c r="AJ95" s="656"/>
      <c r="AK95" s="656"/>
      <c r="AL95" s="656"/>
      <c r="AM95" s="656"/>
      <c r="AN95" s="656"/>
      <c r="AO95" s="656"/>
      <c r="AP95" s="656"/>
      <c r="AQ95" s="656"/>
      <c r="AR95" s="656"/>
      <c r="AS95" s="656"/>
      <c r="AT95" s="656"/>
      <c r="AU95" s="656"/>
      <c r="AV95" s="656"/>
      <c r="AW95" s="656"/>
      <c r="AX95" s="656"/>
      <c r="AY95" s="656"/>
      <c r="AZ95" s="656"/>
      <c r="BA95" s="656"/>
      <c r="BB95" s="656"/>
      <c r="BC95" s="656"/>
      <c r="BD95" s="656"/>
      <c r="BE95" s="656"/>
      <c r="BF95" s="656"/>
      <c r="BG95" s="656"/>
      <c r="BH95" s="656"/>
      <c r="BI95" s="656"/>
      <c r="BJ95" s="656"/>
      <c r="BK95" s="656"/>
      <c r="BL95" s="656"/>
      <c r="BM95" s="656"/>
      <c r="BN95" s="656"/>
      <c r="BO95" s="656"/>
      <c r="BP95" s="656"/>
      <c r="BQ95" s="656"/>
      <c r="BR95" s="656"/>
      <c r="BS95" s="656"/>
      <c r="BT95" s="656"/>
      <c r="BU95" s="656"/>
      <c r="BV95" s="656"/>
      <c r="BW95" s="656"/>
      <c r="BX95" s="656"/>
      <c r="BY95" s="656"/>
      <c r="BZ95" s="656"/>
      <c r="CA95" s="656"/>
      <c r="CB95" s="656"/>
      <c r="CC95" s="656"/>
      <c r="CD95" s="656"/>
      <c r="CE95" s="656"/>
      <c r="CF95" s="656"/>
      <c r="CG95" s="656"/>
      <c r="CH95" s="656"/>
      <c r="CI95" s="656"/>
      <c r="CJ95" s="656"/>
      <c r="CK95" s="656"/>
      <c r="CL95" s="656"/>
      <c r="CM95" s="656"/>
      <c r="CN95" s="656"/>
      <c r="CO95" s="656"/>
      <c r="CP95" s="656"/>
      <c r="CQ95" s="656"/>
      <c r="CR95" s="656"/>
      <c r="CS95" s="656"/>
      <c r="CT95" s="656"/>
      <c r="CU95" s="656"/>
      <c r="CV95" s="656"/>
      <c r="CW95" s="656"/>
      <c r="CX95" s="656"/>
      <c r="CY95" s="656"/>
      <c r="CZ95" s="656"/>
      <c r="DA95" s="656"/>
      <c r="DB95" s="656"/>
      <c r="DC95" s="656"/>
      <c r="DD95" s="656"/>
      <c r="DE95" s="656"/>
      <c r="DF95" s="656"/>
      <c r="DG95" s="656"/>
      <c r="DH95" s="656"/>
      <c r="DI95" s="656"/>
      <c r="DJ95" s="656"/>
      <c r="DK95" s="656"/>
      <c r="DL95" s="656"/>
      <c r="DM95" s="656"/>
      <c r="DN95" s="656"/>
      <c r="DO95" s="656"/>
      <c r="DP95" s="656"/>
      <c r="DQ95" s="656"/>
      <c r="DR95" s="656"/>
      <c r="DS95" s="656"/>
      <c r="DT95" s="656"/>
      <c r="DU95" s="656"/>
      <c r="DV95" s="656"/>
      <c r="DW95" s="656"/>
      <c r="DX95" s="656"/>
      <c r="DY95" s="656"/>
      <c r="DZ95" s="656"/>
    </row>
    <row r="96" spans="1:130">
      <c r="A96" s="656"/>
      <c r="B96" s="656"/>
      <c r="C96" s="656"/>
      <c r="D96" s="656"/>
      <c r="E96" s="656"/>
      <c r="F96" s="656"/>
      <c r="G96" s="656"/>
      <c r="H96" s="656"/>
      <c r="I96" s="656"/>
      <c r="J96" s="656"/>
      <c r="K96" s="656"/>
      <c r="L96" s="656"/>
      <c r="M96" s="656"/>
      <c r="N96" s="656"/>
      <c r="O96" s="656"/>
      <c r="P96" s="656"/>
      <c r="Q96" s="656"/>
      <c r="R96" s="656"/>
      <c r="S96" s="656"/>
      <c r="T96" s="656"/>
      <c r="U96" s="656"/>
      <c r="V96" s="656"/>
      <c r="W96" s="656"/>
      <c r="X96" s="656"/>
      <c r="Y96" s="656"/>
      <c r="Z96" s="656"/>
      <c r="AA96" s="656"/>
      <c r="AB96" s="656"/>
      <c r="AC96" s="656"/>
      <c r="AD96" s="656"/>
      <c r="AE96" s="656"/>
      <c r="AF96" s="656"/>
      <c r="AG96" s="656"/>
      <c r="AH96" s="656"/>
      <c r="AI96" s="656"/>
      <c r="AJ96" s="656"/>
      <c r="AK96" s="656"/>
      <c r="AL96" s="656"/>
      <c r="AM96" s="656"/>
      <c r="AN96" s="656"/>
      <c r="AO96" s="656"/>
      <c r="AP96" s="656"/>
      <c r="AQ96" s="656"/>
      <c r="AR96" s="656"/>
      <c r="AS96" s="656"/>
      <c r="AT96" s="656"/>
      <c r="AU96" s="656"/>
      <c r="AV96" s="656"/>
      <c r="AW96" s="656"/>
      <c r="AX96" s="656"/>
      <c r="AY96" s="656"/>
      <c r="AZ96" s="656"/>
      <c r="BA96" s="656"/>
      <c r="BB96" s="656"/>
      <c r="BC96" s="656"/>
      <c r="BD96" s="656"/>
      <c r="BE96" s="656"/>
      <c r="BF96" s="656"/>
      <c r="BG96" s="656"/>
      <c r="BH96" s="656"/>
      <c r="BI96" s="656"/>
      <c r="BJ96" s="656"/>
      <c r="BK96" s="656"/>
      <c r="BL96" s="656"/>
      <c r="BM96" s="656"/>
      <c r="BN96" s="656"/>
      <c r="BO96" s="656"/>
      <c r="BP96" s="656"/>
      <c r="BQ96" s="656"/>
      <c r="BR96" s="656"/>
      <c r="BS96" s="656"/>
      <c r="BT96" s="656"/>
      <c r="BU96" s="656"/>
      <c r="BV96" s="656"/>
      <c r="BW96" s="656"/>
      <c r="BX96" s="656"/>
      <c r="BY96" s="656"/>
      <c r="BZ96" s="656"/>
      <c r="CA96" s="656"/>
      <c r="CB96" s="656"/>
      <c r="CC96" s="656"/>
      <c r="CD96" s="656"/>
      <c r="CE96" s="656"/>
      <c r="CF96" s="656"/>
      <c r="CG96" s="656"/>
      <c r="CH96" s="656"/>
      <c r="CI96" s="656"/>
      <c r="CJ96" s="656"/>
      <c r="CK96" s="656"/>
      <c r="CL96" s="656"/>
      <c r="CM96" s="656"/>
      <c r="CN96" s="656"/>
      <c r="CO96" s="656"/>
      <c r="CP96" s="656"/>
      <c r="CQ96" s="656"/>
      <c r="CR96" s="656"/>
      <c r="CS96" s="656"/>
      <c r="CT96" s="656"/>
      <c r="CU96" s="656"/>
      <c r="CV96" s="656"/>
      <c r="CW96" s="656"/>
      <c r="CX96" s="656"/>
      <c r="CY96" s="656"/>
      <c r="CZ96" s="656"/>
      <c r="DA96" s="656"/>
      <c r="DB96" s="656"/>
      <c r="DC96" s="656"/>
      <c r="DD96" s="656"/>
      <c r="DE96" s="656"/>
      <c r="DF96" s="656"/>
      <c r="DG96" s="656"/>
      <c r="DH96" s="656"/>
      <c r="DI96" s="656"/>
      <c r="DJ96" s="656"/>
      <c r="DK96" s="656"/>
      <c r="DL96" s="656"/>
      <c r="DM96" s="656"/>
      <c r="DN96" s="656"/>
      <c r="DO96" s="656"/>
      <c r="DP96" s="656"/>
      <c r="DQ96" s="656"/>
      <c r="DR96" s="656"/>
      <c r="DS96" s="656"/>
      <c r="DT96" s="656"/>
      <c r="DU96" s="656"/>
      <c r="DV96" s="656"/>
      <c r="DW96" s="656"/>
      <c r="DX96" s="656"/>
      <c r="DY96" s="656"/>
      <c r="DZ96" s="656"/>
    </row>
    <row r="97" spans="1:130">
      <c r="A97" s="656"/>
      <c r="B97" s="656"/>
      <c r="C97" s="656"/>
      <c r="D97" s="656"/>
      <c r="E97" s="656"/>
      <c r="F97" s="656"/>
      <c r="G97" s="656"/>
      <c r="H97" s="656"/>
      <c r="I97" s="656"/>
      <c r="J97" s="656"/>
      <c r="K97" s="656"/>
      <c r="L97" s="656"/>
      <c r="M97" s="656"/>
      <c r="N97" s="656"/>
      <c r="O97" s="656"/>
      <c r="P97" s="656"/>
      <c r="Q97" s="656"/>
      <c r="R97" s="656"/>
      <c r="S97" s="656"/>
      <c r="T97" s="656"/>
      <c r="U97" s="656"/>
      <c r="V97" s="656"/>
      <c r="W97" s="656"/>
      <c r="X97" s="656"/>
      <c r="Y97" s="656"/>
      <c r="Z97" s="656"/>
      <c r="AA97" s="656"/>
      <c r="AB97" s="656"/>
      <c r="AC97" s="656"/>
      <c r="AD97" s="656"/>
      <c r="AE97" s="656"/>
      <c r="AF97" s="656"/>
      <c r="AG97" s="656"/>
      <c r="AH97" s="656"/>
      <c r="AI97" s="656"/>
      <c r="AJ97" s="656"/>
      <c r="AK97" s="656"/>
      <c r="AL97" s="656"/>
      <c r="AM97" s="656"/>
      <c r="AN97" s="656"/>
      <c r="AO97" s="656"/>
      <c r="AP97" s="656"/>
      <c r="AQ97" s="656"/>
      <c r="AR97" s="656"/>
      <c r="AS97" s="656"/>
      <c r="AT97" s="656"/>
      <c r="AU97" s="656"/>
      <c r="AV97" s="656"/>
      <c r="AW97" s="656"/>
      <c r="AX97" s="656"/>
      <c r="AY97" s="656"/>
      <c r="AZ97" s="656"/>
      <c r="BA97" s="656"/>
      <c r="BB97" s="656"/>
      <c r="BC97" s="656"/>
      <c r="BD97" s="656"/>
      <c r="BE97" s="656"/>
      <c r="BF97" s="656"/>
      <c r="BG97" s="656"/>
      <c r="BH97" s="656"/>
      <c r="BI97" s="656"/>
      <c r="BJ97" s="656"/>
      <c r="BK97" s="656"/>
      <c r="BL97" s="656"/>
      <c r="BM97" s="656"/>
      <c r="BN97" s="656"/>
      <c r="BO97" s="656"/>
      <c r="BP97" s="656"/>
      <c r="BQ97" s="656"/>
      <c r="BR97" s="656"/>
      <c r="BS97" s="656"/>
      <c r="BT97" s="656"/>
      <c r="BU97" s="656"/>
      <c r="BV97" s="656"/>
      <c r="BW97" s="656"/>
      <c r="BX97" s="656"/>
      <c r="BY97" s="656"/>
      <c r="BZ97" s="656"/>
      <c r="CA97" s="656"/>
      <c r="CB97" s="656"/>
      <c r="CC97" s="656"/>
      <c r="CD97" s="656"/>
      <c r="CE97" s="656"/>
      <c r="CF97" s="656"/>
      <c r="CG97" s="656"/>
      <c r="CH97" s="656"/>
      <c r="CI97" s="656"/>
      <c r="CJ97" s="656"/>
      <c r="CK97" s="656"/>
      <c r="CL97" s="656"/>
      <c r="CM97" s="656"/>
      <c r="CN97" s="656"/>
      <c r="CO97" s="656"/>
      <c r="CP97" s="656"/>
      <c r="CQ97" s="656"/>
      <c r="CR97" s="656"/>
      <c r="CS97" s="656"/>
      <c r="CT97" s="656"/>
      <c r="CU97" s="656"/>
      <c r="CV97" s="656"/>
      <c r="CW97" s="656"/>
      <c r="CX97" s="656"/>
      <c r="CY97" s="656"/>
      <c r="CZ97" s="656"/>
      <c r="DA97" s="656"/>
      <c r="DB97" s="656"/>
      <c r="DC97" s="656"/>
      <c r="DD97" s="656"/>
      <c r="DE97" s="656"/>
      <c r="DF97" s="656"/>
      <c r="DG97" s="656"/>
      <c r="DH97" s="656"/>
      <c r="DI97" s="656"/>
      <c r="DJ97" s="656"/>
      <c r="DK97" s="656"/>
      <c r="DL97" s="656"/>
      <c r="DM97" s="656"/>
      <c r="DN97" s="656"/>
      <c r="DO97" s="656"/>
      <c r="DP97" s="656"/>
      <c r="DQ97" s="656"/>
      <c r="DR97" s="656"/>
      <c r="DS97" s="656"/>
      <c r="DT97" s="656"/>
      <c r="DU97" s="656"/>
      <c r="DV97" s="656"/>
      <c r="DW97" s="656"/>
      <c r="DX97" s="656"/>
      <c r="DY97" s="656"/>
      <c r="DZ97" s="656"/>
    </row>
    <row r="98" spans="1:130">
      <c r="A98" s="656"/>
      <c r="B98" s="656"/>
      <c r="C98" s="656"/>
      <c r="D98" s="656"/>
      <c r="E98" s="656"/>
      <c r="F98" s="656"/>
      <c r="G98" s="656"/>
      <c r="H98" s="656"/>
      <c r="I98" s="656"/>
      <c r="J98" s="656"/>
      <c r="K98" s="656"/>
      <c r="L98" s="656"/>
      <c r="M98" s="656"/>
      <c r="N98" s="656"/>
      <c r="O98" s="656"/>
      <c r="P98" s="656"/>
      <c r="Q98" s="656"/>
      <c r="R98" s="656"/>
      <c r="S98" s="656"/>
      <c r="T98" s="656"/>
      <c r="U98" s="656"/>
      <c r="V98" s="656"/>
      <c r="W98" s="656"/>
      <c r="X98" s="656"/>
      <c r="Y98" s="656"/>
      <c r="Z98" s="656"/>
      <c r="AA98" s="656"/>
      <c r="AB98" s="656"/>
      <c r="AC98" s="656"/>
      <c r="AD98" s="656"/>
      <c r="AE98" s="656"/>
      <c r="AF98" s="656"/>
      <c r="AG98" s="656"/>
      <c r="AH98" s="656"/>
      <c r="AI98" s="656"/>
      <c r="AJ98" s="656"/>
      <c r="AK98" s="656"/>
      <c r="AL98" s="656"/>
      <c r="AM98" s="656"/>
      <c r="AN98" s="656"/>
      <c r="AO98" s="656"/>
      <c r="AP98" s="656"/>
      <c r="AQ98" s="656"/>
      <c r="AR98" s="656"/>
      <c r="AS98" s="656"/>
      <c r="AT98" s="656"/>
      <c r="AU98" s="656"/>
      <c r="AV98" s="656"/>
      <c r="AW98" s="656"/>
      <c r="AX98" s="656"/>
      <c r="AY98" s="656"/>
      <c r="AZ98" s="656"/>
      <c r="BA98" s="656"/>
      <c r="BB98" s="656"/>
      <c r="BC98" s="656"/>
      <c r="BD98" s="656"/>
      <c r="BE98" s="656"/>
      <c r="BF98" s="656"/>
      <c r="BG98" s="656"/>
      <c r="BH98" s="656"/>
      <c r="BI98" s="656"/>
      <c r="BJ98" s="656"/>
      <c r="BK98" s="656"/>
      <c r="BL98" s="656"/>
      <c r="BM98" s="656"/>
      <c r="BN98" s="656"/>
      <c r="BO98" s="656"/>
      <c r="BP98" s="656"/>
      <c r="BQ98" s="656"/>
      <c r="BR98" s="656"/>
      <c r="BS98" s="656"/>
      <c r="BT98" s="656"/>
      <c r="BU98" s="656"/>
      <c r="BV98" s="656"/>
      <c r="BW98" s="656"/>
      <c r="BX98" s="656"/>
      <c r="BY98" s="656"/>
      <c r="BZ98" s="656"/>
      <c r="CA98" s="656"/>
      <c r="CB98" s="656"/>
      <c r="CC98" s="656"/>
      <c r="CD98" s="656"/>
      <c r="CE98" s="656"/>
      <c r="CF98" s="656"/>
      <c r="CG98" s="656"/>
      <c r="CH98" s="656"/>
      <c r="CI98" s="656"/>
      <c r="CJ98" s="656"/>
      <c r="CK98" s="656"/>
      <c r="CL98" s="656"/>
      <c r="CM98" s="656"/>
      <c r="CN98" s="656"/>
      <c r="CO98" s="656"/>
      <c r="CP98" s="656"/>
      <c r="CQ98" s="656"/>
      <c r="CR98" s="656"/>
      <c r="CS98" s="656"/>
      <c r="CT98" s="656"/>
      <c r="CU98" s="656"/>
      <c r="CV98" s="656"/>
      <c r="CW98" s="656"/>
      <c r="CX98" s="656"/>
      <c r="CY98" s="656"/>
      <c r="CZ98" s="656"/>
      <c r="DA98" s="656"/>
      <c r="DB98" s="656"/>
      <c r="DC98" s="656"/>
      <c r="DD98" s="656"/>
      <c r="DE98" s="656"/>
      <c r="DF98" s="656"/>
      <c r="DG98" s="656"/>
      <c r="DH98" s="656"/>
      <c r="DI98" s="656"/>
      <c r="DJ98" s="656"/>
      <c r="DK98" s="656"/>
      <c r="DL98" s="656"/>
      <c r="DM98" s="656"/>
      <c r="DN98" s="656"/>
      <c r="DO98" s="656"/>
      <c r="DP98" s="656"/>
      <c r="DQ98" s="656"/>
      <c r="DR98" s="656"/>
      <c r="DS98" s="656"/>
      <c r="DT98" s="656"/>
      <c r="DU98" s="656"/>
      <c r="DV98" s="656"/>
      <c r="DW98" s="656"/>
      <c r="DX98" s="656"/>
      <c r="DY98" s="656"/>
      <c r="DZ98" s="656"/>
    </row>
    <row r="99" spans="1:130">
      <c r="A99" s="656"/>
      <c r="B99" s="656"/>
      <c r="C99" s="656"/>
      <c r="D99" s="656"/>
      <c r="E99" s="656"/>
      <c r="F99" s="656"/>
      <c r="G99" s="656"/>
      <c r="H99" s="656"/>
      <c r="I99" s="656"/>
      <c r="J99" s="656"/>
      <c r="K99" s="656"/>
      <c r="L99" s="656"/>
      <c r="M99" s="656"/>
      <c r="N99" s="656"/>
      <c r="O99" s="656"/>
      <c r="P99" s="656"/>
      <c r="Q99" s="656"/>
      <c r="R99" s="656"/>
      <c r="S99" s="656"/>
      <c r="T99" s="656"/>
      <c r="U99" s="656"/>
      <c r="V99" s="656"/>
      <c r="W99" s="656"/>
      <c r="X99" s="656"/>
      <c r="Y99" s="656"/>
      <c r="Z99" s="656"/>
      <c r="AA99" s="656"/>
      <c r="AB99" s="656"/>
      <c r="AC99" s="656"/>
      <c r="AD99" s="656"/>
      <c r="AE99" s="656"/>
      <c r="AF99" s="656"/>
      <c r="AG99" s="656"/>
      <c r="AH99" s="656"/>
      <c r="AI99" s="656"/>
      <c r="AJ99" s="656"/>
      <c r="AK99" s="656"/>
      <c r="AL99" s="656"/>
      <c r="AM99" s="656"/>
      <c r="AN99" s="656"/>
      <c r="AO99" s="656"/>
      <c r="AP99" s="656"/>
      <c r="AQ99" s="656"/>
      <c r="AR99" s="656"/>
      <c r="AS99" s="656"/>
      <c r="AT99" s="656"/>
      <c r="AU99" s="656"/>
      <c r="AV99" s="656"/>
      <c r="AW99" s="656"/>
      <c r="AX99" s="656"/>
      <c r="AY99" s="656"/>
      <c r="AZ99" s="656"/>
      <c r="BA99" s="656"/>
      <c r="BB99" s="656"/>
      <c r="BC99" s="656"/>
      <c r="BD99" s="656"/>
      <c r="BE99" s="656"/>
      <c r="BF99" s="656"/>
      <c r="BG99" s="656"/>
      <c r="BH99" s="656"/>
      <c r="BI99" s="656"/>
      <c r="BJ99" s="656"/>
      <c r="BK99" s="656"/>
      <c r="BL99" s="656"/>
      <c r="BM99" s="656"/>
      <c r="BN99" s="656"/>
      <c r="BO99" s="656"/>
      <c r="BP99" s="656"/>
      <c r="BQ99" s="656"/>
      <c r="BR99" s="656"/>
      <c r="BS99" s="656"/>
      <c r="BT99" s="656"/>
      <c r="BU99" s="656"/>
      <c r="BV99" s="656"/>
      <c r="BW99" s="656"/>
      <c r="BX99" s="656"/>
      <c r="BY99" s="656"/>
      <c r="BZ99" s="656"/>
      <c r="CA99" s="656"/>
      <c r="CB99" s="656"/>
      <c r="CC99" s="656"/>
      <c r="CD99" s="656"/>
      <c r="CE99" s="656"/>
      <c r="CF99" s="656"/>
      <c r="CG99" s="656"/>
      <c r="CH99" s="656"/>
      <c r="CI99" s="656"/>
      <c r="CJ99" s="656"/>
      <c r="CK99" s="656"/>
      <c r="CL99" s="656"/>
      <c r="CM99" s="656"/>
      <c r="CN99" s="656"/>
      <c r="CO99" s="656"/>
      <c r="CP99" s="656"/>
      <c r="CQ99" s="656"/>
      <c r="CR99" s="656"/>
      <c r="CS99" s="656"/>
      <c r="CT99" s="656"/>
      <c r="CU99" s="656"/>
      <c r="CV99" s="656"/>
      <c r="CW99" s="656"/>
      <c r="CX99" s="656"/>
      <c r="CY99" s="656"/>
      <c r="CZ99" s="656"/>
      <c r="DA99" s="656"/>
      <c r="DB99" s="656"/>
      <c r="DC99" s="656"/>
      <c r="DD99" s="656"/>
      <c r="DE99" s="656"/>
      <c r="DF99" s="656"/>
      <c r="DG99" s="656"/>
      <c r="DH99" s="656"/>
      <c r="DI99" s="656"/>
      <c r="DJ99" s="656"/>
      <c r="DK99" s="656"/>
      <c r="DL99" s="656"/>
      <c r="DM99" s="656"/>
      <c r="DN99" s="656"/>
      <c r="DO99" s="656"/>
      <c r="DP99" s="656"/>
      <c r="DQ99" s="656"/>
      <c r="DR99" s="656"/>
      <c r="DS99" s="656"/>
      <c r="DT99" s="656"/>
      <c r="DU99" s="656"/>
      <c r="DV99" s="656"/>
      <c r="DW99" s="656"/>
      <c r="DX99" s="656"/>
      <c r="DY99" s="656"/>
      <c r="DZ99" s="656"/>
    </row>
    <row r="100" spans="1:130">
      <c r="A100" s="656"/>
      <c r="B100" s="656"/>
      <c r="C100" s="656"/>
      <c r="D100" s="656"/>
      <c r="E100" s="656"/>
      <c r="F100" s="656"/>
      <c r="G100" s="656"/>
      <c r="H100" s="656"/>
      <c r="I100" s="656"/>
      <c r="J100" s="656"/>
      <c r="K100" s="656"/>
      <c r="L100" s="656"/>
      <c r="M100" s="656"/>
      <c r="N100" s="656"/>
      <c r="O100" s="656"/>
      <c r="P100" s="656"/>
      <c r="Q100" s="656"/>
      <c r="R100" s="656"/>
      <c r="S100" s="656"/>
      <c r="T100" s="656"/>
      <c r="U100" s="656"/>
      <c r="V100" s="656"/>
      <c r="W100" s="656"/>
      <c r="X100" s="656"/>
      <c r="Y100" s="656"/>
      <c r="Z100" s="656"/>
      <c r="AA100" s="656"/>
      <c r="AB100" s="656"/>
      <c r="AC100" s="656"/>
      <c r="AD100" s="656"/>
      <c r="AE100" s="656"/>
      <c r="AF100" s="656"/>
      <c r="AG100" s="656"/>
      <c r="AH100" s="656"/>
      <c r="AI100" s="656"/>
      <c r="AJ100" s="656"/>
      <c r="AK100" s="656"/>
      <c r="AL100" s="656"/>
      <c r="AM100" s="656"/>
      <c r="AN100" s="656"/>
      <c r="AO100" s="656"/>
      <c r="AP100" s="656"/>
      <c r="AQ100" s="656"/>
      <c r="AR100" s="656"/>
      <c r="AS100" s="656"/>
      <c r="AT100" s="656"/>
      <c r="AU100" s="656"/>
      <c r="AV100" s="656"/>
      <c r="AW100" s="656"/>
      <c r="AX100" s="656"/>
      <c r="AY100" s="656"/>
      <c r="AZ100" s="656"/>
      <c r="BA100" s="656"/>
      <c r="BB100" s="656"/>
      <c r="BC100" s="656"/>
      <c r="BD100" s="656"/>
      <c r="BE100" s="656"/>
      <c r="BF100" s="656"/>
      <c r="BG100" s="656"/>
      <c r="BH100" s="656"/>
      <c r="BI100" s="656"/>
      <c r="BJ100" s="656"/>
      <c r="BK100" s="656"/>
      <c r="BL100" s="656"/>
      <c r="BM100" s="656"/>
      <c r="BN100" s="656"/>
      <c r="BO100" s="656"/>
      <c r="BP100" s="656"/>
      <c r="BQ100" s="656"/>
      <c r="BR100" s="656"/>
      <c r="BS100" s="656"/>
      <c r="BT100" s="656"/>
      <c r="BU100" s="656"/>
      <c r="BV100" s="656"/>
      <c r="BW100" s="656"/>
      <c r="BX100" s="656"/>
      <c r="BY100" s="656"/>
      <c r="BZ100" s="656"/>
      <c r="CA100" s="656"/>
      <c r="CB100" s="656"/>
      <c r="CC100" s="656"/>
      <c r="CD100" s="656"/>
      <c r="CE100" s="656"/>
      <c r="CF100" s="656"/>
      <c r="CG100" s="656"/>
      <c r="CH100" s="656"/>
      <c r="CI100" s="656"/>
      <c r="CJ100" s="656"/>
      <c r="CK100" s="656"/>
      <c r="CL100" s="656"/>
      <c r="CM100" s="656"/>
      <c r="CN100" s="656"/>
      <c r="CO100" s="656"/>
      <c r="CP100" s="656"/>
      <c r="CQ100" s="656"/>
      <c r="CR100" s="656"/>
      <c r="CS100" s="656"/>
      <c r="CT100" s="656"/>
      <c r="CU100" s="656"/>
      <c r="CV100" s="656"/>
      <c r="CW100" s="656"/>
      <c r="CX100" s="656"/>
      <c r="CY100" s="656"/>
      <c r="CZ100" s="656"/>
      <c r="DA100" s="656"/>
      <c r="DB100" s="656"/>
      <c r="DC100" s="656"/>
      <c r="DD100" s="656"/>
      <c r="DE100" s="656"/>
      <c r="DF100" s="656"/>
      <c r="DG100" s="656"/>
      <c r="DH100" s="656"/>
      <c r="DI100" s="656"/>
      <c r="DJ100" s="656"/>
      <c r="DK100" s="656"/>
      <c r="DL100" s="656"/>
      <c r="DM100" s="656"/>
      <c r="DN100" s="656"/>
      <c r="DO100" s="656"/>
      <c r="DP100" s="656"/>
      <c r="DQ100" s="656"/>
      <c r="DR100" s="656"/>
      <c r="DS100" s="656"/>
      <c r="DT100" s="656"/>
      <c r="DU100" s="656"/>
      <c r="DV100" s="656"/>
      <c r="DW100" s="656"/>
      <c r="DX100" s="656"/>
      <c r="DY100" s="656"/>
      <c r="DZ100" s="656"/>
    </row>
    <row r="101" spans="1:130">
      <c r="A101" s="656"/>
      <c r="B101" s="656"/>
      <c r="C101" s="656"/>
      <c r="D101" s="656"/>
      <c r="E101" s="656"/>
      <c r="F101" s="656"/>
      <c r="G101" s="656"/>
      <c r="H101" s="656"/>
      <c r="I101" s="656"/>
      <c r="J101" s="656"/>
      <c r="K101" s="656"/>
      <c r="L101" s="656"/>
      <c r="M101" s="656"/>
      <c r="N101" s="656"/>
      <c r="O101" s="656"/>
      <c r="P101" s="656"/>
      <c r="Q101" s="656"/>
      <c r="R101" s="656"/>
      <c r="S101" s="656"/>
      <c r="T101" s="656"/>
      <c r="U101" s="656"/>
      <c r="V101" s="656"/>
      <c r="W101" s="656"/>
      <c r="X101" s="656"/>
      <c r="Y101" s="656"/>
      <c r="Z101" s="656"/>
      <c r="AA101" s="656"/>
      <c r="AB101" s="656"/>
      <c r="AC101" s="656"/>
      <c r="AD101" s="656"/>
      <c r="AE101" s="656"/>
      <c r="AF101" s="656"/>
      <c r="AG101" s="656"/>
      <c r="AH101" s="656"/>
      <c r="AI101" s="656"/>
      <c r="AJ101" s="656"/>
      <c r="AK101" s="656"/>
      <c r="AL101" s="656"/>
      <c r="AM101" s="656"/>
      <c r="AN101" s="656"/>
      <c r="AO101" s="656"/>
      <c r="AP101" s="656"/>
      <c r="AQ101" s="656"/>
      <c r="AR101" s="656"/>
      <c r="AS101" s="656"/>
      <c r="AT101" s="656"/>
      <c r="AU101" s="656"/>
      <c r="AV101" s="656"/>
      <c r="AW101" s="656"/>
      <c r="AX101" s="656"/>
      <c r="AY101" s="656"/>
      <c r="AZ101" s="656"/>
      <c r="BA101" s="656"/>
      <c r="BB101" s="656"/>
      <c r="BC101" s="656"/>
      <c r="BD101" s="656"/>
      <c r="BE101" s="656"/>
      <c r="BF101" s="656"/>
      <c r="BG101" s="656"/>
      <c r="BH101" s="656"/>
      <c r="BI101" s="656"/>
      <c r="BJ101" s="656"/>
      <c r="BK101" s="656"/>
      <c r="BL101" s="656"/>
      <c r="BM101" s="656"/>
      <c r="BN101" s="656"/>
      <c r="BO101" s="656"/>
      <c r="BP101" s="656"/>
      <c r="BQ101" s="656"/>
      <c r="BR101" s="656"/>
      <c r="BS101" s="656"/>
      <c r="BT101" s="656"/>
      <c r="BU101" s="656"/>
      <c r="BV101" s="656"/>
      <c r="BW101" s="656"/>
      <c r="BX101" s="656"/>
      <c r="BY101" s="656"/>
      <c r="BZ101" s="656"/>
      <c r="CA101" s="656"/>
      <c r="CB101" s="656"/>
      <c r="CC101" s="656"/>
      <c r="CD101" s="656"/>
      <c r="CE101" s="656"/>
      <c r="CF101" s="656"/>
      <c r="CG101" s="656"/>
      <c r="CH101" s="656"/>
      <c r="CI101" s="656"/>
      <c r="CJ101" s="656"/>
      <c r="CK101" s="656"/>
      <c r="CL101" s="656"/>
      <c r="CM101" s="656"/>
      <c r="CN101" s="656"/>
      <c r="CO101" s="656"/>
      <c r="CP101" s="656"/>
      <c r="CQ101" s="656"/>
      <c r="CR101" s="656"/>
      <c r="CS101" s="656"/>
      <c r="CT101" s="656"/>
      <c r="CU101" s="656"/>
      <c r="CV101" s="656"/>
      <c r="CW101" s="656"/>
      <c r="CX101" s="656"/>
      <c r="CY101" s="656"/>
      <c r="CZ101" s="656"/>
      <c r="DA101" s="656"/>
      <c r="DB101" s="656"/>
      <c r="DC101" s="656"/>
      <c r="DD101" s="656"/>
      <c r="DE101" s="656"/>
      <c r="DF101" s="656"/>
      <c r="DG101" s="656"/>
      <c r="DH101" s="656"/>
      <c r="DI101" s="656"/>
      <c r="DJ101" s="656"/>
      <c r="DK101" s="656"/>
      <c r="DL101" s="656"/>
      <c r="DM101" s="656"/>
      <c r="DN101" s="656"/>
      <c r="DO101" s="656"/>
      <c r="DP101" s="656"/>
      <c r="DQ101" s="656"/>
      <c r="DR101" s="656"/>
      <c r="DS101" s="656"/>
      <c r="DT101" s="656"/>
      <c r="DU101" s="656"/>
      <c r="DV101" s="656"/>
      <c r="DW101" s="656"/>
      <c r="DX101" s="656"/>
      <c r="DY101" s="656"/>
      <c r="DZ101" s="656"/>
    </row>
    <row r="102" spans="1:130">
      <c r="A102" s="656"/>
      <c r="B102" s="656"/>
      <c r="C102" s="656"/>
      <c r="D102" s="656"/>
      <c r="E102" s="656"/>
      <c r="F102" s="656"/>
      <c r="G102" s="656"/>
      <c r="H102" s="656"/>
      <c r="I102" s="656"/>
      <c r="J102" s="656"/>
      <c r="K102" s="656"/>
      <c r="L102" s="656"/>
      <c r="M102" s="656"/>
      <c r="N102" s="656"/>
      <c r="O102" s="656"/>
      <c r="P102" s="656"/>
      <c r="Q102" s="656"/>
      <c r="R102" s="656"/>
      <c r="S102" s="656"/>
      <c r="T102" s="656"/>
      <c r="U102" s="656"/>
      <c r="V102" s="656"/>
      <c r="W102" s="656"/>
      <c r="X102" s="656"/>
      <c r="Y102" s="656"/>
      <c r="Z102" s="656"/>
      <c r="AA102" s="656"/>
      <c r="AB102" s="656"/>
      <c r="AC102" s="656"/>
      <c r="AD102" s="656"/>
      <c r="AE102" s="656"/>
      <c r="AF102" s="656"/>
      <c r="AG102" s="656"/>
      <c r="AH102" s="656"/>
      <c r="AI102" s="656"/>
      <c r="AJ102" s="656"/>
      <c r="AK102" s="656"/>
      <c r="AL102" s="656"/>
      <c r="AM102" s="656"/>
      <c r="AN102" s="656"/>
      <c r="AO102" s="656"/>
      <c r="AP102" s="656"/>
      <c r="AQ102" s="656"/>
      <c r="AR102" s="656"/>
      <c r="AS102" s="656"/>
      <c r="AT102" s="656"/>
      <c r="AU102" s="656"/>
      <c r="AV102" s="656"/>
      <c r="AW102" s="656"/>
      <c r="AX102" s="656"/>
      <c r="AY102" s="656"/>
      <c r="AZ102" s="656"/>
      <c r="BA102" s="656"/>
      <c r="BB102" s="656"/>
      <c r="BC102" s="656"/>
      <c r="BD102" s="656"/>
      <c r="BE102" s="656"/>
      <c r="BF102" s="656"/>
      <c r="BG102" s="656"/>
      <c r="BH102" s="656"/>
      <c r="BI102" s="656"/>
      <c r="BJ102" s="656"/>
      <c r="BK102" s="656"/>
      <c r="BL102" s="656"/>
      <c r="BM102" s="656"/>
      <c r="BN102" s="656"/>
      <c r="BO102" s="656"/>
      <c r="BP102" s="656"/>
      <c r="BQ102" s="656"/>
      <c r="BR102" s="656"/>
      <c r="BS102" s="656"/>
      <c r="BT102" s="656"/>
      <c r="BU102" s="656"/>
      <c r="BV102" s="656"/>
      <c r="BW102" s="656"/>
      <c r="BX102" s="656"/>
      <c r="BY102" s="656"/>
      <c r="BZ102" s="656"/>
      <c r="CA102" s="656"/>
      <c r="CB102" s="656"/>
      <c r="CC102" s="656"/>
      <c r="CD102" s="656"/>
      <c r="CE102" s="656"/>
      <c r="CF102" s="656"/>
      <c r="CG102" s="656"/>
      <c r="CH102" s="656"/>
      <c r="CI102" s="656"/>
      <c r="CJ102" s="656"/>
      <c r="CK102" s="656"/>
      <c r="CL102" s="656"/>
      <c r="CM102" s="656"/>
      <c r="CN102" s="656"/>
      <c r="CO102" s="656"/>
      <c r="CP102" s="656"/>
      <c r="CQ102" s="656"/>
      <c r="CR102" s="656"/>
      <c r="CS102" s="656"/>
      <c r="CT102" s="656"/>
      <c r="CU102" s="656"/>
      <c r="CV102" s="656"/>
      <c r="CW102" s="656"/>
      <c r="CX102" s="656"/>
      <c r="CY102" s="656"/>
      <c r="CZ102" s="656"/>
      <c r="DA102" s="656"/>
      <c r="DB102" s="656"/>
      <c r="DC102" s="656"/>
      <c r="DD102" s="656"/>
      <c r="DE102" s="656"/>
      <c r="DF102" s="656"/>
      <c r="DG102" s="656"/>
      <c r="DH102" s="656"/>
      <c r="DI102" s="656"/>
      <c r="DJ102" s="656"/>
      <c r="DK102" s="656"/>
      <c r="DL102" s="656"/>
      <c r="DM102" s="656"/>
      <c r="DN102" s="656"/>
      <c r="DO102" s="656"/>
      <c r="DP102" s="656"/>
      <c r="DQ102" s="656"/>
      <c r="DR102" s="656"/>
      <c r="DS102" s="656"/>
      <c r="DT102" s="656"/>
      <c r="DU102" s="656"/>
      <c r="DV102" s="656"/>
      <c r="DW102" s="656"/>
      <c r="DX102" s="656"/>
      <c r="DY102" s="656"/>
      <c r="DZ102" s="656"/>
    </row>
    <row r="103" spans="1:130">
      <c r="A103" s="656"/>
      <c r="B103" s="656"/>
      <c r="C103" s="656"/>
      <c r="D103" s="656"/>
      <c r="E103" s="656"/>
      <c r="F103" s="656"/>
      <c r="G103" s="656"/>
      <c r="H103" s="656"/>
      <c r="I103" s="656"/>
      <c r="J103" s="656"/>
      <c r="K103" s="656"/>
      <c r="L103" s="656"/>
      <c r="M103" s="656"/>
      <c r="N103" s="656"/>
      <c r="O103" s="656"/>
      <c r="P103" s="656"/>
      <c r="Q103" s="656"/>
      <c r="R103" s="656"/>
      <c r="S103" s="656"/>
      <c r="T103" s="656"/>
      <c r="U103" s="656"/>
      <c r="V103" s="656"/>
      <c r="W103" s="656"/>
      <c r="X103" s="656"/>
      <c r="Y103" s="656"/>
      <c r="Z103" s="656"/>
      <c r="AA103" s="656"/>
      <c r="AB103" s="656"/>
      <c r="AC103" s="656"/>
      <c r="AD103" s="656"/>
      <c r="AE103" s="656"/>
      <c r="AF103" s="656"/>
      <c r="AG103" s="656"/>
      <c r="AH103" s="656"/>
      <c r="AI103" s="656"/>
      <c r="AJ103" s="656"/>
      <c r="AK103" s="656"/>
      <c r="AL103" s="656"/>
      <c r="AM103" s="656"/>
      <c r="AN103" s="656"/>
      <c r="AO103" s="656"/>
      <c r="AP103" s="656"/>
      <c r="AQ103" s="656"/>
      <c r="AR103" s="656"/>
      <c r="AS103" s="656"/>
      <c r="AT103" s="656"/>
      <c r="AU103" s="656"/>
      <c r="AV103" s="656"/>
      <c r="AW103" s="656"/>
      <c r="AX103" s="656"/>
      <c r="AY103" s="656"/>
      <c r="AZ103" s="656"/>
      <c r="BA103" s="656"/>
      <c r="BB103" s="656"/>
      <c r="BC103" s="656"/>
      <c r="BD103" s="656"/>
      <c r="BE103" s="656"/>
      <c r="BF103" s="656"/>
      <c r="BG103" s="656"/>
      <c r="BH103" s="656"/>
      <c r="BI103" s="656"/>
      <c r="BJ103" s="656"/>
      <c r="BK103" s="656"/>
      <c r="BL103" s="656"/>
      <c r="BM103" s="656"/>
      <c r="BN103" s="656"/>
      <c r="BO103" s="656"/>
      <c r="BP103" s="656"/>
      <c r="BQ103" s="656"/>
      <c r="BR103" s="656"/>
      <c r="BS103" s="656"/>
      <c r="BT103" s="656"/>
      <c r="BU103" s="656"/>
      <c r="BV103" s="656"/>
      <c r="BW103" s="656"/>
      <c r="BX103" s="656"/>
      <c r="BY103" s="656"/>
      <c r="BZ103" s="656"/>
      <c r="CA103" s="656"/>
      <c r="CB103" s="656"/>
      <c r="CC103" s="656"/>
      <c r="CD103" s="656"/>
      <c r="CE103" s="656"/>
      <c r="CF103" s="656"/>
      <c r="CG103" s="656"/>
      <c r="CH103" s="656"/>
      <c r="CI103" s="656"/>
      <c r="CJ103" s="656"/>
      <c r="CK103" s="656"/>
      <c r="CL103" s="656"/>
      <c r="CM103" s="656"/>
      <c r="CN103" s="656"/>
      <c r="CO103" s="656"/>
      <c r="CP103" s="656"/>
      <c r="CQ103" s="656"/>
      <c r="CR103" s="656"/>
      <c r="CS103" s="656"/>
      <c r="CT103" s="656"/>
      <c r="CU103" s="656"/>
      <c r="CV103" s="656"/>
      <c r="CW103" s="656"/>
      <c r="CX103" s="656"/>
      <c r="CY103" s="656"/>
      <c r="CZ103" s="656"/>
      <c r="DA103" s="656"/>
      <c r="DB103" s="656"/>
      <c r="DC103" s="656"/>
      <c r="DD103" s="656"/>
      <c r="DE103" s="656"/>
      <c r="DF103" s="656"/>
      <c r="DG103" s="656"/>
      <c r="DH103" s="656"/>
      <c r="DI103" s="656"/>
      <c r="DJ103" s="656"/>
      <c r="DK103" s="656"/>
      <c r="DL103" s="656"/>
      <c r="DM103" s="656"/>
      <c r="DN103" s="656"/>
      <c r="DO103" s="656"/>
      <c r="DP103" s="656"/>
      <c r="DQ103" s="656"/>
      <c r="DR103" s="656"/>
      <c r="DS103" s="656"/>
      <c r="DT103" s="656"/>
      <c r="DU103" s="656"/>
      <c r="DV103" s="656"/>
      <c r="DW103" s="656"/>
      <c r="DX103" s="656"/>
      <c r="DY103" s="656"/>
      <c r="DZ103" s="656"/>
    </row>
    <row r="104" spans="1:130">
      <c r="A104" s="656"/>
      <c r="B104" s="656"/>
      <c r="C104" s="656"/>
      <c r="D104" s="656"/>
      <c r="E104" s="656"/>
      <c r="F104" s="656"/>
      <c r="G104" s="656"/>
      <c r="H104" s="656"/>
      <c r="I104" s="656"/>
      <c r="J104" s="656"/>
      <c r="K104" s="656"/>
      <c r="L104" s="656"/>
      <c r="M104" s="656"/>
      <c r="N104" s="656"/>
      <c r="O104" s="656"/>
      <c r="P104" s="656"/>
      <c r="Q104" s="656"/>
      <c r="R104" s="656"/>
      <c r="S104" s="656"/>
      <c r="T104" s="656"/>
      <c r="U104" s="656"/>
      <c r="V104" s="656"/>
      <c r="W104" s="656"/>
      <c r="X104" s="656"/>
      <c r="Y104" s="656"/>
      <c r="Z104" s="656"/>
      <c r="AA104" s="656"/>
      <c r="AB104" s="656"/>
      <c r="AC104" s="656"/>
      <c r="AD104" s="656"/>
      <c r="AE104" s="656"/>
      <c r="AF104" s="656"/>
      <c r="AG104" s="656"/>
      <c r="AH104" s="656"/>
      <c r="AI104" s="656"/>
      <c r="AJ104" s="656"/>
      <c r="AK104" s="656"/>
      <c r="AL104" s="656"/>
      <c r="AM104" s="656"/>
      <c r="AN104" s="656"/>
      <c r="AO104" s="656"/>
      <c r="AP104" s="656"/>
      <c r="AQ104" s="656"/>
      <c r="AR104" s="656"/>
      <c r="AS104" s="656"/>
      <c r="AT104" s="656"/>
      <c r="AU104" s="656"/>
      <c r="AV104" s="656"/>
      <c r="AW104" s="656"/>
      <c r="AX104" s="656"/>
      <c r="AY104" s="656"/>
      <c r="AZ104" s="656"/>
      <c r="BA104" s="656"/>
      <c r="BB104" s="656"/>
      <c r="BC104" s="656"/>
      <c r="BD104" s="656"/>
      <c r="BE104" s="656"/>
      <c r="BF104" s="656"/>
      <c r="BG104" s="656"/>
      <c r="BH104" s="656"/>
      <c r="BI104" s="656"/>
      <c r="BJ104" s="656"/>
      <c r="BK104" s="656"/>
      <c r="BL104" s="656"/>
      <c r="BM104" s="656"/>
      <c r="BN104" s="656"/>
      <c r="BO104" s="656"/>
      <c r="BP104" s="656"/>
      <c r="BQ104" s="656"/>
      <c r="BR104" s="656"/>
      <c r="BS104" s="656"/>
      <c r="BT104" s="656"/>
      <c r="BU104" s="656"/>
      <c r="BV104" s="656"/>
      <c r="BW104" s="656"/>
      <c r="BX104" s="656"/>
      <c r="BY104" s="656"/>
      <c r="BZ104" s="656"/>
      <c r="CA104" s="656"/>
      <c r="CB104" s="656"/>
      <c r="CC104" s="656"/>
      <c r="CD104" s="656"/>
      <c r="CE104" s="656"/>
      <c r="CF104" s="656"/>
      <c r="CG104" s="656"/>
      <c r="CH104" s="656"/>
      <c r="CI104" s="656"/>
      <c r="CJ104" s="656"/>
      <c r="CK104" s="656"/>
      <c r="CL104" s="656"/>
      <c r="CM104" s="656"/>
      <c r="CN104" s="656"/>
      <c r="CO104" s="656"/>
      <c r="CP104" s="656"/>
      <c r="CQ104" s="656"/>
      <c r="CR104" s="656"/>
      <c r="CS104" s="656"/>
      <c r="CT104" s="656"/>
      <c r="CU104" s="656"/>
      <c r="CV104" s="656"/>
      <c r="CW104" s="656"/>
      <c r="CX104" s="656"/>
      <c r="CY104" s="656"/>
      <c r="CZ104" s="656"/>
      <c r="DA104" s="656"/>
      <c r="DB104" s="656"/>
      <c r="DC104" s="656"/>
      <c r="DD104" s="656"/>
      <c r="DE104" s="656"/>
      <c r="DF104" s="656"/>
      <c r="DG104" s="656"/>
      <c r="DH104" s="656"/>
      <c r="DI104" s="656"/>
      <c r="DJ104" s="656"/>
      <c r="DK104" s="656"/>
      <c r="DL104" s="656"/>
      <c r="DM104" s="656"/>
      <c r="DN104" s="656"/>
      <c r="DO104" s="656"/>
      <c r="DP104" s="656"/>
      <c r="DQ104" s="656"/>
      <c r="DR104" s="656"/>
      <c r="DS104" s="656"/>
      <c r="DT104" s="656"/>
      <c r="DU104" s="656"/>
      <c r="DV104" s="656"/>
      <c r="DW104" s="656"/>
      <c r="DX104" s="656"/>
      <c r="DY104" s="656"/>
      <c r="DZ104" s="656"/>
    </row>
    <row r="105" spans="1:130">
      <c r="A105" s="656"/>
      <c r="B105" s="656"/>
      <c r="C105" s="656"/>
      <c r="D105" s="656"/>
      <c r="E105" s="656"/>
      <c r="F105" s="656"/>
      <c r="G105" s="656"/>
      <c r="H105" s="656"/>
      <c r="I105" s="656"/>
      <c r="J105" s="656"/>
      <c r="K105" s="656"/>
      <c r="L105" s="656"/>
      <c r="M105" s="656"/>
      <c r="N105" s="656"/>
      <c r="O105" s="656"/>
      <c r="P105" s="656"/>
      <c r="Q105" s="656"/>
      <c r="R105" s="656"/>
      <c r="S105" s="656"/>
      <c r="T105" s="656"/>
      <c r="U105" s="656"/>
      <c r="V105" s="656"/>
      <c r="W105" s="656"/>
      <c r="X105" s="656"/>
      <c r="Y105" s="656"/>
      <c r="Z105" s="656"/>
      <c r="AA105" s="656"/>
      <c r="AB105" s="656"/>
      <c r="AC105" s="656"/>
      <c r="AD105" s="656"/>
      <c r="AE105" s="656"/>
      <c r="AF105" s="656"/>
      <c r="AG105" s="656"/>
      <c r="AH105" s="656"/>
      <c r="AI105" s="656"/>
      <c r="AJ105" s="656"/>
      <c r="AK105" s="656"/>
      <c r="AL105" s="656"/>
      <c r="AM105" s="656"/>
      <c r="AN105" s="656"/>
      <c r="AO105" s="656"/>
      <c r="AP105" s="656"/>
      <c r="AQ105" s="656"/>
      <c r="AR105" s="656"/>
      <c r="AS105" s="656"/>
      <c r="AT105" s="656"/>
      <c r="AU105" s="656"/>
      <c r="AV105" s="656"/>
      <c r="AW105" s="656"/>
      <c r="AX105" s="656"/>
      <c r="AY105" s="656"/>
      <c r="AZ105" s="656"/>
      <c r="BA105" s="656"/>
      <c r="BB105" s="656"/>
      <c r="BC105" s="656"/>
      <c r="BD105" s="656"/>
      <c r="BE105" s="656"/>
      <c r="BF105" s="656"/>
      <c r="BG105" s="656"/>
      <c r="BH105" s="656"/>
      <c r="BI105" s="656"/>
      <c r="BJ105" s="656"/>
      <c r="BK105" s="656"/>
      <c r="BL105" s="656"/>
      <c r="BM105" s="656"/>
      <c r="BN105" s="656"/>
      <c r="BO105" s="656"/>
      <c r="BP105" s="656"/>
      <c r="BQ105" s="656"/>
      <c r="BR105" s="656"/>
      <c r="BS105" s="656"/>
      <c r="BT105" s="656"/>
      <c r="BU105" s="656"/>
      <c r="BV105" s="656"/>
      <c r="BW105" s="656"/>
      <c r="BX105" s="656"/>
      <c r="BY105" s="656"/>
      <c r="BZ105" s="656"/>
      <c r="CA105" s="656"/>
      <c r="CB105" s="656"/>
      <c r="CC105" s="656"/>
      <c r="CD105" s="656"/>
      <c r="CE105" s="656"/>
      <c r="CF105" s="656"/>
      <c r="CG105" s="656"/>
      <c r="CH105" s="656"/>
      <c r="CI105" s="656"/>
      <c r="CJ105" s="656"/>
      <c r="CK105" s="656"/>
      <c r="CL105" s="656"/>
      <c r="CM105" s="656"/>
      <c r="CN105" s="656"/>
      <c r="CO105" s="656"/>
      <c r="CP105" s="656"/>
      <c r="CQ105" s="656"/>
      <c r="CR105" s="656"/>
      <c r="CS105" s="656"/>
      <c r="CT105" s="656"/>
      <c r="CU105" s="656"/>
      <c r="CV105" s="656"/>
      <c r="CW105" s="656"/>
      <c r="CX105" s="656"/>
      <c r="CY105" s="656"/>
      <c r="CZ105" s="656"/>
      <c r="DA105" s="656"/>
      <c r="DB105" s="656"/>
      <c r="DC105" s="656"/>
      <c r="DD105" s="656"/>
      <c r="DE105" s="656"/>
      <c r="DF105" s="656"/>
      <c r="DG105" s="656"/>
      <c r="DH105" s="656"/>
      <c r="DI105" s="656"/>
      <c r="DJ105" s="656"/>
      <c r="DK105" s="656"/>
      <c r="DL105" s="656"/>
      <c r="DM105" s="656"/>
      <c r="DN105" s="656"/>
      <c r="DO105" s="656"/>
      <c r="DP105" s="656"/>
      <c r="DQ105" s="656"/>
      <c r="DR105" s="656"/>
      <c r="DS105" s="656"/>
      <c r="DT105" s="656"/>
      <c r="DU105" s="656"/>
      <c r="DV105" s="656"/>
      <c r="DW105" s="656"/>
      <c r="DX105" s="656"/>
      <c r="DY105" s="656"/>
      <c r="DZ105" s="656"/>
    </row>
    <row r="106" spans="1:130">
      <c r="A106" s="656"/>
      <c r="B106" s="656"/>
      <c r="C106" s="656"/>
      <c r="D106" s="656"/>
      <c r="E106" s="656"/>
      <c r="F106" s="656"/>
      <c r="G106" s="656"/>
      <c r="H106" s="656"/>
      <c r="I106" s="656"/>
      <c r="J106" s="656"/>
      <c r="K106" s="656"/>
      <c r="L106" s="656"/>
      <c r="M106" s="656"/>
      <c r="N106" s="656"/>
      <c r="O106" s="656"/>
      <c r="P106" s="656"/>
      <c r="Q106" s="656"/>
      <c r="R106" s="656"/>
      <c r="S106" s="656"/>
      <c r="T106" s="656"/>
      <c r="U106" s="656"/>
      <c r="V106" s="656"/>
      <c r="W106" s="656"/>
      <c r="X106" s="656"/>
      <c r="Y106" s="656"/>
      <c r="Z106" s="656"/>
      <c r="AA106" s="656"/>
      <c r="AB106" s="656"/>
      <c r="AC106" s="656"/>
      <c r="AD106" s="656"/>
      <c r="AE106" s="656"/>
      <c r="AF106" s="656"/>
      <c r="AG106" s="656"/>
      <c r="AH106" s="656"/>
      <c r="AI106" s="656"/>
      <c r="AJ106" s="656"/>
      <c r="AK106" s="656"/>
      <c r="AL106" s="656"/>
      <c r="AM106" s="656"/>
      <c r="AN106" s="656"/>
      <c r="AO106" s="656"/>
      <c r="AP106" s="656"/>
      <c r="AQ106" s="656"/>
      <c r="AR106" s="656"/>
      <c r="AS106" s="656"/>
      <c r="AT106" s="656"/>
      <c r="AU106" s="656"/>
      <c r="AV106" s="656"/>
      <c r="AW106" s="656"/>
      <c r="AX106" s="656"/>
      <c r="AY106" s="656"/>
      <c r="AZ106" s="656"/>
      <c r="BA106" s="656"/>
      <c r="BB106" s="656"/>
      <c r="BC106" s="656"/>
      <c r="BD106" s="656"/>
      <c r="BE106" s="656"/>
      <c r="BF106" s="656"/>
      <c r="BG106" s="656"/>
      <c r="BH106" s="656"/>
      <c r="BI106" s="656"/>
      <c r="BJ106" s="656"/>
      <c r="BK106" s="656"/>
      <c r="BL106" s="656"/>
      <c r="BM106" s="656"/>
      <c r="BN106" s="656"/>
      <c r="BO106" s="656"/>
      <c r="BP106" s="656"/>
      <c r="BQ106" s="656"/>
      <c r="BR106" s="656"/>
      <c r="BS106" s="656"/>
      <c r="BT106" s="656"/>
      <c r="BU106" s="656"/>
      <c r="BV106" s="656"/>
      <c r="BW106" s="656"/>
      <c r="BX106" s="656"/>
      <c r="BY106" s="656"/>
      <c r="BZ106" s="656"/>
      <c r="CA106" s="656"/>
      <c r="CB106" s="656"/>
      <c r="CC106" s="656"/>
      <c r="CD106" s="656"/>
      <c r="CE106" s="656"/>
      <c r="CF106" s="656"/>
      <c r="CG106" s="656"/>
      <c r="CH106" s="656"/>
      <c r="CI106" s="656"/>
      <c r="CJ106" s="656"/>
      <c r="CK106" s="656"/>
      <c r="CL106" s="656"/>
      <c r="CM106" s="656"/>
      <c r="CN106" s="656"/>
      <c r="CO106" s="656"/>
      <c r="CP106" s="656"/>
      <c r="CQ106" s="656"/>
      <c r="CR106" s="656"/>
      <c r="CS106" s="656"/>
      <c r="CT106" s="656"/>
      <c r="CU106" s="656"/>
      <c r="CV106" s="656"/>
      <c r="CW106" s="656"/>
      <c r="CX106" s="656"/>
      <c r="CY106" s="656"/>
      <c r="CZ106" s="656"/>
      <c r="DA106" s="656"/>
      <c r="DB106" s="656"/>
      <c r="DC106" s="656"/>
      <c r="DD106" s="656"/>
      <c r="DE106" s="656"/>
      <c r="DF106" s="656"/>
      <c r="DG106" s="656"/>
      <c r="DH106" s="656"/>
      <c r="DI106" s="656"/>
      <c r="DJ106" s="656"/>
      <c r="DK106" s="656"/>
      <c r="DL106" s="656"/>
      <c r="DM106" s="656"/>
      <c r="DN106" s="656"/>
      <c r="DO106" s="656"/>
      <c r="DP106" s="656"/>
      <c r="DQ106" s="656"/>
      <c r="DR106" s="656"/>
      <c r="DS106" s="656"/>
      <c r="DT106" s="656"/>
      <c r="DU106" s="656"/>
      <c r="DV106" s="656"/>
      <c r="DW106" s="656"/>
      <c r="DX106" s="656"/>
      <c r="DY106" s="656"/>
      <c r="DZ106" s="656"/>
    </row>
    <row r="107" spans="1:130">
      <c r="A107" s="656"/>
      <c r="B107" s="656"/>
      <c r="C107" s="656"/>
      <c r="D107" s="656"/>
      <c r="E107" s="656"/>
      <c r="F107" s="656"/>
      <c r="G107" s="656"/>
      <c r="H107" s="656"/>
      <c r="I107" s="656"/>
      <c r="J107" s="656"/>
      <c r="K107" s="656"/>
      <c r="L107" s="656"/>
      <c r="M107" s="656"/>
      <c r="N107" s="656"/>
      <c r="O107" s="656"/>
      <c r="P107" s="656"/>
      <c r="Q107" s="656"/>
      <c r="R107" s="656"/>
      <c r="S107" s="656"/>
      <c r="T107" s="656"/>
      <c r="U107" s="656"/>
      <c r="V107" s="656"/>
      <c r="W107" s="656"/>
      <c r="X107" s="656"/>
      <c r="Y107" s="656"/>
      <c r="Z107" s="656"/>
      <c r="AA107" s="656"/>
      <c r="AB107" s="656"/>
      <c r="AC107" s="656"/>
      <c r="AD107" s="656"/>
      <c r="AE107" s="656"/>
      <c r="AF107" s="656"/>
      <c r="AG107" s="656"/>
      <c r="AH107" s="656"/>
      <c r="AI107" s="656"/>
      <c r="AJ107" s="656"/>
      <c r="AK107" s="656"/>
      <c r="AL107" s="656"/>
      <c r="AM107" s="656"/>
      <c r="AN107" s="656"/>
      <c r="AO107" s="656"/>
      <c r="AP107" s="656"/>
      <c r="AQ107" s="656"/>
      <c r="AR107" s="656"/>
      <c r="AS107" s="656"/>
      <c r="AT107" s="656"/>
      <c r="AU107" s="656"/>
      <c r="AV107" s="656"/>
      <c r="AW107" s="656"/>
      <c r="AX107" s="656"/>
      <c r="AY107" s="656"/>
      <c r="AZ107" s="656"/>
      <c r="BA107" s="656"/>
      <c r="BB107" s="656"/>
      <c r="BC107" s="656"/>
      <c r="BD107" s="656"/>
      <c r="BE107" s="656"/>
      <c r="BF107" s="656"/>
      <c r="BG107" s="656"/>
      <c r="BH107" s="656"/>
      <c r="BI107" s="656"/>
      <c r="BJ107" s="656"/>
      <c r="BK107" s="656"/>
      <c r="BL107" s="656"/>
      <c r="BM107" s="656"/>
      <c r="BN107" s="656"/>
      <c r="BO107" s="656"/>
      <c r="BP107" s="656"/>
      <c r="BQ107" s="656"/>
      <c r="BR107" s="656"/>
      <c r="BS107" s="656"/>
      <c r="BT107" s="656"/>
      <c r="BU107" s="656"/>
      <c r="BV107" s="656"/>
      <c r="BW107" s="656"/>
      <c r="BX107" s="656"/>
      <c r="BY107" s="656"/>
      <c r="BZ107" s="656"/>
      <c r="CA107" s="656"/>
      <c r="CB107" s="656"/>
      <c r="CC107" s="656"/>
      <c r="CD107" s="656"/>
      <c r="CE107" s="656"/>
      <c r="CF107" s="656"/>
      <c r="CG107" s="656"/>
      <c r="CH107" s="656"/>
      <c r="CI107" s="656"/>
      <c r="CJ107" s="656"/>
      <c r="CK107" s="656"/>
      <c r="CL107" s="656"/>
      <c r="CM107" s="656"/>
      <c r="CN107" s="656"/>
      <c r="CO107" s="656"/>
      <c r="CP107" s="656"/>
      <c r="CQ107" s="656"/>
      <c r="CR107" s="656"/>
      <c r="CS107" s="656"/>
      <c r="CT107" s="656"/>
      <c r="CU107" s="656"/>
      <c r="CV107" s="656"/>
      <c r="CW107" s="656"/>
      <c r="CX107" s="656"/>
      <c r="CY107" s="656"/>
      <c r="CZ107" s="656"/>
      <c r="DA107" s="656"/>
      <c r="DB107" s="656"/>
      <c r="DC107" s="656"/>
      <c r="DD107" s="656"/>
      <c r="DE107" s="656"/>
      <c r="DF107" s="656"/>
      <c r="DG107" s="656"/>
      <c r="DH107" s="656"/>
      <c r="DI107" s="656"/>
      <c r="DJ107" s="656"/>
      <c r="DK107" s="656"/>
      <c r="DL107" s="656"/>
      <c r="DM107" s="656"/>
      <c r="DN107" s="656"/>
      <c r="DO107" s="656"/>
      <c r="DP107" s="656"/>
      <c r="DQ107" s="656"/>
      <c r="DR107" s="656"/>
      <c r="DS107" s="656"/>
      <c r="DT107" s="656"/>
      <c r="DU107" s="656"/>
      <c r="DV107" s="656"/>
      <c r="DW107" s="656"/>
      <c r="DX107" s="656"/>
      <c r="DY107" s="656"/>
      <c r="DZ107" s="656"/>
    </row>
    <row r="108" spans="1:130">
      <c r="A108" s="656"/>
      <c r="B108" s="656"/>
      <c r="C108" s="656"/>
      <c r="D108" s="656"/>
      <c r="E108" s="656"/>
      <c r="F108" s="656"/>
      <c r="G108" s="656"/>
      <c r="H108" s="656"/>
      <c r="I108" s="656"/>
      <c r="J108" s="656"/>
      <c r="K108" s="656"/>
      <c r="L108" s="656"/>
      <c r="M108" s="656"/>
      <c r="N108" s="656"/>
      <c r="O108" s="656"/>
      <c r="P108" s="656"/>
      <c r="Q108" s="656"/>
      <c r="R108" s="656"/>
      <c r="S108" s="656"/>
      <c r="T108" s="656"/>
      <c r="U108" s="656"/>
      <c r="V108" s="656"/>
      <c r="W108" s="656"/>
      <c r="X108" s="656"/>
      <c r="Y108" s="656"/>
      <c r="Z108" s="656"/>
      <c r="AA108" s="656"/>
      <c r="AB108" s="656"/>
      <c r="AC108" s="656"/>
      <c r="AD108" s="656"/>
      <c r="AE108" s="656"/>
      <c r="AF108" s="656"/>
      <c r="AG108" s="656"/>
      <c r="AH108" s="656"/>
      <c r="AI108" s="656"/>
      <c r="AJ108" s="656"/>
      <c r="AK108" s="656"/>
      <c r="AL108" s="656"/>
      <c r="AM108" s="656"/>
      <c r="AN108" s="656"/>
      <c r="AO108" s="656"/>
      <c r="AP108" s="656"/>
      <c r="AQ108" s="656"/>
      <c r="AR108" s="656"/>
      <c r="AS108" s="656"/>
      <c r="AT108" s="656"/>
      <c r="AU108" s="656"/>
      <c r="AV108" s="656"/>
      <c r="AW108" s="656"/>
      <c r="AX108" s="656"/>
      <c r="AY108" s="656"/>
      <c r="AZ108" s="656"/>
      <c r="BA108" s="656"/>
      <c r="BB108" s="656"/>
      <c r="BC108" s="656"/>
      <c r="BD108" s="656"/>
      <c r="BE108" s="656"/>
      <c r="BF108" s="656"/>
      <c r="BG108" s="656"/>
      <c r="BH108" s="656"/>
      <c r="BI108" s="656"/>
      <c r="BJ108" s="656"/>
      <c r="BK108" s="656"/>
      <c r="BL108" s="656"/>
      <c r="BM108" s="656"/>
      <c r="BN108" s="656"/>
      <c r="BO108" s="656"/>
      <c r="BP108" s="656"/>
      <c r="BQ108" s="656"/>
      <c r="BR108" s="656"/>
      <c r="BS108" s="656"/>
      <c r="BT108" s="656"/>
      <c r="BU108" s="656"/>
      <c r="BV108" s="656"/>
      <c r="BW108" s="656"/>
      <c r="BX108" s="656"/>
      <c r="BY108" s="656"/>
      <c r="BZ108" s="656"/>
      <c r="CA108" s="656"/>
      <c r="CB108" s="656"/>
      <c r="CC108" s="656"/>
      <c r="CD108" s="656"/>
      <c r="CE108" s="656"/>
      <c r="CF108" s="656"/>
      <c r="CG108" s="656"/>
      <c r="CH108" s="656"/>
      <c r="CI108" s="656"/>
      <c r="CJ108" s="656"/>
      <c r="CK108" s="656"/>
      <c r="CL108" s="656"/>
      <c r="CM108" s="656"/>
      <c r="CN108" s="656"/>
      <c r="CO108" s="656"/>
      <c r="CP108" s="656"/>
      <c r="CQ108" s="656"/>
      <c r="CR108" s="656"/>
      <c r="CS108" s="656"/>
      <c r="CT108" s="656"/>
      <c r="CU108" s="656"/>
      <c r="CV108" s="656"/>
      <c r="CW108" s="656"/>
      <c r="CX108" s="656"/>
      <c r="CY108" s="656"/>
      <c r="CZ108" s="656"/>
      <c r="DA108" s="656"/>
      <c r="DB108" s="656"/>
      <c r="DC108" s="656"/>
      <c r="DD108" s="656"/>
      <c r="DE108" s="656"/>
      <c r="DF108" s="656"/>
      <c r="DG108" s="656"/>
      <c r="DH108" s="656"/>
      <c r="DI108" s="656"/>
      <c r="DJ108" s="656"/>
      <c r="DK108" s="656"/>
      <c r="DL108" s="656"/>
      <c r="DM108" s="656"/>
      <c r="DN108" s="656"/>
      <c r="DO108" s="656"/>
      <c r="DP108" s="656"/>
      <c r="DQ108" s="656"/>
      <c r="DR108" s="656"/>
      <c r="DS108" s="656"/>
      <c r="DT108" s="656"/>
      <c r="DU108" s="656"/>
      <c r="DV108" s="656"/>
      <c r="DW108" s="656"/>
      <c r="DX108" s="656"/>
      <c r="DY108" s="656"/>
      <c r="DZ108" s="656"/>
    </row>
    <row r="109" spans="1:130">
      <c r="A109" s="656"/>
      <c r="B109" s="656"/>
      <c r="C109" s="656"/>
      <c r="D109" s="656"/>
      <c r="E109" s="656"/>
      <c r="F109" s="656"/>
      <c r="G109" s="656"/>
      <c r="H109" s="656"/>
      <c r="I109" s="656"/>
      <c r="J109" s="656"/>
      <c r="K109" s="656"/>
      <c r="L109" s="656"/>
      <c r="M109" s="656"/>
      <c r="N109" s="656"/>
      <c r="O109" s="656"/>
      <c r="P109" s="656"/>
      <c r="Q109" s="656"/>
      <c r="R109" s="656"/>
      <c r="S109" s="656"/>
      <c r="T109" s="656"/>
      <c r="U109" s="656"/>
      <c r="V109" s="656"/>
      <c r="W109" s="656"/>
      <c r="X109" s="656"/>
      <c r="Y109" s="656"/>
      <c r="Z109" s="656"/>
      <c r="AA109" s="656"/>
      <c r="AB109" s="656"/>
      <c r="AC109" s="656"/>
      <c r="AD109" s="656"/>
      <c r="AE109" s="656"/>
      <c r="AF109" s="656"/>
      <c r="AG109" s="656"/>
      <c r="AH109" s="656"/>
      <c r="AI109" s="656"/>
      <c r="AJ109" s="656"/>
      <c r="AK109" s="656"/>
      <c r="AL109" s="656"/>
      <c r="AM109" s="656"/>
      <c r="AN109" s="656"/>
      <c r="AO109" s="656"/>
      <c r="AP109" s="656"/>
      <c r="AQ109" s="656"/>
      <c r="AR109" s="656"/>
      <c r="AS109" s="656"/>
      <c r="AT109" s="656"/>
      <c r="AU109" s="656"/>
      <c r="AV109" s="656"/>
      <c r="AW109" s="656"/>
      <c r="AX109" s="656"/>
      <c r="AY109" s="656"/>
      <c r="AZ109" s="656"/>
      <c r="BA109" s="656"/>
      <c r="BB109" s="656"/>
      <c r="BC109" s="656"/>
      <c r="BD109" s="656"/>
      <c r="BE109" s="656"/>
      <c r="BF109" s="656"/>
      <c r="BG109" s="656"/>
      <c r="BH109" s="656"/>
      <c r="BI109" s="656"/>
      <c r="BJ109" s="656"/>
      <c r="BK109" s="656"/>
      <c r="BL109" s="656"/>
      <c r="BM109" s="656"/>
      <c r="BN109" s="656"/>
      <c r="BO109" s="656"/>
      <c r="BP109" s="656"/>
      <c r="BQ109" s="656"/>
      <c r="BR109" s="656"/>
      <c r="BS109" s="656"/>
      <c r="BT109" s="656"/>
      <c r="BU109" s="656"/>
      <c r="BV109" s="656"/>
      <c r="BW109" s="656"/>
      <c r="BX109" s="656"/>
      <c r="BY109" s="656"/>
      <c r="BZ109" s="656"/>
      <c r="CA109" s="656"/>
      <c r="CB109" s="656"/>
      <c r="CC109" s="656"/>
      <c r="CD109" s="656"/>
      <c r="CE109" s="656"/>
      <c r="CF109" s="656"/>
      <c r="CG109" s="656"/>
      <c r="CH109" s="656"/>
      <c r="CI109" s="656"/>
      <c r="CJ109" s="656"/>
      <c r="CK109" s="656"/>
      <c r="CL109" s="656"/>
      <c r="CM109" s="656"/>
      <c r="CN109" s="656"/>
      <c r="CO109" s="656"/>
      <c r="CP109" s="656"/>
      <c r="CQ109" s="656"/>
      <c r="CR109" s="656"/>
      <c r="CS109" s="656"/>
      <c r="CT109" s="656"/>
      <c r="CU109" s="656"/>
      <c r="CV109" s="656"/>
      <c r="CW109" s="656"/>
      <c r="CX109" s="656"/>
      <c r="CY109" s="656"/>
      <c r="CZ109" s="656"/>
      <c r="DA109" s="656"/>
      <c r="DB109" s="656"/>
      <c r="DC109" s="656"/>
      <c r="DD109" s="656"/>
      <c r="DE109" s="656"/>
      <c r="DF109" s="656"/>
      <c r="DG109" s="656"/>
      <c r="DH109" s="656"/>
      <c r="DI109" s="656"/>
      <c r="DJ109" s="656"/>
      <c r="DK109" s="656"/>
      <c r="DL109" s="656"/>
      <c r="DM109" s="656"/>
      <c r="DN109" s="656"/>
      <c r="DO109" s="656"/>
      <c r="DP109" s="656"/>
      <c r="DQ109" s="656"/>
      <c r="DR109" s="656"/>
      <c r="DS109" s="656"/>
      <c r="DT109" s="656"/>
      <c r="DU109" s="656"/>
      <c r="DV109" s="656"/>
      <c r="DW109" s="656"/>
      <c r="DX109" s="656"/>
      <c r="DY109" s="656"/>
      <c r="DZ109" s="656"/>
    </row>
    <row r="110" spans="1:130">
      <c r="A110" s="656"/>
      <c r="B110" s="656"/>
      <c r="C110" s="656"/>
      <c r="D110" s="656"/>
      <c r="E110" s="656"/>
      <c r="F110" s="656"/>
      <c r="G110" s="656"/>
      <c r="H110" s="656"/>
      <c r="I110" s="656"/>
      <c r="J110" s="656"/>
      <c r="K110" s="656"/>
      <c r="L110" s="656"/>
      <c r="M110" s="656"/>
      <c r="N110" s="656"/>
      <c r="O110" s="656"/>
      <c r="P110" s="656"/>
      <c r="Q110" s="656"/>
      <c r="R110" s="656"/>
      <c r="S110" s="656"/>
      <c r="T110" s="656"/>
      <c r="U110" s="656"/>
      <c r="V110" s="656"/>
      <c r="W110" s="656"/>
      <c r="X110" s="656"/>
      <c r="Y110" s="656"/>
      <c r="Z110" s="656"/>
      <c r="AA110" s="656"/>
      <c r="AB110" s="656"/>
      <c r="AC110" s="656"/>
      <c r="AD110" s="656"/>
      <c r="AE110" s="656"/>
      <c r="AF110" s="656"/>
      <c r="AG110" s="656"/>
      <c r="AH110" s="656"/>
      <c r="AI110" s="656"/>
      <c r="AJ110" s="656"/>
      <c r="AK110" s="656"/>
      <c r="AL110" s="656"/>
      <c r="AM110" s="656"/>
      <c r="AN110" s="656"/>
      <c r="AO110" s="656"/>
      <c r="AP110" s="656"/>
      <c r="AQ110" s="656"/>
      <c r="AR110" s="656"/>
      <c r="AS110" s="656"/>
      <c r="AT110" s="656"/>
      <c r="AU110" s="656"/>
      <c r="AV110" s="656"/>
      <c r="AW110" s="656"/>
      <c r="AX110" s="656"/>
      <c r="AY110" s="656"/>
      <c r="AZ110" s="656"/>
      <c r="BA110" s="656"/>
      <c r="BB110" s="656"/>
      <c r="BC110" s="656"/>
      <c r="BD110" s="656"/>
      <c r="BE110" s="656"/>
      <c r="BF110" s="656"/>
      <c r="BG110" s="656"/>
      <c r="BH110" s="656"/>
      <c r="BI110" s="656"/>
      <c r="BJ110" s="656"/>
      <c r="BK110" s="656"/>
      <c r="BL110" s="656"/>
      <c r="BM110" s="656"/>
      <c r="BN110" s="656"/>
      <c r="BO110" s="656"/>
      <c r="BP110" s="656"/>
      <c r="BQ110" s="656"/>
      <c r="BR110" s="656"/>
      <c r="BS110" s="656"/>
      <c r="BT110" s="656"/>
      <c r="BU110" s="656"/>
      <c r="BV110" s="656"/>
      <c r="BW110" s="656"/>
      <c r="BX110" s="656"/>
      <c r="BY110" s="656"/>
      <c r="BZ110" s="656"/>
      <c r="CA110" s="656"/>
      <c r="CB110" s="656"/>
      <c r="CC110" s="656"/>
      <c r="CD110" s="656"/>
      <c r="CE110" s="656"/>
      <c r="CF110" s="656"/>
      <c r="CG110" s="656"/>
      <c r="CH110" s="656"/>
      <c r="CI110" s="656"/>
      <c r="CJ110" s="656"/>
      <c r="CK110" s="656"/>
      <c r="CL110" s="656"/>
      <c r="CM110" s="656"/>
      <c r="CN110" s="656"/>
      <c r="CO110" s="656"/>
      <c r="CP110" s="656"/>
      <c r="CQ110" s="656"/>
      <c r="CR110" s="656"/>
      <c r="CS110" s="656"/>
      <c r="CT110" s="656"/>
      <c r="CU110" s="656"/>
      <c r="CV110" s="656"/>
      <c r="CW110" s="656"/>
      <c r="CX110" s="656"/>
      <c r="CY110" s="656"/>
      <c r="CZ110" s="656"/>
      <c r="DA110" s="656"/>
      <c r="DB110" s="656"/>
      <c r="DC110" s="656"/>
      <c r="DD110" s="656"/>
      <c r="DE110" s="656"/>
      <c r="DF110" s="656"/>
      <c r="DG110" s="656"/>
      <c r="DH110" s="656"/>
      <c r="DI110" s="656"/>
      <c r="DJ110" s="656"/>
      <c r="DK110" s="656"/>
      <c r="DL110" s="656"/>
      <c r="DM110" s="656"/>
      <c r="DN110" s="656"/>
      <c r="DO110" s="656"/>
      <c r="DP110" s="656"/>
      <c r="DQ110" s="656"/>
      <c r="DR110" s="656"/>
      <c r="DS110" s="656"/>
      <c r="DT110" s="656"/>
      <c r="DU110" s="656"/>
      <c r="DV110" s="656"/>
      <c r="DW110" s="656"/>
      <c r="DX110" s="656"/>
      <c r="DY110" s="656"/>
      <c r="DZ110" s="656"/>
    </row>
    <row r="111" spans="1:130">
      <c r="A111" s="656"/>
      <c r="B111" s="656"/>
      <c r="C111" s="656"/>
      <c r="D111" s="656"/>
      <c r="E111" s="656"/>
      <c r="F111" s="656"/>
      <c r="G111" s="656"/>
      <c r="H111" s="656"/>
      <c r="I111" s="656"/>
      <c r="J111" s="656"/>
      <c r="K111" s="656"/>
      <c r="L111" s="656"/>
      <c r="M111" s="656"/>
      <c r="N111" s="656"/>
      <c r="O111" s="656"/>
      <c r="P111" s="656"/>
      <c r="Q111" s="656"/>
      <c r="R111" s="656"/>
      <c r="S111" s="656"/>
      <c r="T111" s="656"/>
      <c r="U111" s="656"/>
      <c r="V111" s="656"/>
      <c r="W111" s="656"/>
      <c r="X111" s="656"/>
      <c r="Y111" s="656"/>
      <c r="Z111" s="656"/>
      <c r="AA111" s="656"/>
      <c r="AB111" s="656"/>
      <c r="AC111" s="656"/>
      <c r="AD111" s="656"/>
      <c r="AE111" s="656"/>
      <c r="AF111" s="656"/>
      <c r="AG111" s="656"/>
      <c r="AH111" s="656"/>
      <c r="AI111" s="656"/>
      <c r="AJ111" s="656"/>
      <c r="AK111" s="656"/>
      <c r="AL111" s="656"/>
      <c r="AM111" s="656"/>
      <c r="AN111" s="656"/>
      <c r="AO111" s="656"/>
      <c r="AP111" s="656"/>
      <c r="AQ111" s="656"/>
      <c r="AR111" s="656"/>
      <c r="AS111" s="656"/>
      <c r="AT111" s="656"/>
      <c r="AU111" s="656"/>
      <c r="AV111" s="656"/>
      <c r="AW111" s="656"/>
      <c r="AX111" s="656"/>
      <c r="AY111" s="656"/>
      <c r="AZ111" s="656"/>
      <c r="BA111" s="656"/>
      <c r="BB111" s="656"/>
      <c r="BC111" s="656"/>
      <c r="BD111" s="656"/>
      <c r="BE111" s="656"/>
      <c r="BF111" s="656"/>
      <c r="BG111" s="656"/>
      <c r="BH111" s="656"/>
      <c r="BI111" s="656"/>
      <c r="BJ111" s="656"/>
      <c r="BK111" s="656"/>
      <c r="BL111" s="656"/>
      <c r="BM111" s="656"/>
      <c r="BN111" s="656"/>
      <c r="BO111" s="656"/>
      <c r="BP111" s="656"/>
      <c r="BQ111" s="656"/>
      <c r="BR111" s="656"/>
      <c r="BS111" s="656"/>
      <c r="BT111" s="656"/>
      <c r="BU111" s="656"/>
      <c r="BV111" s="656"/>
      <c r="BW111" s="656"/>
      <c r="BX111" s="656"/>
      <c r="BY111" s="656"/>
      <c r="BZ111" s="656"/>
      <c r="CA111" s="656"/>
      <c r="CB111" s="656"/>
      <c r="CC111" s="656"/>
      <c r="CD111" s="656"/>
      <c r="CE111" s="656"/>
      <c r="CF111" s="656"/>
      <c r="CG111" s="656"/>
      <c r="CH111" s="656"/>
      <c r="CI111" s="656"/>
      <c r="CJ111" s="656"/>
      <c r="CK111" s="656"/>
      <c r="CL111" s="656"/>
      <c r="CM111" s="656"/>
      <c r="CN111" s="656"/>
      <c r="CO111" s="656"/>
      <c r="CP111" s="656"/>
      <c r="CQ111" s="656"/>
      <c r="CR111" s="656"/>
      <c r="CS111" s="656"/>
      <c r="CT111" s="656"/>
      <c r="CU111" s="656"/>
      <c r="CV111" s="656"/>
      <c r="CW111" s="656"/>
      <c r="CX111" s="656"/>
      <c r="CY111" s="656"/>
      <c r="CZ111" s="656"/>
      <c r="DA111" s="656"/>
      <c r="DB111" s="656"/>
      <c r="DC111" s="656"/>
      <c r="DD111" s="656"/>
      <c r="DE111" s="656"/>
      <c r="DF111" s="656"/>
      <c r="DG111" s="656"/>
      <c r="DH111" s="656"/>
      <c r="DI111" s="656"/>
      <c r="DJ111" s="656"/>
      <c r="DK111" s="656"/>
      <c r="DL111" s="656"/>
      <c r="DM111" s="656"/>
      <c r="DN111" s="656"/>
      <c r="DO111" s="656"/>
      <c r="DP111" s="656"/>
      <c r="DQ111" s="656"/>
      <c r="DR111" s="656"/>
      <c r="DS111" s="656"/>
      <c r="DT111" s="656"/>
      <c r="DU111" s="656"/>
      <c r="DV111" s="656"/>
      <c r="DW111" s="656"/>
      <c r="DX111" s="656"/>
      <c r="DY111" s="656"/>
      <c r="DZ111" s="656"/>
    </row>
    <row r="112" spans="1:130">
      <c r="A112" s="656"/>
      <c r="B112" s="656"/>
      <c r="C112" s="656"/>
      <c r="D112" s="656"/>
      <c r="E112" s="656"/>
      <c r="F112" s="656"/>
      <c r="G112" s="656"/>
      <c r="H112" s="656"/>
      <c r="I112" s="656"/>
      <c r="J112" s="656"/>
      <c r="K112" s="656"/>
      <c r="L112" s="656"/>
      <c r="M112" s="656"/>
      <c r="N112" s="656"/>
      <c r="O112" s="656"/>
      <c r="P112" s="656"/>
      <c r="Q112" s="656"/>
      <c r="R112" s="656"/>
      <c r="S112" s="656"/>
      <c r="T112" s="656"/>
      <c r="U112" s="656"/>
      <c r="V112" s="656"/>
      <c r="W112" s="656"/>
      <c r="X112" s="656"/>
      <c r="Y112" s="656"/>
      <c r="Z112" s="656"/>
      <c r="AA112" s="656"/>
      <c r="AB112" s="656"/>
      <c r="AC112" s="656"/>
      <c r="AD112" s="656"/>
      <c r="AE112" s="656"/>
      <c r="AF112" s="656"/>
      <c r="AG112" s="656"/>
      <c r="AH112" s="656"/>
      <c r="AI112" s="656"/>
      <c r="AJ112" s="656"/>
      <c r="AK112" s="656"/>
      <c r="AL112" s="656"/>
      <c r="AM112" s="656"/>
      <c r="AN112" s="656"/>
      <c r="AO112" s="656"/>
      <c r="AP112" s="656"/>
      <c r="AQ112" s="656"/>
      <c r="AR112" s="656"/>
      <c r="AS112" s="656"/>
      <c r="AT112" s="656"/>
      <c r="AU112" s="656"/>
      <c r="AV112" s="656"/>
      <c r="AW112" s="656"/>
      <c r="AX112" s="656"/>
      <c r="AY112" s="656"/>
      <c r="AZ112" s="656"/>
      <c r="BA112" s="656"/>
      <c r="BB112" s="656"/>
      <c r="BC112" s="656"/>
      <c r="BD112" s="656"/>
      <c r="BE112" s="656"/>
      <c r="BF112" s="656"/>
      <c r="BG112" s="656"/>
      <c r="BH112" s="656"/>
      <c r="BI112" s="656"/>
      <c r="BJ112" s="656"/>
      <c r="BK112" s="656"/>
      <c r="BL112" s="656"/>
      <c r="BM112" s="656"/>
      <c r="BN112" s="656"/>
      <c r="BO112" s="656"/>
      <c r="BP112" s="656"/>
      <c r="BQ112" s="656"/>
      <c r="BR112" s="656"/>
      <c r="BS112" s="656"/>
      <c r="BT112" s="656"/>
      <c r="BU112" s="656"/>
      <c r="BV112" s="656"/>
      <c r="BW112" s="656"/>
      <c r="BX112" s="656"/>
      <c r="BY112" s="656"/>
      <c r="BZ112" s="656"/>
      <c r="CA112" s="656"/>
      <c r="CB112" s="656"/>
      <c r="CC112" s="656"/>
      <c r="CD112" s="656"/>
      <c r="CE112" s="656"/>
      <c r="CF112" s="656"/>
      <c r="CG112" s="656"/>
      <c r="CH112" s="656"/>
      <c r="CI112" s="656"/>
      <c r="CJ112" s="656"/>
      <c r="CK112" s="656"/>
      <c r="CL112" s="656"/>
      <c r="CM112" s="656"/>
      <c r="CN112" s="656"/>
      <c r="CO112" s="656"/>
      <c r="CP112" s="656"/>
      <c r="CQ112" s="656"/>
      <c r="CR112" s="656"/>
      <c r="CS112" s="656"/>
      <c r="CT112" s="656"/>
      <c r="CU112" s="656"/>
      <c r="CV112" s="656"/>
      <c r="CW112" s="656"/>
      <c r="CX112" s="656"/>
      <c r="CY112" s="656"/>
      <c r="CZ112" s="656"/>
      <c r="DA112" s="656"/>
      <c r="DB112" s="656"/>
      <c r="DC112" s="656"/>
      <c r="DD112" s="656"/>
      <c r="DE112" s="656"/>
      <c r="DF112" s="656"/>
      <c r="DG112" s="656"/>
      <c r="DH112" s="656"/>
      <c r="DI112" s="656"/>
      <c r="DJ112" s="656"/>
      <c r="DK112" s="656"/>
      <c r="DL112" s="656"/>
      <c r="DM112" s="656"/>
      <c r="DN112" s="656"/>
      <c r="DO112" s="656"/>
      <c r="DP112" s="656"/>
      <c r="DQ112" s="656"/>
      <c r="DR112" s="656"/>
      <c r="DS112" s="656"/>
      <c r="DT112" s="656"/>
      <c r="DU112" s="656"/>
      <c r="DV112" s="656"/>
      <c r="DW112" s="656"/>
      <c r="DX112" s="656"/>
      <c r="DY112" s="656"/>
      <c r="DZ112" s="656"/>
    </row>
    <row r="113" spans="1:130">
      <c r="A113" s="656"/>
      <c r="B113" s="656"/>
      <c r="C113" s="656"/>
      <c r="D113" s="656"/>
      <c r="E113" s="656"/>
      <c r="F113" s="656"/>
      <c r="G113" s="656"/>
      <c r="H113" s="656"/>
      <c r="I113" s="656"/>
      <c r="J113" s="656"/>
      <c r="K113" s="656"/>
      <c r="L113" s="656"/>
      <c r="M113" s="656"/>
      <c r="N113" s="656"/>
      <c r="O113" s="656"/>
      <c r="P113" s="656"/>
      <c r="Q113" s="656"/>
      <c r="R113" s="656"/>
      <c r="S113" s="656"/>
      <c r="T113" s="656"/>
      <c r="U113" s="656"/>
      <c r="V113" s="656"/>
      <c r="W113" s="656"/>
      <c r="X113" s="656"/>
      <c r="Y113" s="656"/>
      <c r="Z113" s="656"/>
      <c r="AA113" s="656"/>
      <c r="AB113" s="656"/>
      <c r="AC113" s="656"/>
      <c r="AD113" s="656"/>
      <c r="AE113" s="656"/>
      <c r="AF113" s="656"/>
      <c r="AG113" s="656"/>
      <c r="AH113" s="656"/>
      <c r="AI113" s="656"/>
      <c r="AJ113" s="656"/>
      <c r="AK113" s="656"/>
      <c r="AL113" s="656"/>
      <c r="AM113" s="656"/>
      <c r="AN113" s="656"/>
      <c r="AO113" s="656"/>
      <c r="AP113" s="656"/>
      <c r="AQ113" s="656"/>
      <c r="AR113" s="656"/>
      <c r="AS113" s="656"/>
      <c r="AT113" s="656"/>
      <c r="AU113" s="656"/>
      <c r="AV113" s="656"/>
      <c r="AW113" s="656"/>
      <c r="AX113" s="656"/>
      <c r="AY113" s="656"/>
      <c r="AZ113" s="656"/>
      <c r="BA113" s="656"/>
      <c r="BB113" s="656"/>
      <c r="BC113" s="656"/>
      <c r="BD113" s="656"/>
      <c r="BE113" s="656"/>
      <c r="BF113" s="656"/>
      <c r="BG113" s="656"/>
      <c r="BH113" s="656"/>
      <c r="BI113" s="656"/>
      <c r="BJ113" s="656"/>
      <c r="BK113" s="656"/>
      <c r="BL113" s="656"/>
      <c r="BM113" s="656"/>
      <c r="BN113" s="656"/>
      <c r="BO113" s="656"/>
      <c r="BP113" s="656"/>
      <c r="BQ113" s="656"/>
      <c r="BR113" s="656"/>
      <c r="BS113" s="656"/>
      <c r="BT113" s="656"/>
      <c r="BU113" s="656"/>
      <c r="BV113" s="656"/>
      <c r="BW113" s="656"/>
      <c r="BX113" s="656"/>
      <c r="BY113" s="656"/>
      <c r="BZ113" s="656"/>
      <c r="CA113" s="656"/>
      <c r="CB113" s="656"/>
      <c r="CC113" s="656"/>
      <c r="CD113" s="656"/>
      <c r="CE113" s="656"/>
      <c r="CF113" s="656"/>
      <c r="CG113" s="656"/>
      <c r="CH113" s="656"/>
      <c r="CI113" s="656"/>
      <c r="CJ113" s="656"/>
      <c r="CK113" s="656"/>
      <c r="CL113" s="656"/>
      <c r="CM113" s="656"/>
      <c r="CN113" s="656"/>
      <c r="CO113" s="656"/>
      <c r="CP113" s="656"/>
      <c r="CQ113" s="656"/>
      <c r="CR113" s="656"/>
      <c r="CS113" s="656"/>
      <c r="CT113" s="656"/>
      <c r="CU113" s="656"/>
      <c r="CV113" s="656"/>
      <c r="CW113" s="656"/>
      <c r="CX113" s="656"/>
      <c r="CY113" s="656"/>
      <c r="CZ113" s="656"/>
      <c r="DA113" s="656"/>
      <c r="DB113" s="656"/>
      <c r="DC113" s="656"/>
      <c r="DD113" s="656"/>
      <c r="DE113" s="656"/>
      <c r="DF113" s="656"/>
      <c r="DG113" s="656"/>
      <c r="DH113" s="656"/>
      <c r="DI113" s="656"/>
      <c r="DJ113" s="656"/>
      <c r="DK113" s="656"/>
      <c r="DL113" s="656"/>
      <c r="DM113" s="656"/>
      <c r="DN113" s="656"/>
      <c r="DO113" s="656"/>
      <c r="DP113" s="656"/>
      <c r="DQ113" s="656"/>
      <c r="DR113" s="656"/>
      <c r="DS113" s="656"/>
      <c r="DT113" s="656"/>
      <c r="DU113" s="656"/>
      <c r="DV113" s="656"/>
      <c r="DW113" s="656"/>
      <c r="DX113" s="656"/>
      <c r="DY113" s="656"/>
      <c r="DZ113" s="656"/>
    </row>
    <row r="114" spans="1:130">
      <c r="A114" s="656"/>
      <c r="B114" s="656"/>
      <c r="C114" s="656"/>
      <c r="D114" s="656"/>
      <c r="E114" s="656"/>
      <c r="F114" s="656"/>
      <c r="G114" s="656"/>
      <c r="H114" s="656"/>
      <c r="I114" s="656"/>
      <c r="J114" s="656"/>
      <c r="K114" s="656"/>
      <c r="L114" s="656"/>
      <c r="M114" s="656"/>
      <c r="N114" s="656"/>
      <c r="O114" s="656"/>
      <c r="P114" s="656"/>
      <c r="Q114" s="656"/>
      <c r="R114" s="656"/>
      <c r="S114" s="656"/>
      <c r="T114" s="656"/>
      <c r="U114" s="656"/>
      <c r="V114" s="656"/>
      <c r="W114" s="656"/>
      <c r="X114" s="656"/>
      <c r="Y114" s="656"/>
      <c r="Z114" s="656"/>
      <c r="AA114" s="656"/>
      <c r="AB114" s="656"/>
      <c r="AC114" s="656"/>
      <c r="AD114" s="656"/>
      <c r="AE114" s="656"/>
      <c r="AF114" s="656"/>
      <c r="AG114" s="656"/>
      <c r="AH114" s="656"/>
      <c r="AI114" s="656"/>
      <c r="AJ114" s="656"/>
      <c r="AK114" s="656"/>
      <c r="AL114" s="656"/>
      <c r="AM114" s="656"/>
      <c r="AN114" s="656"/>
      <c r="AO114" s="656"/>
      <c r="AP114" s="656"/>
      <c r="AQ114" s="656"/>
      <c r="AR114" s="656"/>
      <c r="AS114" s="656"/>
      <c r="AT114" s="656"/>
      <c r="AU114" s="656"/>
      <c r="AV114" s="656"/>
      <c r="AW114" s="656"/>
      <c r="AX114" s="656"/>
      <c r="AY114" s="656"/>
      <c r="AZ114" s="656"/>
      <c r="BA114" s="656"/>
      <c r="BB114" s="656"/>
      <c r="BC114" s="656"/>
      <c r="BD114" s="656"/>
      <c r="BE114" s="656"/>
      <c r="BF114" s="656"/>
      <c r="BG114" s="656"/>
      <c r="BH114" s="656"/>
      <c r="BI114" s="656"/>
      <c r="BJ114" s="656"/>
      <c r="BK114" s="656"/>
      <c r="BL114" s="656"/>
      <c r="BM114" s="656"/>
      <c r="BN114" s="656"/>
      <c r="BO114" s="656"/>
      <c r="BP114" s="656"/>
      <c r="BQ114" s="656"/>
      <c r="BR114" s="656"/>
      <c r="BS114" s="656"/>
      <c r="BT114" s="656"/>
      <c r="BU114" s="656"/>
      <c r="BV114" s="656"/>
      <c r="BW114" s="656"/>
      <c r="BX114" s="656"/>
      <c r="BY114" s="656"/>
      <c r="BZ114" s="656"/>
      <c r="CA114" s="656"/>
      <c r="CB114" s="656"/>
      <c r="CC114" s="656"/>
      <c r="CD114" s="656"/>
      <c r="CE114" s="656"/>
      <c r="CF114" s="656"/>
      <c r="CG114" s="656"/>
      <c r="CH114" s="656"/>
      <c r="CI114" s="656"/>
      <c r="CJ114" s="656"/>
      <c r="CK114" s="656"/>
      <c r="CL114" s="656"/>
      <c r="CM114" s="656"/>
      <c r="CN114" s="656"/>
      <c r="CO114" s="656"/>
      <c r="CP114" s="656"/>
      <c r="CQ114" s="656"/>
      <c r="CR114" s="656"/>
      <c r="CS114" s="656"/>
      <c r="CT114" s="656"/>
      <c r="CU114" s="656"/>
      <c r="CV114" s="656"/>
      <c r="CW114" s="656"/>
      <c r="CX114" s="656"/>
      <c r="CY114" s="656"/>
      <c r="CZ114" s="656"/>
      <c r="DA114" s="656"/>
      <c r="DB114" s="656"/>
      <c r="DC114" s="656"/>
      <c r="DD114" s="656"/>
      <c r="DE114" s="656"/>
      <c r="DF114" s="656"/>
      <c r="DG114" s="656"/>
      <c r="DH114" s="656"/>
      <c r="DI114" s="656"/>
      <c r="DJ114" s="656"/>
      <c r="DK114" s="656"/>
      <c r="DL114" s="656"/>
      <c r="DM114" s="656"/>
      <c r="DN114" s="656"/>
      <c r="DO114" s="656"/>
      <c r="DP114" s="656"/>
      <c r="DQ114" s="656"/>
      <c r="DR114" s="656"/>
      <c r="DS114" s="656"/>
      <c r="DT114" s="656"/>
      <c r="DU114" s="656"/>
      <c r="DV114" s="656"/>
      <c r="DW114" s="656"/>
      <c r="DX114" s="656"/>
      <c r="DY114" s="656"/>
      <c r="DZ114" s="656"/>
    </row>
    <row r="115" spans="1:130">
      <c r="A115" s="656"/>
      <c r="B115" s="656"/>
      <c r="C115" s="656"/>
      <c r="D115" s="656"/>
      <c r="E115" s="656"/>
      <c r="F115" s="656"/>
      <c r="G115" s="656"/>
      <c r="H115" s="656"/>
      <c r="I115" s="656"/>
      <c r="J115" s="656"/>
      <c r="K115" s="656"/>
      <c r="L115" s="656"/>
      <c r="M115" s="656"/>
      <c r="N115" s="656"/>
      <c r="O115" s="656"/>
      <c r="P115" s="656"/>
      <c r="Q115" s="656"/>
      <c r="R115" s="656"/>
      <c r="S115" s="656"/>
      <c r="T115" s="656"/>
      <c r="U115" s="656"/>
      <c r="V115" s="656"/>
      <c r="W115" s="656"/>
      <c r="X115" s="656"/>
      <c r="Y115" s="656"/>
      <c r="Z115" s="656"/>
      <c r="AA115" s="656"/>
      <c r="AB115" s="656"/>
      <c r="AC115" s="656"/>
      <c r="AD115" s="656"/>
      <c r="AE115" s="656"/>
      <c r="AF115" s="656"/>
      <c r="AG115" s="656"/>
      <c r="AH115" s="656"/>
      <c r="AI115" s="656"/>
      <c r="AJ115" s="656"/>
      <c r="AK115" s="656"/>
      <c r="AL115" s="656"/>
      <c r="AM115" s="656"/>
      <c r="AN115" s="656"/>
      <c r="AO115" s="656"/>
      <c r="AP115" s="656"/>
      <c r="AQ115" s="656"/>
      <c r="AR115" s="656"/>
      <c r="AS115" s="656"/>
      <c r="AT115" s="656"/>
      <c r="AU115" s="656"/>
      <c r="AV115" s="656"/>
      <c r="AW115" s="656"/>
      <c r="AX115" s="656"/>
      <c r="AY115" s="656"/>
      <c r="AZ115" s="656"/>
      <c r="BA115" s="656"/>
      <c r="BB115" s="656"/>
      <c r="BC115" s="656"/>
      <c r="BD115" s="656"/>
      <c r="BE115" s="656"/>
      <c r="BF115" s="656"/>
      <c r="BG115" s="656"/>
      <c r="BH115" s="656"/>
      <c r="BI115" s="656"/>
      <c r="BJ115" s="656"/>
      <c r="BK115" s="656"/>
      <c r="BL115" s="656"/>
      <c r="BM115" s="656"/>
      <c r="BN115" s="656"/>
      <c r="BO115" s="656"/>
      <c r="BP115" s="656"/>
      <c r="BQ115" s="656"/>
      <c r="BR115" s="656"/>
      <c r="BS115" s="656"/>
      <c r="BT115" s="656"/>
      <c r="BU115" s="656"/>
      <c r="BV115" s="656"/>
      <c r="BW115" s="656"/>
      <c r="BX115" s="656"/>
      <c r="BY115" s="656"/>
      <c r="BZ115" s="656"/>
      <c r="CA115" s="656"/>
      <c r="CB115" s="656"/>
      <c r="CC115" s="656"/>
      <c r="CD115" s="656"/>
      <c r="CE115" s="656"/>
      <c r="CF115" s="656"/>
      <c r="CG115" s="656"/>
      <c r="CH115" s="656"/>
      <c r="CI115" s="656"/>
      <c r="CJ115" s="656"/>
      <c r="CK115" s="656"/>
      <c r="CL115" s="656"/>
      <c r="CM115" s="656"/>
      <c r="CN115" s="656"/>
      <c r="CO115" s="656"/>
      <c r="CP115" s="656"/>
      <c r="CQ115" s="656"/>
      <c r="CR115" s="656"/>
      <c r="CS115" s="656"/>
      <c r="CT115" s="656"/>
      <c r="CU115" s="656"/>
      <c r="CV115" s="656"/>
      <c r="CW115" s="656"/>
      <c r="CX115" s="656"/>
      <c r="CY115" s="656"/>
      <c r="CZ115" s="656"/>
      <c r="DA115" s="656"/>
      <c r="DB115" s="656"/>
      <c r="DC115" s="656"/>
      <c r="DD115" s="656"/>
      <c r="DE115" s="656"/>
      <c r="DF115" s="656"/>
      <c r="DG115" s="656"/>
      <c r="DH115" s="656"/>
      <c r="DI115" s="656"/>
      <c r="DJ115" s="656"/>
      <c r="DK115" s="656"/>
      <c r="DL115" s="656"/>
      <c r="DM115" s="656"/>
      <c r="DN115" s="656"/>
      <c r="DO115" s="656"/>
      <c r="DP115" s="656"/>
      <c r="DQ115" s="656"/>
      <c r="DR115" s="656"/>
      <c r="DS115" s="656"/>
      <c r="DT115" s="656"/>
      <c r="DU115" s="656"/>
      <c r="DV115" s="656"/>
      <c r="DW115" s="656"/>
      <c r="DX115" s="656"/>
      <c r="DY115" s="656"/>
      <c r="DZ115" s="656"/>
    </row>
    <row r="116" spans="1:130">
      <c r="A116" s="656"/>
      <c r="B116" s="656"/>
      <c r="C116" s="656"/>
      <c r="D116" s="656"/>
      <c r="E116" s="656"/>
      <c r="F116" s="656"/>
      <c r="G116" s="656"/>
      <c r="H116" s="656"/>
      <c r="I116" s="656"/>
      <c r="J116" s="656"/>
      <c r="K116" s="656"/>
      <c r="L116" s="656"/>
      <c r="M116" s="656"/>
      <c r="N116" s="656"/>
      <c r="O116" s="656"/>
      <c r="P116" s="656"/>
      <c r="Q116" s="656"/>
      <c r="R116" s="656"/>
      <c r="S116" s="656"/>
      <c r="T116" s="656"/>
      <c r="U116" s="656"/>
      <c r="V116" s="656"/>
      <c r="W116" s="656"/>
      <c r="X116" s="656"/>
      <c r="Y116" s="656"/>
      <c r="Z116" s="656"/>
      <c r="AA116" s="656"/>
      <c r="AB116" s="656"/>
      <c r="AC116" s="656"/>
      <c r="AD116" s="656"/>
      <c r="AE116" s="656"/>
      <c r="AF116" s="656"/>
      <c r="AG116" s="656"/>
      <c r="AH116" s="656"/>
      <c r="AI116" s="656"/>
      <c r="AJ116" s="656"/>
      <c r="AK116" s="656"/>
      <c r="AL116" s="656"/>
      <c r="AM116" s="656"/>
      <c r="AN116" s="656"/>
      <c r="AO116" s="656"/>
      <c r="AP116" s="656"/>
      <c r="AQ116" s="656"/>
      <c r="AR116" s="656"/>
      <c r="AS116" s="656"/>
      <c r="AT116" s="656"/>
      <c r="AU116" s="656"/>
      <c r="AV116" s="656"/>
      <c r="AW116" s="656"/>
      <c r="AX116" s="656"/>
      <c r="AY116" s="656"/>
      <c r="AZ116" s="656"/>
      <c r="BA116" s="656"/>
      <c r="BB116" s="656"/>
      <c r="BC116" s="656"/>
      <c r="BD116" s="656"/>
      <c r="BE116" s="656"/>
      <c r="BF116" s="656"/>
      <c r="BG116" s="656"/>
      <c r="BH116" s="656"/>
      <c r="BI116" s="656"/>
      <c r="BJ116" s="656"/>
      <c r="BK116" s="656"/>
      <c r="BL116" s="656"/>
      <c r="BM116" s="656"/>
      <c r="BN116" s="656"/>
      <c r="BO116" s="656"/>
      <c r="BP116" s="656"/>
      <c r="BQ116" s="656"/>
      <c r="BR116" s="656"/>
      <c r="BS116" s="656"/>
      <c r="BT116" s="656"/>
      <c r="BU116" s="656"/>
      <c r="BV116" s="656"/>
      <c r="BW116" s="656"/>
      <c r="BX116" s="656"/>
      <c r="BY116" s="656"/>
      <c r="BZ116" s="656"/>
      <c r="CA116" s="656"/>
      <c r="CB116" s="656"/>
      <c r="CC116" s="656"/>
      <c r="CD116" s="656"/>
      <c r="CE116" s="656"/>
      <c r="CF116" s="656"/>
      <c r="CG116" s="656"/>
      <c r="CH116" s="656"/>
      <c r="CI116" s="656"/>
      <c r="CJ116" s="656"/>
      <c r="CK116" s="656"/>
      <c r="CL116" s="656"/>
      <c r="CM116" s="656"/>
      <c r="CN116" s="656"/>
      <c r="CO116" s="656"/>
      <c r="CP116" s="656"/>
      <c r="CQ116" s="656"/>
      <c r="CR116" s="656"/>
      <c r="CS116" s="656"/>
      <c r="CT116" s="656"/>
      <c r="CU116" s="656"/>
      <c r="CV116" s="656"/>
      <c r="CW116" s="656"/>
      <c r="CX116" s="656"/>
      <c r="CY116" s="656"/>
      <c r="CZ116" s="656"/>
      <c r="DA116" s="656"/>
      <c r="DB116" s="656"/>
      <c r="DC116" s="656"/>
      <c r="DD116" s="656"/>
      <c r="DE116" s="656"/>
      <c r="DF116" s="656"/>
      <c r="DG116" s="656"/>
      <c r="DH116" s="656"/>
      <c r="DI116" s="656"/>
      <c r="DJ116" s="656"/>
      <c r="DK116" s="656"/>
      <c r="DL116" s="656"/>
      <c r="DM116" s="656"/>
      <c r="DN116" s="656"/>
      <c r="DO116" s="656"/>
      <c r="DP116" s="656"/>
      <c r="DQ116" s="656"/>
      <c r="DR116" s="656"/>
      <c r="DS116" s="656"/>
      <c r="DT116" s="656"/>
      <c r="DU116" s="656"/>
      <c r="DV116" s="656"/>
      <c r="DW116" s="656"/>
      <c r="DX116" s="656"/>
      <c r="DY116" s="656"/>
      <c r="DZ116" s="656"/>
    </row>
    <row r="117" spans="1:130">
      <c r="A117" s="656"/>
      <c r="B117" s="656"/>
      <c r="C117" s="656"/>
      <c r="D117" s="656"/>
      <c r="E117" s="656"/>
      <c r="F117" s="656"/>
      <c r="G117" s="656"/>
      <c r="H117" s="656"/>
      <c r="I117" s="656"/>
      <c r="J117" s="656"/>
      <c r="K117" s="656"/>
      <c r="L117" s="656"/>
      <c r="M117" s="656"/>
      <c r="N117" s="656"/>
      <c r="O117" s="656"/>
      <c r="P117" s="656"/>
      <c r="Q117" s="656"/>
      <c r="R117" s="656"/>
      <c r="S117" s="656"/>
      <c r="T117" s="656"/>
      <c r="U117" s="656"/>
      <c r="V117" s="656"/>
      <c r="W117" s="656"/>
      <c r="X117" s="656"/>
      <c r="Y117" s="656"/>
      <c r="Z117" s="656"/>
      <c r="AA117" s="656"/>
      <c r="AB117" s="656"/>
      <c r="AC117" s="656"/>
      <c r="AD117" s="656"/>
      <c r="AE117" s="656"/>
      <c r="AF117" s="656"/>
      <c r="AG117" s="656"/>
      <c r="AH117" s="656"/>
      <c r="AI117" s="656"/>
      <c r="AJ117" s="656"/>
      <c r="AK117" s="656"/>
      <c r="AL117" s="656"/>
      <c r="AM117" s="656"/>
      <c r="AN117" s="656"/>
      <c r="AO117" s="656"/>
      <c r="AP117" s="656"/>
      <c r="AQ117" s="656"/>
      <c r="AR117" s="656"/>
      <c r="AS117" s="656"/>
      <c r="AT117" s="656"/>
      <c r="AU117" s="656"/>
      <c r="AV117" s="656"/>
      <c r="AW117" s="656"/>
      <c r="AX117" s="656"/>
      <c r="AY117" s="656"/>
      <c r="AZ117" s="656"/>
      <c r="BA117" s="656"/>
      <c r="BB117" s="656"/>
      <c r="BC117" s="656"/>
      <c r="BD117" s="656"/>
      <c r="BE117" s="656"/>
      <c r="BF117" s="656"/>
      <c r="BG117" s="656"/>
      <c r="BH117" s="656"/>
      <c r="BI117" s="656"/>
      <c r="BJ117" s="656"/>
      <c r="BK117" s="656"/>
      <c r="BL117" s="656"/>
      <c r="BM117" s="656"/>
      <c r="BN117" s="656"/>
      <c r="BO117" s="656"/>
      <c r="BP117" s="656"/>
      <c r="BQ117" s="656"/>
      <c r="BR117" s="656"/>
      <c r="BS117" s="656"/>
      <c r="BT117" s="656"/>
      <c r="BU117" s="656"/>
      <c r="BV117" s="656"/>
      <c r="BW117" s="656"/>
      <c r="BX117" s="656"/>
      <c r="BY117" s="656"/>
      <c r="BZ117" s="656"/>
      <c r="CA117" s="656"/>
      <c r="CB117" s="656"/>
      <c r="CC117" s="656"/>
      <c r="CD117" s="656"/>
      <c r="CE117" s="656"/>
      <c r="CF117" s="656"/>
      <c r="CG117" s="656"/>
      <c r="CH117" s="656"/>
      <c r="CI117" s="656"/>
      <c r="CJ117" s="656"/>
      <c r="CK117" s="656"/>
      <c r="CL117" s="656"/>
      <c r="CM117" s="656"/>
      <c r="CN117" s="656"/>
      <c r="CO117" s="656"/>
      <c r="CP117" s="656"/>
      <c r="CQ117" s="656"/>
      <c r="CR117" s="656"/>
      <c r="CS117" s="656"/>
      <c r="CT117" s="656"/>
      <c r="CU117" s="656"/>
      <c r="CV117" s="656"/>
      <c r="CW117" s="656"/>
      <c r="CX117" s="656"/>
      <c r="CY117" s="656"/>
      <c r="CZ117" s="656"/>
      <c r="DA117" s="656"/>
      <c r="DB117" s="656"/>
      <c r="DC117" s="656"/>
      <c r="DD117" s="656"/>
      <c r="DE117" s="656"/>
      <c r="DF117" s="656"/>
      <c r="DG117" s="656"/>
      <c r="DH117" s="656"/>
      <c r="DI117" s="656"/>
      <c r="DJ117" s="656"/>
      <c r="DK117" s="656"/>
      <c r="DL117" s="656"/>
      <c r="DM117" s="656"/>
      <c r="DN117" s="656"/>
      <c r="DO117" s="656"/>
      <c r="DP117" s="656"/>
      <c r="DQ117" s="656"/>
      <c r="DR117" s="656"/>
      <c r="DS117" s="656"/>
      <c r="DT117" s="656"/>
      <c r="DU117" s="656"/>
      <c r="DV117" s="656"/>
      <c r="DW117" s="656"/>
      <c r="DX117" s="656"/>
      <c r="DY117" s="656"/>
      <c r="DZ117" s="656"/>
    </row>
    <row r="118" spans="1:130">
      <c r="A118" s="656"/>
      <c r="B118" s="656"/>
      <c r="C118" s="656"/>
      <c r="D118" s="656"/>
      <c r="E118" s="656"/>
      <c r="F118" s="656"/>
      <c r="G118" s="656"/>
      <c r="H118" s="656"/>
      <c r="I118" s="656"/>
      <c r="J118" s="656"/>
      <c r="K118" s="656"/>
      <c r="L118" s="656"/>
      <c r="M118" s="656"/>
      <c r="N118" s="656"/>
      <c r="O118" s="656"/>
      <c r="P118" s="656"/>
      <c r="Q118" s="656"/>
      <c r="R118" s="656"/>
      <c r="S118" s="656"/>
      <c r="T118" s="656"/>
      <c r="U118" s="656"/>
      <c r="V118" s="656"/>
      <c r="W118" s="656"/>
      <c r="X118" s="656"/>
      <c r="Y118" s="656"/>
      <c r="Z118" s="656"/>
      <c r="AA118" s="656"/>
      <c r="AB118" s="656"/>
      <c r="AC118" s="656"/>
      <c r="AD118" s="656"/>
      <c r="AE118" s="656"/>
      <c r="AF118" s="656"/>
      <c r="AG118" s="656"/>
      <c r="AH118" s="656"/>
      <c r="AI118" s="656"/>
      <c r="AJ118" s="656"/>
      <c r="AK118" s="656"/>
      <c r="AL118" s="656"/>
      <c r="AM118" s="656"/>
      <c r="AN118" s="656"/>
      <c r="AO118" s="656"/>
      <c r="AP118" s="656"/>
      <c r="AQ118" s="656"/>
      <c r="AR118" s="656"/>
      <c r="AS118" s="656"/>
      <c r="AT118" s="656"/>
      <c r="AU118" s="656"/>
      <c r="AV118" s="656"/>
      <c r="AW118" s="656"/>
      <c r="AX118" s="656"/>
      <c r="AY118" s="656"/>
      <c r="AZ118" s="656"/>
      <c r="BA118" s="656"/>
      <c r="BB118" s="656"/>
      <c r="BC118" s="656"/>
      <c r="BD118" s="656"/>
      <c r="BE118" s="656"/>
      <c r="BF118" s="656"/>
      <c r="BG118" s="656"/>
      <c r="BH118" s="656"/>
      <c r="BI118" s="656"/>
      <c r="BJ118" s="656"/>
      <c r="BK118" s="656"/>
      <c r="BL118" s="656"/>
      <c r="BM118" s="656"/>
      <c r="BN118" s="656"/>
      <c r="BO118" s="656"/>
      <c r="BP118" s="656"/>
      <c r="BQ118" s="656"/>
      <c r="BR118" s="656"/>
      <c r="BS118" s="656"/>
      <c r="BT118" s="656"/>
      <c r="BU118" s="656"/>
      <c r="BV118" s="656"/>
      <c r="BW118" s="656"/>
      <c r="BX118" s="656"/>
      <c r="BY118" s="656"/>
      <c r="BZ118" s="656"/>
      <c r="CA118" s="656"/>
      <c r="CB118" s="656"/>
      <c r="CC118" s="656"/>
      <c r="CD118" s="656"/>
      <c r="CE118" s="656"/>
      <c r="CF118" s="656"/>
      <c r="CG118" s="656"/>
      <c r="CH118" s="656"/>
      <c r="CI118" s="656"/>
      <c r="CJ118" s="656"/>
      <c r="CK118" s="656"/>
      <c r="CL118" s="656"/>
      <c r="CM118" s="656"/>
      <c r="CN118" s="656"/>
      <c r="CO118" s="656"/>
      <c r="CP118" s="656"/>
      <c r="CQ118" s="656"/>
      <c r="CR118" s="656"/>
      <c r="CS118" s="656"/>
      <c r="CT118" s="656"/>
      <c r="CU118" s="656"/>
      <c r="CV118" s="656"/>
      <c r="CW118" s="656"/>
      <c r="CX118" s="656"/>
      <c r="CY118" s="656"/>
      <c r="CZ118" s="656"/>
      <c r="DA118" s="656"/>
      <c r="DB118" s="656"/>
      <c r="DC118" s="656"/>
      <c r="DD118" s="656"/>
      <c r="DE118" s="656"/>
      <c r="DF118" s="656"/>
      <c r="DG118" s="656"/>
      <c r="DH118" s="656"/>
      <c r="DI118" s="656"/>
      <c r="DJ118" s="656"/>
      <c r="DK118" s="656"/>
      <c r="DL118" s="656"/>
      <c r="DM118" s="656"/>
      <c r="DN118" s="656"/>
      <c r="DO118" s="656"/>
      <c r="DP118" s="656"/>
      <c r="DQ118" s="656"/>
      <c r="DR118" s="656"/>
      <c r="DS118" s="656"/>
      <c r="DT118" s="656"/>
      <c r="DU118" s="656"/>
      <c r="DV118" s="656"/>
      <c r="DW118" s="656"/>
      <c r="DX118" s="656"/>
      <c r="DY118" s="656"/>
      <c r="DZ118" s="656"/>
    </row>
    <row r="119" spans="1:130">
      <c r="A119" s="656"/>
      <c r="B119" s="656"/>
      <c r="C119" s="656"/>
      <c r="D119" s="656"/>
      <c r="E119" s="656"/>
      <c r="F119" s="656"/>
      <c r="G119" s="656"/>
      <c r="H119" s="656"/>
      <c r="I119" s="656"/>
      <c r="J119" s="656"/>
      <c r="K119" s="656"/>
      <c r="L119" s="656"/>
      <c r="M119" s="656"/>
      <c r="N119" s="656"/>
      <c r="O119" s="656"/>
      <c r="P119" s="656"/>
      <c r="Q119" s="656"/>
      <c r="R119" s="656"/>
      <c r="S119" s="656"/>
      <c r="T119" s="656"/>
      <c r="U119" s="656"/>
      <c r="V119" s="656"/>
      <c r="W119" s="656"/>
      <c r="X119" s="656"/>
      <c r="Y119" s="656"/>
      <c r="Z119" s="656"/>
      <c r="AA119" s="656"/>
      <c r="AB119" s="656"/>
      <c r="AC119" s="656"/>
      <c r="AD119" s="656"/>
      <c r="AE119" s="656"/>
      <c r="AF119" s="656"/>
      <c r="AG119" s="656"/>
      <c r="AH119" s="656"/>
      <c r="AI119" s="656"/>
      <c r="AJ119" s="656"/>
      <c r="AK119" s="656"/>
      <c r="AL119" s="656"/>
      <c r="AM119" s="656"/>
      <c r="AN119" s="656"/>
      <c r="AO119" s="656"/>
      <c r="AP119" s="656"/>
      <c r="AQ119" s="656"/>
      <c r="AR119" s="656"/>
      <c r="AS119" s="656"/>
      <c r="AT119" s="656"/>
      <c r="AU119" s="656"/>
      <c r="AV119" s="656"/>
      <c r="AW119" s="656"/>
      <c r="AX119" s="656"/>
      <c r="AY119" s="656"/>
      <c r="AZ119" s="656"/>
      <c r="BA119" s="656"/>
      <c r="BB119" s="656"/>
      <c r="BC119" s="656"/>
      <c r="BD119" s="656"/>
      <c r="BE119" s="656"/>
      <c r="BF119" s="656"/>
      <c r="BG119" s="656"/>
      <c r="BH119" s="656"/>
      <c r="BI119" s="656"/>
      <c r="BJ119" s="656"/>
      <c r="BK119" s="656"/>
      <c r="BL119" s="656"/>
      <c r="BM119" s="656"/>
      <c r="BN119" s="656"/>
      <c r="BO119" s="656"/>
      <c r="BP119" s="656"/>
      <c r="BQ119" s="656"/>
      <c r="BR119" s="656"/>
      <c r="BS119" s="656"/>
      <c r="BT119" s="656"/>
      <c r="BU119" s="656"/>
      <c r="BV119" s="656"/>
      <c r="BW119" s="656"/>
      <c r="BX119" s="656"/>
      <c r="BY119" s="656"/>
      <c r="BZ119" s="656"/>
      <c r="CA119" s="656"/>
      <c r="CB119" s="656"/>
      <c r="CC119" s="656"/>
      <c r="CD119" s="656"/>
      <c r="CE119" s="656"/>
      <c r="CF119" s="656"/>
      <c r="CG119" s="656"/>
      <c r="CH119" s="656"/>
      <c r="CI119" s="656"/>
      <c r="CJ119" s="656"/>
      <c r="CK119" s="656"/>
      <c r="CL119" s="656"/>
      <c r="CM119" s="656"/>
      <c r="CN119" s="656"/>
      <c r="CO119" s="656"/>
      <c r="CP119" s="656"/>
      <c r="CQ119" s="656"/>
      <c r="CR119" s="656"/>
      <c r="CS119" s="656"/>
      <c r="CT119" s="656"/>
      <c r="CU119" s="656"/>
      <c r="CV119" s="656"/>
      <c r="CW119" s="656"/>
      <c r="CX119" s="656"/>
      <c r="CY119" s="656"/>
      <c r="CZ119" s="656"/>
      <c r="DA119" s="656"/>
      <c r="DB119" s="656"/>
      <c r="DC119" s="656"/>
      <c r="DD119" s="656"/>
      <c r="DE119" s="656"/>
      <c r="DF119" s="656"/>
      <c r="DG119" s="656"/>
      <c r="DH119" s="656"/>
      <c r="DI119" s="656"/>
      <c r="DJ119" s="656"/>
      <c r="DK119" s="656"/>
      <c r="DL119" s="656"/>
      <c r="DM119" s="656"/>
      <c r="DN119" s="656"/>
      <c r="DO119" s="656"/>
      <c r="DP119" s="656"/>
      <c r="DQ119" s="656"/>
      <c r="DR119" s="656"/>
      <c r="DS119" s="656"/>
      <c r="DT119" s="656"/>
      <c r="DU119" s="656"/>
      <c r="DV119" s="656"/>
      <c r="DW119" s="656"/>
      <c r="DX119" s="656"/>
      <c r="DY119" s="656"/>
      <c r="DZ119" s="656"/>
    </row>
    <row r="120" spans="1:130">
      <c r="A120" s="656"/>
      <c r="B120" s="656"/>
      <c r="C120" s="656"/>
      <c r="D120" s="656"/>
      <c r="E120" s="656"/>
      <c r="F120" s="656"/>
      <c r="G120" s="656"/>
      <c r="H120" s="656"/>
      <c r="I120" s="656"/>
      <c r="J120" s="656"/>
      <c r="K120" s="656"/>
      <c r="L120" s="656"/>
      <c r="M120" s="656"/>
      <c r="N120" s="656"/>
      <c r="O120" s="656"/>
      <c r="P120" s="656"/>
      <c r="Q120" s="656"/>
      <c r="R120" s="656"/>
      <c r="S120" s="656"/>
      <c r="T120" s="656"/>
      <c r="U120" s="656"/>
      <c r="V120" s="656"/>
      <c r="W120" s="656"/>
      <c r="X120" s="656"/>
      <c r="Y120" s="656"/>
      <c r="Z120" s="656"/>
      <c r="AA120" s="656"/>
      <c r="AB120" s="656"/>
      <c r="AC120" s="656"/>
      <c r="AD120" s="656"/>
      <c r="AE120" s="656"/>
      <c r="AF120" s="656"/>
      <c r="AG120" s="656"/>
      <c r="AH120" s="656"/>
      <c r="AI120" s="656"/>
      <c r="AJ120" s="656"/>
      <c r="AK120" s="656"/>
      <c r="AL120" s="656"/>
      <c r="AM120" s="656"/>
      <c r="AN120" s="656"/>
      <c r="AO120" s="656"/>
      <c r="AP120" s="656"/>
      <c r="AQ120" s="656"/>
      <c r="AR120" s="656"/>
      <c r="AS120" s="656"/>
      <c r="AT120" s="656"/>
      <c r="AU120" s="656"/>
      <c r="AV120" s="656"/>
      <c r="AW120" s="656"/>
      <c r="AX120" s="656"/>
      <c r="AY120" s="656"/>
      <c r="AZ120" s="656"/>
      <c r="BA120" s="656"/>
      <c r="BB120" s="656"/>
      <c r="BC120" s="656"/>
      <c r="BD120" s="656"/>
      <c r="BE120" s="656"/>
      <c r="BF120" s="656"/>
      <c r="BG120" s="656"/>
      <c r="BH120" s="656"/>
      <c r="BI120" s="656"/>
      <c r="BJ120" s="656"/>
      <c r="BK120" s="656"/>
      <c r="BL120" s="656"/>
      <c r="BM120" s="656"/>
      <c r="BN120" s="656"/>
      <c r="BO120" s="656"/>
      <c r="BP120" s="656"/>
      <c r="BQ120" s="656"/>
      <c r="BR120" s="656"/>
      <c r="BS120" s="656"/>
      <c r="BT120" s="656"/>
      <c r="BU120" s="656"/>
      <c r="BV120" s="656"/>
      <c r="BW120" s="656"/>
      <c r="BX120" s="656"/>
      <c r="BY120" s="656"/>
      <c r="BZ120" s="656"/>
      <c r="CA120" s="656"/>
      <c r="CB120" s="656"/>
      <c r="CC120" s="656"/>
      <c r="CD120" s="656"/>
      <c r="CE120" s="656"/>
      <c r="CF120" s="656"/>
      <c r="CG120" s="656"/>
      <c r="CH120" s="656"/>
      <c r="CI120" s="656"/>
      <c r="CJ120" s="656"/>
      <c r="CK120" s="656"/>
      <c r="CL120" s="656"/>
      <c r="CM120" s="656"/>
      <c r="CN120" s="656"/>
      <c r="CO120" s="656"/>
      <c r="CP120" s="656"/>
      <c r="CQ120" s="656"/>
      <c r="CR120" s="656"/>
      <c r="CS120" s="656"/>
      <c r="CT120" s="656"/>
      <c r="CU120" s="656"/>
      <c r="CV120" s="656"/>
      <c r="CW120" s="656"/>
      <c r="CX120" s="656"/>
      <c r="CY120" s="656"/>
      <c r="CZ120" s="656"/>
      <c r="DA120" s="656"/>
      <c r="DB120" s="656"/>
      <c r="DC120" s="656"/>
      <c r="DD120" s="656"/>
      <c r="DE120" s="656"/>
      <c r="DF120" s="656"/>
      <c r="DG120" s="656"/>
      <c r="DH120" s="656"/>
      <c r="DI120" s="656"/>
      <c r="DJ120" s="656"/>
      <c r="DK120" s="656"/>
      <c r="DL120" s="656"/>
      <c r="DM120" s="656"/>
      <c r="DN120" s="656"/>
      <c r="DO120" s="656"/>
      <c r="DP120" s="656"/>
      <c r="DQ120" s="656"/>
      <c r="DR120" s="656"/>
      <c r="DS120" s="656"/>
      <c r="DT120" s="656"/>
      <c r="DU120" s="656"/>
      <c r="DV120" s="656"/>
      <c r="DW120" s="656"/>
      <c r="DX120" s="656"/>
      <c r="DY120" s="656"/>
      <c r="DZ120" s="656"/>
    </row>
    <row r="121" spans="1:130">
      <c r="A121" s="656"/>
      <c r="B121" s="656"/>
      <c r="C121" s="656"/>
      <c r="D121" s="656"/>
      <c r="E121" s="656"/>
      <c r="F121" s="656"/>
      <c r="G121" s="656"/>
      <c r="H121" s="656"/>
      <c r="I121" s="656"/>
      <c r="J121" s="656"/>
      <c r="K121" s="656"/>
      <c r="L121" s="656"/>
      <c r="M121" s="656"/>
      <c r="N121" s="656"/>
      <c r="O121" s="656"/>
      <c r="P121" s="656"/>
      <c r="Q121" s="656"/>
      <c r="R121" s="656"/>
      <c r="S121" s="656"/>
      <c r="T121" s="656"/>
      <c r="U121" s="656"/>
      <c r="V121" s="656"/>
      <c r="W121" s="656"/>
      <c r="X121" s="656"/>
      <c r="Y121" s="656"/>
      <c r="Z121" s="656"/>
      <c r="AA121" s="656"/>
      <c r="AB121" s="656"/>
      <c r="AC121" s="656"/>
      <c r="AD121" s="656"/>
      <c r="AE121" s="656"/>
      <c r="AF121" s="656"/>
      <c r="AG121" s="656"/>
      <c r="AH121" s="656"/>
      <c r="AI121" s="656"/>
      <c r="AJ121" s="656"/>
      <c r="AK121" s="656"/>
      <c r="AL121" s="656"/>
      <c r="AM121" s="656"/>
      <c r="AN121" s="656"/>
      <c r="AO121" s="656"/>
      <c r="AP121" s="656"/>
      <c r="AQ121" s="656"/>
      <c r="AR121" s="656"/>
      <c r="AS121" s="656"/>
      <c r="AT121" s="656"/>
      <c r="AU121" s="656"/>
      <c r="AV121" s="656"/>
      <c r="AW121" s="656"/>
      <c r="AX121" s="656"/>
      <c r="AY121" s="656"/>
      <c r="AZ121" s="656"/>
      <c r="BA121" s="656"/>
      <c r="BB121" s="656"/>
      <c r="BC121" s="656"/>
      <c r="BD121" s="656"/>
      <c r="BE121" s="656"/>
      <c r="BF121" s="656"/>
      <c r="BG121" s="656"/>
      <c r="BH121" s="656"/>
      <c r="BI121" s="656"/>
      <c r="BJ121" s="656"/>
      <c r="BK121" s="656"/>
      <c r="BL121" s="656"/>
      <c r="BM121" s="656"/>
      <c r="BN121" s="656"/>
      <c r="BO121" s="656"/>
      <c r="BP121" s="656"/>
      <c r="BQ121" s="656"/>
      <c r="BR121" s="656"/>
      <c r="BS121" s="656"/>
      <c r="BT121" s="656"/>
      <c r="BU121" s="656"/>
      <c r="BV121" s="656"/>
      <c r="BW121" s="656"/>
      <c r="BX121" s="656"/>
      <c r="BY121" s="656"/>
      <c r="BZ121" s="656"/>
      <c r="CA121" s="656"/>
      <c r="CB121" s="656"/>
      <c r="CC121" s="656"/>
      <c r="CD121" s="656"/>
      <c r="CE121" s="656"/>
      <c r="CF121" s="656"/>
      <c r="CG121" s="656"/>
      <c r="CH121" s="656"/>
      <c r="CI121" s="656"/>
      <c r="CJ121" s="656"/>
      <c r="CK121" s="656"/>
      <c r="CL121" s="656"/>
      <c r="CM121" s="656"/>
      <c r="CN121" s="656"/>
      <c r="CO121" s="656"/>
      <c r="CP121" s="656"/>
      <c r="CQ121" s="656"/>
      <c r="CR121" s="656"/>
      <c r="CS121" s="656"/>
      <c r="CT121" s="656"/>
      <c r="CU121" s="656"/>
      <c r="CV121" s="656"/>
      <c r="CW121" s="656"/>
      <c r="CX121" s="656"/>
      <c r="CY121" s="656"/>
      <c r="CZ121" s="656"/>
      <c r="DA121" s="656"/>
      <c r="DB121" s="656"/>
      <c r="DC121" s="656"/>
      <c r="DD121" s="656"/>
      <c r="DE121" s="656"/>
      <c r="DF121" s="656"/>
      <c r="DG121" s="656"/>
      <c r="DH121" s="656"/>
      <c r="DI121" s="656"/>
      <c r="DJ121" s="656"/>
      <c r="DK121" s="656"/>
      <c r="DL121" s="656"/>
      <c r="DM121" s="656"/>
      <c r="DN121" s="656"/>
      <c r="DO121" s="656"/>
      <c r="DP121" s="656"/>
      <c r="DQ121" s="656"/>
      <c r="DR121" s="656"/>
      <c r="DS121" s="656"/>
      <c r="DT121" s="656"/>
      <c r="DU121" s="656"/>
      <c r="DV121" s="656"/>
      <c r="DW121" s="656"/>
      <c r="DX121" s="656"/>
      <c r="DY121" s="656"/>
      <c r="DZ121" s="656"/>
    </row>
    <row r="122" spans="1:130">
      <c r="A122" s="656"/>
      <c r="B122" s="656"/>
      <c r="C122" s="656"/>
      <c r="D122" s="656"/>
      <c r="E122" s="656"/>
      <c r="F122" s="656"/>
      <c r="G122" s="656"/>
      <c r="H122" s="656"/>
      <c r="I122" s="656"/>
      <c r="J122" s="656"/>
      <c r="K122" s="656"/>
      <c r="L122" s="656"/>
      <c r="M122" s="656"/>
      <c r="N122" s="656"/>
      <c r="O122" s="656"/>
      <c r="P122" s="656"/>
      <c r="Q122" s="656"/>
      <c r="R122" s="656"/>
      <c r="S122" s="656"/>
      <c r="T122" s="656"/>
      <c r="U122" s="656"/>
      <c r="V122" s="656"/>
      <c r="W122" s="656"/>
      <c r="X122" s="656"/>
      <c r="Y122" s="656"/>
      <c r="Z122" s="656"/>
      <c r="AA122" s="656"/>
      <c r="AB122" s="656"/>
      <c r="AC122" s="656"/>
      <c r="AD122" s="656"/>
      <c r="AE122" s="656"/>
      <c r="AF122" s="656"/>
      <c r="AG122" s="656"/>
      <c r="AH122" s="656"/>
      <c r="AI122" s="656"/>
      <c r="AJ122" s="656"/>
      <c r="AK122" s="656"/>
      <c r="AL122" s="656"/>
      <c r="AM122" s="656"/>
      <c r="AN122" s="656"/>
      <c r="AO122" s="656"/>
      <c r="AP122" s="656"/>
      <c r="AQ122" s="656"/>
      <c r="AR122" s="656"/>
      <c r="AS122" s="656"/>
      <c r="AT122" s="656"/>
      <c r="AU122" s="656"/>
      <c r="AV122" s="656"/>
      <c r="AW122" s="656"/>
      <c r="AX122" s="656"/>
      <c r="AY122" s="656"/>
      <c r="AZ122" s="656"/>
      <c r="BA122" s="656"/>
      <c r="BB122" s="656"/>
      <c r="BC122" s="656"/>
      <c r="BD122" s="656"/>
      <c r="BE122" s="656"/>
      <c r="BF122" s="656"/>
      <c r="BG122" s="656"/>
      <c r="BH122" s="656"/>
      <c r="BI122" s="656"/>
      <c r="BJ122" s="656"/>
      <c r="BK122" s="656"/>
      <c r="BL122" s="656"/>
      <c r="BM122" s="656"/>
      <c r="BN122" s="656"/>
      <c r="BO122" s="656"/>
      <c r="BP122" s="656"/>
      <c r="BQ122" s="656"/>
      <c r="BR122" s="656"/>
      <c r="BS122" s="656"/>
      <c r="BT122" s="656"/>
      <c r="BU122" s="656"/>
      <c r="BV122" s="656"/>
      <c r="BW122" s="656"/>
      <c r="BX122" s="656"/>
      <c r="BY122" s="656"/>
      <c r="BZ122" s="656"/>
      <c r="CA122" s="656"/>
      <c r="CB122" s="656"/>
      <c r="CC122" s="656"/>
      <c r="CD122" s="656"/>
      <c r="CE122" s="656"/>
      <c r="CF122" s="656"/>
      <c r="CG122" s="656"/>
      <c r="CH122" s="656"/>
      <c r="CI122" s="656"/>
      <c r="CJ122" s="656"/>
      <c r="CK122" s="656"/>
      <c r="CL122" s="656"/>
      <c r="CM122" s="656"/>
      <c r="CN122" s="656"/>
      <c r="CO122" s="656"/>
      <c r="CP122" s="656"/>
      <c r="CQ122" s="656"/>
      <c r="CR122" s="656"/>
      <c r="CS122" s="656"/>
      <c r="CT122" s="656"/>
      <c r="CU122" s="656"/>
      <c r="CV122" s="656"/>
      <c r="CW122" s="656"/>
      <c r="CX122" s="656"/>
      <c r="CY122" s="656"/>
      <c r="CZ122" s="656"/>
      <c r="DA122" s="656"/>
      <c r="DB122" s="656"/>
      <c r="DC122" s="656"/>
      <c r="DD122" s="656"/>
      <c r="DE122" s="656"/>
      <c r="DF122" s="656"/>
      <c r="DG122" s="656"/>
      <c r="DH122" s="656"/>
      <c r="DI122" s="656"/>
      <c r="DJ122" s="656"/>
      <c r="DK122" s="656"/>
      <c r="DL122" s="656"/>
      <c r="DM122" s="656"/>
      <c r="DN122" s="656"/>
      <c r="DO122" s="656"/>
      <c r="DP122" s="656"/>
      <c r="DQ122" s="656"/>
      <c r="DR122" s="656"/>
      <c r="DS122" s="656"/>
      <c r="DT122" s="656"/>
      <c r="DU122" s="656"/>
      <c r="DV122" s="656"/>
      <c r="DW122" s="656"/>
      <c r="DX122" s="656"/>
      <c r="DY122" s="656"/>
      <c r="DZ122" s="656"/>
    </row>
    <row r="123" spans="1:130">
      <c r="A123" s="656"/>
      <c r="B123" s="656"/>
      <c r="C123" s="656"/>
      <c r="D123" s="656"/>
      <c r="E123" s="656"/>
      <c r="F123" s="656"/>
      <c r="G123" s="656"/>
      <c r="H123" s="656"/>
      <c r="I123" s="656"/>
      <c r="J123" s="656"/>
      <c r="K123" s="656"/>
      <c r="L123" s="656"/>
      <c r="M123" s="656"/>
      <c r="N123" s="656"/>
      <c r="O123" s="656"/>
      <c r="P123" s="656"/>
      <c r="Q123" s="656"/>
      <c r="R123" s="656"/>
      <c r="S123" s="656"/>
      <c r="T123" s="656"/>
      <c r="U123" s="656"/>
      <c r="V123" s="656"/>
      <c r="W123" s="656"/>
      <c r="X123" s="656"/>
      <c r="Y123" s="656"/>
      <c r="Z123" s="656"/>
      <c r="AA123" s="656"/>
      <c r="AB123" s="656"/>
      <c r="AC123" s="656"/>
      <c r="AD123" s="656"/>
      <c r="AE123" s="656"/>
      <c r="AF123" s="656"/>
      <c r="AG123" s="656"/>
      <c r="AH123" s="656"/>
      <c r="AI123" s="656"/>
      <c r="AJ123" s="656"/>
      <c r="AK123" s="656"/>
      <c r="AL123" s="656"/>
      <c r="AM123" s="656"/>
      <c r="AN123" s="656"/>
      <c r="AO123" s="656"/>
      <c r="AP123" s="656"/>
      <c r="AQ123" s="656"/>
      <c r="AR123" s="656"/>
      <c r="AS123" s="656"/>
      <c r="AT123" s="656"/>
      <c r="AU123" s="656"/>
      <c r="AV123" s="656"/>
      <c r="AW123" s="656"/>
      <c r="AX123" s="656"/>
      <c r="AY123" s="656"/>
      <c r="AZ123" s="656"/>
      <c r="BA123" s="656"/>
      <c r="BB123" s="656"/>
      <c r="BC123" s="656"/>
      <c r="BD123" s="656"/>
      <c r="BE123" s="656"/>
      <c r="BF123" s="656"/>
      <c r="BG123" s="656"/>
      <c r="BH123" s="656"/>
      <c r="BI123" s="656"/>
      <c r="BJ123" s="656"/>
      <c r="BK123" s="656"/>
      <c r="BL123" s="656"/>
      <c r="BM123" s="656"/>
      <c r="BN123" s="656"/>
      <c r="BO123" s="656"/>
      <c r="BP123" s="656"/>
      <c r="BQ123" s="656"/>
      <c r="BR123" s="656"/>
      <c r="BS123" s="656"/>
      <c r="BT123" s="656"/>
      <c r="BU123" s="656"/>
      <c r="BV123" s="656"/>
      <c r="BW123" s="656"/>
      <c r="BX123" s="656"/>
      <c r="BY123" s="656"/>
      <c r="BZ123" s="656"/>
      <c r="CA123" s="656"/>
      <c r="CB123" s="656"/>
      <c r="CC123" s="656"/>
      <c r="CD123" s="656"/>
      <c r="CE123" s="656"/>
      <c r="CF123" s="656"/>
      <c r="CG123" s="656"/>
      <c r="CH123" s="656"/>
      <c r="CI123" s="656"/>
      <c r="CJ123" s="656"/>
      <c r="CK123" s="656"/>
      <c r="CL123" s="656"/>
      <c r="CM123" s="656"/>
      <c r="CN123" s="656"/>
      <c r="CO123" s="656"/>
      <c r="CP123" s="656"/>
      <c r="CQ123" s="656"/>
      <c r="CR123" s="656"/>
      <c r="CS123" s="656"/>
      <c r="CT123" s="656"/>
      <c r="CU123" s="656"/>
      <c r="CV123" s="656"/>
      <c r="CW123" s="656"/>
      <c r="CX123" s="656"/>
      <c r="CY123" s="656"/>
      <c r="CZ123" s="656"/>
      <c r="DA123" s="656"/>
      <c r="DB123" s="656"/>
      <c r="DC123" s="656"/>
      <c r="DD123" s="656"/>
      <c r="DE123" s="656"/>
      <c r="DF123" s="656"/>
      <c r="DG123" s="656"/>
      <c r="DH123" s="656"/>
      <c r="DI123" s="656"/>
      <c r="DJ123" s="656"/>
      <c r="DK123" s="656"/>
      <c r="DL123" s="656"/>
      <c r="DM123" s="656"/>
      <c r="DN123" s="656"/>
      <c r="DO123" s="656"/>
      <c r="DP123" s="656"/>
      <c r="DQ123" s="656"/>
      <c r="DR123" s="656"/>
      <c r="DS123" s="656"/>
      <c r="DT123" s="656"/>
      <c r="DU123" s="656"/>
      <c r="DV123" s="656"/>
      <c r="DW123" s="656"/>
      <c r="DX123" s="656"/>
      <c r="DY123" s="656"/>
      <c r="DZ123" s="656"/>
    </row>
    <row r="124" spans="1:130">
      <c r="A124" s="656"/>
      <c r="B124" s="656"/>
      <c r="C124" s="656"/>
      <c r="D124" s="656"/>
      <c r="E124" s="656"/>
      <c r="F124" s="656"/>
      <c r="G124" s="656"/>
      <c r="H124" s="656"/>
      <c r="I124" s="656"/>
      <c r="J124" s="656"/>
      <c r="K124" s="656"/>
      <c r="L124" s="656"/>
      <c r="M124" s="656"/>
      <c r="N124" s="656"/>
      <c r="O124" s="656"/>
      <c r="P124" s="656"/>
      <c r="Q124" s="656"/>
      <c r="R124" s="656"/>
      <c r="S124" s="656"/>
      <c r="T124" s="656"/>
      <c r="U124" s="656"/>
      <c r="V124" s="656"/>
      <c r="W124" s="656"/>
      <c r="X124" s="656"/>
      <c r="Y124" s="656"/>
      <c r="Z124" s="656"/>
      <c r="AA124" s="656"/>
      <c r="AB124" s="656"/>
      <c r="AC124" s="656"/>
      <c r="AD124" s="656"/>
      <c r="AE124" s="656"/>
      <c r="AF124" s="656"/>
      <c r="AG124" s="656"/>
      <c r="AH124" s="656"/>
      <c r="AI124" s="656"/>
      <c r="AJ124" s="656"/>
      <c r="AK124" s="656"/>
      <c r="AL124" s="656"/>
      <c r="AM124" s="656"/>
      <c r="AN124" s="656"/>
      <c r="AO124" s="656"/>
      <c r="AP124" s="656"/>
      <c r="AQ124" s="656"/>
      <c r="AR124" s="656"/>
      <c r="AS124" s="656"/>
      <c r="AT124" s="656"/>
      <c r="AU124" s="656"/>
      <c r="AV124" s="656"/>
      <c r="AW124" s="656"/>
      <c r="AX124" s="656"/>
      <c r="AY124" s="656"/>
      <c r="AZ124" s="656"/>
      <c r="BA124" s="656"/>
      <c r="BB124" s="656"/>
      <c r="BC124" s="656"/>
      <c r="BD124" s="656"/>
      <c r="BE124" s="656"/>
      <c r="BF124" s="656"/>
      <c r="BG124" s="656"/>
      <c r="BH124" s="656"/>
      <c r="BI124" s="656"/>
      <c r="BJ124" s="656"/>
      <c r="BK124" s="656"/>
      <c r="BL124" s="656"/>
      <c r="BM124" s="656"/>
      <c r="BN124" s="656"/>
      <c r="BO124" s="656"/>
      <c r="BP124" s="656"/>
      <c r="BQ124" s="656"/>
      <c r="BR124" s="656"/>
      <c r="BS124" s="656"/>
      <c r="BT124" s="656"/>
      <c r="BU124" s="656"/>
      <c r="BV124" s="656"/>
      <c r="BW124" s="656"/>
      <c r="BX124" s="656"/>
      <c r="BY124" s="656"/>
      <c r="BZ124" s="656"/>
      <c r="CA124" s="656"/>
      <c r="CB124" s="656"/>
      <c r="CC124" s="656"/>
      <c r="CD124" s="656"/>
      <c r="CE124" s="656"/>
      <c r="CF124" s="656"/>
      <c r="CG124" s="656"/>
      <c r="CH124" s="656"/>
      <c r="CI124" s="656"/>
      <c r="CJ124" s="656"/>
      <c r="CK124" s="656"/>
      <c r="CL124" s="656"/>
      <c r="CM124" s="656"/>
      <c r="CN124" s="656"/>
      <c r="CO124" s="656"/>
      <c r="CP124" s="656"/>
      <c r="CQ124" s="656"/>
      <c r="CR124" s="656"/>
      <c r="CS124" s="656"/>
      <c r="CT124" s="656"/>
      <c r="CU124" s="656"/>
      <c r="CV124" s="656"/>
      <c r="CW124" s="656"/>
      <c r="CX124" s="656"/>
      <c r="CY124" s="656"/>
      <c r="CZ124" s="656"/>
      <c r="DA124" s="656"/>
      <c r="DB124" s="656"/>
      <c r="DC124" s="656"/>
      <c r="DD124" s="656"/>
      <c r="DE124" s="656"/>
      <c r="DF124" s="656"/>
      <c r="DG124" s="656"/>
      <c r="DH124" s="656"/>
      <c r="DI124" s="656"/>
      <c r="DJ124" s="656"/>
      <c r="DK124" s="656"/>
      <c r="DL124" s="656"/>
      <c r="DM124" s="656"/>
      <c r="DN124" s="656"/>
      <c r="DO124" s="656"/>
      <c r="DP124" s="656"/>
      <c r="DQ124" s="656"/>
      <c r="DR124" s="656"/>
      <c r="DS124" s="656"/>
      <c r="DT124" s="656"/>
      <c r="DU124" s="656"/>
      <c r="DV124" s="656"/>
      <c r="DW124" s="656"/>
      <c r="DX124" s="656"/>
      <c r="DY124" s="656"/>
      <c r="DZ124" s="656"/>
    </row>
    <row r="125" spans="1:130">
      <c r="A125" s="656"/>
      <c r="B125" s="656"/>
      <c r="C125" s="656"/>
      <c r="D125" s="656"/>
      <c r="E125" s="656"/>
      <c r="F125" s="656"/>
      <c r="G125" s="656"/>
      <c r="H125" s="656"/>
      <c r="I125" s="656"/>
      <c r="J125" s="656"/>
      <c r="K125" s="656"/>
      <c r="L125" s="656"/>
      <c r="M125" s="656"/>
      <c r="N125" s="656"/>
      <c r="O125" s="656"/>
      <c r="P125" s="656"/>
      <c r="Q125" s="656"/>
      <c r="R125" s="656"/>
      <c r="S125" s="656"/>
      <c r="T125" s="656"/>
      <c r="U125" s="656"/>
      <c r="V125" s="656"/>
      <c r="W125" s="656"/>
      <c r="X125" s="656"/>
      <c r="Y125" s="656"/>
      <c r="Z125" s="656"/>
      <c r="AA125" s="656"/>
      <c r="AB125" s="656"/>
      <c r="AC125" s="656"/>
      <c r="AD125" s="656"/>
      <c r="AE125" s="656"/>
      <c r="AF125" s="656"/>
      <c r="AG125" s="656"/>
      <c r="AH125" s="656"/>
      <c r="AI125" s="656"/>
      <c r="AJ125" s="656"/>
      <c r="AK125" s="656"/>
      <c r="AL125" s="656"/>
      <c r="AM125" s="656"/>
      <c r="AN125" s="656"/>
      <c r="AO125" s="656"/>
      <c r="AP125" s="656"/>
      <c r="AQ125" s="656"/>
      <c r="AR125" s="656"/>
      <c r="AS125" s="656"/>
      <c r="AT125" s="656"/>
      <c r="AU125" s="656"/>
      <c r="AV125" s="656"/>
      <c r="AW125" s="656"/>
      <c r="AX125" s="656"/>
      <c r="AY125" s="656"/>
      <c r="AZ125" s="656"/>
      <c r="BA125" s="656"/>
      <c r="BB125" s="656"/>
      <c r="BC125" s="656"/>
      <c r="BD125" s="656"/>
      <c r="BE125" s="656"/>
      <c r="BF125" s="656"/>
      <c r="BG125" s="656"/>
      <c r="BH125" s="656"/>
      <c r="BI125" s="656"/>
      <c r="BJ125" s="656"/>
      <c r="BK125" s="656"/>
      <c r="BL125" s="656"/>
      <c r="BM125" s="656"/>
      <c r="BN125" s="656"/>
      <c r="BO125" s="656"/>
      <c r="BP125" s="656"/>
      <c r="BQ125" s="656"/>
      <c r="BR125" s="656"/>
      <c r="BS125" s="656"/>
      <c r="BT125" s="656"/>
      <c r="BU125" s="656"/>
      <c r="BV125" s="656"/>
      <c r="BW125" s="656"/>
      <c r="BX125" s="656"/>
      <c r="BY125" s="656"/>
      <c r="BZ125" s="656"/>
      <c r="CA125" s="656"/>
      <c r="CB125" s="656"/>
      <c r="CC125" s="656"/>
      <c r="CD125" s="656"/>
      <c r="CE125" s="656"/>
      <c r="CF125" s="656"/>
      <c r="CG125" s="656"/>
      <c r="CH125" s="656"/>
      <c r="CI125" s="656"/>
      <c r="CJ125" s="656"/>
      <c r="CK125" s="656"/>
      <c r="CL125" s="656"/>
      <c r="CM125" s="656"/>
      <c r="CN125" s="656"/>
      <c r="CO125" s="656"/>
      <c r="CP125" s="656"/>
      <c r="CQ125" s="656"/>
      <c r="CR125" s="656"/>
      <c r="CS125" s="656"/>
      <c r="CT125" s="656"/>
      <c r="CU125" s="656"/>
      <c r="CV125" s="656"/>
      <c r="CW125" s="656"/>
      <c r="CX125" s="656"/>
      <c r="CY125" s="656"/>
      <c r="CZ125" s="656"/>
      <c r="DA125" s="656"/>
      <c r="DB125" s="656"/>
      <c r="DC125" s="656"/>
      <c r="DD125" s="656"/>
      <c r="DE125" s="656"/>
      <c r="DF125" s="656"/>
      <c r="DG125" s="656"/>
      <c r="DH125" s="656"/>
      <c r="DI125" s="656"/>
      <c r="DJ125" s="656"/>
      <c r="DK125" s="656"/>
      <c r="DL125" s="656"/>
      <c r="DM125" s="656"/>
      <c r="DN125" s="656"/>
      <c r="DO125" s="656"/>
      <c r="DP125" s="656"/>
      <c r="DQ125" s="656"/>
      <c r="DR125" s="656"/>
      <c r="DS125" s="656"/>
      <c r="DT125" s="656"/>
      <c r="DU125" s="656"/>
      <c r="DV125" s="656"/>
      <c r="DW125" s="656"/>
      <c r="DX125" s="656"/>
      <c r="DY125" s="656"/>
      <c r="DZ125" s="656"/>
    </row>
    <row r="126" spans="1:130">
      <c r="A126" s="656"/>
      <c r="B126" s="656"/>
      <c r="C126" s="656"/>
      <c r="D126" s="656"/>
      <c r="E126" s="656"/>
      <c r="F126" s="656"/>
      <c r="G126" s="656"/>
      <c r="H126" s="656"/>
      <c r="I126" s="656"/>
      <c r="J126" s="656"/>
      <c r="K126" s="656"/>
      <c r="L126" s="656"/>
      <c r="M126" s="656"/>
      <c r="N126" s="656"/>
      <c r="O126" s="656"/>
      <c r="P126" s="656"/>
      <c r="Q126" s="656"/>
      <c r="R126" s="656"/>
      <c r="S126" s="656"/>
      <c r="T126" s="656"/>
      <c r="U126" s="656"/>
      <c r="V126" s="656"/>
      <c r="W126" s="656"/>
      <c r="X126" s="656"/>
      <c r="Y126" s="656"/>
      <c r="Z126" s="656"/>
      <c r="AA126" s="656"/>
      <c r="AB126" s="656"/>
      <c r="AC126" s="656"/>
      <c r="AD126" s="656"/>
      <c r="AE126" s="656"/>
      <c r="AF126" s="656"/>
      <c r="AG126" s="656"/>
      <c r="AH126" s="656"/>
      <c r="AI126" s="656"/>
      <c r="AJ126" s="656"/>
      <c r="AK126" s="656"/>
      <c r="AL126" s="656"/>
      <c r="AM126" s="656"/>
      <c r="AN126" s="656"/>
      <c r="AO126" s="656"/>
      <c r="AP126" s="656"/>
      <c r="AQ126" s="656"/>
      <c r="AR126" s="656"/>
      <c r="AS126" s="656"/>
      <c r="AT126" s="656"/>
      <c r="AU126" s="656"/>
      <c r="AV126" s="656"/>
      <c r="AW126" s="656"/>
      <c r="AX126" s="656"/>
      <c r="AY126" s="656"/>
      <c r="AZ126" s="656"/>
      <c r="BA126" s="656"/>
      <c r="BB126" s="656"/>
      <c r="BC126" s="656"/>
      <c r="BD126" s="656"/>
      <c r="BE126" s="656"/>
      <c r="BF126" s="656"/>
      <c r="BG126" s="656"/>
      <c r="BH126" s="656"/>
      <c r="BI126" s="656"/>
      <c r="BJ126" s="656"/>
      <c r="BK126" s="656"/>
      <c r="BL126" s="656"/>
      <c r="BM126" s="656"/>
      <c r="BN126" s="656"/>
      <c r="BO126" s="656"/>
      <c r="BP126" s="656"/>
      <c r="BQ126" s="656"/>
      <c r="BR126" s="656"/>
      <c r="BS126" s="656"/>
      <c r="BT126" s="656"/>
      <c r="BU126" s="656"/>
      <c r="BV126" s="656"/>
      <c r="BW126" s="656"/>
      <c r="BX126" s="656"/>
      <c r="BY126" s="656"/>
      <c r="BZ126" s="656"/>
      <c r="CA126" s="656"/>
      <c r="CB126" s="656"/>
      <c r="CC126" s="656"/>
      <c r="CD126" s="656"/>
      <c r="CE126" s="656"/>
      <c r="CF126" s="656"/>
      <c r="CG126" s="656"/>
      <c r="CH126" s="656"/>
      <c r="CI126" s="656"/>
      <c r="CJ126" s="656"/>
      <c r="CK126" s="656"/>
      <c r="CL126" s="656"/>
      <c r="CM126" s="656"/>
      <c r="CN126" s="656"/>
      <c r="CO126" s="656"/>
      <c r="CP126" s="656"/>
      <c r="CQ126" s="656"/>
      <c r="CR126" s="656"/>
      <c r="CS126" s="656"/>
      <c r="CT126" s="656"/>
      <c r="CU126" s="656"/>
      <c r="CV126" s="656"/>
      <c r="CW126" s="656"/>
      <c r="CX126" s="656"/>
      <c r="CY126" s="656"/>
      <c r="CZ126" s="656"/>
      <c r="DA126" s="656"/>
      <c r="DB126" s="656"/>
      <c r="DC126" s="656"/>
      <c r="DD126" s="656"/>
      <c r="DE126" s="656"/>
      <c r="DF126" s="656"/>
      <c r="DG126" s="656"/>
      <c r="DH126" s="656"/>
      <c r="DI126" s="656"/>
      <c r="DJ126" s="656"/>
      <c r="DK126" s="656"/>
      <c r="DL126" s="656"/>
      <c r="DM126" s="656"/>
      <c r="DN126" s="656"/>
      <c r="DO126" s="656"/>
      <c r="DP126" s="656"/>
      <c r="DQ126" s="656"/>
      <c r="DR126" s="656"/>
      <c r="DS126" s="656"/>
      <c r="DT126" s="656"/>
      <c r="DU126" s="656"/>
      <c r="DV126" s="656"/>
      <c r="DW126" s="656"/>
      <c r="DX126" s="656"/>
      <c r="DY126" s="656"/>
      <c r="DZ126" s="656"/>
    </row>
    <row r="127" spans="1:130">
      <c r="A127" s="656"/>
      <c r="B127" s="656"/>
      <c r="C127" s="656"/>
      <c r="D127" s="656"/>
      <c r="E127" s="656"/>
      <c r="F127" s="656"/>
      <c r="G127" s="656"/>
      <c r="H127" s="656"/>
      <c r="I127" s="656"/>
      <c r="J127" s="656"/>
      <c r="K127" s="656"/>
      <c r="L127" s="656"/>
      <c r="M127" s="656"/>
      <c r="N127" s="656"/>
      <c r="O127" s="656"/>
      <c r="P127" s="656"/>
      <c r="Q127" s="656"/>
      <c r="R127" s="656"/>
      <c r="S127" s="656"/>
      <c r="T127" s="656"/>
      <c r="U127" s="656"/>
      <c r="V127" s="656"/>
      <c r="W127" s="656"/>
      <c r="X127" s="656"/>
      <c r="Y127" s="656"/>
      <c r="Z127" s="656"/>
      <c r="AA127" s="656"/>
      <c r="AB127" s="656"/>
      <c r="AC127" s="656"/>
      <c r="AD127" s="656"/>
      <c r="AE127" s="656"/>
      <c r="AF127" s="656"/>
      <c r="AG127" s="656"/>
      <c r="AH127" s="656"/>
      <c r="AI127" s="656"/>
      <c r="AJ127" s="656"/>
      <c r="AK127" s="656"/>
      <c r="AL127" s="656"/>
      <c r="AM127" s="656"/>
      <c r="AN127" s="656"/>
      <c r="AO127" s="656"/>
      <c r="AP127" s="656"/>
      <c r="AQ127" s="656"/>
      <c r="AR127" s="656"/>
      <c r="AS127" s="656"/>
      <c r="AT127" s="656"/>
      <c r="AU127" s="656"/>
      <c r="AV127" s="656"/>
      <c r="AW127" s="656"/>
      <c r="AX127" s="656"/>
      <c r="AY127" s="656"/>
      <c r="AZ127" s="656"/>
      <c r="BA127" s="656"/>
      <c r="BB127" s="656"/>
      <c r="BC127" s="656"/>
      <c r="BD127" s="656"/>
      <c r="BE127" s="656"/>
      <c r="BF127" s="656"/>
      <c r="BG127" s="656"/>
      <c r="BH127" s="656"/>
      <c r="BI127" s="656"/>
      <c r="BJ127" s="656"/>
      <c r="BK127" s="656"/>
      <c r="BL127" s="656"/>
      <c r="BM127" s="656"/>
      <c r="BN127" s="656"/>
      <c r="BO127" s="656"/>
      <c r="BP127" s="656"/>
      <c r="BQ127" s="656"/>
      <c r="BR127" s="656"/>
      <c r="BS127" s="656"/>
      <c r="BT127" s="656"/>
      <c r="BU127" s="656"/>
      <c r="BV127" s="656"/>
      <c r="BW127" s="656"/>
      <c r="BX127" s="656"/>
      <c r="BY127" s="656"/>
      <c r="BZ127" s="656"/>
      <c r="CA127" s="656"/>
      <c r="CB127" s="656"/>
      <c r="CC127" s="656"/>
      <c r="CD127" s="656"/>
      <c r="CE127" s="656"/>
      <c r="CF127" s="656"/>
      <c r="CG127" s="656"/>
      <c r="CH127" s="656"/>
      <c r="CI127" s="656"/>
      <c r="CJ127" s="656"/>
      <c r="CK127" s="656"/>
      <c r="CL127" s="656"/>
      <c r="CM127" s="656"/>
      <c r="CN127" s="656"/>
      <c r="CO127" s="656"/>
      <c r="CP127" s="656"/>
      <c r="CQ127" s="656"/>
      <c r="CR127" s="656"/>
      <c r="CS127" s="656"/>
      <c r="CT127" s="656"/>
      <c r="CU127" s="656"/>
      <c r="CV127" s="656"/>
      <c r="CW127" s="656"/>
      <c r="CX127" s="656"/>
      <c r="CY127" s="656"/>
      <c r="CZ127" s="656"/>
      <c r="DA127" s="656"/>
      <c r="DB127" s="656"/>
      <c r="DC127" s="656"/>
      <c r="DD127" s="656"/>
      <c r="DE127" s="656"/>
      <c r="DF127" s="656"/>
      <c r="DG127" s="656"/>
      <c r="DH127" s="656"/>
      <c r="DI127" s="656"/>
      <c r="DJ127" s="656"/>
      <c r="DK127" s="656"/>
      <c r="DL127" s="656"/>
      <c r="DM127" s="656"/>
      <c r="DN127" s="656"/>
      <c r="DO127" s="656"/>
      <c r="DP127" s="656"/>
      <c r="DQ127" s="656"/>
      <c r="DR127" s="656"/>
      <c r="DS127" s="656"/>
      <c r="DT127" s="656"/>
      <c r="DU127" s="656"/>
      <c r="DV127" s="656"/>
      <c r="DW127" s="656"/>
      <c r="DX127" s="656"/>
      <c r="DY127" s="656"/>
      <c r="DZ127" s="656"/>
    </row>
    <row r="128" spans="1:130">
      <c r="A128" s="656"/>
      <c r="B128" s="656"/>
      <c r="C128" s="656"/>
      <c r="D128" s="656"/>
      <c r="E128" s="656"/>
      <c r="F128" s="656"/>
      <c r="G128" s="656"/>
      <c r="H128" s="656"/>
      <c r="I128" s="656"/>
      <c r="J128" s="656"/>
      <c r="K128" s="656"/>
      <c r="L128" s="656"/>
      <c r="M128" s="656"/>
      <c r="N128" s="656"/>
      <c r="O128" s="656"/>
      <c r="P128" s="656"/>
      <c r="Q128" s="656"/>
      <c r="R128" s="656"/>
      <c r="S128" s="656"/>
      <c r="T128" s="656"/>
      <c r="U128" s="656"/>
      <c r="V128" s="656"/>
      <c r="W128" s="656"/>
      <c r="X128" s="656"/>
      <c r="Y128" s="656"/>
      <c r="Z128" s="656"/>
      <c r="AA128" s="656"/>
      <c r="AB128" s="656"/>
      <c r="AC128" s="656"/>
      <c r="AD128" s="656"/>
      <c r="AE128" s="656"/>
      <c r="AF128" s="656"/>
      <c r="AG128" s="656"/>
      <c r="AH128" s="656"/>
      <c r="AI128" s="656"/>
      <c r="AJ128" s="656"/>
      <c r="AK128" s="656"/>
      <c r="AL128" s="656"/>
      <c r="AM128" s="656"/>
      <c r="AN128" s="656"/>
      <c r="AO128" s="656"/>
      <c r="AP128" s="656"/>
      <c r="AQ128" s="656"/>
      <c r="AR128" s="656"/>
      <c r="AS128" s="656"/>
      <c r="AT128" s="656"/>
      <c r="AU128" s="656"/>
      <c r="AV128" s="656"/>
      <c r="AW128" s="656"/>
      <c r="AX128" s="656"/>
      <c r="AY128" s="656"/>
      <c r="AZ128" s="656"/>
      <c r="BA128" s="656"/>
      <c r="BB128" s="656"/>
      <c r="BC128" s="656"/>
      <c r="BD128" s="656"/>
      <c r="BE128" s="656"/>
      <c r="BF128" s="656"/>
      <c r="BG128" s="656"/>
      <c r="BH128" s="656"/>
      <c r="BI128" s="656"/>
      <c r="BJ128" s="656"/>
      <c r="BK128" s="656"/>
      <c r="BL128" s="656"/>
      <c r="BM128" s="656"/>
      <c r="BN128" s="656"/>
      <c r="BO128" s="656"/>
      <c r="BP128" s="656"/>
      <c r="BQ128" s="656"/>
      <c r="BR128" s="656"/>
      <c r="BS128" s="656"/>
      <c r="BT128" s="656"/>
      <c r="BU128" s="656"/>
      <c r="BV128" s="656"/>
      <c r="BW128" s="656"/>
      <c r="BX128" s="656"/>
      <c r="BY128" s="656"/>
      <c r="BZ128" s="656"/>
      <c r="CA128" s="656"/>
      <c r="CB128" s="656"/>
      <c r="CC128" s="656"/>
      <c r="CD128" s="656"/>
      <c r="CE128" s="656"/>
      <c r="CF128" s="656"/>
      <c r="CG128" s="656"/>
      <c r="CH128" s="656"/>
      <c r="CI128" s="656"/>
      <c r="CJ128" s="656"/>
      <c r="CK128" s="656"/>
      <c r="CL128" s="656"/>
      <c r="CM128" s="656"/>
      <c r="CN128" s="656"/>
      <c r="CO128" s="656"/>
      <c r="CP128" s="656"/>
      <c r="CQ128" s="656"/>
      <c r="CR128" s="656"/>
      <c r="CS128" s="656"/>
      <c r="CT128" s="656"/>
      <c r="CU128" s="656"/>
      <c r="CV128" s="656"/>
      <c r="CW128" s="656"/>
      <c r="CX128" s="656"/>
      <c r="CY128" s="656"/>
      <c r="CZ128" s="656"/>
      <c r="DA128" s="656"/>
      <c r="DB128" s="656"/>
      <c r="DC128" s="656"/>
      <c r="DD128" s="656"/>
      <c r="DE128" s="656"/>
      <c r="DF128" s="656"/>
      <c r="DG128" s="656"/>
      <c r="DH128" s="656"/>
      <c r="DI128" s="656"/>
      <c r="DJ128" s="656"/>
      <c r="DK128" s="656"/>
      <c r="DL128" s="656"/>
      <c r="DM128" s="656"/>
      <c r="DN128" s="656"/>
      <c r="DO128" s="656"/>
      <c r="DP128" s="656"/>
      <c r="DQ128" s="656"/>
      <c r="DR128" s="656"/>
      <c r="DS128" s="656"/>
      <c r="DT128" s="656"/>
      <c r="DU128" s="656"/>
      <c r="DV128" s="656"/>
      <c r="DW128" s="656"/>
      <c r="DX128" s="656"/>
      <c r="DY128" s="656"/>
      <c r="DZ128" s="656"/>
    </row>
    <row r="129" spans="1:130">
      <c r="A129" s="656"/>
      <c r="B129" s="656"/>
      <c r="C129" s="656"/>
      <c r="D129" s="656"/>
      <c r="E129" s="656"/>
      <c r="F129" s="656"/>
      <c r="G129" s="656"/>
      <c r="H129" s="656"/>
      <c r="I129" s="656"/>
      <c r="J129" s="656"/>
      <c r="K129" s="656"/>
      <c r="L129" s="656"/>
      <c r="M129" s="656"/>
      <c r="N129" s="656"/>
      <c r="O129" s="656"/>
      <c r="P129" s="656"/>
      <c r="Q129" s="656"/>
      <c r="R129" s="656"/>
      <c r="S129" s="656"/>
      <c r="T129" s="656"/>
      <c r="U129" s="656"/>
      <c r="V129" s="656"/>
      <c r="W129" s="656"/>
      <c r="X129" s="656"/>
      <c r="Y129" s="656"/>
      <c r="Z129" s="656"/>
      <c r="AA129" s="656"/>
      <c r="AB129" s="656"/>
      <c r="AC129" s="656"/>
      <c r="AD129" s="656"/>
      <c r="AE129" s="656"/>
      <c r="AF129" s="656"/>
      <c r="AG129" s="656"/>
      <c r="AH129" s="656"/>
      <c r="AI129" s="656"/>
      <c r="AJ129" s="656"/>
      <c r="AK129" s="656"/>
      <c r="AL129" s="656"/>
      <c r="AM129" s="656"/>
      <c r="AN129" s="656"/>
      <c r="AO129" s="656"/>
      <c r="AP129" s="656"/>
      <c r="AQ129" s="656"/>
      <c r="AR129" s="656"/>
      <c r="AS129" s="656"/>
      <c r="AT129" s="656"/>
      <c r="AU129" s="656"/>
      <c r="AV129" s="656"/>
      <c r="AW129" s="656"/>
      <c r="AX129" s="656"/>
      <c r="AY129" s="656"/>
      <c r="AZ129" s="656"/>
      <c r="BA129" s="656"/>
      <c r="BB129" s="656"/>
      <c r="BC129" s="656"/>
      <c r="BD129" s="656"/>
      <c r="BE129" s="656"/>
      <c r="BF129" s="656"/>
      <c r="BG129" s="656"/>
      <c r="BH129" s="656"/>
      <c r="BI129" s="656"/>
      <c r="BJ129" s="656"/>
      <c r="BK129" s="656"/>
      <c r="BL129" s="656"/>
      <c r="BM129" s="656"/>
      <c r="BN129" s="656"/>
      <c r="BO129" s="656"/>
      <c r="BP129" s="656"/>
      <c r="BQ129" s="656"/>
      <c r="BR129" s="656"/>
      <c r="BS129" s="656"/>
      <c r="BT129" s="656"/>
      <c r="BU129" s="656"/>
      <c r="BV129" s="656"/>
      <c r="BW129" s="656"/>
      <c r="BX129" s="656"/>
      <c r="BY129" s="656"/>
      <c r="BZ129" s="656"/>
      <c r="CA129" s="656"/>
      <c r="CB129" s="656"/>
      <c r="CC129" s="656"/>
      <c r="CD129" s="656"/>
      <c r="CE129" s="656"/>
      <c r="CF129" s="656"/>
      <c r="CG129" s="656"/>
      <c r="CH129" s="656"/>
      <c r="CI129" s="656"/>
      <c r="CJ129" s="656"/>
      <c r="CK129" s="656"/>
      <c r="CL129" s="656"/>
      <c r="CM129" s="656"/>
      <c r="CN129" s="656"/>
      <c r="CO129" s="656"/>
      <c r="CP129" s="656"/>
      <c r="CQ129" s="656"/>
      <c r="CR129" s="656"/>
      <c r="CS129" s="656"/>
      <c r="CT129" s="656"/>
      <c r="CU129" s="656"/>
      <c r="CV129" s="656"/>
      <c r="CW129" s="656"/>
      <c r="CX129" s="656"/>
      <c r="CY129" s="656"/>
      <c r="CZ129" s="656"/>
      <c r="DA129" s="656"/>
      <c r="DB129" s="656"/>
      <c r="DC129" s="656"/>
      <c r="DD129" s="656"/>
      <c r="DE129" s="656"/>
      <c r="DF129" s="656"/>
      <c r="DG129" s="656"/>
      <c r="DH129" s="656"/>
      <c r="DI129" s="656"/>
      <c r="DJ129" s="656"/>
      <c r="DK129" s="656"/>
      <c r="DL129" s="656"/>
      <c r="DM129" s="656"/>
      <c r="DN129" s="656"/>
      <c r="DO129" s="656"/>
      <c r="DP129" s="656"/>
      <c r="DQ129" s="656"/>
      <c r="DR129" s="656"/>
      <c r="DS129" s="656"/>
      <c r="DT129" s="656"/>
      <c r="DU129" s="656"/>
      <c r="DV129" s="656"/>
      <c r="DW129" s="656"/>
      <c r="DX129" s="656"/>
      <c r="DY129" s="656"/>
      <c r="DZ129" s="656"/>
    </row>
    <row r="130" spans="1:130">
      <c r="A130" s="656"/>
      <c r="B130" s="656"/>
      <c r="C130" s="656"/>
      <c r="D130" s="656"/>
      <c r="E130" s="656"/>
      <c r="F130" s="656"/>
      <c r="G130" s="656"/>
      <c r="H130" s="656"/>
      <c r="I130" s="656"/>
      <c r="J130" s="656"/>
      <c r="K130" s="656"/>
      <c r="L130" s="656"/>
      <c r="M130" s="656"/>
      <c r="N130" s="656"/>
      <c r="O130" s="656"/>
      <c r="P130" s="656"/>
      <c r="Q130" s="656"/>
      <c r="R130" s="656"/>
      <c r="S130" s="656"/>
      <c r="T130" s="656"/>
      <c r="U130" s="656"/>
      <c r="V130" s="656"/>
      <c r="W130" s="656"/>
      <c r="X130" s="656"/>
      <c r="Y130" s="656"/>
      <c r="Z130" s="656"/>
      <c r="AA130" s="656"/>
      <c r="AB130" s="656"/>
      <c r="AC130" s="656"/>
      <c r="AD130" s="656"/>
      <c r="AE130" s="656"/>
      <c r="AF130" s="656"/>
      <c r="AG130" s="656"/>
      <c r="AH130" s="656"/>
      <c r="AI130" s="656"/>
      <c r="AJ130" s="656"/>
      <c r="AK130" s="656"/>
      <c r="AL130" s="656"/>
      <c r="AM130" s="656"/>
      <c r="AN130" s="656"/>
      <c r="AO130" s="656"/>
      <c r="AP130" s="656"/>
      <c r="AQ130" s="656"/>
      <c r="AR130" s="656"/>
      <c r="AS130" s="656"/>
      <c r="AT130" s="656"/>
      <c r="AU130" s="656"/>
      <c r="AV130" s="656"/>
      <c r="AW130" s="656"/>
      <c r="AX130" s="656"/>
      <c r="AY130" s="656"/>
      <c r="AZ130" s="656"/>
      <c r="BA130" s="656"/>
      <c r="BB130" s="656"/>
      <c r="BC130" s="656"/>
      <c r="BD130" s="656"/>
      <c r="BE130" s="656"/>
      <c r="BF130" s="656"/>
      <c r="BG130" s="656"/>
      <c r="BH130" s="656"/>
      <c r="BI130" s="656"/>
      <c r="BJ130" s="656"/>
      <c r="BK130" s="656"/>
      <c r="BL130" s="656"/>
      <c r="BM130" s="656"/>
      <c r="BN130" s="656"/>
      <c r="BO130" s="656"/>
      <c r="BP130" s="656"/>
      <c r="BQ130" s="656"/>
      <c r="BR130" s="656"/>
      <c r="BS130" s="656"/>
      <c r="BT130" s="656"/>
      <c r="BU130" s="656"/>
      <c r="BV130" s="656"/>
      <c r="BW130" s="656"/>
      <c r="BX130" s="656"/>
      <c r="BY130" s="656"/>
      <c r="BZ130" s="656"/>
      <c r="CA130" s="656"/>
      <c r="CB130" s="656"/>
      <c r="CC130" s="656"/>
      <c r="CD130" s="656"/>
      <c r="CE130" s="656"/>
      <c r="CF130" s="656"/>
      <c r="CG130" s="656"/>
      <c r="CH130" s="656"/>
      <c r="CI130" s="656"/>
      <c r="CJ130" s="656"/>
      <c r="CK130" s="656"/>
      <c r="CL130" s="656"/>
      <c r="CM130" s="656"/>
      <c r="CN130" s="656"/>
      <c r="CO130" s="656"/>
      <c r="CP130" s="656"/>
      <c r="CQ130" s="656"/>
      <c r="CR130" s="656"/>
      <c r="CS130" s="656"/>
      <c r="CT130" s="656"/>
      <c r="CU130" s="656"/>
      <c r="CV130" s="656"/>
      <c r="CW130" s="656"/>
      <c r="CX130" s="656"/>
      <c r="CY130" s="656"/>
      <c r="CZ130" s="656"/>
      <c r="DA130" s="656"/>
      <c r="DB130" s="656"/>
      <c r="DC130" s="656"/>
      <c r="DD130" s="656"/>
      <c r="DE130" s="656"/>
      <c r="DF130" s="656"/>
      <c r="DG130" s="656"/>
      <c r="DH130" s="656"/>
      <c r="DI130" s="656"/>
      <c r="DJ130" s="656"/>
      <c r="DK130" s="656"/>
      <c r="DL130" s="656"/>
      <c r="DM130" s="656"/>
      <c r="DN130" s="656"/>
      <c r="DO130" s="656"/>
      <c r="DP130" s="656"/>
      <c r="DQ130" s="656"/>
      <c r="DR130" s="656"/>
      <c r="DS130" s="656"/>
      <c r="DT130" s="656"/>
      <c r="DU130" s="656"/>
      <c r="DV130" s="656"/>
      <c r="DW130" s="656"/>
      <c r="DX130" s="656"/>
      <c r="DY130" s="656"/>
      <c r="DZ130" s="656"/>
    </row>
    <row r="131" spans="1:130">
      <c r="A131" s="656"/>
      <c r="B131" s="656"/>
      <c r="C131" s="656"/>
      <c r="D131" s="656"/>
      <c r="E131" s="656"/>
      <c r="F131" s="656"/>
      <c r="G131" s="656"/>
      <c r="H131" s="656"/>
      <c r="I131" s="656"/>
      <c r="J131" s="656"/>
      <c r="K131" s="656"/>
      <c r="L131" s="656"/>
      <c r="M131" s="656"/>
      <c r="N131" s="656"/>
      <c r="O131" s="656"/>
      <c r="P131" s="656"/>
      <c r="Q131" s="656"/>
      <c r="R131" s="656"/>
      <c r="S131" s="656"/>
      <c r="T131" s="656"/>
      <c r="U131" s="656"/>
      <c r="V131" s="656"/>
      <c r="W131" s="656"/>
      <c r="X131" s="656"/>
      <c r="Y131" s="656"/>
      <c r="Z131" s="656"/>
      <c r="AA131" s="656"/>
      <c r="AB131" s="656"/>
      <c r="AC131" s="656"/>
      <c r="AD131" s="656"/>
      <c r="AE131" s="656"/>
      <c r="AF131" s="656"/>
      <c r="AG131" s="656"/>
      <c r="AH131" s="656"/>
      <c r="AI131" s="656"/>
      <c r="AJ131" s="656"/>
      <c r="AK131" s="656"/>
      <c r="AL131" s="656"/>
      <c r="AM131" s="656"/>
      <c r="AN131" s="656"/>
      <c r="AO131" s="656"/>
      <c r="AP131" s="656"/>
      <c r="AQ131" s="656"/>
      <c r="AR131" s="656"/>
      <c r="AS131" s="656"/>
      <c r="AT131" s="656"/>
      <c r="AU131" s="656"/>
      <c r="AV131" s="656"/>
      <c r="AW131" s="656"/>
      <c r="AX131" s="656"/>
      <c r="AY131" s="656"/>
      <c r="AZ131" s="656"/>
      <c r="BA131" s="656"/>
      <c r="BB131" s="656"/>
      <c r="BC131" s="656"/>
      <c r="BD131" s="656"/>
      <c r="BE131" s="656"/>
      <c r="BF131" s="656"/>
      <c r="BG131" s="656"/>
      <c r="BH131" s="656"/>
      <c r="BI131" s="656"/>
      <c r="BJ131" s="656"/>
      <c r="BK131" s="656"/>
      <c r="BL131" s="656"/>
      <c r="BM131" s="656"/>
      <c r="BN131" s="656"/>
      <c r="BO131" s="656"/>
      <c r="BP131" s="656"/>
      <c r="BQ131" s="656"/>
      <c r="BR131" s="656"/>
      <c r="BS131" s="656"/>
      <c r="BT131" s="656"/>
      <c r="BU131" s="656"/>
      <c r="BV131" s="656"/>
      <c r="BW131" s="656"/>
      <c r="BX131" s="656"/>
      <c r="BY131" s="656"/>
      <c r="BZ131" s="656"/>
      <c r="CA131" s="656"/>
      <c r="CB131" s="656"/>
      <c r="CC131" s="656"/>
      <c r="CD131" s="656"/>
      <c r="CE131" s="656"/>
      <c r="CF131" s="656"/>
      <c r="CG131" s="656"/>
      <c r="CH131" s="656"/>
      <c r="CI131" s="656"/>
      <c r="CJ131" s="656"/>
      <c r="CK131" s="656"/>
      <c r="CL131" s="656"/>
      <c r="CM131" s="656"/>
      <c r="CN131" s="656"/>
      <c r="CO131" s="656"/>
      <c r="CP131" s="656"/>
      <c r="CQ131" s="656"/>
      <c r="CR131" s="656"/>
      <c r="CS131" s="656"/>
      <c r="CT131" s="656"/>
      <c r="CU131" s="656"/>
      <c r="CV131" s="656"/>
      <c r="CW131" s="656"/>
      <c r="CX131" s="656"/>
      <c r="CY131" s="656"/>
      <c r="CZ131" s="656"/>
      <c r="DA131" s="656"/>
      <c r="DB131" s="656"/>
      <c r="DC131" s="656"/>
      <c r="DD131" s="656"/>
      <c r="DE131" s="656"/>
      <c r="DF131" s="656"/>
      <c r="DG131" s="656"/>
      <c r="DH131" s="656"/>
      <c r="DI131" s="656"/>
      <c r="DJ131" s="656"/>
      <c r="DK131" s="656"/>
      <c r="DL131" s="656"/>
      <c r="DM131" s="656"/>
      <c r="DN131" s="656"/>
      <c r="DO131" s="656"/>
      <c r="DP131" s="656"/>
      <c r="DQ131" s="656"/>
      <c r="DR131" s="656"/>
      <c r="DS131" s="656"/>
      <c r="DT131" s="656"/>
      <c r="DU131" s="656"/>
      <c r="DV131" s="656"/>
      <c r="DW131" s="656"/>
      <c r="DX131" s="656"/>
      <c r="DY131" s="656"/>
      <c r="DZ131" s="656"/>
    </row>
    <row r="132" spans="1:130">
      <c r="A132" s="656"/>
      <c r="B132" s="656"/>
      <c r="C132" s="656"/>
      <c r="D132" s="656"/>
      <c r="E132" s="656"/>
      <c r="F132" s="656"/>
      <c r="G132" s="656"/>
      <c r="H132" s="656"/>
      <c r="I132" s="656"/>
      <c r="J132" s="656"/>
      <c r="K132" s="656"/>
      <c r="L132" s="656"/>
      <c r="M132" s="656"/>
      <c r="N132" s="656"/>
      <c r="O132" s="656"/>
      <c r="P132" s="656"/>
      <c r="Q132" s="656"/>
      <c r="R132" s="656"/>
      <c r="S132" s="656"/>
      <c r="T132" s="656"/>
      <c r="U132" s="656"/>
      <c r="V132" s="656"/>
      <c r="W132" s="656"/>
      <c r="X132" s="656"/>
      <c r="Y132" s="656"/>
      <c r="Z132" s="656"/>
      <c r="AA132" s="656"/>
      <c r="AB132" s="656"/>
      <c r="AC132" s="656"/>
      <c r="AD132" s="656"/>
      <c r="AE132" s="656"/>
      <c r="AF132" s="656"/>
      <c r="AG132" s="656"/>
      <c r="AH132" s="656"/>
      <c r="AI132" s="656"/>
      <c r="AJ132" s="656"/>
      <c r="AK132" s="656"/>
      <c r="AL132" s="656"/>
      <c r="AM132" s="656"/>
      <c r="AN132" s="656"/>
      <c r="AO132" s="656"/>
      <c r="AP132" s="656"/>
      <c r="AQ132" s="656"/>
      <c r="AR132" s="656"/>
      <c r="AS132" s="656"/>
      <c r="AT132" s="656"/>
      <c r="AU132" s="656"/>
      <c r="AV132" s="656"/>
      <c r="AW132" s="656"/>
      <c r="AX132" s="656"/>
      <c r="AY132" s="656"/>
      <c r="AZ132" s="656"/>
      <c r="BA132" s="656"/>
      <c r="BB132" s="656"/>
      <c r="BC132" s="656"/>
      <c r="BD132" s="656"/>
      <c r="BE132" s="656"/>
      <c r="BF132" s="656"/>
      <c r="BG132" s="656"/>
      <c r="BH132" s="656"/>
      <c r="BI132" s="656"/>
      <c r="BJ132" s="656"/>
      <c r="BK132" s="656"/>
      <c r="BL132" s="656"/>
      <c r="BM132" s="656"/>
      <c r="BN132" s="656"/>
      <c r="BO132" s="656"/>
      <c r="BP132" s="656"/>
      <c r="BQ132" s="656"/>
      <c r="BR132" s="656"/>
      <c r="BS132" s="656"/>
      <c r="BT132" s="656"/>
      <c r="BU132" s="656"/>
      <c r="BV132" s="656"/>
      <c r="BW132" s="656"/>
      <c r="BX132" s="656"/>
      <c r="BY132" s="656"/>
      <c r="BZ132" s="656"/>
      <c r="CA132" s="656"/>
      <c r="CB132" s="656"/>
      <c r="CC132" s="656"/>
      <c r="CD132" s="656"/>
      <c r="CE132" s="656"/>
      <c r="CF132" s="656"/>
      <c r="CG132" s="656"/>
      <c r="CH132" s="656"/>
      <c r="CI132" s="656"/>
      <c r="CJ132" s="656"/>
      <c r="CK132" s="656"/>
      <c r="CL132" s="656"/>
      <c r="CM132" s="656"/>
      <c r="CN132" s="656"/>
      <c r="CO132" s="656"/>
      <c r="CP132" s="656"/>
      <c r="CQ132" s="656"/>
      <c r="CR132" s="656"/>
      <c r="CS132" s="656"/>
      <c r="CT132" s="656"/>
      <c r="CU132" s="656"/>
      <c r="CV132" s="656"/>
      <c r="CW132" s="656"/>
      <c r="CX132" s="656"/>
      <c r="CY132" s="656"/>
      <c r="CZ132" s="656"/>
      <c r="DA132" s="656"/>
      <c r="DB132" s="656"/>
      <c r="DC132" s="656"/>
      <c r="DD132" s="656"/>
      <c r="DE132" s="656"/>
      <c r="DF132" s="656"/>
      <c r="DG132" s="656"/>
      <c r="DH132" s="656"/>
      <c r="DI132" s="656"/>
      <c r="DJ132" s="656"/>
      <c r="DK132" s="656"/>
      <c r="DL132" s="656"/>
      <c r="DM132" s="656"/>
      <c r="DN132" s="656"/>
      <c r="DO132" s="656"/>
      <c r="DP132" s="656"/>
      <c r="DQ132" s="656"/>
      <c r="DR132" s="656"/>
      <c r="DS132" s="656"/>
      <c r="DT132" s="656"/>
      <c r="DU132" s="656"/>
      <c r="DV132" s="656"/>
      <c r="DW132" s="656"/>
      <c r="DX132" s="656"/>
      <c r="DY132" s="656"/>
      <c r="DZ132" s="656"/>
    </row>
    <row r="133" spans="1:130">
      <c r="A133" s="656"/>
      <c r="B133" s="656"/>
      <c r="C133" s="656"/>
      <c r="D133" s="656"/>
      <c r="E133" s="656"/>
      <c r="F133" s="656"/>
      <c r="G133" s="656"/>
      <c r="H133" s="656"/>
      <c r="I133" s="656"/>
      <c r="J133" s="656"/>
      <c r="K133" s="656"/>
      <c r="L133" s="656"/>
      <c r="M133" s="656"/>
      <c r="N133" s="656"/>
      <c r="O133" s="656"/>
      <c r="P133" s="656"/>
      <c r="Q133" s="656"/>
      <c r="R133" s="656"/>
      <c r="S133" s="656"/>
      <c r="T133" s="656"/>
      <c r="U133" s="656"/>
      <c r="V133" s="656"/>
      <c r="W133" s="656"/>
      <c r="X133" s="656"/>
      <c r="Y133" s="656"/>
      <c r="Z133" s="656"/>
      <c r="AA133" s="656"/>
      <c r="AB133" s="656"/>
      <c r="AC133" s="656"/>
      <c r="AD133" s="656"/>
      <c r="AE133" s="656"/>
      <c r="AF133" s="656"/>
      <c r="AG133" s="656"/>
      <c r="AH133" s="656"/>
      <c r="AI133" s="656"/>
      <c r="AJ133" s="656"/>
      <c r="AK133" s="656"/>
      <c r="AL133" s="656"/>
      <c r="AM133" s="656"/>
      <c r="AN133" s="656"/>
      <c r="AO133" s="656"/>
      <c r="AP133" s="656"/>
      <c r="AQ133" s="656"/>
      <c r="AR133" s="656"/>
      <c r="AS133" s="656"/>
      <c r="AT133" s="656"/>
      <c r="AU133" s="656"/>
      <c r="AV133" s="656"/>
      <c r="AW133" s="656"/>
      <c r="AX133" s="656"/>
      <c r="AY133" s="656"/>
      <c r="AZ133" s="656"/>
      <c r="BA133" s="656"/>
      <c r="BB133" s="656"/>
      <c r="BC133" s="656"/>
      <c r="BD133" s="656"/>
      <c r="BE133" s="656"/>
      <c r="BF133" s="656"/>
      <c r="BG133" s="656"/>
      <c r="BH133" s="656"/>
      <c r="BI133" s="656"/>
      <c r="BJ133" s="656"/>
      <c r="BK133" s="656"/>
      <c r="BL133" s="656"/>
      <c r="BM133" s="656"/>
      <c r="BN133" s="656"/>
      <c r="BO133" s="656"/>
      <c r="BP133" s="656"/>
      <c r="BQ133" s="656"/>
      <c r="BR133" s="656"/>
      <c r="BS133" s="656"/>
      <c r="BT133" s="656"/>
      <c r="BU133" s="656"/>
      <c r="BV133" s="656"/>
      <c r="BW133" s="656"/>
      <c r="BX133" s="656"/>
      <c r="BY133" s="656"/>
      <c r="BZ133" s="656"/>
      <c r="CA133" s="656"/>
      <c r="CB133" s="656"/>
      <c r="CC133" s="656"/>
      <c r="CD133" s="656"/>
      <c r="CE133" s="656"/>
      <c r="CF133" s="656"/>
      <c r="CG133" s="656"/>
      <c r="CH133" s="656"/>
      <c r="CI133" s="656"/>
      <c r="CJ133" s="656"/>
      <c r="CK133" s="656"/>
      <c r="CL133" s="656"/>
      <c r="CM133" s="656"/>
      <c r="CN133" s="656"/>
      <c r="CO133" s="656"/>
      <c r="CP133" s="656"/>
      <c r="CQ133" s="656"/>
      <c r="CR133" s="656"/>
      <c r="CS133" s="656"/>
      <c r="CT133" s="656"/>
      <c r="CU133" s="656"/>
      <c r="CV133" s="656"/>
      <c r="CW133" s="656"/>
      <c r="CX133" s="656"/>
      <c r="CY133" s="656"/>
      <c r="CZ133" s="656"/>
      <c r="DA133" s="656"/>
      <c r="DB133" s="656"/>
      <c r="DC133" s="656"/>
      <c r="DD133" s="656"/>
      <c r="DE133" s="656"/>
      <c r="DF133" s="656"/>
      <c r="DG133" s="656"/>
      <c r="DH133" s="656"/>
      <c r="DI133" s="656"/>
      <c r="DJ133" s="656"/>
      <c r="DK133" s="656"/>
      <c r="DL133" s="656"/>
      <c r="DM133" s="656"/>
      <c r="DN133" s="656"/>
      <c r="DO133" s="656"/>
      <c r="DP133" s="656"/>
      <c r="DQ133" s="656"/>
      <c r="DR133" s="656"/>
      <c r="DS133" s="656"/>
      <c r="DT133" s="656"/>
      <c r="DU133" s="656"/>
      <c r="DV133" s="656"/>
      <c r="DW133" s="656"/>
      <c r="DX133" s="656"/>
      <c r="DY133" s="656"/>
      <c r="DZ133" s="656"/>
    </row>
    <row r="134" spans="1:130">
      <c r="A134" s="656"/>
      <c r="B134" s="656"/>
      <c r="C134" s="656"/>
      <c r="D134" s="656"/>
      <c r="E134" s="656"/>
      <c r="F134" s="656"/>
      <c r="G134" s="656"/>
      <c r="H134" s="656"/>
      <c r="I134" s="656"/>
      <c r="J134" s="656"/>
      <c r="K134" s="656"/>
      <c r="L134" s="656"/>
      <c r="M134" s="656"/>
      <c r="N134" s="656"/>
      <c r="O134" s="656"/>
      <c r="P134" s="656"/>
      <c r="Q134" s="656"/>
      <c r="R134" s="656"/>
      <c r="S134" s="656"/>
      <c r="T134" s="656"/>
      <c r="U134" s="656"/>
      <c r="V134" s="656"/>
      <c r="W134" s="656"/>
      <c r="X134" s="656"/>
      <c r="Y134" s="656"/>
      <c r="Z134" s="656"/>
      <c r="AA134" s="656"/>
      <c r="AB134" s="656"/>
      <c r="AC134" s="656"/>
      <c r="AD134" s="656"/>
      <c r="AE134" s="656"/>
      <c r="AF134" s="656"/>
      <c r="AG134" s="656"/>
      <c r="AH134" s="656"/>
      <c r="AI134" s="656"/>
      <c r="AJ134" s="656"/>
      <c r="AK134" s="656"/>
      <c r="AL134" s="656"/>
      <c r="AM134" s="656"/>
      <c r="AN134" s="656"/>
      <c r="AO134" s="656"/>
      <c r="AP134" s="656"/>
      <c r="AQ134" s="656"/>
      <c r="AR134" s="656"/>
      <c r="AS134" s="656"/>
      <c r="AT134" s="656"/>
      <c r="AU134" s="656"/>
      <c r="AV134" s="656"/>
      <c r="AW134" s="656"/>
      <c r="AX134" s="656"/>
      <c r="AY134" s="656"/>
      <c r="AZ134" s="656"/>
      <c r="BA134" s="656"/>
      <c r="BB134" s="656"/>
      <c r="BC134" s="656"/>
      <c r="BD134" s="656"/>
      <c r="BE134" s="656"/>
      <c r="BF134" s="656"/>
      <c r="BG134" s="656"/>
      <c r="BH134" s="656"/>
      <c r="BI134" s="656"/>
      <c r="BJ134" s="656"/>
      <c r="BK134" s="656"/>
      <c r="BL134" s="656"/>
      <c r="BM134" s="656"/>
      <c r="BN134" s="656"/>
      <c r="BO134" s="656"/>
      <c r="BP134" s="656"/>
      <c r="BQ134" s="656"/>
      <c r="BR134" s="656"/>
      <c r="BS134" s="656"/>
      <c r="BT134" s="656"/>
      <c r="BU134" s="656"/>
      <c r="BV134" s="656"/>
      <c r="BW134" s="656"/>
      <c r="BX134" s="656"/>
      <c r="BY134" s="656"/>
      <c r="BZ134" s="656"/>
      <c r="CA134" s="656"/>
      <c r="CB134" s="656"/>
      <c r="CC134" s="656"/>
      <c r="CD134" s="656"/>
      <c r="CE134" s="656"/>
      <c r="CF134" s="656"/>
      <c r="CG134" s="656"/>
      <c r="CH134" s="656"/>
      <c r="CI134" s="656"/>
      <c r="CJ134" s="656"/>
      <c r="CK134" s="656"/>
      <c r="CL134" s="656"/>
      <c r="CM134" s="656"/>
      <c r="CN134" s="656"/>
      <c r="CO134" s="656"/>
      <c r="CP134" s="656"/>
      <c r="CQ134" s="656"/>
      <c r="CR134" s="656"/>
      <c r="CS134" s="656"/>
      <c r="CT134" s="656"/>
      <c r="CU134" s="656"/>
      <c r="CV134" s="656"/>
      <c r="CW134" s="656"/>
      <c r="CX134" s="656"/>
      <c r="CY134" s="656"/>
      <c r="CZ134" s="656"/>
      <c r="DA134" s="656"/>
      <c r="DB134" s="656"/>
      <c r="DC134" s="656"/>
      <c r="DD134" s="656"/>
      <c r="DE134" s="656"/>
      <c r="DF134" s="656"/>
      <c r="DG134" s="656"/>
      <c r="DH134" s="656"/>
      <c r="DI134" s="656"/>
      <c r="DJ134" s="656"/>
      <c r="DK134" s="656"/>
      <c r="DL134" s="656"/>
      <c r="DM134" s="656"/>
      <c r="DN134" s="656"/>
      <c r="DO134" s="656"/>
      <c r="DP134" s="656"/>
      <c r="DQ134" s="656"/>
      <c r="DR134" s="656"/>
      <c r="DS134" s="656"/>
      <c r="DT134" s="656"/>
      <c r="DU134" s="656"/>
      <c r="DV134" s="656"/>
      <c r="DW134" s="656"/>
      <c r="DX134" s="656"/>
      <c r="DY134" s="656"/>
      <c r="DZ134" s="656"/>
    </row>
    <row r="135" spans="1:130">
      <c r="A135" s="656"/>
      <c r="B135" s="656"/>
      <c r="C135" s="656"/>
      <c r="D135" s="656"/>
      <c r="E135" s="656"/>
      <c r="F135" s="656"/>
      <c r="G135" s="656"/>
      <c r="H135" s="656"/>
      <c r="I135" s="656"/>
      <c r="J135" s="656"/>
      <c r="K135" s="656"/>
      <c r="L135" s="656"/>
      <c r="M135" s="656"/>
      <c r="N135" s="656"/>
      <c r="O135" s="656"/>
      <c r="P135" s="656"/>
      <c r="Q135" s="656"/>
      <c r="R135" s="656"/>
      <c r="S135" s="656"/>
      <c r="T135" s="656"/>
      <c r="U135" s="656"/>
      <c r="V135" s="656"/>
      <c r="W135" s="656"/>
      <c r="X135" s="656"/>
      <c r="Y135" s="656"/>
      <c r="Z135" s="656"/>
      <c r="AA135" s="656"/>
      <c r="AB135" s="656"/>
      <c r="AC135" s="656"/>
      <c r="AD135" s="656"/>
      <c r="AE135" s="656"/>
      <c r="AF135" s="656"/>
      <c r="AG135" s="656"/>
      <c r="AH135" s="656"/>
      <c r="AI135" s="656"/>
      <c r="AJ135" s="656"/>
      <c r="AK135" s="656"/>
      <c r="AL135" s="656"/>
      <c r="AM135" s="656"/>
      <c r="AN135" s="656"/>
      <c r="AO135" s="656"/>
      <c r="AP135" s="656"/>
      <c r="AQ135" s="656"/>
      <c r="AR135" s="656"/>
      <c r="AS135" s="656"/>
      <c r="AT135" s="656"/>
      <c r="AU135" s="656"/>
      <c r="AV135" s="656"/>
      <c r="AW135" s="656"/>
      <c r="AX135" s="656"/>
      <c r="AY135" s="656"/>
      <c r="AZ135" s="656"/>
      <c r="BA135" s="656"/>
      <c r="BB135" s="656"/>
      <c r="BC135" s="656"/>
      <c r="BD135" s="656"/>
      <c r="BE135" s="656"/>
      <c r="BF135" s="656"/>
      <c r="BG135" s="656"/>
      <c r="BH135" s="656"/>
      <c r="BI135" s="656"/>
      <c r="BJ135" s="656"/>
      <c r="BK135" s="656"/>
      <c r="BL135" s="656"/>
      <c r="BM135" s="656"/>
      <c r="BN135" s="656"/>
      <c r="BO135" s="656"/>
      <c r="BP135" s="656"/>
      <c r="BQ135" s="656"/>
      <c r="BR135" s="656"/>
      <c r="BS135" s="656"/>
      <c r="BT135" s="656"/>
      <c r="BU135" s="656"/>
      <c r="BV135" s="656"/>
      <c r="BW135" s="656"/>
      <c r="BX135" s="656"/>
      <c r="BY135" s="656"/>
      <c r="BZ135" s="656"/>
      <c r="CA135" s="656"/>
      <c r="CB135" s="656"/>
      <c r="CC135" s="656"/>
      <c r="CD135" s="656"/>
      <c r="CE135" s="656"/>
      <c r="CF135" s="656"/>
      <c r="CG135" s="656"/>
      <c r="CH135" s="656"/>
      <c r="CI135" s="656"/>
      <c r="CJ135" s="656"/>
      <c r="CK135" s="656"/>
      <c r="CL135" s="656"/>
      <c r="CM135" s="656"/>
      <c r="CN135" s="656"/>
      <c r="CO135" s="656"/>
      <c r="CP135" s="656"/>
      <c r="CQ135" s="656"/>
      <c r="CR135" s="656"/>
      <c r="CS135" s="656"/>
      <c r="CT135" s="656"/>
      <c r="CU135" s="656"/>
      <c r="CV135" s="656"/>
      <c r="CW135" s="656"/>
      <c r="CX135" s="656"/>
      <c r="CY135" s="656"/>
      <c r="CZ135" s="656"/>
      <c r="DA135" s="656"/>
      <c r="DB135" s="656"/>
      <c r="DC135" s="656"/>
      <c r="DD135" s="656"/>
      <c r="DE135" s="656"/>
      <c r="DF135" s="656"/>
      <c r="DG135" s="656"/>
      <c r="DH135" s="656"/>
      <c r="DI135" s="656"/>
      <c r="DJ135" s="656"/>
      <c r="DK135" s="656"/>
      <c r="DL135" s="656"/>
      <c r="DM135" s="656"/>
      <c r="DN135" s="656"/>
      <c r="DO135" s="656"/>
      <c r="DP135" s="656"/>
      <c r="DQ135" s="656"/>
      <c r="DR135" s="656"/>
      <c r="DS135" s="656"/>
      <c r="DT135" s="656"/>
      <c r="DU135" s="656"/>
      <c r="DV135" s="656"/>
      <c r="DW135" s="656"/>
      <c r="DX135" s="656"/>
      <c r="DY135" s="656"/>
      <c r="DZ135" s="656"/>
    </row>
    <row r="136" spans="1:130">
      <c r="A136" s="656"/>
      <c r="B136" s="656"/>
      <c r="C136" s="656"/>
      <c r="D136" s="656"/>
      <c r="E136" s="656"/>
      <c r="F136" s="656"/>
      <c r="G136" s="656"/>
      <c r="H136" s="656"/>
      <c r="I136" s="656"/>
      <c r="J136" s="656"/>
      <c r="K136" s="656"/>
      <c r="L136" s="656"/>
      <c r="M136" s="656"/>
      <c r="N136" s="656"/>
      <c r="O136" s="656"/>
      <c r="P136" s="656"/>
      <c r="Q136" s="656"/>
      <c r="R136" s="656"/>
      <c r="S136" s="656"/>
      <c r="T136" s="656"/>
      <c r="U136" s="656"/>
      <c r="V136" s="656"/>
      <c r="W136" s="656"/>
      <c r="X136" s="656"/>
      <c r="Y136" s="656"/>
      <c r="Z136" s="656"/>
      <c r="AA136" s="656"/>
      <c r="AB136" s="656"/>
      <c r="AC136" s="656"/>
      <c r="AD136" s="656"/>
      <c r="AE136" s="656"/>
      <c r="AF136" s="656"/>
      <c r="AG136" s="656"/>
      <c r="AH136" s="656"/>
      <c r="AI136" s="656"/>
      <c r="AJ136" s="656"/>
      <c r="AK136" s="656"/>
      <c r="AL136" s="656"/>
      <c r="AM136" s="656"/>
      <c r="AN136" s="656"/>
      <c r="AO136" s="656"/>
      <c r="AP136" s="656"/>
      <c r="AQ136" s="656"/>
      <c r="AR136" s="656"/>
      <c r="AS136" s="656"/>
      <c r="AT136" s="656"/>
      <c r="AU136" s="656"/>
      <c r="AV136" s="656"/>
      <c r="AW136" s="656"/>
      <c r="AX136" s="656"/>
      <c r="AY136" s="656"/>
      <c r="AZ136" s="656"/>
      <c r="BA136" s="656"/>
      <c r="BB136" s="656"/>
      <c r="BC136" s="656"/>
      <c r="BD136" s="656"/>
      <c r="BE136" s="656"/>
      <c r="BF136" s="656"/>
      <c r="BG136" s="656"/>
      <c r="BH136" s="656"/>
      <c r="BI136" s="656"/>
      <c r="BJ136" s="656"/>
      <c r="BK136" s="656"/>
      <c r="BL136" s="656"/>
      <c r="BM136" s="656"/>
      <c r="BN136" s="656"/>
      <c r="BO136" s="656"/>
      <c r="BP136" s="656"/>
      <c r="BQ136" s="656"/>
      <c r="BR136" s="656"/>
      <c r="BS136" s="656"/>
      <c r="BT136" s="656"/>
      <c r="BU136" s="656"/>
      <c r="BV136" s="656"/>
      <c r="BW136" s="656"/>
      <c r="BX136" s="656"/>
      <c r="BY136" s="656"/>
      <c r="BZ136" s="656"/>
      <c r="CA136" s="656"/>
      <c r="CB136" s="656"/>
      <c r="CC136" s="656"/>
      <c r="CD136" s="656"/>
      <c r="CE136" s="656"/>
      <c r="CF136" s="656"/>
      <c r="CG136" s="656"/>
      <c r="CH136" s="656"/>
      <c r="CI136" s="656"/>
      <c r="CJ136" s="656"/>
      <c r="CK136" s="656"/>
      <c r="CL136" s="656"/>
      <c r="CM136" s="656"/>
      <c r="CN136" s="656"/>
      <c r="CO136" s="656"/>
      <c r="CP136" s="656"/>
      <c r="CQ136" s="656"/>
      <c r="CR136" s="656"/>
      <c r="CS136" s="656"/>
      <c r="CT136" s="656"/>
      <c r="CU136" s="656"/>
      <c r="CV136" s="656"/>
      <c r="CW136" s="656"/>
      <c r="CX136" s="656"/>
      <c r="CY136" s="656"/>
      <c r="CZ136" s="656"/>
      <c r="DA136" s="656"/>
      <c r="DB136" s="656"/>
      <c r="DC136" s="656"/>
      <c r="DD136" s="656"/>
      <c r="DE136" s="656"/>
      <c r="DF136" s="656"/>
      <c r="DG136" s="656"/>
      <c r="DH136" s="656"/>
      <c r="DI136" s="656"/>
      <c r="DJ136" s="656"/>
      <c r="DK136" s="656"/>
      <c r="DL136" s="656"/>
      <c r="DM136" s="656"/>
      <c r="DN136" s="656"/>
      <c r="DO136" s="656"/>
      <c r="DP136" s="656"/>
      <c r="DQ136" s="656"/>
      <c r="DR136" s="656"/>
      <c r="DS136" s="656"/>
      <c r="DT136" s="656"/>
      <c r="DU136" s="656"/>
      <c r="DV136" s="656"/>
      <c r="DW136" s="656"/>
      <c r="DX136" s="656"/>
      <c r="DY136" s="656"/>
      <c r="DZ136" s="656"/>
    </row>
    <row r="137" spans="1:130">
      <c r="A137" s="656"/>
      <c r="B137" s="656"/>
      <c r="C137" s="656"/>
      <c r="D137" s="656"/>
      <c r="E137" s="656"/>
      <c r="F137" s="656"/>
      <c r="G137" s="656"/>
      <c r="H137" s="656"/>
      <c r="I137" s="656"/>
      <c r="J137" s="656"/>
      <c r="K137" s="656"/>
      <c r="L137" s="656"/>
      <c r="M137" s="656"/>
      <c r="N137" s="656"/>
      <c r="O137" s="656"/>
      <c r="P137" s="656"/>
      <c r="Q137" s="656"/>
      <c r="R137" s="656"/>
      <c r="S137" s="656"/>
      <c r="T137" s="656"/>
      <c r="U137" s="656"/>
      <c r="V137" s="656"/>
      <c r="W137" s="656"/>
      <c r="X137" s="656"/>
      <c r="Y137" s="656"/>
      <c r="Z137" s="656"/>
      <c r="AA137" s="656"/>
      <c r="AB137" s="656"/>
      <c r="AC137" s="656"/>
      <c r="AD137" s="656"/>
      <c r="AE137" s="656"/>
      <c r="AF137" s="656"/>
      <c r="AG137" s="656"/>
      <c r="AH137" s="656"/>
      <c r="AI137" s="656"/>
      <c r="AJ137" s="656"/>
      <c r="AK137" s="656"/>
      <c r="AL137" s="656"/>
      <c r="AM137" s="656"/>
      <c r="AN137" s="656"/>
      <c r="AO137" s="656"/>
      <c r="AP137" s="656"/>
      <c r="AQ137" s="656"/>
      <c r="AR137" s="656"/>
      <c r="AS137" s="656"/>
      <c r="AT137" s="656"/>
      <c r="AU137" s="656"/>
      <c r="AV137" s="656"/>
      <c r="AW137" s="656"/>
      <c r="AX137" s="656"/>
      <c r="AY137" s="656"/>
      <c r="AZ137" s="656"/>
      <c r="BA137" s="656"/>
      <c r="BB137" s="656"/>
      <c r="BC137" s="656"/>
      <c r="BD137" s="656"/>
      <c r="BE137" s="656"/>
      <c r="BF137" s="656"/>
      <c r="BG137" s="656"/>
      <c r="BH137" s="656"/>
      <c r="BI137" s="656"/>
      <c r="BJ137" s="656"/>
      <c r="BK137" s="656"/>
      <c r="BL137" s="656"/>
      <c r="BM137" s="656"/>
      <c r="BN137" s="656"/>
      <c r="BO137" s="656"/>
      <c r="BP137" s="656"/>
      <c r="BQ137" s="656"/>
      <c r="BR137" s="656"/>
      <c r="BS137" s="656"/>
      <c r="BT137" s="656"/>
      <c r="BU137" s="656"/>
      <c r="BV137" s="656"/>
      <c r="BW137" s="656"/>
      <c r="BX137" s="656"/>
      <c r="BY137" s="656"/>
      <c r="BZ137" s="656"/>
      <c r="CA137" s="656"/>
      <c r="CB137" s="656"/>
      <c r="CC137" s="656"/>
      <c r="CD137" s="656"/>
      <c r="CE137" s="656"/>
      <c r="CF137" s="656"/>
      <c r="CG137" s="656"/>
      <c r="CH137" s="656"/>
      <c r="CI137" s="656"/>
      <c r="CJ137" s="656"/>
      <c r="CK137" s="656"/>
      <c r="CL137" s="656"/>
      <c r="CM137" s="656"/>
      <c r="CN137" s="656"/>
      <c r="CO137" s="656"/>
      <c r="CP137" s="656"/>
      <c r="CQ137" s="656"/>
      <c r="CR137" s="656"/>
      <c r="CS137" s="656"/>
      <c r="CT137" s="656"/>
      <c r="CU137" s="656"/>
      <c r="CV137" s="656"/>
      <c r="CW137" s="656"/>
      <c r="CX137" s="656"/>
      <c r="CY137" s="656"/>
      <c r="CZ137" s="656"/>
      <c r="DA137" s="656"/>
      <c r="DB137" s="656"/>
      <c r="DC137" s="656"/>
      <c r="DD137" s="656"/>
      <c r="DE137" s="656"/>
      <c r="DF137" s="656"/>
      <c r="DG137" s="656"/>
      <c r="DH137" s="656"/>
      <c r="DI137" s="656"/>
      <c r="DJ137" s="656"/>
      <c r="DK137" s="656"/>
      <c r="DL137" s="656"/>
      <c r="DM137" s="656"/>
      <c r="DN137" s="656"/>
      <c r="DO137" s="656"/>
      <c r="DP137" s="656"/>
      <c r="DQ137" s="656"/>
      <c r="DR137" s="656"/>
      <c r="DS137" s="656"/>
      <c r="DT137" s="656"/>
      <c r="DU137" s="656"/>
      <c r="DV137" s="656"/>
      <c r="DW137" s="656"/>
      <c r="DX137" s="656"/>
      <c r="DY137" s="656"/>
      <c r="DZ137" s="656"/>
    </row>
    <row r="138" spans="1:130">
      <c r="A138" s="656"/>
      <c r="B138" s="656"/>
      <c r="C138" s="656"/>
      <c r="D138" s="656"/>
      <c r="E138" s="656"/>
      <c r="F138" s="656"/>
      <c r="G138" s="656"/>
      <c r="H138" s="656"/>
      <c r="I138" s="656"/>
      <c r="J138" s="656"/>
      <c r="K138" s="656"/>
      <c r="L138" s="656"/>
      <c r="M138" s="656"/>
      <c r="N138" s="656"/>
      <c r="O138" s="656"/>
      <c r="P138" s="656"/>
      <c r="Q138" s="656"/>
      <c r="R138" s="656"/>
      <c r="S138" s="656"/>
      <c r="T138" s="656"/>
      <c r="U138" s="656"/>
      <c r="V138" s="656"/>
      <c r="W138" s="656"/>
      <c r="X138" s="656"/>
      <c r="Y138" s="656"/>
      <c r="Z138" s="656"/>
      <c r="AA138" s="656"/>
      <c r="AB138" s="656"/>
      <c r="AC138" s="656"/>
      <c r="AD138" s="656"/>
      <c r="AE138" s="656"/>
      <c r="AF138" s="656"/>
      <c r="AG138" s="656"/>
      <c r="AH138" s="656"/>
      <c r="AI138" s="656"/>
      <c r="AJ138" s="656"/>
      <c r="AK138" s="656"/>
      <c r="AL138" s="656"/>
      <c r="AM138" s="656"/>
      <c r="AN138" s="656"/>
      <c r="AO138" s="656"/>
      <c r="AP138" s="656"/>
      <c r="AQ138" s="656"/>
      <c r="AR138" s="656"/>
      <c r="AS138" s="656"/>
      <c r="AT138" s="656"/>
      <c r="AU138" s="656"/>
      <c r="AV138" s="656"/>
      <c r="AW138" s="656"/>
      <c r="AX138" s="656"/>
      <c r="AY138" s="656"/>
      <c r="AZ138" s="656"/>
      <c r="BA138" s="656"/>
      <c r="BB138" s="656"/>
      <c r="BC138" s="656"/>
      <c r="BD138" s="656"/>
      <c r="BE138" s="656"/>
      <c r="BF138" s="656"/>
      <c r="BG138" s="656"/>
      <c r="BH138" s="656"/>
      <c r="BI138" s="656"/>
      <c r="BJ138" s="656"/>
      <c r="BK138" s="656"/>
      <c r="BL138" s="656"/>
      <c r="BM138" s="656"/>
      <c r="BN138" s="656"/>
      <c r="BO138" s="656"/>
      <c r="BP138" s="656"/>
      <c r="BQ138" s="656"/>
      <c r="BR138" s="656"/>
      <c r="BS138" s="656"/>
      <c r="BT138" s="656"/>
      <c r="BU138" s="656"/>
      <c r="BV138" s="656"/>
      <c r="BW138" s="656"/>
      <c r="BX138" s="656"/>
      <c r="BY138" s="656"/>
      <c r="BZ138" s="656"/>
      <c r="CA138" s="656"/>
      <c r="CB138" s="656"/>
      <c r="CC138" s="656"/>
      <c r="CD138" s="656"/>
      <c r="CE138" s="656"/>
      <c r="CF138" s="656"/>
      <c r="CG138" s="656"/>
      <c r="CH138" s="656"/>
      <c r="CI138" s="656"/>
      <c r="CJ138" s="656"/>
      <c r="CK138" s="656"/>
      <c r="CL138" s="656"/>
      <c r="CM138" s="656"/>
      <c r="CN138" s="656"/>
      <c r="CO138" s="656"/>
      <c r="CP138" s="656"/>
      <c r="CQ138" s="656"/>
      <c r="CR138" s="656"/>
      <c r="CS138" s="656"/>
      <c r="CT138" s="656"/>
      <c r="CU138" s="656"/>
      <c r="CV138" s="656"/>
      <c r="CW138" s="656"/>
      <c r="CX138" s="656"/>
      <c r="CY138" s="656"/>
      <c r="CZ138" s="656"/>
      <c r="DA138" s="656"/>
      <c r="DB138" s="656"/>
      <c r="DC138" s="656"/>
      <c r="DD138" s="656"/>
      <c r="DE138" s="656"/>
      <c r="DF138" s="656"/>
      <c r="DG138" s="656"/>
      <c r="DH138" s="656"/>
      <c r="DI138" s="656"/>
      <c r="DJ138" s="656"/>
      <c r="DK138" s="656"/>
      <c r="DL138" s="656"/>
      <c r="DM138" s="656"/>
      <c r="DN138" s="656"/>
      <c r="DO138" s="656"/>
      <c r="DP138" s="656"/>
      <c r="DQ138" s="656"/>
      <c r="DR138" s="656"/>
      <c r="DS138" s="656"/>
      <c r="DT138" s="656"/>
      <c r="DU138" s="656"/>
      <c r="DV138" s="656"/>
      <c r="DW138" s="656"/>
      <c r="DX138" s="656"/>
      <c r="DY138" s="656"/>
      <c r="DZ138" s="656"/>
    </row>
    <row r="139" spans="1:130">
      <c r="A139" s="656"/>
      <c r="B139" s="656"/>
      <c r="C139" s="656"/>
      <c r="D139" s="656"/>
      <c r="E139" s="656"/>
      <c r="F139" s="656"/>
      <c r="G139" s="656"/>
      <c r="H139" s="656"/>
      <c r="I139" s="656"/>
      <c r="J139" s="656"/>
      <c r="K139" s="656"/>
      <c r="L139" s="656"/>
      <c r="M139" s="656"/>
      <c r="N139" s="656"/>
      <c r="O139" s="656"/>
      <c r="P139" s="656"/>
      <c r="Q139" s="656"/>
      <c r="R139" s="656"/>
      <c r="S139" s="656"/>
      <c r="T139" s="656"/>
      <c r="U139" s="656"/>
      <c r="V139" s="656"/>
      <c r="W139" s="656"/>
      <c r="X139" s="656"/>
      <c r="Y139" s="656"/>
      <c r="Z139" s="656"/>
      <c r="AA139" s="656"/>
      <c r="AB139" s="656"/>
      <c r="AC139" s="656"/>
      <c r="AD139" s="656"/>
      <c r="AE139" s="656"/>
      <c r="AF139" s="656"/>
      <c r="AG139" s="656"/>
      <c r="AH139" s="656"/>
      <c r="AI139" s="656"/>
      <c r="AJ139" s="656"/>
      <c r="AK139" s="656"/>
      <c r="AL139" s="656"/>
      <c r="AM139" s="656"/>
      <c r="AN139" s="656"/>
      <c r="AO139" s="656"/>
      <c r="AP139" s="656"/>
      <c r="AQ139" s="656"/>
      <c r="AR139" s="656"/>
      <c r="AS139" s="656"/>
      <c r="AT139" s="656"/>
      <c r="AU139" s="656"/>
      <c r="AV139" s="656"/>
      <c r="AW139" s="656"/>
      <c r="AX139" s="656"/>
      <c r="AY139" s="656"/>
      <c r="AZ139" s="656"/>
      <c r="BA139" s="656"/>
      <c r="BB139" s="656"/>
      <c r="BC139" s="656"/>
      <c r="BD139" s="656"/>
      <c r="BE139" s="656"/>
      <c r="BF139" s="656"/>
      <c r="BG139" s="656"/>
      <c r="BH139" s="656"/>
      <c r="BI139" s="656"/>
      <c r="BJ139" s="656"/>
      <c r="BK139" s="656"/>
      <c r="BL139" s="656"/>
      <c r="BM139" s="656"/>
      <c r="BN139" s="656"/>
      <c r="BO139" s="656"/>
      <c r="BP139" s="656"/>
      <c r="BQ139" s="656"/>
      <c r="BR139" s="656"/>
      <c r="BS139" s="656"/>
      <c r="BT139" s="656"/>
      <c r="BU139" s="656"/>
      <c r="BV139" s="656"/>
      <c r="BW139" s="656"/>
      <c r="BX139" s="656"/>
      <c r="BY139" s="656"/>
      <c r="BZ139" s="656"/>
      <c r="CA139" s="656"/>
      <c r="CB139" s="656"/>
      <c r="CC139" s="656"/>
      <c r="CD139" s="656"/>
      <c r="CE139" s="656"/>
      <c r="CF139" s="656"/>
      <c r="CG139" s="656"/>
      <c r="CH139" s="656"/>
      <c r="CI139" s="656"/>
      <c r="CJ139" s="656"/>
      <c r="CK139" s="656"/>
      <c r="CL139" s="656"/>
      <c r="CM139" s="656"/>
      <c r="CN139" s="656"/>
      <c r="CO139" s="656"/>
      <c r="CP139" s="656"/>
      <c r="CQ139" s="656"/>
      <c r="CR139" s="656"/>
      <c r="CS139" s="656"/>
      <c r="CT139" s="656"/>
      <c r="CU139" s="656"/>
      <c r="CV139" s="656"/>
      <c r="CW139" s="656"/>
      <c r="CX139" s="656"/>
      <c r="CY139" s="656"/>
      <c r="CZ139" s="656"/>
      <c r="DA139" s="656"/>
      <c r="DB139" s="656"/>
      <c r="DC139" s="656"/>
      <c r="DD139" s="656"/>
      <c r="DE139" s="656"/>
      <c r="DF139" s="656"/>
      <c r="DG139" s="656"/>
      <c r="DH139" s="656"/>
      <c r="DI139" s="656"/>
      <c r="DJ139" s="656"/>
      <c r="DK139" s="656"/>
      <c r="DL139" s="656"/>
      <c r="DM139" s="656"/>
      <c r="DN139" s="656"/>
      <c r="DO139" s="656"/>
      <c r="DP139" s="656"/>
      <c r="DQ139" s="656"/>
      <c r="DR139" s="656"/>
      <c r="DS139" s="656"/>
      <c r="DT139" s="656"/>
      <c r="DU139" s="656"/>
      <c r="DV139" s="656"/>
      <c r="DW139" s="656"/>
      <c r="DX139" s="656"/>
      <c r="DY139" s="656"/>
      <c r="DZ139" s="656"/>
    </row>
    <row r="140" spans="1:130">
      <c r="A140" s="656"/>
      <c r="B140" s="656"/>
      <c r="C140" s="656"/>
      <c r="D140" s="656"/>
      <c r="E140" s="656"/>
      <c r="F140" s="656"/>
      <c r="G140" s="656"/>
      <c r="H140" s="656"/>
      <c r="I140" s="656"/>
      <c r="J140" s="656"/>
      <c r="K140" s="656"/>
      <c r="L140" s="656"/>
      <c r="M140" s="656"/>
      <c r="N140" s="656"/>
      <c r="O140" s="656"/>
      <c r="P140" s="656"/>
      <c r="Q140" s="656"/>
      <c r="R140" s="656"/>
      <c r="S140" s="656"/>
      <c r="T140" s="656"/>
      <c r="U140" s="656"/>
      <c r="V140" s="656"/>
      <c r="W140" s="656"/>
      <c r="X140" s="656"/>
      <c r="Y140" s="656"/>
      <c r="Z140" s="656"/>
      <c r="AA140" s="656"/>
      <c r="AB140" s="656"/>
      <c r="AC140" s="656"/>
      <c r="AD140" s="656"/>
      <c r="AE140" s="656"/>
      <c r="AF140" s="656"/>
      <c r="AG140" s="656"/>
      <c r="AH140" s="656"/>
      <c r="AI140" s="656"/>
      <c r="AJ140" s="656"/>
      <c r="AK140" s="656"/>
      <c r="AL140" s="656"/>
      <c r="AM140" s="656"/>
      <c r="AN140" s="656"/>
      <c r="AO140" s="656"/>
      <c r="AP140" s="656"/>
      <c r="AQ140" s="656"/>
      <c r="AR140" s="656"/>
      <c r="AS140" s="656"/>
      <c r="AT140" s="656"/>
      <c r="AU140" s="656"/>
      <c r="AV140" s="656"/>
      <c r="AW140" s="656"/>
      <c r="AX140" s="656"/>
      <c r="AY140" s="656"/>
      <c r="AZ140" s="656"/>
      <c r="BA140" s="656"/>
      <c r="BB140" s="656"/>
      <c r="BC140" s="656"/>
      <c r="BD140" s="656"/>
      <c r="BE140" s="656"/>
      <c r="BF140" s="656"/>
      <c r="BG140" s="656"/>
      <c r="BH140" s="656"/>
      <c r="BI140" s="656"/>
      <c r="BJ140" s="656"/>
      <c r="BK140" s="656"/>
      <c r="BL140" s="656"/>
      <c r="BM140" s="656"/>
      <c r="BN140" s="656"/>
      <c r="BO140" s="656"/>
      <c r="BP140" s="656"/>
      <c r="BQ140" s="656"/>
      <c r="BR140" s="656"/>
      <c r="BS140" s="656"/>
      <c r="BT140" s="656"/>
      <c r="BU140" s="656"/>
      <c r="BV140" s="656"/>
      <c r="BW140" s="656"/>
      <c r="BX140" s="656"/>
      <c r="BY140" s="656"/>
      <c r="BZ140" s="656"/>
      <c r="CA140" s="656"/>
      <c r="CB140" s="656"/>
      <c r="CC140" s="656"/>
      <c r="CD140" s="656"/>
      <c r="CE140" s="656"/>
      <c r="CF140" s="656"/>
      <c r="CG140" s="656"/>
      <c r="CH140" s="656"/>
      <c r="CI140" s="656"/>
      <c r="CJ140" s="656"/>
      <c r="CK140" s="656"/>
      <c r="CL140" s="656"/>
      <c r="CM140" s="656"/>
      <c r="CN140" s="656"/>
      <c r="CO140" s="656"/>
      <c r="CP140" s="656"/>
      <c r="CQ140" s="656"/>
      <c r="CR140" s="656"/>
      <c r="CS140" s="656"/>
      <c r="CT140" s="656"/>
      <c r="CU140" s="656"/>
      <c r="CV140" s="656"/>
      <c r="CW140" s="656"/>
      <c r="CX140" s="656"/>
      <c r="CY140" s="656"/>
      <c r="CZ140" s="656"/>
      <c r="DA140" s="656"/>
      <c r="DB140" s="656"/>
      <c r="DC140" s="656"/>
      <c r="DD140" s="656"/>
      <c r="DE140" s="656"/>
      <c r="DF140" s="656"/>
      <c r="DG140" s="656"/>
      <c r="DH140" s="656"/>
      <c r="DI140" s="656"/>
      <c r="DJ140" s="656"/>
      <c r="DK140" s="656"/>
      <c r="DL140" s="656"/>
      <c r="DM140" s="656"/>
      <c r="DN140" s="656"/>
      <c r="DO140" s="656"/>
      <c r="DP140" s="656"/>
      <c r="DQ140" s="656"/>
      <c r="DR140" s="656"/>
      <c r="DS140" s="656"/>
      <c r="DT140" s="656"/>
      <c r="DU140" s="656"/>
      <c r="DV140" s="656"/>
      <c r="DW140" s="656"/>
      <c r="DX140" s="656"/>
      <c r="DY140" s="656"/>
      <c r="DZ140" s="656"/>
    </row>
    <row r="141" spans="1:130">
      <c r="A141" s="656"/>
      <c r="B141" s="656"/>
      <c r="C141" s="656"/>
      <c r="D141" s="656"/>
      <c r="E141" s="656"/>
      <c r="F141" s="656"/>
      <c r="G141" s="656"/>
      <c r="H141" s="656"/>
      <c r="I141" s="656"/>
      <c r="J141" s="656"/>
      <c r="K141" s="656"/>
      <c r="L141" s="656"/>
      <c r="M141" s="656"/>
      <c r="N141" s="656"/>
      <c r="O141" s="656"/>
      <c r="P141" s="656"/>
      <c r="Q141" s="656"/>
      <c r="R141" s="656"/>
      <c r="S141" s="656"/>
      <c r="T141" s="656"/>
      <c r="U141" s="656"/>
      <c r="V141" s="656"/>
      <c r="W141" s="656"/>
      <c r="X141" s="656"/>
      <c r="Y141" s="656"/>
      <c r="Z141" s="656"/>
      <c r="AA141" s="656"/>
      <c r="AB141" s="656"/>
      <c r="AC141" s="656"/>
      <c r="AD141" s="656"/>
      <c r="AE141" s="656"/>
      <c r="AF141" s="656"/>
      <c r="AG141" s="656"/>
      <c r="AH141" s="656"/>
      <c r="AI141" s="656"/>
      <c r="AJ141" s="656"/>
      <c r="AK141" s="656"/>
      <c r="AL141" s="656"/>
      <c r="AM141" s="656"/>
      <c r="AN141" s="656"/>
      <c r="AO141" s="656"/>
      <c r="AP141" s="656"/>
      <c r="AQ141" s="656"/>
      <c r="AR141" s="656"/>
      <c r="AS141" s="656"/>
      <c r="AT141" s="656"/>
      <c r="AU141" s="656"/>
      <c r="AV141" s="656"/>
      <c r="AW141" s="656"/>
      <c r="AX141" s="656"/>
      <c r="AY141" s="656"/>
      <c r="AZ141" s="656"/>
      <c r="BA141" s="656"/>
      <c r="BB141" s="656"/>
      <c r="BC141" s="656"/>
      <c r="BD141" s="656"/>
      <c r="BE141" s="656"/>
      <c r="BF141" s="656"/>
      <c r="BG141" s="656"/>
      <c r="BH141" s="656"/>
      <c r="BI141" s="656"/>
      <c r="BJ141" s="656"/>
      <c r="BK141" s="656"/>
      <c r="BL141" s="656"/>
      <c r="BM141" s="656"/>
      <c r="BN141" s="656"/>
      <c r="BO141" s="656"/>
      <c r="BP141" s="656"/>
      <c r="BQ141" s="656"/>
      <c r="BR141" s="656"/>
      <c r="BS141" s="656"/>
      <c r="BT141" s="656"/>
      <c r="BU141" s="656"/>
      <c r="BV141" s="656"/>
      <c r="BW141" s="656"/>
      <c r="BX141" s="656"/>
      <c r="BY141" s="656"/>
      <c r="BZ141" s="656"/>
      <c r="CA141" s="656"/>
      <c r="CB141" s="656"/>
      <c r="CC141" s="656"/>
      <c r="CD141" s="656"/>
      <c r="CE141" s="656"/>
      <c r="CF141" s="656"/>
      <c r="CG141" s="656"/>
      <c r="CH141" s="656"/>
      <c r="CI141" s="656"/>
      <c r="CJ141" s="656"/>
      <c r="CK141" s="656"/>
      <c r="CL141" s="656"/>
      <c r="CM141" s="656"/>
      <c r="CN141" s="656"/>
      <c r="CO141" s="656"/>
      <c r="CP141" s="656"/>
      <c r="CQ141" s="656"/>
      <c r="CR141" s="656"/>
      <c r="CS141" s="656"/>
      <c r="CT141" s="656"/>
      <c r="CU141" s="656"/>
      <c r="CV141" s="656"/>
      <c r="CW141" s="656"/>
      <c r="CX141" s="656"/>
      <c r="CY141" s="656"/>
      <c r="CZ141" s="656"/>
      <c r="DA141" s="656"/>
      <c r="DB141" s="656"/>
      <c r="DC141" s="656"/>
      <c r="DD141" s="656"/>
      <c r="DE141" s="656"/>
      <c r="DF141" s="656"/>
      <c r="DG141" s="656"/>
      <c r="DH141" s="656"/>
      <c r="DI141" s="656"/>
      <c r="DJ141" s="656"/>
      <c r="DK141" s="656"/>
      <c r="DL141" s="656"/>
      <c r="DM141" s="656"/>
      <c r="DN141" s="656"/>
      <c r="DO141" s="656"/>
      <c r="DP141" s="656"/>
      <c r="DQ141" s="656"/>
      <c r="DR141" s="656"/>
      <c r="DS141" s="656"/>
      <c r="DT141" s="656"/>
      <c r="DU141" s="656"/>
      <c r="DV141" s="656"/>
      <c r="DW141" s="656"/>
      <c r="DX141" s="656"/>
      <c r="DY141" s="656"/>
      <c r="DZ141" s="656"/>
    </row>
    <row r="142" spans="1:130">
      <c r="A142" s="656"/>
      <c r="B142" s="656"/>
      <c r="C142" s="656"/>
      <c r="D142" s="656"/>
      <c r="E142" s="656"/>
      <c r="F142" s="656"/>
      <c r="G142" s="656"/>
      <c r="H142" s="656"/>
      <c r="I142" s="656"/>
      <c r="J142" s="656"/>
      <c r="K142" s="656"/>
      <c r="L142" s="656"/>
      <c r="M142" s="656"/>
      <c r="N142" s="656"/>
      <c r="O142" s="656"/>
      <c r="P142" s="656"/>
      <c r="Q142" s="656"/>
      <c r="R142" s="656"/>
      <c r="S142" s="656"/>
      <c r="T142" s="656"/>
      <c r="U142" s="656"/>
      <c r="V142" s="656"/>
      <c r="W142" s="656"/>
      <c r="X142" s="656"/>
      <c r="Y142" s="656"/>
      <c r="Z142" s="656"/>
      <c r="AA142" s="656"/>
      <c r="AB142" s="656"/>
      <c r="AC142" s="656"/>
      <c r="AD142" s="656"/>
      <c r="AE142" s="656"/>
      <c r="AF142" s="656"/>
      <c r="AG142" s="656"/>
      <c r="AH142" s="656"/>
      <c r="AI142" s="656"/>
      <c r="AJ142" s="656"/>
      <c r="AK142" s="656"/>
      <c r="AL142" s="656"/>
      <c r="AM142" s="656"/>
      <c r="AN142" s="656"/>
      <c r="AO142" s="656"/>
      <c r="AP142" s="656"/>
      <c r="AQ142" s="656"/>
      <c r="AR142" s="656"/>
      <c r="AS142" s="656"/>
      <c r="AT142" s="656"/>
      <c r="AU142" s="656"/>
      <c r="AV142" s="656"/>
      <c r="AW142" s="656"/>
      <c r="AX142" s="656"/>
      <c r="AY142" s="656"/>
      <c r="AZ142" s="656"/>
      <c r="BA142" s="656"/>
      <c r="BB142" s="656"/>
      <c r="BC142" s="656"/>
      <c r="BD142" s="656"/>
      <c r="BE142" s="656"/>
      <c r="BF142" s="656"/>
      <c r="BG142" s="656"/>
      <c r="BH142" s="656"/>
      <c r="BI142" s="656"/>
      <c r="BJ142" s="656"/>
      <c r="BK142" s="656"/>
      <c r="BL142" s="656"/>
      <c r="BM142" s="656"/>
      <c r="BN142" s="656"/>
      <c r="BO142" s="656"/>
      <c r="BP142" s="656"/>
      <c r="BQ142" s="656"/>
      <c r="BR142" s="656"/>
      <c r="BS142" s="656"/>
      <c r="BT142" s="656"/>
      <c r="BU142" s="656"/>
      <c r="BV142" s="656"/>
      <c r="BW142" s="656"/>
      <c r="BX142" s="656"/>
      <c r="BY142" s="656"/>
      <c r="BZ142" s="656"/>
      <c r="CA142" s="656"/>
      <c r="CB142" s="656"/>
      <c r="CC142" s="656"/>
      <c r="CD142" s="656"/>
      <c r="CE142" s="656"/>
      <c r="CF142" s="656"/>
      <c r="CG142" s="656"/>
      <c r="CH142" s="656"/>
      <c r="CI142" s="656"/>
      <c r="CJ142" s="656"/>
      <c r="CK142" s="656"/>
      <c r="CL142" s="656"/>
      <c r="CM142" s="656"/>
      <c r="CN142" s="656"/>
      <c r="CO142" s="656"/>
      <c r="CP142" s="656"/>
      <c r="CQ142" s="656"/>
      <c r="CR142" s="656"/>
      <c r="CS142" s="656"/>
      <c r="CT142" s="656"/>
      <c r="CU142" s="656"/>
      <c r="CV142" s="656"/>
      <c r="CW142" s="656"/>
      <c r="CX142" s="656"/>
      <c r="CY142" s="656"/>
      <c r="CZ142" s="656"/>
      <c r="DA142" s="656"/>
      <c r="DB142" s="656"/>
      <c r="DC142" s="656"/>
      <c r="DD142" s="656"/>
      <c r="DE142" s="656"/>
      <c r="DF142" s="656"/>
      <c r="DG142" s="656"/>
      <c r="DH142" s="656"/>
      <c r="DI142" s="656"/>
      <c r="DJ142" s="656"/>
      <c r="DK142" s="656"/>
      <c r="DL142" s="656"/>
      <c r="DM142" s="656"/>
      <c r="DN142" s="656"/>
      <c r="DO142" s="656"/>
      <c r="DP142" s="656"/>
      <c r="DQ142" s="656"/>
      <c r="DR142" s="656"/>
      <c r="DS142" s="656"/>
      <c r="DT142" s="656"/>
      <c r="DU142" s="656"/>
      <c r="DV142" s="656"/>
      <c r="DW142" s="656"/>
      <c r="DX142" s="656"/>
      <c r="DY142" s="656"/>
      <c r="DZ142" s="656"/>
    </row>
    <row r="143" spans="1:130">
      <c r="A143" s="656"/>
      <c r="B143" s="656"/>
      <c r="C143" s="656"/>
      <c r="D143" s="656"/>
      <c r="E143" s="656"/>
      <c r="F143" s="656"/>
      <c r="G143" s="656"/>
      <c r="H143" s="656"/>
      <c r="I143" s="656"/>
      <c r="J143" s="656"/>
      <c r="K143" s="656"/>
      <c r="L143" s="656"/>
      <c r="M143" s="656"/>
      <c r="N143" s="656"/>
      <c r="O143" s="656"/>
      <c r="P143" s="656"/>
      <c r="Q143" s="656"/>
      <c r="R143" s="656"/>
      <c r="S143" s="656"/>
      <c r="T143" s="656"/>
      <c r="U143" s="656"/>
      <c r="V143" s="656"/>
      <c r="W143" s="656"/>
      <c r="X143" s="656"/>
      <c r="Y143" s="656"/>
      <c r="Z143" s="656"/>
      <c r="AA143" s="656"/>
      <c r="AB143" s="656"/>
      <c r="AC143" s="656"/>
      <c r="AD143" s="656"/>
      <c r="AE143" s="656"/>
      <c r="AF143" s="656"/>
      <c r="AG143" s="656"/>
      <c r="AH143" s="656"/>
      <c r="AI143" s="656"/>
      <c r="AJ143" s="656"/>
      <c r="AK143" s="656"/>
      <c r="AL143" s="656"/>
      <c r="AM143" s="656"/>
      <c r="AN143" s="656"/>
      <c r="AO143" s="656"/>
      <c r="AP143" s="656"/>
      <c r="AQ143" s="656"/>
      <c r="AR143" s="656"/>
      <c r="AS143" s="656"/>
      <c r="AT143" s="656"/>
      <c r="AU143" s="656"/>
      <c r="AV143" s="656"/>
      <c r="AW143" s="656"/>
      <c r="AX143" s="656"/>
      <c r="AY143" s="656"/>
      <c r="AZ143" s="656"/>
      <c r="BA143" s="656"/>
      <c r="BB143" s="656"/>
      <c r="BC143" s="656"/>
      <c r="BD143" s="656"/>
      <c r="BE143" s="656"/>
      <c r="BF143" s="656"/>
      <c r="BG143" s="656"/>
      <c r="BH143" s="656"/>
      <c r="BI143" s="656"/>
      <c r="BJ143" s="656"/>
      <c r="BK143" s="656"/>
      <c r="BL143" s="656"/>
      <c r="BM143" s="656"/>
      <c r="BN143" s="656"/>
      <c r="BO143" s="656"/>
      <c r="BP143" s="656"/>
      <c r="BQ143" s="656"/>
      <c r="BR143" s="656"/>
      <c r="BS143" s="656"/>
      <c r="BT143" s="656"/>
      <c r="BU143" s="656"/>
      <c r="BV143" s="656"/>
      <c r="BW143" s="656"/>
      <c r="BX143" s="656"/>
      <c r="BY143" s="656"/>
      <c r="BZ143" s="656"/>
      <c r="CA143" s="656"/>
      <c r="CB143" s="656"/>
      <c r="CC143" s="656"/>
      <c r="CD143" s="656"/>
      <c r="CE143" s="656"/>
      <c r="CF143" s="656"/>
      <c r="CG143" s="656"/>
      <c r="CH143" s="656"/>
      <c r="CI143" s="656"/>
      <c r="CJ143" s="656"/>
      <c r="CK143" s="656"/>
      <c r="CL143" s="656"/>
      <c r="CM143" s="656"/>
      <c r="CN143" s="656"/>
      <c r="CO143" s="656"/>
      <c r="CP143" s="656"/>
      <c r="CQ143" s="656"/>
      <c r="CR143" s="656"/>
      <c r="CS143" s="656"/>
      <c r="CT143" s="656"/>
      <c r="CU143" s="656"/>
      <c r="CV143" s="656"/>
      <c r="CW143" s="656"/>
      <c r="CX143" s="656"/>
      <c r="CY143" s="656"/>
      <c r="CZ143" s="656"/>
      <c r="DA143" s="656"/>
      <c r="DB143" s="656"/>
      <c r="DC143" s="656"/>
      <c r="DD143" s="656"/>
      <c r="DE143" s="656"/>
      <c r="DF143" s="656"/>
      <c r="DG143" s="656"/>
      <c r="DH143" s="656"/>
      <c r="DI143" s="656"/>
      <c r="DJ143" s="656"/>
      <c r="DK143" s="656"/>
      <c r="DL143" s="656"/>
      <c r="DM143" s="656"/>
      <c r="DN143" s="656"/>
      <c r="DO143" s="656"/>
      <c r="DP143" s="656"/>
      <c r="DQ143" s="656"/>
      <c r="DR143" s="656"/>
      <c r="DS143" s="656"/>
      <c r="DT143" s="656"/>
      <c r="DU143" s="656"/>
      <c r="DV143" s="656"/>
      <c r="DW143" s="656"/>
      <c r="DX143" s="656"/>
      <c r="DY143" s="656"/>
      <c r="DZ143" s="656"/>
    </row>
    <row r="144" spans="1:130">
      <c r="A144" s="656"/>
      <c r="B144" s="656"/>
      <c r="C144" s="656"/>
      <c r="D144" s="656"/>
      <c r="E144" s="656"/>
      <c r="F144" s="656"/>
      <c r="G144" s="656"/>
      <c r="H144" s="656"/>
      <c r="I144" s="656"/>
      <c r="J144" s="656"/>
      <c r="K144" s="656"/>
      <c r="L144" s="656"/>
      <c r="M144" s="656"/>
      <c r="N144" s="656"/>
      <c r="O144" s="656"/>
      <c r="P144" s="656"/>
      <c r="Q144" s="656"/>
      <c r="R144" s="656"/>
      <c r="S144" s="656"/>
      <c r="T144" s="656"/>
      <c r="U144" s="656"/>
      <c r="V144" s="656"/>
      <c r="W144" s="656"/>
      <c r="X144" s="656"/>
      <c r="Y144" s="656"/>
      <c r="Z144" s="656"/>
      <c r="AA144" s="656"/>
      <c r="AB144" s="656"/>
      <c r="AC144" s="656"/>
      <c r="AD144" s="656"/>
      <c r="AE144" s="656"/>
      <c r="AF144" s="656"/>
      <c r="AG144" s="656"/>
      <c r="AH144" s="656"/>
      <c r="AI144" s="656"/>
      <c r="AJ144" s="656"/>
      <c r="AK144" s="656"/>
      <c r="AL144" s="656"/>
      <c r="AM144" s="656"/>
      <c r="AN144" s="656"/>
      <c r="AO144" s="656"/>
      <c r="AP144" s="656"/>
      <c r="AQ144" s="656"/>
      <c r="AR144" s="656"/>
      <c r="AS144" s="656"/>
      <c r="AT144" s="656"/>
      <c r="AU144" s="656"/>
      <c r="AV144" s="656"/>
      <c r="AW144" s="656"/>
      <c r="AX144" s="656"/>
      <c r="AY144" s="656"/>
      <c r="AZ144" s="656"/>
      <c r="BA144" s="656"/>
      <c r="BB144" s="656"/>
      <c r="BC144" s="656"/>
      <c r="BD144" s="656"/>
      <c r="BE144" s="656"/>
      <c r="BF144" s="656"/>
      <c r="BG144" s="656"/>
      <c r="BH144" s="656"/>
      <c r="BI144" s="656"/>
      <c r="BJ144" s="656"/>
      <c r="BK144" s="656"/>
      <c r="BL144" s="656"/>
      <c r="BM144" s="656"/>
      <c r="BN144" s="656"/>
      <c r="BO144" s="656"/>
      <c r="BP144" s="656"/>
      <c r="BQ144" s="656"/>
      <c r="BR144" s="656"/>
      <c r="BS144" s="656"/>
      <c r="BT144" s="656"/>
      <c r="BU144" s="656"/>
      <c r="BV144" s="656"/>
      <c r="BW144" s="656"/>
      <c r="BX144" s="656"/>
      <c r="BY144" s="656"/>
      <c r="BZ144" s="656"/>
      <c r="CA144" s="656"/>
      <c r="CB144" s="656"/>
      <c r="CC144" s="656"/>
      <c r="CD144" s="656"/>
      <c r="CE144" s="656"/>
      <c r="CF144" s="656"/>
      <c r="CG144" s="656"/>
      <c r="CH144" s="656"/>
      <c r="CI144" s="656"/>
      <c r="CJ144" s="656"/>
      <c r="CK144" s="656"/>
      <c r="CL144" s="656"/>
      <c r="CM144" s="656"/>
      <c r="CN144" s="656"/>
      <c r="CO144" s="656"/>
      <c r="CP144" s="656"/>
      <c r="CQ144" s="656"/>
      <c r="CR144" s="656"/>
      <c r="CS144" s="656"/>
      <c r="CT144" s="656"/>
      <c r="CU144" s="656"/>
      <c r="CV144" s="656"/>
      <c r="CW144" s="656"/>
      <c r="CX144" s="656"/>
      <c r="CY144" s="656"/>
      <c r="CZ144" s="656"/>
      <c r="DA144" s="656"/>
      <c r="DB144" s="656"/>
      <c r="DC144" s="656"/>
      <c r="DD144" s="656"/>
      <c r="DE144" s="656"/>
      <c r="DF144" s="656"/>
      <c r="DG144" s="656"/>
      <c r="DH144" s="656"/>
      <c r="DI144" s="656"/>
      <c r="DJ144" s="656"/>
      <c r="DK144" s="656"/>
      <c r="DL144" s="656"/>
      <c r="DM144" s="656"/>
      <c r="DN144" s="656"/>
      <c r="DO144" s="656"/>
      <c r="DP144" s="656"/>
      <c r="DQ144" s="656"/>
      <c r="DR144" s="656"/>
      <c r="DS144" s="656"/>
      <c r="DT144" s="656"/>
      <c r="DU144" s="656"/>
      <c r="DV144" s="656"/>
      <c r="DW144" s="656"/>
      <c r="DX144" s="656"/>
      <c r="DY144" s="656"/>
      <c r="DZ144" s="656"/>
    </row>
    <row r="145" spans="1:130">
      <c r="A145" s="656"/>
      <c r="B145" s="656"/>
      <c r="C145" s="656"/>
      <c r="D145" s="656"/>
      <c r="E145" s="656"/>
      <c r="F145" s="656"/>
      <c r="G145" s="656"/>
      <c r="H145" s="656"/>
      <c r="I145" s="656"/>
      <c r="J145" s="656"/>
      <c r="K145" s="656"/>
      <c r="L145" s="656"/>
      <c r="M145" s="656"/>
      <c r="N145" s="656"/>
      <c r="O145" s="656"/>
      <c r="P145" s="656"/>
      <c r="Q145" s="656"/>
      <c r="R145" s="656"/>
      <c r="S145" s="656"/>
      <c r="T145" s="656"/>
      <c r="U145" s="656"/>
      <c r="V145" s="656"/>
      <c r="W145" s="656"/>
      <c r="X145" s="656"/>
      <c r="Y145" s="656"/>
      <c r="Z145" s="656"/>
      <c r="AA145" s="656"/>
      <c r="AB145" s="656"/>
      <c r="AC145" s="656"/>
      <c r="AD145" s="656"/>
      <c r="AE145" s="656"/>
      <c r="AF145" s="656"/>
      <c r="AG145" s="656"/>
      <c r="AH145" s="656"/>
      <c r="AI145" s="656"/>
      <c r="AJ145" s="656"/>
      <c r="AK145" s="656"/>
      <c r="AL145" s="656"/>
      <c r="AM145" s="656"/>
      <c r="AN145" s="656"/>
      <c r="AO145" s="656"/>
      <c r="AP145" s="656"/>
      <c r="AQ145" s="656"/>
      <c r="AR145" s="656"/>
      <c r="AS145" s="656"/>
      <c r="AT145" s="656"/>
      <c r="AU145" s="656"/>
      <c r="AV145" s="656"/>
      <c r="AW145" s="656"/>
      <c r="AX145" s="656"/>
      <c r="AY145" s="656"/>
      <c r="AZ145" s="656"/>
      <c r="BA145" s="656"/>
      <c r="BB145" s="656"/>
      <c r="BC145" s="656"/>
      <c r="BD145" s="656"/>
      <c r="BE145" s="656"/>
      <c r="BF145" s="656"/>
      <c r="BG145" s="656"/>
      <c r="BH145" s="656"/>
      <c r="BI145" s="656"/>
      <c r="BJ145" s="656"/>
      <c r="BK145" s="656"/>
      <c r="BL145" s="656"/>
      <c r="BM145" s="656"/>
      <c r="BN145" s="656"/>
      <c r="BO145" s="656"/>
      <c r="BP145" s="656"/>
      <c r="BQ145" s="656"/>
      <c r="BR145" s="656"/>
      <c r="BS145" s="656"/>
      <c r="BT145" s="656"/>
      <c r="BU145" s="656"/>
      <c r="BV145" s="656"/>
      <c r="BW145" s="656"/>
      <c r="BX145" s="656"/>
      <c r="BY145" s="656"/>
      <c r="BZ145" s="656"/>
      <c r="CA145" s="656"/>
      <c r="CB145" s="656"/>
      <c r="CC145" s="656"/>
      <c r="CD145" s="656"/>
      <c r="CE145" s="656"/>
      <c r="CF145" s="656"/>
      <c r="CG145" s="656"/>
      <c r="CH145" s="656"/>
      <c r="CI145" s="656"/>
      <c r="CJ145" s="656"/>
      <c r="CK145" s="656"/>
      <c r="CL145" s="656"/>
      <c r="CM145" s="656"/>
      <c r="CN145" s="656"/>
      <c r="CO145" s="656"/>
      <c r="CP145" s="656"/>
      <c r="CQ145" s="656"/>
      <c r="CR145" s="656"/>
      <c r="CS145" s="656"/>
      <c r="CT145" s="656"/>
      <c r="CU145" s="656"/>
      <c r="CV145" s="656"/>
      <c r="CW145" s="656"/>
      <c r="CX145" s="656"/>
      <c r="CY145" s="656"/>
      <c r="CZ145" s="656"/>
      <c r="DA145" s="656"/>
      <c r="DB145" s="656"/>
      <c r="DC145" s="656"/>
      <c r="DD145" s="656"/>
      <c r="DE145" s="656"/>
      <c r="DF145" s="656"/>
      <c r="DG145" s="656"/>
      <c r="DH145" s="656"/>
      <c r="DI145" s="656"/>
      <c r="DJ145" s="656"/>
      <c r="DK145" s="656"/>
      <c r="DL145" s="656"/>
      <c r="DM145" s="656"/>
      <c r="DN145" s="656"/>
      <c r="DO145" s="656"/>
      <c r="DP145" s="656"/>
      <c r="DQ145" s="656"/>
      <c r="DR145" s="656"/>
      <c r="DS145" s="656"/>
      <c r="DT145" s="656"/>
      <c r="DU145" s="656"/>
      <c r="DV145" s="656"/>
      <c r="DW145" s="656"/>
      <c r="DX145" s="656"/>
      <c r="DY145" s="656"/>
      <c r="DZ145" s="656"/>
    </row>
    <row r="146" spans="1:130">
      <c r="A146" s="656"/>
      <c r="B146" s="656"/>
      <c r="C146" s="656"/>
      <c r="D146" s="656"/>
      <c r="E146" s="656"/>
      <c r="F146" s="656"/>
      <c r="G146" s="656"/>
      <c r="H146" s="656"/>
      <c r="I146" s="656"/>
      <c r="J146" s="656"/>
      <c r="K146" s="656"/>
      <c r="L146" s="656"/>
      <c r="M146" s="656"/>
      <c r="N146" s="656"/>
      <c r="O146" s="656"/>
      <c r="P146" s="656"/>
      <c r="Q146" s="656"/>
      <c r="R146" s="656"/>
      <c r="S146" s="656"/>
      <c r="T146" s="656"/>
      <c r="U146" s="656"/>
      <c r="V146" s="656"/>
      <c r="W146" s="656"/>
      <c r="X146" s="656"/>
      <c r="Y146" s="656"/>
      <c r="Z146" s="656"/>
      <c r="AA146" s="656"/>
      <c r="AB146" s="656"/>
      <c r="AC146" s="656"/>
      <c r="AD146" s="656"/>
      <c r="AE146" s="656"/>
      <c r="AF146" s="656"/>
      <c r="AG146" s="656"/>
      <c r="AH146" s="656"/>
      <c r="AI146" s="656"/>
      <c r="AJ146" s="656"/>
      <c r="AK146" s="656"/>
      <c r="AL146" s="656"/>
      <c r="AM146" s="656"/>
      <c r="AN146" s="656"/>
      <c r="AO146" s="656"/>
      <c r="AP146" s="656"/>
      <c r="AQ146" s="656"/>
      <c r="AR146" s="656"/>
      <c r="AS146" s="656"/>
      <c r="AT146" s="656"/>
      <c r="AU146" s="656"/>
      <c r="AV146" s="656"/>
      <c r="AW146" s="656"/>
      <c r="AX146" s="656"/>
      <c r="AY146" s="656"/>
      <c r="AZ146" s="656"/>
      <c r="BA146" s="656"/>
      <c r="BB146" s="656"/>
      <c r="BC146" s="656"/>
      <c r="BD146" s="656"/>
      <c r="BE146" s="656"/>
      <c r="BF146" s="656"/>
      <c r="BG146" s="656"/>
      <c r="BH146" s="656"/>
      <c r="BI146" s="656"/>
      <c r="BJ146" s="656"/>
      <c r="BK146" s="656"/>
      <c r="BL146" s="656"/>
      <c r="BM146" s="656"/>
      <c r="BN146" s="656"/>
      <c r="BO146" s="656"/>
      <c r="BP146" s="656"/>
      <c r="BQ146" s="656"/>
      <c r="BR146" s="656"/>
      <c r="BS146" s="656"/>
      <c r="BT146" s="656"/>
      <c r="BU146" s="656"/>
      <c r="BV146" s="656"/>
      <c r="BW146" s="656"/>
      <c r="BX146" s="656"/>
      <c r="BY146" s="656"/>
      <c r="BZ146" s="656"/>
      <c r="CA146" s="656"/>
      <c r="CB146" s="656"/>
      <c r="CC146" s="656"/>
      <c r="CD146" s="656"/>
      <c r="CE146" s="656"/>
      <c r="CF146" s="656"/>
      <c r="CG146" s="656"/>
      <c r="CH146" s="656"/>
      <c r="CI146" s="656"/>
      <c r="CJ146" s="656"/>
      <c r="CK146" s="656"/>
      <c r="CL146" s="656"/>
      <c r="CM146" s="656"/>
      <c r="CN146" s="656"/>
      <c r="CO146" s="656"/>
      <c r="CP146" s="656"/>
      <c r="CQ146" s="656"/>
      <c r="CR146" s="656"/>
      <c r="CS146" s="656"/>
      <c r="CT146" s="656"/>
      <c r="CU146" s="656"/>
      <c r="CV146" s="656"/>
      <c r="CW146" s="656"/>
      <c r="CX146" s="656"/>
      <c r="CY146" s="656"/>
      <c r="CZ146" s="656"/>
      <c r="DA146" s="656"/>
      <c r="DB146" s="656"/>
      <c r="DC146" s="656"/>
      <c r="DD146" s="656"/>
      <c r="DE146" s="656"/>
      <c r="DF146" s="656"/>
      <c r="DG146" s="656"/>
      <c r="DH146" s="656"/>
      <c r="DI146" s="656"/>
      <c r="DJ146" s="656"/>
      <c r="DK146" s="656"/>
      <c r="DL146" s="656"/>
      <c r="DM146" s="656"/>
      <c r="DN146" s="656"/>
      <c r="DO146" s="656"/>
      <c r="DP146" s="656"/>
      <c r="DQ146" s="656"/>
      <c r="DR146" s="656"/>
      <c r="DS146" s="656"/>
      <c r="DT146" s="656"/>
      <c r="DU146" s="656"/>
      <c r="DV146" s="656"/>
      <c r="DW146" s="656"/>
      <c r="DX146" s="656"/>
      <c r="DY146" s="656"/>
      <c r="DZ146" s="656"/>
    </row>
    <row r="147" spans="1:130">
      <c r="A147" s="656"/>
      <c r="B147" s="656"/>
      <c r="C147" s="656"/>
      <c r="D147" s="656"/>
      <c r="E147" s="656"/>
      <c r="F147" s="656"/>
      <c r="G147" s="656"/>
      <c r="H147" s="656"/>
      <c r="I147" s="656"/>
      <c r="J147" s="656"/>
      <c r="K147" s="656"/>
      <c r="L147" s="656"/>
      <c r="M147" s="656"/>
      <c r="N147" s="656"/>
      <c r="O147" s="656"/>
      <c r="P147" s="656"/>
      <c r="Q147" s="656"/>
      <c r="R147" s="656"/>
      <c r="S147" s="656"/>
      <c r="T147" s="656"/>
      <c r="U147" s="656"/>
      <c r="V147" s="656"/>
      <c r="W147" s="656"/>
      <c r="X147" s="656"/>
      <c r="Y147" s="656"/>
      <c r="Z147" s="656"/>
      <c r="AA147" s="656"/>
      <c r="AB147" s="656"/>
      <c r="AC147" s="656"/>
      <c r="AD147" s="656"/>
      <c r="AE147" s="656"/>
      <c r="AF147" s="656"/>
      <c r="AG147" s="656"/>
      <c r="AH147" s="656"/>
      <c r="AI147" s="656"/>
      <c r="AJ147" s="656"/>
      <c r="AK147" s="656"/>
      <c r="AL147" s="656"/>
      <c r="AM147" s="656"/>
      <c r="AN147" s="656"/>
      <c r="AO147" s="656"/>
      <c r="AP147" s="656"/>
      <c r="AQ147" s="656"/>
      <c r="AR147" s="656"/>
      <c r="AS147" s="656"/>
      <c r="AT147" s="656"/>
      <c r="AU147" s="656"/>
      <c r="AV147" s="656"/>
      <c r="AW147" s="656"/>
      <c r="AX147" s="656"/>
      <c r="AY147" s="656"/>
      <c r="AZ147" s="656"/>
      <c r="BA147" s="656"/>
      <c r="BB147" s="656"/>
      <c r="BC147" s="656"/>
      <c r="BD147" s="656"/>
      <c r="BE147" s="656"/>
      <c r="BF147" s="656"/>
      <c r="BG147" s="656"/>
      <c r="BH147" s="656"/>
      <c r="BI147" s="656"/>
      <c r="BJ147" s="656"/>
      <c r="BK147" s="656"/>
      <c r="BL147" s="656"/>
      <c r="BM147" s="656"/>
      <c r="BN147" s="656"/>
      <c r="BO147" s="656"/>
      <c r="BP147" s="656"/>
      <c r="BQ147" s="656"/>
      <c r="BR147" s="656"/>
      <c r="BS147" s="656"/>
      <c r="BT147" s="656"/>
      <c r="BU147" s="656"/>
      <c r="BV147" s="656"/>
      <c r="BW147" s="656"/>
      <c r="BX147" s="656"/>
      <c r="BY147" s="656"/>
      <c r="BZ147" s="656"/>
      <c r="CA147" s="656"/>
      <c r="CB147" s="656"/>
      <c r="CC147" s="656"/>
      <c r="CD147" s="656"/>
      <c r="CE147" s="656"/>
      <c r="CF147" s="656"/>
      <c r="CG147" s="656"/>
      <c r="CH147" s="656"/>
      <c r="CI147" s="656"/>
      <c r="CJ147" s="656"/>
      <c r="CK147" s="656"/>
      <c r="CL147" s="656"/>
      <c r="CM147" s="656"/>
      <c r="CN147" s="656"/>
      <c r="CO147" s="656"/>
      <c r="CP147" s="656"/>
      <c r="CQ147" s="656"/>
      <c r="CR147" s="656"/>
      <c r="CS147" s="656"/>
      <c r="CT147" s="656"/>
      <c r="CU147" s="656"/>
      <c r="CV147" s="656"/>
      <c r="CW147" s="656"/>
      <c r="CX147" s="656"/>
      <c r="CY147" s="656"/>
      <c r="CZ147" s="656"/>
      <c r="DA147" s="656"/>
      <c r="DB147" s="656"/>
      <c r="DC147" s="656"/>
      <c r="DD147" s="656"/>
      <c r="DE147" s="656"/>
      <c r="DF147" s="656"/>
      <c r="DG147" s="656"/>
      <c r="DH147" s="656"/>
      <c r="DI147" s="656"/>
      <c r="DJ147" s="656"/>
      <c r="DK147" s="656"/>
      <c r="DL147" s="656"/>
      <c r="DM147" s="656"/>
      <c r="DN147" s="656"/>
      <c r="DO147" s="656"/>
      <c r="DP147" s="656"/>
      <c r="DQ147" s="656"/>
      <c r="DR147" s="656"/>
      <c r="DS147" s="656"/>
      <c r="DT147" s="656"/>
      <c r="DU147" s="656"/>
      <c r="DV147" s="656"/>
      <c r="DW147" s="656"/>
      <c r="DX147" s="656"/>
      <c r="DY147" s="656"/>
      <c r="DZ147" s="656"/>
    </row>
    <row r="148" spans="1:130">
      <c r="A148" s="656"/>
      <c r="B148" s="656"/>
      <c r="C148" s="656"/>
      <c r="D148" s="656"/>
      <c r="E148" s="656"/>
      <c r="F148" s="656"/>
      <c r="G148" s="656"/>
      <c r="H148" s="656"/>
      <c r="I148" s="656"/>
      <c r="J148" s="656"/>
      <c r="K148" s="656"/>
      <c r="L148" s="656"/>
      <c r="M148" s="656"/>
      <c r="N148" s="656"/>
      <c r="O148" s="656"/>
      <c r="P148" s="656"/>
      <c r="Q148" s="656"/>
      <c r="R148" s="656"/>
      <c r="S148" s="656"/>
      <c r="T148" s="656"/>
      <c r="U148" s="656"/>
      <c r="V148" s="656"/>
      <c r="W148" s="656"/>
      <c r="X148" s="656"/>
      <c r="Y148" s="656"/>
      <c r="Z148" s="656"/>
      <c r="AA148" s="656"/>
      <c r="AB148" s="656"/>
      <c r="AC148" s="656"/>
      <c r="AD148" s="656"/>
      <c r="AE148" s="656"/>
      <c r="AF148" s="656"/>
      <c r="AG148" s="656"/>
      <c r="AH148" s="656"/>
      <c r="AI148" s="656"/>
      <c r="AJ148" s="656"/>
      <c r="AK148" s="656"/>
      <c r="AL148" s="656"/>
      <c r="AM148" s="656"/>
      <c r="AN148" s="656"/>
      <c r="AO148" s="656"/>
      <c r="AP148" s="656"/>
      <c r="AQ148" s="656"/>
      <c r="AR148" s="656"/>
      <c r="AS148" s="656"/>
      <c r="AT148" s="656"/>
      <c r="AU148" s="656"/>
      <c r="AV148" s="656"/>
      <c r="AW148" s="656"/>
      <c r="AX148" s="656"/>
      <c r="AY148" s="656"/>
      <c r="AZ148" s="656"/>
      <c r="BA148" s="656"/>
      <c r="BB148" s="656"/>
      <c r="BC148" s="656"/>
      <c r="BD148" s="656"/>
      <c r="BE148" s="656"/>
      <c r="BF148" s="656"/>
      <c r="BG148" s="656"/>
      <c r="BH148" s="656"/>
      <c r="BI148" s="656"/>
      <c r="BJ148" s="656"/>
      <c r="BK148" s="656"/>
      <c r="BL148" s="656"/>
      <c r="BM148" s="656"/>
      <c r="BN148" s="656"/>
      <c r="BO148" s="656"/>
      <c r="BP148" s="656"/>
      <c r="BQ148" s="656"/>
      <c r="BR148" s="656"/>
      <c r="BS148" s="656"/>
      <c r="BT148" s="656"/>
      <c r="BU148" s="656"/>
      <c r="BV148" s="656"/>
      <c r="BW148" s="656"/>
      <c r="BX148" s="656"/>
      <c r="BY148" s="656"/>
      <c r="BZ148" s="656"/>
      <c r="CA148" s="656"/>
      <c r="CB148" s="656"/>
      <c r="CC148" s="656"/>
      <c r="CD148" s="656"/>
      <c r="CE148" s="656"/>
      <c r="CF148" s="656"/>
      <c r="CG148" s="656"/>
      <c r="CH148" s="656"/>
      <c r="CI148" s="656"/>
      <c r="CJ148" s="656"/>
      <c r="CK148" s="656"/>
      <c r="CL148" s="656"/>
      <c r="CM148" s="656"/>
      <c r="CN148" s="656"/>
      <c r="CO148" s="656"/>
      <c r="CP148" s="656"/>
      <c r="CQ148" s="656"/>
      <c r="CR148" s="656"/>
      <c r="CS148" s="656"/>
      <c r="CT148" s="656"/>
      <c r="CU148" s="656"/>
      <c r="CV148" s="656"/>
      <c r="CW148" s="656"/>
      <c r="CX148" s="656"/>
      <c r="CY148" s="656"/>
      <c r="CZ148" s="656"/>
      <c r="DA148" s="656"/>
      <c r="DB148" s="656"/>
      <c r="DC148" s="656"/>
      <c r="DD148" s="656"/>
      <c r="DE148" s="656"/>
      <c r="DF148" s="656"/>
      <c r="DG148" s="656"/>
      <c r="DH148" s="656"/>
      <c r="DI148" s="656"/>
      <c r="DJ148" s="656"/>
      <c r="DK148" s="656"/>
      <c r="DL148" s="656"/>
      <c r="DM148" s="656"/>
      <c r="DN148" s="656"/>
      <c r="DO148" s="656"/>
      <c r="DP148" s="656"/>
      <c r="DQ148" s="656"/>
      <c r="DR148" s="656"/>
      <c r="DS148" s="656"/>
      <c r="DT148" s="656"/>
      <c r="DU148" s="656"/>
      <c r="DV148" s="656"/>
      <c r="DW148" s="656"/>
      <c r="DX148" s="656"/>
      <c r="DY148" s="656"/>
      <c r="DZ148" s="656"/>
    </row>
    <row r="149" spans="1:130">
      <c r="A149" s="656"/>
      <c r="B149" s="656"/>
      <c r="C149" s="656"/>
      <c r="D149" s="656"/>
      <c r="E149" s="656"/>
      <c r="F149" s="656"/>
      <c r="G149" s="656"/>
      <c r="H149" s="656"/>
      <c r="I149" s="656"/>
      <c r="J149" s="656"/>
      <c r="K149" s="656"/>
      <c r="L149" s="656"/>
      <c r="M149" s="656"/>
      <c r="N149" s="656"/>
      <c r="O149" s="656"/>
      <c r="P149" s="656"/>
      <c r="Q149" s="656"/>
      <c r="R149" s="656"/>
      <c r="S149" s="656"/>
      <c r="T149" s="656"/>
      <c r="U149" s="656"/>
      <c r="V149" s="656"/>
      <c r="W149" s="656"/>
      <c r="X149" s="656"/>
      <c r="Y149" s="656"/>
      <c r="Z149" s="656"/>
      <c r="AA149" s="656"/>
      <c r="AB149" s="656"/>
      <c r="AC149" s="656"/>
      <c r="AD149" s="656"/>
      <c r="AE149" s="656"/>
      <c r="AF149" s="656"/>
      <c r="AG149" s="656"/>
      <c r="AH149" s="656"/>
      <c r="AI149" s="656"/>
      <c r="AJ149" s="656"/>
      <c r="AK149" s="656"/>
      <c r="AL149" s="656"/>
      <c r="AM149" s="656"/>
      <c r="AN149" s="656"/>
      <c r="AO149" s="656"/>
      <c r="AP149" s="656"/>
      <c r="AQ149" s="656"/>
      <c r="AR149" s="656"/>
      <c r="AS149" s="656"/>
      <c r="AT149" s="656"/>
      <c r="AU149" s="656"/>
      <c r="AV149" s="656"/>
      <c r="AW149" s="656"/>
      <c r="AX149" s="656"/>
      <c r="AY149" s="656"/>
      <c r="AZ149" s="656"/>
      <c r="BA149" s="656"/>
      <c r="BB149" s="656"/>
      <c r="BC149" s="656"/>
      <c r="BD149" s="656"/>
      <c r="BE149" s="656"/>
      <c r="BF149" s="656"/>
      <c r="BG149" s="656"/>
      <c r="BH149" s="656"/>
      <c r="BI149" s="656"/>
      <c r="BJ149" s="656"/>
      <c r="BK149" s="656"/>
      <c r="BL149" s="656"/>
      <c r="BM149" s="656"/>
      <c r="BN149" s="656"/>
      <c r="BO149" s="656"/>
      <c r="BP149" s="656"/>
      <c r="BQ149" s="656"/>
      <c r="BR149" s="656"/>
      <c r="BS149" s="656"/>
      <c r="BT149" s="656"/>
      <c r="BU149" s="656"/>
      <c r="BV149" s="656"/>
      <c r="BW149" s="656"/>
      <c r="BX149" s="656"/>
      <c r="BY149" s="656"/>
      <c r="BZ149" s="656"/>
      <c r="CA149" s="656"/>
      <c r="CB149" s="656"/>
      <c r="CC149" s="656"/>
      <c r="CD149" s="656"/>
      <c r="CE149" s="656"/>
      <c r="CF149" s="656"/>
      <c r="CG149" s="656"/>
      <c r="CH149" s="656"/>
      <c r="CI149" s="656"/>
      <c r="CJ149" s="656"/>
      <c r="CK149" s="656"/>
      <c r="CL149" s="656"/>
      <c r="CM149" s="656"/>
      <c r="CN149" s="656"/>
      <c r="CO149" s="656"/>
      <c r="CP149" s="656"/>
      <c r="CQ149" s="656"/>
      <c r="CR149" s="656"/>
      <c r="CS149" s="656"/>
      <c r="CT149" s="656"/>
      <c r="CU149" s="656"/>
      <c r="CV149" s="656"/>
      <c r="CW149" s="656"/>
      <c r="CX149" s="656"/>
      <c r="CY149" s="656"/>
      <c r="CZ149" s="656"/>
      <c r="DA149" s="656"/>
      <c r="DB149" s="656"/>
      <c r="DC149" s="656"/>
      <c r="DD149" s="656"/>
      <c r="DE149" s="656"/>
      <c r="DF149" s="656"/>
      <c r="DG149" s="656"/>
      <c r="DH149" s="656"/>
      <c r="DI149" s="656"/>
      <c r="DJ149" s="656"/>
      <c r="DK149" s="656"/>
      <c r="DL149" s="656"/>
      <c r="DM149" s="656"/>
      <c r="DN149" s="656"/>
      <c r="DO149" s="656"/>
      <c r="DP149" s="656"/>
      <c r="DQ149" s="656"/>
      <c r="DR149" s="656"/>
      <c r="DS149" s="656"/>
      <c r="DT149" s="656"/>
      <c r="DU149" s="656"/>
      <c r="DV149" s="656"/>
      <c r="DW149" s="656"/>
      <c r="DX149" s="656"/>
      <c r="DY149" s="656"/>
      <c r="DZ149" s="656"/>
    </row>
    <row r="150" spans="1:130">
      <c r="A150" s="656"/>
      <c r="B150" s="656"/>
      <c r="C150" s="656"/>
      <c r="D150" s="656"/>
      <c r="E150" s="656"/>
      <c r="F150" s="656"/>
      <c r="G150" s="656"/>
      <c r="H150" s="656"/>
      <c r="I150" s="656"/>
      <c r="J150" s="656"/>
      <c r="K150" s="656"/>
      <c r="L150" s="656"/>
      <c r="M150" s="656"/>
      <c r="N150" s="656"/>
      <c r="O150" s="656"/>
      <c r="P150" s="656"/>
      <c r="Q150" s="656"/>
      <c r="R150" s="656"/>
      <c r="S150" s="656"/>
      <c r="T150" s="656"/>
      <c r="U150" s="656"/>
      <c r="V150" s="656"/>
      <c r="W150" s="656"/>
      <c r="X150" s="656"/>
      <c r="Y150" s="656"/>
      <c r="Z150" s="656"/>
      <c r="AA150" s="656"/>
      <c r="AB150" s="656"/>
      <c r="AC150" s="656"/>
      <c r="AD150" s="656"/>
      <c r="AE150" s="656"/>
      <c r="AF150" s="656"/>
      <c r="AG150" s="656"/>
      <c r="AH150" s="656"/>
      <c r="AI150" s="656"/>
      <c r="AJ150" s="656"/>
      <c r="AK150" s="656"/>
      <c r="AL150" s="656"/>
      <c r="AM150" s="656"/>
      <c r="AN150" s="656"/>
      <c r="AO150" s="656"/>
      <c r="AP150" s="656"/>
      <c r="AQ150" s="656"/>
      <c r="AR150" s="656"/>
      <c r="AS150" s="656"/>
      <c r="AT150" s="656"/>
      <c r="AU150" s="656"/>
      <c r="AV150" s="656"/>
      <c r="AW150" s="656"/>
      <c r="AX150" s="656"/>
      <c r="AY150" s="656"/>
      <c r="AZ150" s="656"/>
      <c r="BA150" s="656"/>
      <c r="BB150" s="656"/>
      <c r="BC150" s="656"/>
      <c r="BD150" s="656"/>
      <c r="BE150" s="656"/>
      <c r="BF150" s="656"/>
      <c r="BG150" s="656"/>
      <c r="BH150" s="656"/>
      <c r="BI150" s="656"/>
      <c r="BJ150" s="656"/>
      <c r="BK150" s="656"/>
      <c r="BL150" s="656"/>
      <c r="BM150" s="656"/>
      <c r="BN150" s="656"/>
      <c r="BO150" s="656"/>
      <c r="BP150" s="656"/>
      <c r="BQ150" s="656"/>
      <c r="BR150" s="656"/>
      <c r="BS150" s="656"/>
      <c r="BT150" s="656"/>
      <c r="BU150" s="656"/>
      <c r="BV150" s="656"/>
      <c r="BW150" s="656"/>
      <c r="BX150" s="656"/>
      <c r="BY150" s="656"/>
      <c r="BZ150" s="656"/>
      <c r="CA150" s="656"/>
      <c r="CB150" s="656"/>
      <c r="CC150" s="656"/>
      <c r="CD150" s="656"/>
      <c r="CE150" s="656"/>
      <c r="CF150" s="656"/>
      <c r="CG150" s="656"/>
      <c r="CH150" s="656"/>
      <c r="CI150" s="656"/>
      <c r="CJ150" s="656"/>
      <c r="CK150" s="656"/>
      <c r="CL150" s="656"/>
      <c r="CM150" s="656"/>
      <c r="CN150" s="656"/>
      <c r="CO150" s="656"/>
      <c r="CP150" s="656"/>
      <c r="CQ150" s="656"/>
      <c r="CR150" s="656"/>
      <c r="CS150" s="656"/>
      <c r="CT150" s="656"/>
      <c r="CU150" s="656"/>
      <c r="CV150" s="656"/>
      <c r="CW150" s="656"/>
      <c r="CX150" s="656"/>
      <c r="CY150" s="656"/>
      <c r="CZ150" s="656"/>
      <c r="DA150" s="656"/>
      <c r="DB150" s="656"/>
      <c r="DC150" s="656"/>
      <c r="DD150" s="656"/>
      <c r="DE150" s="656"/>
      <c r="DF150" s="656"/>
      <c r="DG150" s="656"/>
      <c r="DH150" s="656"/>
      <c r="DI150" s="656"/>
      <c r="DJ150" s="656"/>
      <c r="DK150" s="656"/>
      <c r="DL150" s="656"/>
      <c r="DM150" s="656"/>
      <c r="DN150" s="656"/>
      <c r="DO150" s="656"/>
      <c r="DP150" s="656"/>
      <c r="DQ150" s="656"/>
      <c r="DR150" s="656"/>
      <c r="DS150" s="656"/>
      <c r="DT150" s="656"/>
      <c r="DU150" s="656"/>
      <c r="DV150" s="656"/>
      <c r="DW150" s="656"/>
      <c r="DX150" s="656"/>
      <c r="DY150" s="656"/>
      <c r="DZ150" s="656"/>
    </row>
    <row r="151" spans="1:130">
      <c r="A151" s="656"/>
      <c r="B151" s="656"/>
      <c r="C151" s="656"/>
      <c r="D151" s="656"/>
      <c r="E151" s="656"/>
      <c r="F151" s="656"/>
      <c r="G151" s="656"/>
      <c r="H151" s="656"/>
      <c r="I151" s="656"/>
      <c r="J151" s="656"/>
      <c r="K151" s="656"/>
      <c r="L151" s="656"/>
      <c r="M151" s="656"/>
      <c r="N151" s="656"/>
      <c r="O151" s="656"/>
      <c r="P151" s="656"/>
      <c r="Q151" s="656"/>
      <c r="R151" s="656"/>
      <c r="S151" s="656"/>
      <c r="T151" s="656"/>
      <c r="U151" s="656"/>
      <c r="V151" s="656"/>
      <c r="W151" s="656"/>
      <c r="X151" s="656"/>
      <c r="Y151" s="656"/>
      <c r="Z151" s="656"/>
      <c r="AA151" s="656"/>
      <c r="AB151" s="656"/>
      <c r="AC151" s="656"/>
      <c r="AD151" s="656"/>
      <c r="AE151" s="656"/>
      <c r="AF151" s="656"/>
      <c r="AG151" s="656"/>
      <c r="AH151" s="656"/>
      <c r="AI151" s="656"/>
      <c r="AJ151" s="656"/>
      <c r="AK151" s="656"/>
      <c r="AL151" s="656"/>
      <c r="AM151" s="656"/>
      <c r="AN151" s="656"/>
      <c r="AO151" s="656"/>
      <c r="AP151" s="656"/>
      <c r="AQ151" s="656"/>
      <c r="AR151" s="656"/>
      <c r="AS151" s="656"/>
      <c r="AT151" s="656"/>
      <c r="AU151" s="656"/>
      <c r="AV151" s="656"/>
      <c r="AW151" s="656"/>
      <c r="AX151" s="656"/>
      <c r="AY151" s="656"/>
      <c r="AZ151" s="656"/>
      <c r="BA151" s="656"/>
      <c r="BB151" s="656"/>
      <c r="BC151" s="656"/>
      <c r="BD151" s="656"/>
      <c r="BE151" s="656"/>
      <c r="BF151" s="656"/>
      <c r="BG151" s="656"/>
      <c r="BH151" s="656"/>
      <c r="BI151" s="656"/>
      <c r="BJ151" s="656"/>
      <c r="BK151" s="656"/>
      <c r="BL151" s="656"/>
      <c r="BM151" s="656"/>
      <c r="BN151" s="656"/>
      <c r="BO151" s="656"/>
      <c r="BP151" s="656"/>
      <c r="BQ151" s="656"/>
      <c r="BR151" s="656"/>
      <c r="BS151" s="656"/>
      <c r="BT151" s="656"/>
      <c r="BU151" s="656"/>
      <c r="BV151" s="656"/>
      <c r="BW151" s="656"/>
      <c r="BX151" s="656"/>
      <c r="BY151" s="656"/>
      <c r="BZ151" s="656"/>
      <c r="CA151" s="656"/>
      <c r="CB151" s="656"/>
      <c r="CC151" s="656"/>
      <c r="CD151" s="656"/>
      <c r="CE151" s="656"/>
      <c r="CF151" s="656"/>
      <c r="CG151" s="656"/>
      <c r="CH151" s="656"/>
      <c r="CI151" s="656"/>
      <c r="CJ151" s="656"/>
      <c r="CK151" s="656"/>
      <c r="CL151" s="656"/>
      <c r="CM151" s="656"/>
      <c r="CN151" s="656"/>
      <c r="CO151" s="656"/>
      <c r="CP151" s="656"/>
      <c r="CQ151" s="656"/>
      <c r="CR151" s="656"/>
      <c r="CS151" s="656"/>
      <c r="CT151" s="656"/>
      <c r="CU151" s="656"/>
      <c r="CV151" s="656"/>
      <c r="CW151" s="656"/>
      <c r="CX151" s="656"/>
      <c r="CY151" s="656"/>
      <c r="CZ151" s="656"/>
      <c r="DA151" s="656"/>
      <c r="DB151" s="656"/>
      <c r="DC151" s="656"/>
      <c r="DD151" s="656"/>
      <c r="DE151" s="656"/>
      <c r="DF151" s="656"/>
      <c r="DG151" s="656"/>
      <c r="DH151" s="656"/>
      <c r="DI151" s="656"/>
      <c r="DJ151" s="656"/>
      <c r="DK151" s="656"/>
      <c r="DL151" s="656"/>
      <c r="DM151" s="656"/>
      <c r="DN151" s="656"/>
      <c r="DO151" s="656"/>
      <c r="DP151" s="656"/>
      <c r="DQ151" s="656"/>
      <c r="DR151" s="656"/>
      <c r="DS151" s="656"/>
      <c r="DT151" s="656"/>
      <c r="DU151" s="656"/>
      <c r="DV151" s="656"/>
      <c r="DW151" s="656"/>
      <c r="DX151" s="656"/>
      <c r="DY151" s="656"/>
      <c r="DZ151" s="656"/>
    </row>
    <row r="152" spans="1:130">
      <c r="A152" s="656"/>
      <c r="B152" s="656"/>
      <c r="C152" s="656"/>
      <c r="D152" s="656"/>
      <c r="E152" s="656"/>
      <c r="F152" s="656"/>
      <c r="G152" s="656"/>
      <c r="H152" s="656"/>
      <c r="I152" s="656"/>
      <c r="J152" s="656"/>
      <c r="K152" s="656"/>
      <c r="L152" s="656"/>
      <c r="M152" s="656"/>
      <c r="N152" s="656"/>
      <c r="O152" s="656"/>
      <c r="P152" s="656"/>
      <c r="Q152" s="656"/>
      <c r="R152" s="656"/>
      <c r="S152" s="656"/>
      <c r="T152" s="656"/>
      <c r="U152" s="656"/>
      <c r="V152" s="656"/>
      <c r="W152" s="656"/>
      <c r="X152" s="656"/>
      <c r="Y152" s="656"/>
      <c r="Z152" s="656"/>
      <c r="AA152" s="656"/>
      <c r="AB152" s="656"/>
      <c r="AC152" s="656"/>
      <c r="AD152" s="656"/>
      <c r="AE152" s="656"/>
      <c r="AF152" s="656"/>
      <c r="AG152" s="656"/>
      <c r="AH152" s="656"/>
      <c r="AI152" s="656"/>
      <c r="AJ152" s="656"/>
      <c r="AK152" s="656"/>
      <c r="AL152" s="656"/>
      <c r="AM152" s="656"/>
      <c r="AN152" s="656"/>
      <c r="AO152" s="656"/>
      <c r="AP152" s="656"/>
      <c r="AQ152" s="656"/>
      <c r="AR152" s="656"/>
      <c r="AS152" s="656"/>
      <c r="AT152" s="656"/>
      <c r="AU152" s="656"/>
      <c r="AV152" s="656"/>
      <c r="AW152" s="656"/>
      <c r="AX152" s="656"/>
      <c r="AY152" s="656"/>
      <c r="AZ152" s="656"/>
      <c r="BA152" s="656"/>
      <c r="BB152" s="656"/>
      <c r="BC152" s="656"/>
      <c r="BD152" s="656"/>
      <c r="BE152" s="656"/>
      <c r="BF152" s="656"/>
      <c r="BG152" s="656"/>
      <c r="BH152" s="656"/>
      <c r="BI152" s="656"/>
      <c r="BJ152" s="656"/>
      <c r="BK152" s="656"/>
      <c r="BL152" s="656"/>
      <c r="BM152" s="656"/>
      <c r="BN152" s="656"/>
      <c r="BO152" s="656"/>
      <c r="BP152" s="656"/>
      <c r="BQ152" s="656"/>
      <c r="BR152" s="656"/>
      <c r="BS152" s="656"/>
      <c r="BT152" s="656"/>
      <c r="BU152" s="656"/>
      <c r="BV152" s="656"/>
      <c r="BW152" s="656"/>
      <c r="BX152" s="656"/>
      <c r="BY152" s="656"/>
      <c r="BZ152" s="656"/>
      <c r="CA152" s="656"/>
      <c r="CB152" s="656"/>
      <c r="CC152" s="656"/>
      <c r="CD152" s="656"/>
      <c r="CE152" s="656"/>
      <c r="CF152" s="656"/>
      <c r="CG152" s="656"/>
      <c r="CH152" s="656"/>
      <c r="CI152" s="656"/>
      <c r="CJ152" s="656"/>
      <c r="CK152" s="656"/>
      <c r="CL152" s="656"/>
      <c r="CM152" s="656"/>
      <c r="CN152" s="656"/>
      <c r="CO152" s="656"/>
      <c r="CP152" s="656"/>
      <c r="CQ152" s="656"/>
      <c r="CR152" s="656"/>
      <c r="CS152" s="656"/>
      <c r="CT152" s="656"/>
      <c r="CU152" s="656"/>
      <c r="CV152" s="656"/>
      <c r="CW152" s="656"/>
      <c r="CX152" s="656"/>
      <c r="CY152" s="656"/>
      <c r="CZ152" s="656"/>
      <c r="DA152" s="656"/>
      <c r="DB152" s="656"/>
      <c r="DC152" s="656"/>
      <c r="DD152" s="656"/>
      <c r="DE152" s="656"/>
      <c r="DF152" s="656"/>
      <c r="DG152" s="656"/>
      <c r="DH152" s="656"/>
      <c r="DI152" s="656"/>
      <c r="DJ152" s="656"/>
      <c r="DK152" s="656"/>
      <c r="DL152" s="656"/>
      <c r="DM152" s="656"/>
      <c r="DN152" s="656"/>
      <c r="DO152" s="656"/>
      <c r="DP152" s="656"/>
      <c r="DQ152" s="656"/>
      <c r="DR152" s="656"/>
      <c r="DS152" s="656"/>
      <c r="DT152" s="656"/>
      <c r="DU152" s="656"/>
      <c r="DV152" s="656"/>
      <c r="DW152" s="656"/>
      <c r="DX152" s="656"/>
      <c r="DY152" s="656"/>
      <c r="DZ152" s="656"/>
    </row>
    <row r="153" spans="1:130">
      <c r="A153" s="656"/>
      <c r="B153" s="656"/>
      <c r="C153" s="656"/>
      <c r="D153" s="656"/>
      <c r="E153" s="656"/>
      <c r="F153" s="656"/>
      <c r="G153" s="656"/>
      <c r="H153" s="656"/>
      <c r="I153" s="656"/>
      <c r="J153" s="656"/>
      <c r="K153" s="656"/>
      <c r="L153" s="656"/>
      <c r="M153" s="656"/>
      <c r="N153" s="656"/>
      <c r="O153" s="656"/>
      <c r="P153" s="656"/>
      <c r="Q153" s="656"/>
      <c r="R153" s="656"/>
      <c r="S153" s="656"/>
      <c r="T153" s="656"/>
      <c r="U153" s="656"/>
      <c r="V153" s="656"/>
      <c r="W153" s="656"/>
      <c r="X153" s="656"/>
      <c r="Y153" s="656"/>
      <c r="Z153" s="656"/>
      <c r="AA153" s="656"/>
      <c r="AB153" s="656"/>
      <c r="AC153" s="656"/>
      <c r="AD153" s="656"/>
      <c r="AE153" s="656"/>
      <c r="AF153" s="656"/>
      <c r="AG153" s="656"/>
      <c r="AH153" s="656"/>
      <c r="AI153" s="656"/>
      <c r="AJ153" s="656"/>
      <c r="AK153" s="656"/>
      <c r="AL153" s="656"/>
      <c r="AM153" s="656"/>
      <c r="AN153" s="656"/>
      <c r="AO153" s="656"/>
      <c r="AP153" s="656"/>
      <c r="AQ153" s="656"/>
      <c r="AR153" s="656"/>
      <c r="AS153" s="656"/>
      <c r="AT153" s="656"/>
      <c r="AU153" s="656"/>
      <c r="AV153" s="656"/>
      <c r="AW153" s="656"/>
      <c r="AX153" s="656"/>
      <c r="AY153" s="656"/>
      <c r="AZ153" s="656"/>
      <c r="BA153" s="656"/>
      <c r="BB153" s="656"/>
      <c r="BC153" s="656"/>
      <c r="BD153" s="656"/>
      <c r="BE153" s="656"/>
      <c r="BF153" s="656"/>
      <c r="BG153" s="656"/>
      <c r="BH153" s="656"/>
      <c r="BI153" s="656"/>
      <c r="BJ153" s="656"/>
      <c r="BK153" s="656"/>
      <c r="BL153" s="656"/>
      <c r="BM153" s="656"/>
      <c r="BN153" s="656"/>
      <c r="BO153" s="656"/>
      <c r="BP153" s="656"/>
      <c r="BQ153" s="656"/>
      <c r="BR153" s="656"/>
      <c r="BS153" s="656"/>
      <c r="BT153" s="656"/>
      <c r="BU153" s="656"/>
      <c r="BV153" s="656"/>
      <c r="BW153" s="656"/>
      <c r="BX153" s="656"/>
      <c r="BY153" s="656"/>
      <c r="BZ153" s="656"/>
      <c r="CA153" s="656"/>
      <c r="CB153" s="656"/>
      <c r="CC153" s="656"/>
      <c r="CD153" s="656"/>
      <c r="CE153" s="656"/>
      <c r="CF153" s="656"/>
      <c r="CG153" s="656"/>
      <c r="CH153" s="656"/>
      <c r="CI153" s="656"/>
      <c r="CJ153" s="656"/>
      <c r="CK153" s="656"/>
      <c r="CL153" s="656"/>
      <c r="CM153" s="656"/>
      <c r="CN153" s="656"/>
      <c r="CO153" s="656"/>
      <c r="CP153" s="656"/>
      <c r="CQ153" s="656"/>
      <c r="CR153" s="656"/>
      <c r="CS153" s="656"/>
      <c r="CT153" s="656"/>
      <c r="CU153" s="656"/>
      <c r="CV153" s="656"/>
      <c r="CW153" s="656"/>
      <c r="CX153" s="656"/>
      <c r="CY153" s="656"/>
      <c r="CZ153" s="656"/>
      <c r="DA153" s="656"/>
      <c r="DB153" s="656"/>
      <c r="DC153" s="656"/>
      <c r="DD153" s="656"/>
      <c r="DE153" s="656"/>
      <c r="DF153" s="656"/>
      <c r="DG153" s="656"/>
      <c r="DH153" s="656"/>
      <c r="DI153" s="656"/>
      <c r="DJ153" s="656"/>
      <c r="DK153" s="656"/>
      <c r="DL153" s="656"/>
      <c r="DM153" s="656"/>
      <c r="DN153" s="656"/>
      <c r="DO153" s="656"/>
      <c r="DP153" s="656"/>
      <c r="DQ153" s="656"/>
      <c r="DR153" s="656"/>
      <c r="DS153" s="656"/>
      <c r="DT153" s="656"/>
      <c r="DU153" s="656"/>
      <c r="DV153" s="656"/>
      <c r="DW153" s="656"/>
      <c r="DX153" s="656"/>
      <c r="DY153" s="656"/>
      <c r="DZ153" s="656"/>
    </row>
    <row r="154" spans="1:130">
      <c r="A154" s="656"/>
      <c r="B154" s="656"/>
      <c r="C154" s="656"/>
      <c r="D154" s="656"/>
      <c r="E154" s="656"/>
      <c r="F154" s="656"/>
      <c r="G154" s="656"/>
      <c r="H154" s="656"/>
      <c r="I154" s="656"/>
      <c r="J154" s="656"/>
      <c r="K154" s="656"/>
      <c r="L154" s="656"/>
      <c r="M154" s="656"/>
      <c r="N154" s="656"/>
      <c r="O154" s="656"/>
      <c r="P154" s="656"/>
      <c r="Q154" s="656"/>
      <c r="R154" s="656"/>
      <c r="S154" s="656"/>
      <c r="T154" s="656"/>
      <c r="U154" s="656"/>
      <c r="V154" s="656"/>
      <c r="W154" s="656"/>
      <c r="X154" s="656"/>
      <c r="Y154" s="656"/>
      <c r="Z154" s="656"/>
      <c r="AA154" s="656"/>
      <c r="AB154" s="656"/>
      <c r="AC154" s="656"/>
      <c r="AD154" s="656"/>
      <c r="AE154" s="656"/>
      <c r="AF154" s="656"/>
      <c r="AG154" s="656"/>
      <c r="AH154" s="656"/>
      <c r="AI154" s="656"/>
      <c r="AJ154" s="656"/>
      <c r="AK154" s="656"/>
      <c r="AL154" s="656"/>
      <c r="AM154" s="656"/>
      <c r="AN154" s="656"/>
      <c r="AO154" s="656"/>
      <c r="AP154" s="656"/>
      <c r="AQ154" s="656"/>
      <c r="AR154" s="656"/>
      <c r="AS154" s="656"/>
      <c r="AT154" s="656"/>
      <c r="AU154" s="656"/>
      <c r="AV154" s="656"/>
      <c r="AW154" s="656"/>
      <c r="AX154" s="656"/>
      <c r="AY154" s="656"/>
      <c r="AZ154" s="656"/>
      <c r="BA154" s="656"/>
      <c r="BB154" s="656"/>
      <c r="BC154" s="656"/>
      <c r="BD154" s="656"/>
      <c r="BE154" s="656"/>
      <c r="BF154" s="656"/>
      <c r="BG154" s="656"/>
      <c r="BH154" s="656"/>
      <c r="BI154" s="656"/>
      <c r="BJ154" s="656"/>
      <c r="BK154" s="656"/>
      <c r="BL154" s="656"/>
      <c r="BM154" s="656"/>
      <c r="BN154" s="656"/>
      <c r="BO154" s="656"/>
      <c r="BP154" s="656"/>
      <c r="BQ154" s="656"/>
      <c r="BR154" s="656"/>
      <c r="BS154" s="656"/>
      <c r="BT154" s="656"/>
      <c r="BU154" s="656"/>
      <c r="BV154" s="656"/>
      <c r="BW154" s="656"/>
      <c r="BX154" s="656"/>
      <c r="BY154" s="656"/>
      <c r="BZ154" s="656"/>
      <c r="CA154" s="656"/>
      <c r="CB154" s="656"/>
      <c r="CC154" s="656"/>
      <c r="CD154" s="656"/>
      <c r="CE154" s="656"/>
      <c r="CF154" s="656"/>
      <c r="CG154" s="656"/>
      <c r="CH154" s="656"/>
      <c r="CI154" s="656"/>
      <c r="CJ154" s="656"/>
      <c r="CK154" s="656"/>
      <c r="CL154" s="656"/>
      <c r="CM154" s="656"/>
      <c r="CN154" s="656"/>
      <c r="CO154" s="656"/>
      <c r="CP154" s="656"/>
      <c r="CQ154" s="656"/>
      <c r="CR154" s="656"/>
      <c r="CS154" s="656"/>
      <c r="CT154" s="656"/>
      <c r="CU154" s="656"/>
      <c r="CV154" s="656"/>
      <c r="CW154" s="656"/>
      <c r="CX154" s="656"/>
      <c r="CY154" s="656"/>
      <c r="CZ154" s="656"/>
      <c r="DA154" s="656"/>
      <c r="DB154" s="656"/>
      <c r="DC154" s="656"/>
      <c r="DD154" s="656"/>
      <c r="DE154" s="656"/>
      <c r="DF154" s="656"/>
      <c r="DG154" s="656"/>
      <c r="DH154" s="656"/>
      <c r="DI154" s="656"/>
      <c r="DJ154" s="656"/>
      <c r="DK154" s="656"/>
      <c r="DL154" s="656"/>
      <c r="DM154" s="656"/>
      <c r="DN154" s="656"/>
      <c r="DO154" s="656"/>
      <c r="DP154" s="656"/>
      <c r="DQ154" s="656"/>
      <c r="DR154" s="656"/>
      <c r="DS154" s="656"/>
      <c r="DT154" s="656"/>
      <c r="DU154" s="656"/>
      <c r="DV154" s="656"/>
      <c r="DW154" s="656"/>
      <c r="DX154" s="656"/>
      <c r="DY154" s="656"/>
      <c r="DZ154" s="656"/>
    </row>
    <row r="155" spans="1:130">
      <c r="A155" s="656"/>
      <c r="B155" s="656"/>
      <c r="C155" s="656"/>
      <c r="D155" s="656"/>
      <c r="E155" s="656"/>
      <c r="F155" s="656"/>
      <c r="G155" s="656"/>
      <c r="H155" s="656"/>
      <c r="I155" s="656"/>
      <c r="J155" s="656"/>
      <c r="K155" s="656"/>
      <c r="L155" s="656"/>
      <c r="M155" s="656"/>
      <c r="N155" s="656"/>
      <c r="O155" s="656"/>
      <c r="P155" s="656"/>
      <c r="Q155" s="656"/>
      <c r="R155" s="656"/>
      <c r="S155" s="656"/>
      <c r="T155" s="656"/>
      <c r="U155" s="656"/>
      <c r="V155" s="656"/>
      <c r="W155" s="656"/>
      <c r="X155" s="656"/>
      <c r="Y155" s="656"/>
      <c r="Z155" s="656"/>
      <c r="AA155" s="656"/>
      <c r="AB155" s="656"/>
      <c r="AC155" s="656"/>
      <c r="AD155" s="656"/>
      <c r="AE155" s="656"/>
      <c r="AF155" s="656"/>
      <c r="AG155" s="656"/>
      <c r="AH155" s="656"/>
      <c r="AI155" s="656"/>
      <c r="AJ155" s="656"/>
      <c r="AK155" s="656"/>
      <c r="AL155" s="656"/>
      <c r="AM155" s="656"/>
      <c r="AN155" s="656"/>
      <c r="AO155" s="656"/>
      <c r="AP155" s="656"/>
      <c r="AQ155" s="656"/>
      <c r="AR155" s="656"/>
      <c r="AS155" s="656"/>
      <c r="AT155" s="656"/>
      <c r="AU155" s="656"/>
      <c r="AV155" s="656"/>
      <c r="AW155" s="656"/>
      <c r="AX155" s="656"/>
      <c r="AY155" s="656"/>
      <c r="AZ155" s="656"/>
      <c r="BA155" s="656"/>
      <c r="BB155" s="656"/>
      <c r="BC155" s="656"/>
      <c r="BD155" s="656"/>
      <c r="BE155" s="656"/>
      <c r="BF155" s="656"/>
      <c r="BG155" s="656"/>
      <c r="BH155" s="656"/>
      <c r="BI155" s="656"/>
      <c r="BJ155" s="656"/>
      <c r="BK155" s="656"/>
      <c r="BL155" s="656"/>
      <c r="BM155" s="656"/>
      <c r="BN155" s="656"/>
      <c r="BO155" s="656"/>
      <c r="BP155" s="656"/>
      <c r="BQ155" s="656"/>
      <c r="BR155" s="656"/>
      <c r="BS155" s="656"/>
      <c r="BT155" s="656"/>
      <c r="BU155" s="656"/>
      <c r="BV155" s="656"/>
      <c r="BW155" s="656"/>
      <c r="BX155" s="656"/>
      <c r="BY155" s="656"/>
      <c r="BZ155" s="656"/>
      <c r="CA155" s="656"/>
      <c r="CB155" s="656"/>
      <c r="CC155" s="656"/>
      <c r="CD155" s="656"/>
      <c r="CE155" s="656"/>
      <c r="CF155" s="656"/>
      <c r="CG155" s="656"/>
      <c r="CH155" s="656"/>
      <c r="CI155" s="656"/>
      <c r="CJ155" s="656"/>
      <c r="CK155" s="656"/>
      <c r="CL155" s="656"/>
      <c r="CM155" s="656"/>
      <c r="CN155" s="656"/>
      <c r="CO155" s="656"/>
      <c r="CP155" s="656"/>
      <c r="CQ155" s="656"/>
      <c r="CR155" s="656"/>
      <c r="CS155" s="656"/>
      <c r="CT155" s="656"/>
      <c r="CU155" s="656"/>
      <c r="CV155" s="656"/>
      <c r="CW155" s="656"/>
      <c r="CX155" s="656"/>
      <c r="CY155" s="656"/>
      <c r="CZ155" s="656"/>
      <c r="DA155" s="656"/>
      <c r="DB155" s="656"/>
      <c r="DC155" s="656"/>
      <c r="DD155" s="656"/>
      <c r="DE155" s="656"/>
      <c r="DF155" s="656"/>
      <c r="DG155" s="656"/>
      <c r="DH155" s="656"/>
      <c r="DI155" s="656"/>
      <c r="DJ155" s="656"/>
      <c r="DK155" s="656"/>
      <c r="DL155" s="656"/>
      <c r="DM155" s="656"/>
      <c r="DN155" s="656"/>
      <c r="DO155" s="656"/>
      <c r="DP155" s="656"/>
      <c r="DQ155" s="656"/>
      <c r="DR155" s="656"/>
      <c r="DS155" s="656"/>
      <c r="DT155" s="656"/>
      <c r="DU155" s="656"/>
      <c r="DV155" s="656"/>
      <c r="DW155" s="656"/>
      <c r="DX155" s="656"/>
      <c r="DY155" s="656"/>
      <c r="DZ155" s="656"/>
    </row>
    <row r="156" spans="1:130">
      <c r="A156" s="656"/>
      <c r="B156" s="656"/>
      <c r="C156" s="656"/>
      <c r="D156" s="656"/>
      <c r="E156" s="656"/>
      <c r="F156" s="656"/>
      <c r="G156" s="656"/>
      <c r="H156" s="656"/>
      <c r="I156" s="656"/>
      <c r="J156" s="656"/>
      <c r="K156" s="656"/>
      <c r="L156" s="656"/>
      <c r="M156" s="656"/>
      <c r="N156" s="656"/>
      <c r="O156" s="656"/>
      <c r="P156" s="656"/>
      <c r="Q156" s="656"/>
      <c r="R156" s="656"/>
      <c r="S156" s="656"/>
      <c r="T156" s="656"/>
      <c r="U156" s="656"/>
      <c r="V156" s="656"/>
      <c r="W156" s="656"/>
      <c r="X156" s="656"/>
      <c r="Y156" s="656"/>
      <c r="Z156" s="656"/>
      <c r="AA156" s="656"/>
      <c r="AB156" s="656"/>
      <c r="AC156" s="656"/>
      <c r="AD156" s="656"/>
      <c r="AE156" s="656"/>
      <c r="AF156" s="656"/>
      <c r="AG156" s="656"/>
      <c r="AH156" s="656"/>
      <c r="AI156" s="656"/>
      <c r="AJ156" s="656"/>
      <c r="AK156" s="656"/>
      <c r="AL156" s="656"/>
      <c r="AM156" s="656"/>
      <c r="AN156" s="656"/>
      <c r="AO156" s="656"/>
      <c r="AP156" s="656"/>
      <c r="AQ156" s="656"/>
      <c r="AR156" s="656"/>
      <c r="AS156" s="656"/>
      <c r="AT156" s="656"/>
      <c r="AU156" s="656"/>
      <c r="AV156" s="656"/>
      <c r="AW156" s="656"/>
      <c r="AX156" s="656"/>
      <c r="AY156" s="656"/>
      <c r="AZ156" s="656"/>
      <c r="BA156" s="656"/>
      <c r="BB156" s="656"/>
      <c r="BC156" s="656"/>
      <c r="BD156" s="656"/>
      <c r="BE156" s="656"/>
      <c r="BF156" s="656"/>
      <c r="BG156" s="656"/>
      <c r="BH156" s="656"/>
      <c r="BI156" s="656"/>
      <c r="BJ156" s="656"/>
      <c r="BK156" s="656"/>
      <c r="BL156" s="656"/>
      <c r="BM156" s="656"/>
      <c r="BN156" s="656"/>
      <c r="BO156" s="656"/>
      <c r="BP156" s="656"/>
      <c r="BQ156" s="656"/>
      <c r="BR156" s="656"/>
      <c r="BS156" s="656"/>
      <c r="BT156" s="656"/>
      <c r="BU156" s="656"/>
      <c r="BV156" s="656"/>
      <c r="BW156" s="656"/>
      <c r="BX156" s="656"/>
      <c r="BY156" s="656"/>
      <c r="BZ156" s="656"/>
      <c r="CA156" s="656"/>
      <c r="CB156" s="656"/>
      <c r="CC156" s="656"/>
      <c r="CD156" s="656"/>
      <c r="CE156" s="656"/>
      <c r="CF156" s="656"/>
      <c r="CG156" s="656"/>
      <c r="CH156" s="656"/>
      <c r="CI156" s="656"/>
      <c r="CJ156" s="656"/>
      <c r="CK156" s="656"/>
      <c r="CL156" s="656"/>
      <c r="CM156" s="656"/>
      <c r="CN156" s="656"/>
      <c r="CO156" s="656"/>
      <c r="CP156" s="656"/>
      <c r="CQ156" s="656"/>
      <c r="CR156" s="656"/>
      <c r="CS156" s="656"/>
      <c r="CT156" s="656"/>
      <c r="CU156" s="656"/>
      <c r="CV156" s="656"/>
      <c r="CW156" s="656"/>
      <c r="CX156" s="656"/>
      <c r="CY156" s="656"/>
      <c r="CZ156" s="656"/>
      <c r="DA156" s="656"/>
      <c r="DB156" s="656"/>
      <c r="DC156" s="656"/>
      <c r="DD156" s="656"/>
      <c r="DE156" s="656"/>
      <c r="DF156" s="656"/>
      <c r="DG156" s="656"/>
      <c r="DH156" s="656"/>
      <c r="DI156" s="656"/>
      <c r="DJ156" s="656"/>
      <c r="DK156" s="656"/>
      <c r="DL156" s="656"/>
      <c r="DM156" s="656"/>
      <c r="DN156" s="656"/>
      <c r="DO156" s="656"/>
      <c r="DP156" s="656"/>
      <c r="DQ156" s="656"/>
      <c r="DR156" s="656"/>
      <c r="DS156" s="656"/>
      <c r="DT156" s="656"/>
      <c r="DU156" s="656"/>
      <c r="DV156" s="656"/>
      <c r="DW156" s="656"/>
      <c r="DX156" s="656"/>
      <c r="DY156" s="656"/>
      <c r="DZ156" s="656"/>
    </row>
    <row r="157" spans="1:130">
      <c r="A157" s="656"/>
      <c r="B157" s="656"/>
      <c r="C157" s="656"/>
      <c r="D157" s="656"/>
      <c r="E157" s="656"/>
      <c r="F157" s="656"/>
      <c r="G157" s="656"/>
      <c r="H157" s="656"/>
      <c r="I157" s="656"/>
      <c r="J157" s="656"/>
      <c r="K157" s="656"/>
      <c r="L157" s="656"/>
      <c r="M157" s="656"/>
      <c r="N157" s="656"/>
      <c r="O157" s="656"/>
      <c r="P157" s="656"/>
      <c r="Q157" s="656"/>
      <c r="R157" s="656"/>
      <c r="S157" s="656"/>
      <c r="T157" s="656"/>
      <c r="U157" s="656"/>
      <c r="V157" s="656"/>
      <c r="W157" s="656"/>
      <c r="X157" s="656"/>
      <c r="Y157" s="656"/>
      <c r="Z157" s="656"/>
      <c r="AA157" s="656"/>
      <c r="AB157" s="656"/>
      <c r="AC157" s="656"/>
      <c r="AD157" s="656"/>
      <c r="AE157" s="656"/>
      <c r="AF157" s="656"/>
      <c r="AG157" s="656"/>
      <c r="AH157" s="656"/>
      <c r="AI157" s="656"/>
      <c r="AJ157" s="656"/>
      <c r="AK157" s="656"/>
      <c r="AL157" s="656"/>
      <c r="AM157" s="656"/>
      <c r="AN157" s="656"/>
      <c r="AO157" s="656"/>
      <c r="AP157" s="656"/>
      <c r="AQ157" s="656"/>
      <c r="AR157" s="656"/>
      <c r="AS157" s="656"/>
      <c r="AT157" s="656"/>
      <c r="AU157" s="656"/>
      <c r="AV157" s="656"/>
      <c r="AW157" s="656"/>
      <c r="AX157" s="656"/>
      <c r="AY157" s="656"/>
      <c r="AZ157" s="656"/>
      <c r="BA157" s="656"/>
      <c r="BB157" s="656"/>
      <c r="BC157" s="656"/>
      <c r="BD157" s="656"/>
      <c r="BE157" s="656"/>
      <c r="BF157" s="656"/>
      <c r="BG157" s="656"/>
      <c r="BH157" s="656"/>
      <c r="BI157" s="656"/>
      <c r="BJ157" s="656"/>
      <c r="BK157" s="656"/>
      <c r="BL157" s="656"/>
      <c r="BM157" s="656"/>
      <c r="BN157" s="656"/>
      <c r="BO157" s="656"/>
      <c r="BP157" s="656"/>
      <c r="BQ157" s="656"/>
      <c r="BR157" s="656"/>
      <c r="BS157" s="656"/>
      <c r="BT157" s="656"/>
      <c r="BU157" s="656"/>
      <c r="BV157" s="656"/>
      <c r="BW157" s="656"/>
      <c r="BX157" s="656"/>
      <c r="BY157" s="656"/>
      <c r="BZ157" s="656"/>
      <c r="CA157" s="656"/>
      <c r="CB157" s="656"/>
      <c r="CC157" s="656"/>
      <c r="CD157" s="656"/>
      <c r="CE157" s="656"/>
      <c r="CF157" s="656"/>
      <c r="CG157" s="656"/>
      <c r="CH157" s="656"/>
      <c r="CI157" s="656"/>
      <c r="CJ157" s="656"/>
      <c r="CK157" s="656"/>
      <c r="CL157" s="656"/>
      <c r="CM157" s="656"/>
      <c r="CN157" s="656"/>
      <c r="CO157" s="656"/>
      <c r="CP157" s="656"/>
      <c r="CQ157" s="656"/>
      <c r="CR157" s="656"/>
      <c r="CS157" s="656"/>
      <c r="CT157" s="656"/>
      <c r="CU157" s="656"/>
      <c r="CV157" s="656"/>
      <c r="CW157" s="656"/>
      <c r="CX157" s="656"/>
      <c r="CY157" s="656"/>
      <c r="CZ157" s="656"/>
      <c r="DA157" s="656"/>
      <c r="DB157" s="656"/>
      <c r="DC157" s="656"/>
      <c r="DD157" s="656"/>
      <c r="DE157" s="656"/>
      <c r="DF157" s="656"/>
      <c r="DG157" s="656"/>
      <c r="DH157" s="656"/>
      <c r="DI157" s="656"/>
      <c r="DJ157" s="656"/>
      <c r="DK157" s="656"/>
      <c r="DL157" s="656"/>
      <c r="DM157" s="656"/>
      <c r="DN157" s="656"/>
      <c r="DO157" s="656"/>
      <c r="DP157" s="656"/>
      <c r="DQ157" s="656"/>
      <c r="DR157" s="656"/>
      <c r="DS157" s="656"/>
      <c r="DT157" s="656"/>
      <c r="DU157" s="656"/>
      <c r="DV157" s="656"/>
      <c r="DW157" s="656"/>
      <c r="DX157" s="656"/>
      <c r="DY157" s="656"/>
      <c r="DZ157" s="656"/>
    </row>
    <row r="158" spans="1:130">
      <c r="A158" s="656"/>
      <c r="B158" s="656"/>
      <c r="C158" s="656"/>
      <c r="D158" s="656"/>
      <c r="E158" s="656"/>
      <c r="F158" s="656"/>
      <c r="G158" s="656"/>
      <c r="H158" s="656"/>
      <c r="I158" s="656"/>
      <c r="J158" s="656"/>
      <c r="K158" s="656"/>
      <c r="L158" s="656"/>
      <c r="M158" s="656"/>
      <c r="N158" s="656"/>
      <c r="O158" s="656"/>
      <c r="P158" s="656"/>
      <c r="Q158" s="656"/>
      <c r="R158" s="656"/>
      <c r="S158" s="656"/>
      <c r="T158" s="656"/>
      <c r="U158" s="656"/>
      <c r="V158" s="656"/>
      <c r="W158" s="656"/>
      <c r="X158" s="656"/>
      <c r="Y158" s="656"/>
      <c r="Z158" s="656"/>
      <c r="AA158" s="656"/>
      <c r="AB158" s="656"/>
      <c r="AC158" s="656"/>
      <c r="AD158" s="656"/>
      <c r="AE158" s="656"/>
      <c r="AF158" s="656"/>
      <c r="AG158" s="656"/>
      <c r="AH158" s="656"/>
      <c r="AI158" s="656"/>
      <c r="AJ158" s="656"/>
      <c r="AK158" s="656"/>
      <c r="AL158" s="656"/>
      <c r="AM158" s="656"/>
      <c r="AN158" s="656"/>
      <c r="AO158" s="656"/>
      <c r="AP158" s="656"/>
      <c r="AQ158" s="656"/>
      <c r="AR158" s="656"/>
      <c r="AS158" s="656"/>
      <c r="AT158" s="656"/>
      <c r="AU158" s="656"/>
      <c r="AV158" s="656"/>
      <c r="AW158" s="656"/>
      <c r="AX158" s="656"/>
      <c r="AY158" s="656"/>
      <c r="AZ158" s="656"/>
      <c r="BA158" s="656"/>
      <c r="BB158" s="656"/>
      <c r="BC158" s="656"/>
      <c r="BD158" s="656"/>
      <c r="BE158" s="656"/>
      <c r="BF158" s="656"/>
      <c r="BG158" s="656"/>
      <c r="BH158" s="656"/>
      <c r="BI158" s="656"/>
      <c r="BJ158" s="656"/>
      <c r="BK158" s="656"/>
      <c r="BL158" s="656"/>
      <c r="BM158" s="656"/>
      <c r="BN158" s="656"/>
      <c r="BO158" s="656"/>
      <c r="BP158" s="656"/>
      <c r="BQ158" s="656"/>
      <c r="BR158" s="656"/>
      <c r="BS158" s="656"/>
      <c r="BT158" s="656"/>
      <c r="BU158" s="656"/>
      <c r="BV158" s="656"/>
      <c r="BW158" s="656"/>
      <c r="BX158" s="656"/>
      <c r="BY158" s="656"/>
      <c r="BZ158" s="656"/>
      <c r="CA158" s="656"/>
      <c r="CB158" s="656"/>
      <c r="CC158" s="656"/>
      <c r="CD158" s="656"/>
      <c r="CE158" s="656"/>
      <c r="CF158" s="656"/>
      <c r="CG158" s="656"/>
      <c r="CH158" s="656"/>
      <c r="CI158" s="656"/>
      <c r="CJ158" s="656"/>
      <c r="CK158" s="656"/>
      <c r="CL158" s="656"/>
      <c r="CM158" s="656"/>
      <c r="CN158" s="656"/>
      <c r="CO158" s="656"/>
      <c r="CP158" s="656"/>
      <c r="CQ158" s="656"/>
      <c r="CR158" s="656"/>
      <c r="CS158" s="656"/>
      <c r="CT158" s="656"/>
      <c r="CU158" s="656"/>
      <c r="CV158" s="656"/>
      <c r="CW158" s="656"/>
      <c r="CX158" s="656"/>
      <c r="CY158" s="656"/>
      <c r="CZ158" s="656"/>
      <c r="DA158" s="656"/>
      <c r="DB158" s="656"/>
      <c r="DC158" s="656"/>
      <c r="DD158" s="656"/>
      <c r="DE158" s="656"/>
      <c r="DF158" s="656"/>
      <c r="DG158" s="656"/>
      <c r="DH158" s="656"/>
      <c r="DI158" s="656"/>
      <c r="DJ158" s="656"/>
      <c r="DK158" s="656"/>
      <c r="DL158" s="656"/>
      <c r="DM158" s="656"/>
      <c r="DN158" s="656"/>
      <c r="DO158" s="656"/>
      <c r="DP158" s="656"/>
      <c r="DQ158" s="656"/>
      <c r="DR158" s="656"/>
      <c r="DS158" s="656"/>
      <c r="DT158" s="656"/>
      <c r="DU158" s="656"/>
      <c r="DV158" s="656"/>
      <c r="DW158" s="656"/>
      <c r="DX158" s="656"/>
      <c r="DY158" s="656"/>
      <c r="DZ158" s="656"/>
    </row>
    <row r="159" spans="1:130">
      <c r="A159" s="656"/>
      <c r="B159" s="656"/>
      <c r="C159" s="656"/>
      <c r="D159" s="656"/>
      <c r="E159" s="656"/>
      <c r="F159" s="656"/>
      <c r="G159" s="656"/>
      <c r="H159" s="656"/>
      <c r="I159" s="656"/>
      <c r="J159" s="656"/>
      <c r="K159" s="656"/>
      <c r="L159" s="656"/>
      <c r="M159" s="656"/>
      <c r="N159" s="656"/>
      <c r="O159" s="656"/>
      <c r="P159" s="656"/>
      <c r="Q159" s="656"/>
      <c r="R159" s="656"/>
      <c r="S159" s="656"/>
      <c r="T159" s="656"/>
      <c r="U159" s="656"/>
      <c r="V159" s="656"/>
      <c r="W159" s="656"/>
      <c r="X159" s="656"/>
      <c r="Y159" s="656"/>
      <c r="Z159" s="656"/>
      <c r="AA159" s="656"/>
      <c r="AB159" s="656"/>
      <c r="AC159" s="656"/>
      <c r="AD159" s="656"/>
      <c r="AE159" s="656"/>
      <c r="AF159" s="656"/>
      <c r="AG159" s="656"/>
      <c r="AH159" s="656"/>
      <c r="AI159" s="656"/>
      <c r="AJ159" s="656"/>
      <c r="AK159" s="656"/>
      <c r="AL159" s="656"/>
      <c r="AM159" s="656"/>
      <c r="AN159" s="656"/>
      <c r="AO159" s="656"/>
      <c r="AP159" s="656"/>
      <c r="AQ159" s="656"/>
      <c r="AR159" s="656"/>
      <c r="AS159" s="656"/>
      <c r="AT159" s="656"/>
      <c r="AU159" s="656"/>
      <c r="AV159" s="656"/>
      <c r="AW159" s="656"/>
      <c r="AX159" s="656"/>
      <c r="AY159" s="656"/>
      <c r="AZ159" s="656"/>
      <c r="BA159" s="656"/>
      <c r="BB159" s="656"/>
      <c r="BC159" s="656"/>
      <c r="BD159" s="656"/>
      <c r="BE159" s="656"/>
      <c r="BF159" s="656"/>
      <c r="BG159" s="656"/>
      <c r="BH159" s="656"/>
      <c r="BI159" s="656"/>
      <c r="BJ159" s="656"/>
      <c r="BK159" s="656"/>
      <c r="BL159" s="656"/>
      <c r="BM159" s="656"/>
      <c r="BN159" s="656"/>
      <c r="BO159" s="656"/>
      <c r="BP159" s="656"/>
      <c r="BQ159" s="656"/>
      <c r="BR159" s="656"/>
      <c r="BS159" s="656"/>
      <c r="BT159" s="656"/>
      <c r="BU159" s="656"/>
      <c r="BV159" s="656"/>
      <c r="BW159" s="656"/>
      <c r="BX159" s="656"/>
      <c r="BY159" s="656"/>
      <c r="BZ159" s="656"/>
      <c r="CA159" s="656"/>
      <c r="CB159" s="656"/>
      <c r="CC159" s="656"/>
      <c r="CD159" s="656"/>
      <c r="CE159" s="656"/>
      <c r="CF159" s="656"/>
      <c r="CG159" s="656"/>
      <c r="CH159" s="656"/>
      <c r="CI159" s="656"/>
      <c r="CJ159" s="656"/>
      <c r="CK159" s="656"/>
      <c r="CL159" s="656"/>
      <c r="CM159" s="656"/>
      <c r="CN159" s="656"/>
      <c r="CO159" s="656"/>
      <c r="CP159" s="656"/>
      <c r="CQ159" s="656"/>
      <c r="CR159" s="656"/>
      <c r="CS159" s="656"/>
      <c r="CT159" s="656"/>
      <c r="CU159" s="656"/>
      <c r="CV159" s="656"/>
      <c r="CW159" s="656"/>
      <c r="CX159" s="656"/>
      <c r="CY159" s="656"/>
      <c r="CZ159" s="656"/>
      <c r="DA159" s="656"/>
      <c r="DB159" s="656"/>
      <c r="DC159" s="656"/>
      <c r="DD159" s="656"/>
      <c r="DE159" s="656"/>
      <c r="DF159" s="656"/>
      <c r="DG159" s="656"/>
      <c r="DH159" s="656"/>
      <c r="DI159" s="656"/>
      <c r="DJ159" s="656"/>
      <c r="DK159" s="656"/>
      <c r="DL159" s="656"/>
      <c r="DM159" s="656"/>
      <c r="DN159" s="656"/>
      <c r="DO159" s="656"/>
      <c r="DP159" s="656"/>
      <c r="DQ159" s="656"/>
      <c r="DR159" s="656"/>
      <c r="DS159" s="656"/>
      <c r="DT159" s="656"/>
      <c r="DU159" s="656"/>
      <c r="DV159" s="656"/>
      <c r="DW159" s="656"/>
      <c r="DX159" s="656"/>
      <c r="DY159" s="656"/>
      <c r="DZ159" s="656"/>
    </row>
    <row r="160" spans="1:130">
      <c r="A160" s="656"/>
      <c r="B160" s="656"/>
      <c r="C160" s="656"/>
      <c r="D160" s="656"/>
      <c r="E160" s="656"/>
      <c r="F160" s="656"/>
      <c r="G160" s="656"/>
      <c r="H160" s="656"/>
      <c r="I160" s="656"/>
      <c r="J160" s="656"/>
      <c r="K160" s="656"/>
      <c r="L160" s="656"/>
      <c r="M160" s="656"/>
      <c r="N160" s="656"/>
      <c r="O160" s="656"/>
      <c r="P160" s="656"/>
      <c r="Q160" s="656"/>
      <c r="R160" s="656"/>
      <c r="S160" s="656"/>
      <c r="T160" s="656"/>
      <c r="U160" s="656"/>
      <c r="V160" s="656"/>
      <c r="W160" s="656"/>
      <c r="X160" s="656"/>
      <c r="Y160" s="656"/>
      <c r="Z160" s="656"/>
      <c r="AA160" s="656"/>
      <c r="AB160" s="656"/>
      <c r="AC160" s="656"/>
      <c r="AD160" s="656"/>
      <c r="AE160" s="656"/>
      <c r="AF160" s="656"/>
      <c r="AG160" s="656"/>
      <c r="AH160" s="656"/>
      <c r="AI160" s="656"/>
      <c r="AJ160" s="656"/>
      <c r="AK160" s="656"/>
      <c r="AL160" s="656"/>
      <c r="AM160" s="656"/>
      <c r="AN160" s="656"/>
      <c r="AO160" s="656"/>
      <c r="AP160" s="656"/>
      <c r="AQ160" s="656"/>
      <c r="AR160" s="656"/>
      <c r="AS160" s="656"/>
      <c r="AT160" s="656"/>
      <c r="AU160" s="656"/>
      <c r="AV160" s="656"/>
      <c r="AW160" s="656"/>
      <c r="AX160" s="656"/>
      <c r="AY160" s="656"/>
      <c r="AZ160" s="656"/>
      <c r="BA160" s="656"/>
      <c r="BB160" s="656"/>
      <c r="BC160" s="656"/>
      <c r="BD160" s="656"/>
      <c r="BE160" s="656"/>
      <c r="BF160" s="656"/>
      <c r="BG160" s="656"/>
      <c r="BH160" s="656"/>
      <c r="BI160" s="656"/>
      <c r="BJ160" s="656"/>
      <c r="BK160" s="656"/>
      <c r="BL160" s="656"/>
      <c r="BM160" s="656"/>
      <c r="BN160" s="656"/>
      <c r="BO160" s="656"/>
      <c r="BP160" s="656"/>
      <c r="BQ160" s="656"/>
      <c r="BR160" s="656"/>
      <c r="BS160" s="656"/>
      <c r="BT160" s="656"/>
      <c r="BU160" s="656"/>
      <c r="BV160" s="656"/>
      <c r="BW160" s="656"/>
      <c r="BX160" s="656"/>
      <c r="BY160" s="656"/>
      <c r="BZ160" s="656"/>
      <c r="CA160" s="656"/>
      <c r="CB160" s="656"/>
      <c r="CC160" s="656"/>
      <c r="CD160" s="656"/>
      <c r="CE160" s="656"/>
      <c r="CF160" s="656"/>
      <c r="CG160" s="656"/>
      <c r="CH160" s="656"/>
      <c r="CI160" s="656"/>
      <c r="CJ160" s="656"/>
      <c r="CK160" s="656"/>
      <c r="CL160" s="656"/>
      <c r="CM160" s="656"/>
      <c r="CN160" s="656"/>
      <c r="CO160" s="656"/>
      <c r="CP160" s="656"/>
      <c r="CQ160" s="656"/>
      <c r="CR160" s="656"/>
      <c r="CS160" s="656"/>
      <c r="CT160" s="656"/>
      <c r="CU160" s="656"/>
      <c r="CV160" s="656"/>
      <c r="CW160" s="656"/>
      <c r="CX160" s="656"/>
      <c r="CY160" s="656"/>
      <c r="CZ160" s="656"/>
      <c r="DA160" s="656"/>
      <c r="DB160" s="656"/>
      <c r="DC160" s="656"/>
      <c r="DD160" s="656"/>
      <c r="DE160" s="656"/>
      <c r="DF160" s="656"/>
      <c r="DG160" s="656"/>
      <c r="DH160" s="656"/>
      <c r="DI160" s="656"/>
      <c r="DJ160" s="656"/>
      <c r="DK160" s="656"/>
      <c r="DL160" s="656"/>
      <c r="DM160" s="656"/>
      <c r="DN160" s="656"/>
      <c r="DO160" s="656"/>
      <c r="DP160" s="656"/>
      <c r="DQ160" s="656"/>
      <c r="DR160" s="656"/>
      <c r="DS160" s="656"/>
      <c r="DT160" s="656"/>
      <c r="DU160" s="656"/>
      <c r="DV160" s="656"/>
      <c r="DW160" s="656"/>
      <c r="DX160" s="656"/>
      <c r="DY160" s="656"/>
      <c r="DZ160" s="656"/>
    </row>
    <row r="161" spans="1:130">
      <c r="A161" s="656"/>
      <c r="B161" s="656"/>
      <c r="C161" s="656"/>
      <c r="D161" s="656"/>
      <c r="E161" s="656"/>
      <c r="F161" s="656"/>
      <c r="G161" s="656"/>
      <c r="H161" s="656"/>
      <c r="I161" s="656"/>
      <c r="J161" s="656"/>
      <c r="K161" s="656"/>
      <c r="L161" s="656"/>
      <c r="M161" s="656"/>
      <c r="N161" s="656"/>
      <c r="O161" s="656"/>
      <c r="P161" s="656"/>
      <c r="Q161" s="656"/>
      <c r="R161" s="656"/>
      <c r="S161" s="656"/>
      <c r="T161" s="656"/>
      <c r="U161" s="656"/>
      <c r="V161" s="656"/>
      <c r="W161" s="656"/>
      <c r="X161" s="656"/>
      <c r="Y161" s="656"/>
      <c r="Z161" s="656"/>
      <c r="AA161" s="656"/>
      <c r="AB161" s="656"/>
      <c r="AC161" s="656"/>
      <c r="AD161" s="656"/>
      <c r="AE161" s="656"/>
      <c r="AF161" s="656"/>
      <c r="AG161" s="656"/>
      <c r="AH161" s="656"/>
      <c r="AI161" s="656"/>
      <c r="AJ161" s="656"/>
      <c r="AK161" s="656"/>
      <c r="AL161" s="656"/>
      <c r="AM161" s="656"/>
      <c r="AN161" s="656"/>
      <c r="AO161" s="656"/>
      <c r="AP161" s="656"/>
      <c r="AQ161" s="656"/>
      <c r="AR161" s="656"/>
      <c r="AS161" s="656"/>
      <c r="AT161" s="656"/>
      <c r="AU161" s="656"/>
      <c r="AV161" s="656"/>
      <c r="AW161" s="656"/>
      <c r="AX161" s="656"/>
      <c r="AY161" s="656"/>
      <c r="AZ161" s="656"/>
      <c r="BA161" s="656"/>
      <c r="BB161" s="656"/>
      <c r="BC161" s="656"/>
      <c r="BD161" s="656"/>
      <c r="BE161" s="656"/>
      <c r="BF161" s="656"/>
      <c r="BG161" s="656"/>
      <c r="BH161" s="656"/>
      <c r="BI161" s="656"/>
      <c r="BJ161" s="656"/>
      <c r="BK161" s="656"/>
      <c r="BL161" s="656"/>
      <c r="BM161" s="656"/>
      <c r="BN161" s="656"/>
      <c r="BO161" s="656"/>
      <c r="BP161" s="656"/>
      <c r="BQ161" s="656"/>
      <c r="BR161" s="656"/>
      <c r="BS161" s="656"/>
      <c r="BT161" s="656"/>
      <c r="BU161" s="656"/>
      <c r="BV161" s="656"/>
      <c r="BW161" s="656"/>
      <c r="BX161" s="656"/>
      <c r="BY161" s="656"/>
      <c r="BZ161" s="656"/>
      <c r="CA161" s="656"/>
      <c r="CB161" s="656"/>
      <c r="CC161" s="656"/>
      <c r="CD161" s="656"/>
      <c r="CE161" s="656"/>
      <c r="CF161" s="656"/>
      <c r="CG161" s="656"/>
      <c r="CH161" s="656"/>
      <c r="CI161" s="656"/>
      <c r="CJ161" s="656"/>
      <c r="CK161" s="656"/>
      <c r="CL161" s="656"/>
      <c r="CM161" s="656"/>
      <c r="CN161" s="656"/>
      <c r="CO161" s="656"/>
      <c r="CP161" s="656"/>
      <c r="CQ161" s="656"/>
      <c r="CR161" s="656"/>
      <c r="CS161" s="656"/>
      <c r="CT161" s="656"/>
      <c r="CU161" s="656"/>
      <c r="CV161" s="656"/>
      <c r="CW161" s="656"/>
      <c r="CX161" s="656"/>
      <c r="CY161" s="656"/>
      <c r="CZ161" s="656"/>
      <c r="DA161" s="656"/>
      <c r="DB161" s="656"/>
      <c r="DC161" s="656"/>
      <c r="DD161" s="656"/>
      <c r="DE161" s="656"/>
      <c r="DF161" s="656"/>
      <c r="DG161" s="656"/>
      <c r="DH161" s="656"/>
      <c r="DI161" s="656"/>
      <c r="DJ161" s="656"/>
      <c r="DK161" s="656"/>
      <c r="DL161" s="656"/>
      <c r="DM161" s="656"/>
      <c r="DN161" s="656"/>
      <c r="DO161" s="656"/>
      <c r="DP161" s="656"/>
      <c r="DQ161" s="656"/>
      <c r="DR161" s="656"/>
      <c r="DS161" s="656"/>
      <c r="DT161" s="656"/>
      <c r="DU161" s="656"/>
      <c r="DV161" s="656"/>
      <c r="DW161" s="656"/>
      <c r="DX161" s="656"/>
      <c r="DY161" s="656"/>
      <c r="DZ161" s="656"/>
    </row>
    <row r="162" spans="1:130">
      <c r="A162" s="656"/>
      <c r="B162" s="656"/>
      <c r="C162" s="656"/>
      <c r="D162" s="656"/>
      <c r="E162" s="656"/>
      <c r="F162" s="656"/>
      <c r="G162" s="656"/>
      <c r="H162" s="656"/>
      <c r="I162" s="656"/>
      <c r="J162" s="656"/>
      <c r="K162" s="656"/>
      <c r="L162" s="656"/>
      <c r="M162" s="656"/>
      <c r="N162" s="656"/>
      <c r="O162" s="656"/>
      <c r="P162" s="656"/>
      <c r="Q162" s="656"/>
      <c r="R162" s="656"/>
      <c r="S162" s="656"/>
      <c r="T162" s="656"/>
      <c r="U162" s="656"/>
      <c r="V162" s="656"/>
      <c r="W162" s="656"/>
      <c r="X162" s="656"/>
      <c r="Y162" s="656"/>
      <c r="Z162" s="656"/>
      <c r="AA162" s="656"/>
      <c r="AB162" s="656"/>
      <c r="AC162" s="656"/>
      <c r="AD162" s="656"/>
      <c r="AE162" s="656"/>
      <c r="AF162" s="656"/>
      <c r="AG162" s="656"/>
      <c r="AH162" s="656"/>
      <c r="AI162" s="656"/>
      <c r="AJ162" s="656"/>
      <c r="AK162" s="656"/>
      <c r="AL162" s="656"/>
      <c r="AM162" s="656"/>
      <c r="AN162" s="656"/>
      <c r="AO162" s="656"/>
      <c r="AP162" s="656"/>
      <c r="AQ162" s="656"/>
      <c r="AR162" s="656"/>
      <c r="AS162" s="656"/>
      <c r="AT162" s="656"/>
      <c r="AU162" s="656"/>
      <c r="AV162" s="656"/>
      <c r="AW162" s="656"/>
      <c r="AX162" s="656"/>
      <c r="AY162" s="656"/>
      <c r="AZ162" s="656"/>
      <c r="BA162" s="656"/>
      <c r="BB162" s="656"/>
      <c r="BC162" s="656"/>
      <c r="BD162" s="656"/>
      <c r="BE162" s="656"/>
      <c r="BF162" s="656"/>
      <c r="BG162" s="656"/>
      <c r="BH162" s="656"/>
      <c r="BI162" s="656"/>
      <c r="BJ162" s="656"/>
      <c r="BK162" s="656"/>
      <c r="BL162" s="656"/>
      <c r="BM162" s="656"/>
      <c r="BN162" s="656"/>
      <c r="BO162" s="656"/>
      <c r="BP162" s="656"/>
      <c r="BQ162" s="656"/>
      <c r="BR162" s="656"/>
      <c r="BS162" s="656"/>
      <c r="BT162" s="656"/>
      <c r="BU162" s="656"/>
      <c r="BV162" s="656"/>
      <c r="BW162" s="656"/>
      <c r="BX162" s="656"/>
      <c r="BY162" s="656"/>
      <c r="BZ162" s="656"/>
      <c r="CA162" s="656"/>
      <c r="CB162" s="656"/>
      <c r="CC162" s="656"/>
      <c r="CD162" s="656"/>
      <c r="CE162" s="656"/>
      <c r="CF162" s="656"/>
      <c r="CG162" s="656"/>
      <c r="CH162" s="656"/>
      <c r="CI162" s="656"/>
      <c r="CJ162" s="656"/>
      <c r="CK162" s="656"/>
      <c r="CL162" s="656"/>
      <c r="CM162" s="656"/>
      <c r="CN162" s="656"/>
      <c r="CO162" s="656"/>
      <c r="CP162" s="656"/>
      <c r="CQ162" s="656"/>
      <c r="CR162" s="656"/>
      <c r="CS162" s="656"/>
      <c r="CT162" s="656"/>
      <c r="CU162" s="656"/>
      <c r="CV162" s="656"/>
      <c r="CW162" s="656"/>
      <c r="CX162" s="656"/>
      <c r="CY162" s="656"/>
      <c r="CZ162" s="656"/>
      <c r="DA162" s="656"/>
      <c r="DB162" s="656"/>
      <c r="DC162" s="656"/>
      <c r="DD162" s="656"/>
      <c r="DE162" s="656"/>
      <c r="DF162" s="656"/>
      <c r="DG162" s="656"/>
      <c r="DH162" s="656"/>
      <c r="DI162" s="656"/>
      <c r="DJ162" s="656"/>
      <c r="DK162" s="656"/>
      <c r="DL162" s="656"/>
      <c r="DM162" s="656"/>
      <c r="DN162" s="656"/>
      <c r="DO162" s="656"/>
      <c r="DP162" s="656"/>
      <c r="DQ162" s="656"/>
      <c r="DR162" s="656"/>
      <c r="DS162" s="656"/>
      <c r="DT162" s="656"/>
      <c r="DU162" s="656"/>
      <c r="DV162" s="656"/>
      <c r="DW162" s="656"/>
      <c r="DX162" s="656"/>
      <c r="DY162" s="656"/>
      <c r="DZ162" s="656"/>
    </row>
    <row r="163" spans="1:130">
      <c r="A163" s="656"/>
      <c r="B163" s="656"/>
      <c r="C163" s="656"/>
      <c r="D163" s="656"/>
      <c r="E163" s="656"/>
      <c r="F163" s="656"/>
      <c r="G163" s="656"/>
      <c r="H163" s="656"/>
      <c r="I163" s="656"/>
      <c r="J163" s="656"/>
      <c r="K163" s="656"/>
      <c r="L163" s="656"/>
      <c r="M163" s="656"/>
      <c r="N163" s="656"/>
      <c r="O163" s="656"/>
      <c r="P163" s="656"/>
      <c r="Q163" s="656"/>
      <c r="R163" s="656"/>
      <c r="S163" s="656"/>
      <c r="T163" s="656"/>
      <c r="U163" s="656"/>
      <c r="V163" s="656"/>
      <c r="W163" s="656"/>
      <c r="X163" s="656"/>
      <c r="Y163" s="656"/>
      <c r="Z163" s="656"/>
      <c r="AA163" s="656"/>
      <c r="AB163" s="656"/>
      <c r="AC163" s="656"/>
      <c r="AD163" s="656"/>
      <c r="AE163" s="656"/>
      <c r="AF163" s="656"/>
      <c r="AG163" s="656"/>
      <c r="AH163" s="656"/>
      <c r="AI163" s="656"/>
      <c r="AJ163" s="656"/>
      <c r="AK163" s="656"/>
      <c r="AL163" s="656"/>
      <c r="AM163" s="656"/>
      <c r="AN163" s="656"/>
      <c r="AO163" s="656"/>
      <c r="AP163" s="656"/>
      <c r="AQ163" s="656"/>
      <c r="AR163" s="656"/>
      <c r="AS163" s="656"/>
      <c r="AT163" s="656"/>
      <c r="AU163" s="656"/>
      <c r="AV163" s="656"/>
      <c r="AW163" s="656"/>
      <c r="AX163" s="656"/>
      <c r="AY163" s="656"/>
      <c r="AZ163" s="656"/>
      <c r="BA163" s="656"/>
      <c r="BB163" s="656"/>
      <c r="BC163" s="656"/>
      <c r="BD163" s="656"/>
      <c r="BE163" s="656"/>
      <c r="BF163" s="656"/>
      <c r="BG163" s="656"/>
      <c r="BH163" s="656"/>
      <c r="BI163" s="656"/>
      <c r="BJ163" s="656"/>
      <c r="BK163" s="656"/>
      <c r="BL163" s="656"/>
      <c r="BM163" s="656"/>
      <c r="BN163" s="656"/>
      <c r="BO163" s="656"/>
      <c r="BP163" s="656"/>
      <c r="BQ163" s="656"/>
      <c r="BR163" s="656"/>
      <c r="BS163" s="656"/>
      <c r="BT163" s="656"/>
      <c r="BU163" s="656"/>
      <c r="BV163" s="656"/>
      <c r="BW163" s="656"/>
      <c r="BX163" s="656"/>
      <c r="BY163" s="656"/>
      <c r="BZ163" s="656"/>
      <c r="CA163" s="656"/>
      <c r="CB163" s="656"/>
      <c r="CC163" s="656"/>
      <c r="CD163" s="656"/>
      <c r="CE163" s="656"/>
      <c r="CF163" s="656"/>
      <c r="CG163" s="656"/>
      <c r="CH163" s="656"/>
      <c r="CI163" s="656"/>
      <c r="CJ163" s="656"/>
      <c r="CK163" s="656"/>
      <c r="CL163" s="656"/>
      <c r="CM163" s="656"/>
      <c r="CN163" s="656"/>
      <c r="CO163" s="656"/>
      <c r="CP163" s="656"/>
      <c r="CQ163" s="656"/>
      <c r="CR163" s="656"/>
      <c r="CS163" s="656"/>
      <c r="CT163" s="656"/>
      <c r="CU163" s="656"/>
      <c r="CV163" s="656"/>
      <c r="CW163" s="656"/>
      <c r="CX163" s="656"/>
      <c r="CY163" s="656"/>
      <c r="CZ163" s="656"/>
      <c r="DA163" s="656"/>
      <c r="DB163" s="656"/>
      <c r="DC163" s="656"/>
      <c r="DD163" s="656"/>
      <c r="DE163" s="656"/>
      <c r="DF163" s="656"/>
      <c r="DG163" s="656"/>
      <c r="DH163" s="656"/>
      <c r="DI163" s="656"/>
      <c r="DJ163" s="656"/>
      <c r="DK163" s="656"/>
      <c r="DL163" s="656"/>
      <c r="DM163" s="656"/>
      <c r="DN163" s="656"/>
      <c r="DO163" s="656"/>
      <c r="DP163" s="656"/>
      <c r="DQ163" s="656"/>
      <c r="DR163" s="656"/>
      <c r="DS163" s="656"/>
      <c r="DT163" s="656"/>
      <c r="DU163" s="656"/>
      <c r="DV163" s="656"/>
      <c r="DW163" s="656"/>
      <c r="DX163" s="656"/>
      <c r="DY163" s="656"/>
      <c r="DZ163" s="656"/>
    </row>
    <row r="164" spans="1:130">
      <c r="A164" s="656"/>
      <c r="B164" s="656"/>
      <c r="C164" s="656"/>
      <c r="D164" s="656"/>
      <c r="E164" s="656"/>
      <c r="F164" s="656"/>
      <c r="G164" s="656"/>
      <c r="H164" s="656"/>
      <c r="I164" s="656"/>
      <c r="J164" s="656"/>
      <c r="K164" s="656"/>
      <c r="L164" s="656"/>
      <c r="M164" s="656"/>
      <c r="N164" s="656"/>
      <c r="O164" s="656"/>
      <c r="P164" s="656"/>
      <c r="Q164" s="656"/>
      <c r="R164" s="656"/>
      <c r="S164" s="656"/>
      <c r="T164" s="656"/>
      <c r="U164" s="656"/>
      <c r="V164" s="656"/>
      <c r="W164" s="656"/>
      <c r="X164" s="656"/>
      <c r="Y164" s="656"/>
      <c r="Z164" s="656"/>
      <c r="AA164" s="656"/>
      <c r="AB164" s="656"/>
      <c r="AC164" s="656"/>
      <c r="AD164" s="656"/>
      <c r="AE164" s="656"/>
      <c r="AF164" s="656"/>
      <c r="AG164" s="656"/>
      <c r="AH164" s="656"/>
      <c r="AI164" s="656"/>
      <c r="AJ164" s="656"/>
      <c r="AK164" s="656"/>
      <c r="AL164" s="656"/>
      <c r="AM164" s="656"/>
      <c r="AN164" s="656"/>
      <c r="AO164" s="656"/>
      <c r="AP164" s="656"/>
      <c r="AQ164" s="656"/>
      <c r="AR164" s="656"/>
      <c r="AS164" s="656"/>
      <c r="AT164" s="656"/>
      <c r="AU164" s="656"/>
      <c r="AV164" s="656"/>
      <c r="AW164" s="656"/>
      <c r="AX164" s="656"/>
      <c r="AY164" s="656"/>
      <c r="AZ164" s="656"/>
      <c r="BA164" s="656"/>
      <c r="BB164" s="656"/>
      <c r="BC164" s="656"/>
      <c r="BD164" s="656"/>
      <c r="BE164" s="656"/>
      <c r="BF164" s="656"/>
      <c r="BG164" s="656"/>
      <c r="BH164" s="656"/>
      <c r="BI164" s="656"/>
      <c r="BJ164" s="656"/>
      <c r="BK164" s="656"/>
      <c r="BL164" s="656"/>
      <c r="BM164" s="656"/>
      <c r="BN164" s="656"/>
      <c r="BO164" s="656"/>
      <c r="BP164" s="656"/>
      <c r="BQ164" s="656"/>
      <c r="BR164" s="656"/>
      <c r="BS164" s="656"/>
      <c r="BT164" s="656"/>
      <c r="BU164" s="656"/>
      <c r="BV164" s="656"/>
      <c r="BW164" s="656"/>
      <c r="BX164" s="656"/>
      <c r="BY164" s="656"/>
      <c r="BZ164" s="656"/>
      <c r="CA164" s="656"/>
      <c r="CB164" s="656"/>
      <c r="CC164" s="656"/>
      <c r="CD164" s="656"/>
      <c r="CE164" s="656"/>
      <c r="CF164" s="656"/>
      <c r="CG164" s="656"/>
      <c r="CH164" s="656"/>
      <c r="CI164" s="656"/>
      <c r="CJ164" s="656"/>
      <c r="CK164" s="656"/>
      <c r="CL164" s="656"/>
      <c r="CM164" s="656"/>
      <c r="CN164" s="656"/>
      <c r="CO164" s="656"/>
      <c r="CP164" s="656"/>
      <c r="CQ164" s="656"/>
      <c r="CR164" s="656"/>
      <c r="CS164" s="656"/>
      <c r="CT164" s="656"/>
      <c r="CU164" s="656"/>
      <c r="CV164" s="656"/>
      <c r="CW164" s="656"/>
      <c r="CX164" s="656"/>
      <c r="CY164" s="656"/>
      <c r="CZ164" s="656"/>
      <c r="DA164" s="656"/>
      <c r="DB164" s="656"/>
      <c r="DC164" s="656"/>
      <c r="DD164" s="656"/>
      <c r="DE164" s="656"/>
      <c r="DF164" s="656"/>
      <c r="DG164" s="656"/>
      <c r="DH164" s="656"/>
      <c r="DI164" s="656"/>
      <c r="DJ164" s="656"/>
      <c r="DK164" s="656"/>
      <c r="DL164" s="656"/>
      <c r="DM164" s="656"/>
      <c r="DN164" s="656"/>
      <c r="DO164" s="656"/>
      <c r="DP164" s="656"/>
      <c r="DQ164" s="656"/>
      <c r="DR164" s="656"/>
      <c r="DS164" s="656"/>
      <c r="DT164" s="656"/>
      <c r="DU164" s="656"/>
      <c r="DV164" s="656"/>
      <c r="DW164" s="656"/>
      <c r="DX164" s="656"/>
      <c r="DY164" s="656"/>
      <c r="DZ164" s="656"/>
    </row>
    <row r="165" spans="1:130">
      <c r="A165" s="656"/>
      <c r="B165" s="656"/>
      <c r="C165" s="656"/>
      <c r="D165" s="656"/>
      <c r="E165" s="656"/>
      <c r="F165" s="656"/>
      <c r="G165" s="656"/>
      <c r="H165" s="656"/>
      <c r="I165" s="656"/>
      <c r="J165" s="656"/>
      <c r="K165" s="656"/>
      <c r="L165" s="656"/>
      <c r="M165" s="656"/>
      <c r="N165" s="656"/>
      <c r="O165" s="656"/>
      <c r="P165" s="656"/>
      <c r="Q165" s="656"/>
      <c r="R165" s="656"/>
      <c r="S165" s="656"/>
      <c r="T165" s="656"/>
      <c r="U165" s="656"/>
      <c r="V165" s="656"/>
      <c r="W165" s="656"/>
      <c r="X165" s="656"/>
      <c r="Y165" s="656"/>
      <c r="Z165" s="656"/>
      <c r="AA165" s="656"/>
      <c r="AB165" s="656"/>
      <c r="AC165" s="656"/>
      <c r="AD165" s="656"/>
      <c r="AE165" s="656"/>
      <c r="AF165" s="656"/>
      <c r="AG165" s="656"/>
      <c r="AH165" s="656"/>
      <c r="AI165" s="656"/>
      <c r="AJ165" s="656"/>
      <c r="AK165" s="656"/>
      <c r="AL165" s="656"/>
      <c r="AM165" s="656"/>
      <c r="AN165" s="656"/>
      <c r="AO165" s="656"/>
      <c r="AP165" s="656"/>
      <c r="AQ165" s="656"/>
      <c r="AR165" s="656"/>
      <c r="AS165" s="656"/>
      <c r="AT165" s="656"/>
      <c r="AU165" s="656"/>
      <c r="AV165" s="656"/>
      <c r="AW165" s="656"/>
      <c r="AX165" s="656"/>
      <c r="AY165" s="656"/>
      <c r="AZ165" s="656"/>
      <c r="BA165" s="656"/>
      <c r="BB165" s="656"/>
      <c r="BC165" s="656"/>
      <c r="BD165" s="656"/>
      <c r="BE165" s="656"/>
      <c r="BF165" s="656"/>
      <c r="BG165" s="656"/>
      <c r="BH165" s="656"/>
      <c r="BI165" s="656"/>
      <c r="BJ165" s="656"/>
      <c r="BK165" s="656"/>
      <c r="BL165" s="656"/>
      <c r="BM165" s="656"/>
      <c r="BN165" s="656"/>
      <c r="BO165" s="656"/>
      <c r="BP165" s="656"/>
      <c r="BQ165" s="656"/>
      <c r="BR165" s="656"/>
      <c r="BS165" s="656"/>
      <c r="BT165" s="656"/>
      <c r="BU165" s="656"/>
      <c r="BV165" s="656"/>
      <c r="BW165" s="656"/>
      <c r="BX165" s="656"/>
      <c r="BY165" s="656"/>
      <c r="BZ165" s="656"/>
      <c r="CA165" s="656"/>
      <c r="CB165" s="656"/>
      <c r="CC165" s="656"/>
      <c r="CD165" s="656"/>
      <c r="CE165" s="656"/>
      <c r="CF165" s="656"/>
      <c r="CG165" s="656"/>
      <c r="CH165" s="656"/>
      <c r="CI165" s="656"/>
      <c r="CJ165" s="656"/>
      <c r="CK165" s="656"/>
      <c r="CL165" s="656"/>
      <c r="CM165" s="656"/>
      <c r="CN165" s="656"/>
      <c r="CO165" s="656"/>
      <c r="CP165" s="656"/>
      <c r="CQ165" s="656"/>
      <c r="CR165" s="656"/>
      <c r="CS165" s="656"/>
      <c r="CT165" s="656"/>
      <c r="CU165" s="656"/>
      <c r="CV165" s="656"/>
      <c r="CW165" s="656"/>
      <c r="CX165" s="656"/>
      <c r="CY165" s="656"/>
      <c r="CZ165" s="656"/>
      <c r="DA165" s="656"/>
      <c r="DB165" s="656"/>
      <c r="DC165" s="656"/>
      <c r="DD165" s="656"/>
      <c r="DE165" s="656"/>
      <c r="DF165" s="656"/>
      <c r="DG165" s="656"/>
      <c r="DH165" s="656"/>
      <c r="DI165" s="656"/>
      <c r="DJ165" s="656"/>
      <c r="DK165" s="656"/>
      <c r="DL165" s="656"/>
      <c r="DM165" s="656"/>
      <c r="DN165" s="656"/>
      <c r="DO165" s="656"/>
      <c r="DP165" s="656"/>
      <c r="DQ165" s="656"/>
      <c r="DR165" s="656"/>
      <c r="DS165" s="656"/>
      <c r="DT165" s="656"/>
      <c r="DU165" s="656"/>
      <c r="DV165" s="656"/>
      <c r="DW165" s="656"/>
      <c r="DX165" s="656"/>
      <c r="DY165" s="656"/>
      <c r="DZ165" s="656"/>
    </row>
    <row r="166" spans="1:130">
      <c r="A166" s="656"/>
      <c r="B166" s="656"/>
      <c r="C166" s="656"/>
      <c r="D166" s="656"/>
      <c r="E166" s="656"/>
      <c r="F166" s="656"/>
      <c r="G166" s="656"/>
      <c r="H166" s="656"/>
      <c r="I166" s="656"/>
      <c r="J166" s="656"/>
      <c r="K166" s="656"/>
      <c r="L166" s="656"/>
      <c r="M166" s="656"/>
      <c r="N166" s="656"/>
      <c r="O166" s="656"/>
      <c r="P166" s="656"/>
      <c r="Q166" s="656"/>
      <c r="R166" s="656"/>
      <c r="S166" s="656"/>
      <c r="T166" s="656"/>
      <c r="U166" s="656"/>
      <c r="V166" s="656"/>
      <c r="W166" s="656"/>
      <c r="X166" s="656"/>
      <c r="Y166" s="656"/>
      <c r="Z166" s="656"/>
      <c r="AA166" s="656"/>
      <c r="AB166" s="656"/>
      <c r="AC166" s="656"/>
      <c r="AD166" s="656"/>
      <c r="AE166" s="656"/>
      <c r="AF166" s="656"/>
      <c r="AG166" s="656"/>
      <c r="AH166" s="656"/>
      <c r="AI166" s="656"/>
      <c r="AJ166" s="656"/>
      <c r="AK166" s="656"/>
      <c r="AL166" s="656"/>
      <c r="AM166" s="656"/>
      <c r="AN166" s="656"/>
      <c r="AO166" s="656"/>
      <c r="AP166" s="656"/>
      <c r="AQ166" s="656"/>
      <c r="AR166" s="656"/>
      <c r="AS166" s="656"/>
      <c r="AT166" s="656"/>
      <c r="AU166" s="656"/>
      <c r="AV166" s="656"/>
      <c r="AW166" s="656"/>
      <c r="AX166" s="656"/>
      <c r="AY166" s="656"/>
      <c r="AZ166" s="656"/>
      <c r="BA166" s="656"/>
      <c r="BB166" s="656"/>
      <c r="BC166" s="656"/>
      <c r="BD166" s="656"/>
      <c r="BE166" s="656"/>
      <c r="BF166" s="656"/>
      <c r="BG166" s="656"/>
      <c r="BH166" s="656"/>
      <c r="BI166" s="656"/>
      <c r="BJ166" s="656"/>
      <c r="BK166" s="656"/>
      <c r="BL166" s="656"/>
      <c r="BM166" s="656"/>
      <c r="BN166" s="656"/>
      <c r="BO166" s="656"/>
      <c r="BP166" s="656"/>
      <c r="BQ166" s="656"/>
      <c r="BR166" s="656"/>
      <c r="BS166" s="656"/>
      <c r="BT166" s="656"/>
      <c r="BU166" s="656"/>
      <c r="BV166" s="656"/>
      <c r="BW166" s="656"/>
      <c r="BX166" s="656"/>
      <c r="BY166" s="656"/>
      <c r="BZ166" s="656"/>
      <c r="CA166" s="656"/>
      <c r="CB166" s="656"/>
      <c r="CC166" s="656"/>
      <c r="CD166" s="656"/>
      <c r="CE166" s="656"/>
      <c r="CF166" s="656"/>
      <c r="CG166" s="656"/>
      <c r="CH166" s="656"/>
      <c r="CI166" s="656"/>
      <c r="CJ166" s="656"/>
      <c r="CK166" s="656"/>
      <c r="CL166" s="656"/>
      <c r="CM166" s="656"/>
      <c r="CN166" s="656"/>
      <c r="CO166" s="656"/>
      <c r="CP166" s="656"/>
      <c r="CQ166" s="656"/>
      <c r="CR166" s="656"/>
      <c r="CS166" s="656"/>
      <c r="CT166" s="656"/>
      <c r="CU166" s="656"/>
      <c r="CV166" s="656"/>
      <c r="CW166" s="656"/>
      <c r="CX166" s="656"/>
      <c r="CY166" s="656"/>
      <c r="CZ166" s="656"/>
      <c r="DA166" s="656"/>
      <c r="DB166" s="656"/>
      <c r="DC166" s="656"/>
      <c r="DD166" s="656"/>
      <c r="DE166" s="656"/>
      <c r="DF166" s="656"/>
      <c r="DG166" s="656"/>
      <c r="DH166" s="656"/>
      <c r="DI166" s="656"/>
      <c r="DJ166" s="656"/>
      <c r="DK166" s="656"/>
      <c r="DL166" s="656"/>
      <c r="DM166" s="656"/>
      <c r="DN166" s="656"/>
      <c r="DO166" s="656"/>
      <c r="DP166" s="656"/>
      <c r="DQ166" s="656"/>
      <c r="DR166" s="656"/>
      <c r="DS166" s="656"/>
      <c r="DT166" s="656"/>
      <c r="DU166" s="656"/>
      <c r="DV166" s="656"/>
      <c r="DW166" s="656"/>
      <c r="DX166" s="656"/>
      <c r="DY166" s="656"/>
      <c r="DZ166" s="656"/>
    </row>
    <row r="167" spans="1:130">
      <c r="A167" s="656"/>
      <c r="B167" s="656"/>
      <c r="C167" s="656"/>
      <c r="D167" s="656"/>
      <c r="E167" s="656"/>
      <c r="F167" s="656"/>
      <c r="G167" s="656"/>
      <c r="H167" s="656"/>
      <c r="I167" s="656"/>
      <c r="J167" s="656"/>
      <c r="K167" s="656"/>
      <c r="L167" s="656"/>
      <c r="M167" s="656"/>
      <c r="N167" s="656"/>
      <c r="O167" s="656"/>
      <c r="P167" s="656"/>
      <c r="Q167" s="656"/>
      <c r="R167" s="656"/>
      <c r="S167" s="656"/>
      <c r="T167" s="656"/>
      <c r="U167" s="656"/>
      <c r="V167" s="656"/>
      <c r="W167" s="656"/>
      <c r="X167" s="656"/>
      <c r="Y167" s="656"/>
      <c r="Z167" s="656"/>
      <c r="AA167" s="656"/>
      <c r="AB167" s="656"/>
      <c r="AC167" s="656"/>
      <c r="AD167" s="656"/>
      <c r="AE167" s="656"/>
      <c r="AF167" s="656"/>
      <c r="AG167" s="656"/>
      <c r="AH167" s="656"/>
      <c r="AI167" s="656"/>
      <c r="AJ167" s="656"/>
      <c r="AK167" s="656"/>
      <c r="AL167" s="656"/>
      <c r="AM167" s="656"/>
      <c r="AN167" s="656"/>
      <c r="AO167" s="656"/>
      <c r="AP167" s="656"/>
      <c r="AQ167" s="656"/>
      <c r="AR167" s="656"/>
      <c r="AS167" s="656"/>
      <c r="AT167" s="656"/>
      <c r="AU167" s="656"/>
      <c r="AV167" s="656"/>
      <c r="AW167" s="656"/>
      <c r="AX167" s="656"/>
      <c r="AY167" s="656"/>
      <c r="AZ167" s="656"/>
      <c r="BA167" s="656"/>
      <c r="BB167" s="656"/>
      <c r="BC167" s="656"/>
      <c r="BD167" s="656"/>
      <c r="BE167" s="656"/>
      <c r="BF167" s="656"/>
      <c r="BG167" s="656"/>
      <c r="BH167" s="656"/>
      <c r="BI167" s="656"/>
      <c r="BJ167" s="656"/>
      <c r="BK167" s="656"/>
      <c r="BL167" s="656"/>
      <c r="BM167" s="656"/>
      <c r="BN167" s="656"/>
      <c r="BO167" s="656"/>
      <c r="BP167" s="656"/>
      <c r="BQ167" s="656"/>
      <c r="BR167" s="656"/>
      <c r="BS167" s="656"/>
      <c r="BT167" s="656"/>
      <c r="BU167" s="656"/>
      <c r="BV167" s="656"/>
      <c r="BW167" s="656"/>
      <c r="BX167" s="656"/>
      <c r="BY167" s="656"/>
      <c r="BZ167" s="656"/>
      <c r="CA167" s="656"/>
      <c r="CB167" s="656"/>
      <c r="CC167" s="656"/>
      <c r="CD167" s="656"/>
      <c r="CE167" s="656"/>
      <c r="CF167" s="656"/>
      <c r="CG167" s="656"/>
      <c r="CH167" s="656"/>
      <c r="CI167" s="656"/>
      <c r="CJ167" s="656"/>
      <c r="CK167" s="656"/>
      <c r="CL167" s="656"/>
      <c r="CM167" s="656"/>
      <c r="CN167" s="656"/>
      <c r="CO167" s="656"/>
      <c r="CP167" s="656"/>
      <c r="CQ167" s="656"/>
      <c r="CR167" s="656"/>
      <c r="CS167" s="656"/>
      <c r="CT167" s="656"/>
      <c r="CU167" s="656"/>
      <c r="CV167" s="656"/>
      <c r="CW167" s="656"/>
      <c r="CX167" s="656"/>
      <c r="CY167" s="656"/>
      <c r="CZ167" s="656"/>
      <c r="DA167" s="656"/>
      <c r="DB167" s="656"/>
      <c r="DC167" s="656"/>
      <c r="DD167" s="656"/>
      <c r="DE167" s="656"/>
      <c r="DF167" s="656"/>
      <c r="DG167" s="656"/>
      <c r="DH167" s="656"/>
      <c r="DI167" s="656"/>
      <c r="DJ167" s="656"/>
      <c r="DK167" s="656"/>
      <c r="DL167" s="656"/>
      <c r="DM167" s="656"/>
      <c r="DN167" s="656"/>
      <c r="DO167" s="656"/>
      <c r="DP167" s="656"/>
      <c r="DQ167" s="656"/>
      <c r="DR167" s="656"/>
      <c r="DS167" s="656"/>
      <c r="DT167" s="656"/>
      <c r="DU167" s="656"/>
      <c r="DV167" s="656"/>
      <c r="DW167" s="656"/>
      <c r="DX167" s="656"/>
      <c r="DY167" s="656"/>
      <c r="DZ167" s="656"/>
    </row>
    <row r="168" spans="1:130">
      <c r="A168" s="656"/>
      <c r="B168" s="656"/>
      <c r="C168" s="656"/>
      <c r="D168" s="656"/>
      <c r="E168" s="656"/>
      <c r="F168" s="656"/>
      <c r="G168" s="656"/>
      <c r="H168" s="656"/>
      <c r="I168" s="656"/>
      <c r="J168" s="656"/>
      <c r="K168" s="656"/>
      <c r="L168" s="656"/>
      <c r="M168" s="656"/>
      <c r="N168" s="656"/>
      <c r="O168" s="656"/>
      <c r="P168" s="656"/>
      <c r="Q168" s="656"/>
      <c r="R168" s="656"/>
      <c r="S168" s="656"/>
      <c r="T168" s="656"/>
      <c r="U168" s="656"/>
      <c r="V168" s="656"/>
      <c r="W168" s="656"/>
      <c r="X168" s="656"/>
      <c r="Y168" s="656"/>
      <c r="Z168" s="656"/>
      <c r="AA168" s="656"/>
      <c r="AB168" s="656"/>
      <c r="AC168" s="656"/>
      <c r="AD168" s="656"/>
      <c r="AE168" s="656"/>
      <c r="AF168" s="656"/>
      <c r="AG168" s="656"/>
      <c r="AH168" s="656"/>
      <c r="AI168" s="656"/>
      <c r="AJ168" s="656"/>
      <c r="AK168" s="656"/>
      <c r="AL168" s="656"/>
      <c r="AM168" s="656"/>
      <c r="AN168" s="656"/>
      <c r="AO168" s="656"/>
      <c r="AP168" s="656"/>
      <c r="AQ168" s="656"/>
      <c r="AR168" s="656"/>
      <c r="AS168" s="656"/>
      <c r="AT168" s="656"/>
      <c r="AU168" s="656"/>
      <c r="AV168" s="656"/>
      <c r="AW168" s="656"/>
      <c r="AX168" s="656"/>
      <c r="AY168" s="656"/>
      <c r="AZ168" s="656"/>
      <c r="BA168" s="656"/>
      <c r="BB168" s="656"/>
      <c r="BC168" s="656"/>
      <c r="BD168" s="656"/>
      <c r="BE168" s="656"/>
      <c r="BF168" s="656"/>
      <c r="BG168" s="656"/>
      <c r="BH168" s="656"/>
      <c r="BI168" s="656"/>
      <c r="BJ168" s="656"/>
      <c r="BK168" s="656"/>
      <c r="BL168" s="656"/>
      <c r="BM168" s="656"/>
      <c r="BN168" s="656"/>
      <c r="BO168" s="656"/>
      <c r="BP168" s="656"/>
      <c r="BQ168" s="656"/>
      <c r="BR168" s="656"/>
      <c r="BS168" s="656"/>
      <c r="BT168" s="656"/>
      <c r="BU168" s="656"/>
      <c r="BV168" s="656"/>
      <c r="BW168" s="656"/>
      <c r="BX168" s="656"/>
      <c r="BY168" s="656"/>
      <c r="BZ168" s="656"/>
      <c r="CA168" s="656"/>
      <c r="CB168" s="656"/>
      <c r="CC168" s="656"/>
      <c r="CD168" s="656"/>
      <c r="CE168" s="656"/>
      <c r="CF168" s="656"/>
      <c r="CG168" s="656"/>
      <c r="CH168" s="656"/>
      <c r="CI168" s="656"/>
      <c r="CJ168" s="656"/>
      <c r="CK168" s="656"/>
      <c r="CL168" s="656"/>
      <c r="CM168" s="656"/>
      <c r="CN168" s="656"/>
      <c r="CO168" s="656"/>
      <c r="CP168" s="656"/>
      <c r="CQ168" s="656"/>
      <c r="CR168" s="656"/>
      <c r="CS168" s="656"/>
      <c r="CT168" s="656"/>
      <c r="CU168" s="656"/>
      <c r="CV168" s="656"/>
      <c r="CW168" s="656"/>
      <c r="CX168" s="656"/>
      <c r="CY168" s="656"/>
      <c r="CZ168" s="656"/>
      <c r="DA168" s="656"/>
      <c r="DB168" s="656"/>
      <c r="DC168" s="656"/>
      <c r="DD168" s="656"/>
      <c r="DE168" s="656"/>
      <c r="DF168" s="656"/>
      <c r="DG168" s="656"/>
      <c r="DH168" s="656"/>
      <c r="DI168" s="656"/>
      <c r="DJ168" s="656"/>
      <c r="DK168" s="656"/>
      <c r="DL168" s="656"/>
      <c r="DM168" s="656"/>
      <c r="DN168" s="656"/>
      <c r="DO168" s="656"/>
      <c r="DP168" s="656"/>
      <c r="DQ168" s="656"/>
      <c r="DR168" s="656"/>
      <c r="DS168" s="656"/>
      <c r="DT168" s="656"/>
      <c r="DU168" s="656"/>
      <c r="DV168" s="656"/>
      <c r="DW168" s="656"/>
      <c r="DX168" s="656"/>
      <c r="DY168" s="656"/>
      <c r="DZ168" s="656"/>
    </row>
    <row r="169" spans="1:130">
      <c r="A169" s="656"/>
      <c r="B169" s="656"/>
      <c r="C169" s="656"/>
      <c r="D169" s="656"/>
      <c r="E169" s="656"/>
      <c r="F169" s="656"/>
      <c r="G169" s="656"/>
      <c r="H169" s="656"/>
      <c r="I169" s="656"/>
      <c r="J169" s="656"/>
      <c r="K169" s="656"/>
      <c r="L169" s="656"/>
      <c r="M169" s="656"/>
      <c r="N169" s="656"/>
      <c r="O169" s="656"/>
      <c r="P169" s="656"/>
      <c r="Q169" s="656"/>
      <c r="R169" s="656"/>
      <c r="S169" s="656"/>
      <c r="T169" s="656"/>
      <c r="U169" s="656"/>
      <c r="V169" s="656"/>
      <c r="W169" s="656"/>
      <c r="X169" s="656"/>
      <c r="Y169" s="656"/>
      <c r="Z169" s="656"/>
      <c r="AA169" s="656"/>
      <c r="AB169" s="656"/>
      <c r="AC169" s="656"/>
      <c r="AD169" s="656"/>
      <c r="AE169" s="656"/>
      <c r="AF169" s="656"/>
      <c r="AG169" s="656"/>
      <c r="AH169" s="656"/>
      <c r="AI169" s="656"/>
      <c r="AJ169" s="656"/>
      <c r="AK169" s="656"/>
      <c r="AL169" s="656"/>
      <c r="AM169" s="656"/>
      <c r="AN169" s="656"/>
      <c r="AO169" s="656"/>
      <c r="AP169" s="656"/>
      <c r="AQ169" s="656"/>
      <c r="AR169" s="656"/>
      <c r="AS169" s="656"/>
      <c r="AT169" s="656"/>
      <c r="AU169" s="656"/>
      <c r="AV169" s="656"/>
      <c r="AW169" s="656"/>
      <c r="AX169" s="656"/>
      <c r="AY169" s="656"/>
      <c r="AZ169" s="656"/>
      <c r="BA169" s="656"/>
      <c r="BB169" s="656"/>
      <c r="BC169" s="656"/>
      <c r="BD169" s="656"/>
      <c r="BE169" s="656"/>
      <c r="BF169" s="656"/>
      <c r="BG169" s="656"/>
      <c r="BH169" s="656"/>
      <c r="BI169" s="656"/>
      <c r="BJ169" s="656"/>
      <c r="BK169" s="656"/>
      <c r="BL169" s="656"/>
      <c r="BM169" s="656"/>
      <c r="BN169" s="656"/>
      <c r="BO169" s="656"/>
      <c r="BP169" s="656"/>
      <c r="BQ169" s="656"/>
      <c r="BR169" s="656"/>
      <c r="BS169" s="656"/>
      <c r="BT169" s="656"/>
      <c r="BU169" s="656"/>
      <c r="BV169" s="656"/>
      <c r="BW169" s="656"/>
      <c r="BX169" s="656"/>
      <c r="BY169" s="656"/>
      <c r="BZ169" s="656"/>
      <c r="CA169" s="656"/>
      <c r="CB169" s="656"/>
      <c r="CC169" s="656"/>
      <c r="CD169" s="656"/>
      <c r="CE169" s="656"/>
      <c r="CF169" s="656"/>
      <c r="CG169" s="656"/>
      <c r="CH169" s="656"/>
      <c r="CI169" s="656"/>
      <c r="CJ169" s="656"/>
      <c r="CK169" s="656"/>
      <c r="CL169" s="656"/>
      <c r="CM169" s="656"/>
      <c r="CN169" s="656"/>
      <c r="CO169" s="656"/>
      <c r="CP169" s="656"/>
      <c r="CQ169" s="656"/>
      <c r="CR169" s="656"/>
      <c r="CS169" s="656"/>
      <c r="CT169" s="656"/>
      <c r="CU169" s="656"/>
      <c r="CV169" s="656"/>
      <c r="CW169" s="656"/>
      <c r="CX169" s="656"/>
      <c r="CY169" s="656"/>
      <c r="CZ169" s="656"/>
      <c r="DA169" s="656"/>
      <c r="DB169" s="656"/>
      <c r="DC169" s="656"/>
      <c r="DD169" s="656"/>
      <c r="DE169" s="656"/>
      <c r="DF169" s="656"/>
      <c r="DG169" s="656"/>
      <c r="DH169" s="656"/>
      <c r="DI169" s="656"/>
      <c r="DJ169" s="656"/>
      <c r="DK169" s="656"/>
      <c r="DL169" s="656"/>
      <c r="DM169" s="656"/>
      <c r="DN169" s="656"/>
      <c r="DO169" s="656"/>
      <c r="DP169" s="656"/>
      <c r="DQ169" s="656"/>
      <c r="DR169" s="656"/>
      <c r="DS169" s="656"/>
      <c r="DT169" s="656"/>
      <c r="DU169" s="656"/>
      <c r="DV169" s="656"/>
      <c r="DW169" s="656"/>
      <c r="DX169" s="656"/>
      <c r="DY169" s="656"/>
      <c r="DZ169" s="656"/>
    </row>
    <row r="170" spans="1:130">
      <c r="A170" s="656"/>
      <c r="B170" s="656"/>
      <c r="C170" s="656"/>
      <c r="D170" s="656"/>
      <c r="E170" s="656"/>
      <c r="F170" s="656"/>
      <c r="G170" s="656"/>
      <c r="H170" s="656"/>
      <c r="I170" s="656"/>
      <c r="J170" s="656"/>
      <c r="K170" s="656"/>
      <c r="L170" s="656"/>
      <c r="M170" s="656"/>
      <c r="N170" s="656"/>
      <c r="O170" s="656"/>
      <c r="P170" s="656"/>
      <c r="Q170" s="656"/>
      <c r="R170" s="656"/>
      <c r="S170" s="656"/>
      <c r="T170" s="656"/>
      <c r="U170" s="656"/>
      <c r="V170" s="656"/>
      <c r="W170" s="656"/>
      <c r="X170" s="656"/>
      <c r="Y170" s="656"/>
      <c r="Z170" s="656"/>
      <c r="AA170" s="656"/>
      <c r="AB170" s="656"/>
      <c r="AC170" s="656"/>
      <c r="AD170" s="656"/>
      <c r="AE170" s="656"/>
      <c r="AF170" s="656"/>
      <c r="AG170" s="656"/>
      <c r="AH170" s="656"/>
      <c r="AI170" s="656"/>
      <c r="AJ170" s="656"/>
      <c r="AK170" s="656"/>
      <c r="AL170" s="656"/>
      <c r="AM170" s="656"/>
      <c r="AN170" s="656"/>
      <c r="AO170" s="656"/>
      <c r="AP170" s="656"/>
      <c r="AQ170" s="656"/>
      <c r="AR170" s="656"/>
      <c r="AS170" s="656"/>
      <c r="AT170" s="656"/>
      <c r="AU170" s="656"/>
      <c r="AV170" s="656"/>
      <c r="AW170" s="656"/>
      <c r="AX170" s="656"/>
      <c r="AY170" s="656"/>
      <c r="AZ170" s="656"/>
      <c r="BA170" s="656"/>
      <c r="BB170" s="656"/>
      <c r="BC170" s="656"/>
      <c r="BD170" s="656"/>
      <c r="BE170" s="656"/>
      <c r="BF170" s="656"/>
      <c r="BG170" s="656"/>
      <c r="BH170" s="656"/>
      <c r="BI170" s="656"/>
      <c r="BJ170" s="656"/>
      <c r="BK170" s="656"/>
      <c r="BL170" s="656"/>
      <c r="BM170" s="656"/>
      <c r="BN170" s="656"/>
      <c r="BO170" s="656"/>
      <c r="BP170" s="656"/>
      <c r="BQ170" s="656"/>
      <c r="BR170" s="656"/>
      <c r="BS170" s="656"/>
      <c r="BT170" s="656"/>
      <c r="BU170" s="656"/>
      <c r="BV170" s="656"/>
      <c r="BW170" s="656"/>
      <c r="BX170" s="656"/>
      <c r="BY170" s="656"/>
      <c r="BZ170" s="656"/>
      <c r="CA170" s="656"/>
      <c r="CB170" s="656"/>
      <c r="CC170" s="656"/>
      <c r="CD170" s="656"/>
      <c r="CE170" s="656"/>
      <c r="CF170" s="656"/>
      <c r="CG170" s="656"/>
      <c r="CH170" s="656"/>
      <c r="CI170" s="656"/>
      <c r="CJ170" s="656"/>
      <c r="CK170" s="656"/>
      <c r="CL170" s="656"/>
      <c r="CM170" s="656"/>
      <c r="CN170" s="656"/>
      <c r="CO170" s="656"/>
      <c r="CP170" s="656"/>
      <c r="CQ170" s="656"/>
      <c r="CR170" s="656"/>
      <c r="CS170" s="656"/>
      <c r="CT170" s="656"/>
      <c r="CU170" s="656"/>
      <c r="CV170" s="656"/>
      <c r="CW170" s="656"/>
      <c r="CX170" s="656"/>
      <c r="CY170" s="656"/>
      <c r="CZ170" s="656"/>
      <c r="DA170" s="656"/>
      <c r="DB170" s="656"/>
      <c r="DC170" s="656"/>
      <c r="DD170" s="656"/>
      <c r="DE170" s="656"/>
      <c r="DF170" s="656"/>
      <c r="DG170" s="656"/>
      <c r="DH170" s="656"/>
      <c r="DI170" s="656"/>
      <c r="DJ170" s="656"/>
      <c r="DK170" s="656"/>
      <c r="DL170" s="656"/>
      <c r="DM170" s="656"/>
      <c r="DN170" s="656"/>
      <c r="DO170" s="656"/>
      <c r="DP170" s="656"/>
      <c r="DQ170" s="656"/>
      <c r="DR170" s="656"/>
      <c r="DS170" s="656"/>
      <c r="DT170" s="656"/>
      <c r="DU170" s="656"/>
      <c r="DV170" s="656"/>
      <c r="DW170" s="656"/>
      <c r="DX170" s="656"/>
      <c r="DY170" s="656"/>
      <c r="DZ170" s="656"/>
    </row>
    <row r="171" spans="1:130">
      <c r="A171" s="656"/>
      <c r="B171" s="656"/>
      <c r="C171" s="656"/>
      <c r="D171" s="656"/>
      <c r="E171" s="656"/>
      <c r="F171" s="656"/>
      <c r="G171" s="656"/>
      <c r="H171" s="656"/>
      <c r="I171" s="656"/>
      <c r="J171" s="656"/>
      <c r="K171" s="656"/>
      <c r="L171" s="656"/>
      <c r="M171" s="656"/>
      <c r="N171" s="656"/>
      <c r="O171" s="656"/>
      <c r="P171" s="656"/>
      <c r="Q171" s="656"/>
      <c r="R171" s="656"/>
      <c r="S171" s="656"/>
      <c r="T171" s="656"/>
      <c r="U171" s="656"/>
      <c r="V171" s="656"/>
      <c r="W171" s="656"/>
      <c r="X171" s="656"/>
      <c r="Y171" s="656"/>
      <c r="Z171" s="656"/>
      <c r="AA171" s="656"/>
      <c r="AB171" s="656"/>
      <c r="AC171" s="656"/>
      <c r="AD171" s="656"/>
      <c r="AE171" s="656"/>
      <c r="AF171" s="656"/>
      <c r="AG171" s="656"/>
      <c r="AH171" s="656"/>
      <c r="AI171" s="656"/>
      <c r="AJ171" s="656"/>
      <c r="AK171" s="656"/>
      <c r="AL171" s="656"/>
      <c r="AM171" s="656"/>
      <c r="AN171" s="656"/>
      <c r="AO171" s="656"/>
      <c r="AP171" s="656"/>
      <c r="AQ171" s="656"/>
      <c r="AR171" s="656"/>
      <c r="AS171" s="656"/>
      <c r="AT171" s="656"/>
      <c r="AU171" s="656"/>
      <c r="AV171" s="656"/>
      <c r="AW171" s="656"/>
      <c r="AX171" s="656"/>
      <c r="AY171" s="656"/>
      <c r="AZ171" s="656"/>
      <c r="BA171" s="656"/>
      <c r="BB171" s="656"/>
      <c r="BC171" s="656"/>
      <c r="BD171" s="656"/>
      <c r="BE171" s="656"/>
      <c r="BF171" s="656"/>
      <c r="BG171" s="656"/>
      <c r="BH171" s="656"/>
      <c r="BI171" s="656"/>
      <c r="BJ171" s="656"/>
      <c r="BK171" s="656"/>
      <c r="BL171" s="656"/>
      <c r="BM171" s="656"/>
      <c r="BN171" s="656"/>
      <c r="BO171" s="656"/>
      <c r="BP171" s="656"/>
      <c r="BQ171" s="656"/>
      <c r="BR171" s="656"/>
      <c r="BS171" s="656"/>
      <c r="BT171" s="656"/>
      <c r="BU171" s="656"/>
      <c r="BV171" s="656"/>
      <c r="BW171" s="656"/>
      <c r="BX171" s="656"/>
      <c r="BY171" s="656"/>
      <c r="BZ171" s="656"/>
      <c r="CA171" s="656"/>
      <c r="CB171" s="656"/>
      <c r="CC171" s="656"/>
      <c r="CD171" s="656"/>
      <c r="CE171" s="656"/>
      <c r="CF171" s="656"/>
      <c r="CG171" s="656"/>
      <c r="CH171" s="656"/>
      <c r="CI171" s="656"/>
      <c r="CJ171" s="656"/>
      <c r="CK171" s="656"/>
      <c r="CL171" s="656"/>
      <c r="CM171" s="656"/>
      <c r="CN171" s="656"/>
      <c r="CO171" s="656"/>
      <c r="CP171" s="656"/>
      <c r="CQ171" s="656"/>
      <c r="CR171" s="656"/>
      <c r="CS171" s="656"/>
      <c r="CT171" s="656"/>
      <c r="CU171" s="656"/>
      <c r="CV171" s="656"/>
      <c r="CW171" s="656"/>
      <c r="CX171" s="656"/>
      <c r="CY171" s="656"/>
      <c r="CZ171" s="656"/>
      <c r="DA171" s="656"/>
      <c r="DB171" s="656"/>
      <c r="DC171" s="656"/>
      <c r="DD171" s="656"/>
      <c r="DE171" s="656"/>
      <c r="DF171" s="656"/>
      <c r="DG171" s="656"/>
      <c r="DH171" s="656"/>
      <c r="DI171" s="656"/>
      <c r="DJ171" s="656"/>
      <c r="DK171" s="656"/>
      <c r="DL171" s="656"/>
      <c r="DM171" s="656"/>
      <c r="DN171" s="656"/>
      <c r="DO171" s="656"/>
      <c r="DP171" s="656"/>
      <c r="DQ171" s="656"/>
      <c r="DR171" s="656"/>
      <c r="DS171" s="656"/>
      <c r="DT171" s="656"/>
      <c r="DU171" s="656"/>
      <c r="DV171" s="656"/>
      <c r="DW171" s="656"/>
      <c r="DX171" s="656"/>
      <c r="DY171" s="656"/>
      <c r="DZ171" s="656"/>
    </row>
    <row r="172" spans="1:130">
      <c r="A172" s="656"/>
      <c r="B172" s="656"/>
      <c r="C172" s="656"/>
      <c r="D172" s="656"/>
      <c r="E172" s="656"/>
      <c r="F172" s="656"/>
      <c r="G172" s="656"/>
      <c r="H172" s="656"/>
      <c r="I172" s="656"/>
      <c r="J172" s="656"/>
      <c r="K172" s="656"/>
      <c r="L172" s="656"/>
      <c r="M172" s="656"/>
      <c r="N172" s="656"/>
      <c r="O172" s="656"/>
      <c r="P172" s="656"/>
      <c r="Q172" s="656"/>
      <c r="R172" s="656"/>
      <c r="S172" s="656"/>
      <c r="T172" s="656"/>
      <c r="U172" s="656"/>
      <c r="V172" s="656"/>
      <c r="W172" s="656"/>
      <c r="X172" s="656"/>
      <c r="Y172" s="656"/>
      <c r="Z172" s="656"/>
      <c r="AA172" s="656"/>
      <c r="AB172" s="656"/>
      <c r="AC172" s="656"/>
      <c r="AD172" s="656"/>
      <c r="AE172" s="656"/>
      <c r="AF172" s="656"/>
      <c r="AG172" s="656"/>
      <c r="AH172" s="656"/>
      <c r="AI172" s="656"/>
      <c r="AJ172" s="656"/>
      <c r="AK172" s="656"/>
      <c r="AL172" s="656"/>
      <c r="AM172" s="656"/>
      <c r="AN172" s="656"/>
      <c r="AO172" s="656"/>
      <c r="AP172" s="656"/>
      <c r="AQ172" s="656"/>
      <c r="AR172" s="656"/>
      <c r="AS172" s="656"/>
      <c r="AT172" s="656"/>
      <c r="AU172" s="656"/>
      <c r="AV172" s="656"/>
      <c r="AW172" s="656"/>
      <c r="AX172" s="656"/>
      <c r="AY172" s="656"/>
      <c r="AZ172" s="656"/>
      <c r="BA172" s="656"/>
      <c r="BB172" s="656"/>
      <c r="BC172" s="656"/>
      <c r="BD172" s="656"/>
      <c r="BE172" s="656"/>
      <c r="BF172" s="656"/>
      <c r="BG172" s="656"/>
      <c r="BH172" s="656"/>
      <c r="BI172" s="656"/>
      <c r="BJ172" s="656"/>
      <c r="BK172" s="656"/>
      <c r="BL172" s="656"/>
      <c r="BM172" s="656"/>
      <c r="BN172" s="656"/>
      <c r="BO172" s="656"/>
      <c r="BP172" s="656"/>
      <c r="BQ172" s="656"/>
      <c r="BR172" s="656"/>
      <c r="BS172" s="656"/>
      <c r="BT172" s="656"/>
      <c r="BU172" s="656"/>
      <c r="BV172" s="656"/>
      <c r="BW172" s="656"/>
      <c r="BX172" s="656"/>
      <c r="BY172" s="656"/>
      <c r="BZ172" s="656"/>
      <c r="CA172" s="656"/>
      <c r="CB172" s="656"/>
      <c r="CC172" s="656"/>
      <c r="CD172" s="656"/>
      <c r="CE172" s="656"/>
      <c r="CF172" s="656"/>
      <c r="CG172" s="656"/>
      <c r="CH172" s="656"/>
      <c r="CI172" s="656"/>
      <c r="CJ172" s="656"/>
      <c r="CK172" s="656"/>
      <c r="CL172" s="656"/>
      <c r="CM172" s="656"/>
      <c r="CN172" s="656"/>
      <c r="CO172" s="656"/>
      <c r="CP172" s="656"/>
      <c r="CQ172" s="656"/>
      <c r="CR172" s="656"/>
      <c r="CS172" s="656"/>
      <c r="CT172" s="656"/>
      <c r="CU172" s="656"/>
      <c r="CV172" s="656"/>
      <c r="CW172" s="656"/>
      <c r="CX172" s="656"/>
      <c r="CY172" s="656"/>
      <c r="CZ172" s="656"/>
      <c r="DA172" s="656"/>
      <c r="DB172" s="656"/>
      <c r="DC172" s="656"/>
      <c r="DD172" s="656"/>
      <c r="DE172" s="656"/>
      <c r="DF172" s="656"/>
      <c r="DG172" s="656"/>
      <c r="DH172" s="656"/>
      <c r="DI172" s="656"/>
      <c r="DJ172" s="656"/>
      <c r="DK172" s="656"/>
      <c r="DL172" s="656"/>
      <c r="DM172" s="656"/>
      <c r="DN172" s="656"/>
      <c r="DO172" s="656"/>
      <c r="DP172" s="656"/>
      <c r="DQ172" s="656"/>
      <c r="DR172" s="656"/>
      <c r="DS172" s="656"/>
      <c r="DT172" s="656"/>
      <c r="DU172" s="656"/>
      <c r="DV172" s="656"/>
      <c r="DW172" s="656"/>
      <c r="DX172" s="656"/>
      <c r="DY172" s="656"/>
      <c r="DZ172" s="656"/>
    </row>
    <row r="173" spans="1:130">
      <c r="A173" s="656"/>
      <c r="B173" s="656"/>
      <c r="C173" s="656"/>
      <c r="D173" s="656"/>
      <c r="E173" s="656"/>
      <c r="F173" s="656"/>
      <c r="G173" s="656"/>
      <c r="H173" s="656"/>
      <c r="I173" s="656"/>
      <c r="J173" s="656"/>
      <c r="K173" s="656"/>
      <c r="L173" s="656"/>
      <c r="M173" s="656"/>
      <c r="N173" s="656"/>
      <c r="O173" s="656"/>
      <c r="P173" s="656"/>
      <c r="Q173" s="656"/>
      <c r="R173" s="656"/>
      <c r="S173" s="656"/>
      <c r="T173" s="656"/>
      <c r="U173" s="656"/>
      <c r="V173" s="656"/>
      <c r="W173" s="656"/>
      <c r="X173" s="656"/>
      <c r="Y173" s="656"/>
      <c r="Z173" s="656"/>
      <c r="AA173" s="656"/>
      <c r="AB173" s="656"/>
      <c r="AC173" s="656"/>
      <c r="AD173" s="656"/>
      <c r="AE173" s="656"/>
      <c r="AF173" s="656"/>
      <c r="AG173" s="656"/>
      <c r="AH173" s="656"/>
      <c r="AI173" s="656"/>
      <c r="AJ173" s="656"/>
      <c r="AK173" s="656"/>
      <c r="AL173" s="656"/>
      <c r="AM173" s="656"/>
      <c r="AN173" s="656"/>
      <c r="AO173" s="656"/>
      <c r="AP173" s="656"/>
      <c r="AQ173" s="656"/>
      <c r="AR173" s="656"/>
      <c r="AS173" s="656"/>
      <c r="AT173" s="656"/>
      <c r="AU173" s="656"/>
      <c r="AV173" s="656"/>
      <c r="AW173" s="656"/>
      <c r="AX173" s="656"/>
      <c r="AY173" s="656"/>
      <c r="AZ173" s="656"/>
      <c r="BA173" s="656"/>
      <c r="BB173" s="656"/>
      <c r="BC173" s="656"/>
      <c r="BD173" s="656"/>
      <c r="BE173" s="656"/>
      <c r="BF173" s="656"/>
      <c r="BG173" s="656"/>
      <c r="BH173" s="656"/>
      <c r="BI173" s="656"/>
      <c r="BJ173" s="656"/>
      <c r="BK173" s="656"/>
      <c r="BL173" s="656"/>
      <c r="BM173" s="656"/>
      <c r="BN173" s="656"/>
      <c r="BO173" s="656"/>
      <c r="BP173" s="656"/>
      <c r="BQ173" s="656"/>
      <c r="BR173" s="656"/>
      <c r="BS173" s="656"/>
      <c r="BT173" s="656"/>
      <c r="BU173" s="656"/>
      <c r="BV173" s="656"/>
      <c r="BW173" s="656"/>
      <c r="BX173" s="656"/>
      <c r="BY173" s="656"/>
      <c r="BZ173" s="656"/>
      <c r="CA173" s="656"/>
      <c r="CB173" s="656"/>
      <c r="CC173" s="656"/>
      <c r="CD173" s="656"/>
      <c r="CE173" s="656"/>
      <c r="CF173" s="656"/>
      <c r="CG173" s="656"/>
      <c r="CH173" s="656"/>
      <c r="CI173" s="656"/>
      <c r="CJ173" s="656"/>
      <c r="CK173" s="656"/>
      <c r="CL173" s="656"/>
      <c r="CM173" s="656"/>
      <c r="CN173" s="656"/>
      <c r="CO173" s="656"/>
      <c r="CP173" s="656"/>
      <c r="CQ173" s="656"/>
      <c r="CR173" s="656"/>
      <c r="CS173" s="656"/>
      <c r="CT173" s="656"/>
      <c r="CU173" s="656"/>
      <c r="CV173" s="656"/>
      <c r="CW173" s="656"/>
      <c r="CX173" s="656"/>
      <c r="CY173" s="656"/>
      <c r="CZ173" s="656"/>
      <c r="DA173" s="656"/>
      <c r="DB173" s="656"/>
      <c r="DC173" s="656"/>
      <c r="DD173" s="656"/>
      <c r="DE173" s="656"/>
      <c r="DF173" s="656"/>
      <c r="DG173" s="656"/>
      <c r="DH173" s="656"/>
      <c r="DI173" s="656"/>
      <c r="DJ173" s="656"/>
      <c r="DK173" s="656"/>
      <c r="DL173" s="656"/>
      <c r="DM173" s="656"/>
      <c r="DN173" s="656"/>
      <c r="DO173" s="656"/>
      <c r="DP173" s="656"/>
      <c r="DQ173" s="656"/>
      <c r="DR173" s="656"/>
      <c r="DS173" s="656"/>
      <c r="DT173" s="656"/>
      <c r="DU173" s="656"/>
      <c r="DV173" s="656"/>
      <c r="DW173" s="656"/>
      <c r="DX173" s="656"/>
      <c r="DY173" s="656"/>
      <c r="DZ173" s="656"/>
    </row>
    <row r="174" spans="1:130">
      <c r="A174" s="656"/>
      <c r="B174" s="656"/>
      <c r="C174" s="656"/>
      <c r="D174" s="656"/>
      <c r="E174" s="656"/>
      <c r="F174" s="656"/>
      <c r="G174" s="656"/>
      <c r="H174" s="656"/>
      <c r="I174" s="656"/>
      <c r="J174" s="656"/>
      <c r="K174" s="656"/>
      <c r="L174" s="656"/>
      <c r="M174" s="656"/>
      <c r="N174" s="656"/>
      <c r="O174" s="656"/>
      <c r="P174" s="656"/>
      <c r="Q174" s="656"/>
      <c r="R174" s="656"/>
      <c r="S174" s="656"/>
      <c r="T174" s="656"/>
      <c r="U174" s="656"/>
      <c r="V174" s="656"/>
      <c r="W174" s="656"/>
      <c r="X174" s="656"/>
      <c r="Y174" s="656"/>
      <c r="Z174" s="656"/>
      <c r="AA174" s="656"/>
      <c r="AB174" s="656"/>
      <c r="AC174" s="656"/>
      <c r="AD174" s="656"/>
      <c r="AE174" s="656"/>
      <c r="AF174" s="656"/>
      <c r="AG174" s="656"/>
      <c r="AH174" s="656"/>
      <c r="AI174" s="656"/>
      <c r="AJ174" s="656"/>
      <c r="AK174" s="656"/>
      <c r="AL174" s="656"/>
      <c r="AM174" s="656"/>
      <c r="AN174" s="656"/>
      <c r="AO174" s="656"/>
      <c r="AP174" s="656"/>
      <c r="AQ174" s="656"/>
      <c r="AR174" s="656"/>
      <c r="AS174" s="656"/>
      <c r="AT174" s="656"/>
      <c r="AU174" s="656"/>
      <c r="AV174" s="656"/>
      <c r="AW174" s="656"/>
      <c r="AX174" s="656"/>
      <c r="AY174" s="656"/>
      <c r="AZ174" s="656"/>
      <c r="BA174" s="656"/>
      <c r="BB174" s="656"/>
      <c r="BC174" s="656"/>
      <c r="BD174" s="656"/>
      <c r="BE174" s="656"/>
      <c r="BF174" s="656"/>
      <c r="BG174" s="656"/>
      <c r="BH174" s="656"/>
      <c r="BI174" s="656"/>
      <c r="BJ174" s="656"/>
      <c r="BK174" s="656"/>
      <c r="BL174" s="656"/>
      <c r="BM174" s="656"/>
      <c r="BN174" s="656"/>
      <c r="BO174" s="656"/>
      <c r="BP174" s="656"/>
      <c r="BQ174" s="656"/>
      <c r="BR174" s="656"/>
      <c r="BS174" s="656"/>
      <c r="BT174" s="656"/>
      <c r="BU174" s="656"/>
      <c r="BV174" s="656"/>
      <c r="BW174" s="656"/>
      <c r="BX174" s="656"/>
      <c r="BY174" s="656"/>
      <c r="BZ174" s="656"/>
      <c r="CA174" s="656"/>
      <c r="CB174" s="656"/>
      <c r="CC174" s="656"/>
      <c r="CD174" s="656"/>
      <c r="CE174" s="656"/>
      <c r="CF174" s="656"/>
      <c r="CG174" s="656"/>
      <c r="CH174" s="656"/>
      <c r="CI174" s="656"/>
      <c r="CJ174" s="656"/>
      <c r="CK174" s="656"/>
      <c r="CL174" s="656"/>
      <c r="CM174" s="656"/>
      <c r="CN174" s="656"/>
      <c r="CO174" s="656"/>
      <c r="CP174" s="656"/>
      <c r="CQ174" s="656"/>
      <c r="CR174" s="656"/>
      <c r="CS174" s="656"/>
      <c r="CT174" s="656"/>
      <c r="CU174" s="656"/>
      <c r="CV174" s="656"/>
      <c r="CW174" s="656"/>
      <c r="CX174" s="656"/>
      <c r="CY174" s="656"/>
      <c r="CZ174" s="656"/>
      <c r="DA174" s="656"/>
      <c r="DB174" s="656"/>
      <c r="DC174" s="656"/>
      <c r="DD174" s="656"/>
      <c r="DE174" s="656"/>
      <c r="DF174" s="656"/>
      <c r="DG174" s="656"/>
      <c r="DH174" s="656"/>
      <c r="DI174" s="656"/>
      <c r="DJ174" s="656"/>
      <c r="DK174" s="656"/>
      <c r="DL174" s="656"/>
      <c r="DM174" s="656"/>
      <c r="DN174" s="656"/>
      <c r="DO174" s="656"/>
      <c r="DP174" s="656"/>
      <c r="DQ174" s="656"/>
      <c r="DR174" s="656"/>
      <c r="DS174" s="656"/>
      <c r="DT174" s="656"/>
      <c r="DU174" s="656"/>
      <c r="DV174" s="656"/>
      <c r="DW174" s="656"/>
      <c r="DX174" s="656"/>
      <c r="DY174" s="656"/>
      <c r="DZ174" s="656"/>
    </row>
    <row r="175" spans="1:130">
      <c r="A175" s="656"/>
      <c r="B175" s="656"/>
      <c r="C175" s="656"/>
      <c r="D175" s="656"/>
      <c r="E175" s="656"/>
      <c r="F175" s="656"/>
      <c r="G175" s="656"/>
      <c r="H175" s="656"/>
      <c r="I175" s="656"/>
      <c r="J175" s="656"/>
      <c r="K175" s="656"/>
      <c r="L175" s="656"/>
      <c r="M175" s="656"/>
      <c r="N175" s="656"/>
      <c r="O175" s="656"/>
      <c r="P175" s="656"/>
      <c r="Q175" s="656"/>
      <c r="R175" s="656"/>
      <c r="S175" s="656"/>
      <c r="T175" s="656"/>
      <c r="U175" s="656"/>
      <c r="V175" s="656"/>
      <c r="W175" s="656"/>
      <c r="X175" s="656"/>
      <c r="Y175" s="656"/>
      <c r="Z175" s="656"/>
      <c r="AA175" s="656"/>
      <c r="AB175" s="656"/>
      <c r="AC175" s="656"/>
      <c r="AD175" s="656"/>
      <c r="AE175" s="656"/>
      <c r="AF175" s="656"/>
      <c r="AG175" s="656"/>
      <c r="AH175" s="656"/>
      <c r="AI175" s="656"/>
      <c r="AJ175" s="656"/>
      <c r="AK175" s="656"/>
      <c r="AL175" s="656"/>
      <c r="AM175" s="656"/>
      <c r="AN175" s="656"/>
      <c r="AO175" s="656"/>
      <c r="AP175" s="656"/>
      <c r="AQ175" s="656"/>
      <c r="AR175" s="656"/>
      <c r="AS175" s="656"/>
      <c r="AT175" s="656"/>
      <c r="AU175" s="656"/>
      <c r="AV175" s="656"/>
      <c r="AW175" s="656"/>
      <c r="AX175" s="656"/>
      <c r="AY175" s="656"/>
      <c r="AZ175" s="656"/>
      <c r="BA175" s="656"/>
      <c r="BB175" s="656"/>
      <c r="BC175" s="656"/>
      <c r="BD175" s="656"/>
      <c r="BE175" s="656"/>
      <c r="BF175" s="656"/>
      <c r="BG175" s="656"/>
      <c r="BH175" s="656"/>
      <c r="BI175" s="656"/>
      <c r="BJ175" s="656"/>
      <c r="BK175" s="656"/>
      <c r="BL175" s="656"/>
      <c r="BM175" s="656"/>
      <c r="BN175" s="656"/>
      <c r="BO175" s="656"/>
      <c r="BP175" s="656"/>
      <c r="BQ175" s="656"/>
      <c r="BR175" s="656"/>
      <c r="BS175" s="656"/>
      <c r="BT175" s="656"/>
      <c r="BU175" s="656"/>
      <c r="BV175" s="656"/>
      <c r="BW175" s="656"/>
      <c r="BX175" s="656"/>
      <c r="BY175" s="656"/>
      <c r="BZ175" s="656"/>
      <c r="CA175" s="656"/>
      <c r="CB175" s="656"/>
      <c r="CC175" s="656"/>
      <c r="CD175" s="656"/>
      <c r="CE175" s="656"/>
      <c r="CF175" s="656"/>
      <c r="CG175" s="656"/>
      <c r="CH175" s="656"/>
      <c r="CI175" s="656"/>
      <c r="CJ175" s="656"/>
      <c r="CK175" s="656"/>
      <c r="CL175" s="656"/>
      <c r="CM175" s="656"/>
      <c r="CN175" s="656"/>
      <c r="CO175" s="656"/>
      <c r="CP175" s="656"/>
      <c r="CQ175" s="656"/>
      <c r="CR175" s="656"/>
      <c r="CS175" s="656"/>
      <c r="CT175" s="656"/>
      <c r="CU175" s="656"/>
      <c r="CV175" s="656"/>
      <c r="CW175" s="656"/>
      <c r="CX175" s="656"/>
      <c r="CY175" s="656"/>
      <c r="CZ175" s="656"/>
      <c r="DA175" s="656"/>
      <c r="DB175" s="656"/>
      <c r="DC175" s="656"/>
      <c r="DD175" s="656"/>
      <c r="DE175" s="656"/>
      <c r="DF175" s="656"/>
      <c r="DG175" s="656"/>
      <c r="DH175" s="656"/>
      <c r="DI175" s="656"/>
      <c r="DJ175" s="656"/>
      <c r="DK175" s="656"/>
      <c r="DL175" s="656"/>
      <c r="DM175" s="656"/>
      <c r="DN175" s="656"/>
      <c r="DO175" s="656"/>
      <c r="DP175" s="656"/>
      <c r="DQ175" s="656"/>
      <c r="DR175" s="656"/>
      <c r="DS175" s="656"/>
      <c r="DT175" s="656"/>
      <c r="DU175" s="656"/>
      <c r="DV175" s="656"/>
      <c r="DW175" s="656"/>
      <c r="DX175" s="656"/>
      <c r="DY175" s="656"/>
      <c r="DZ175" s="656"/>
    </row>
    <row r="176" spans="1:130">
      <c r="A176" s="656"/>
      <c r="B176" s="656"/>
      <c r="C176" s="656"/>
      <c r="D176" s="656"/>
      <c r="E176" s="656"/>
      <c r="F176" s="656"/>
      <c r="G176" s="656"/>
      <c r="H176" s="656"/>
      <c r="I176" s="656"/>
      <c r="J176" s="656"/>
      <c r="K176" s="656"/>
      <c r="L176" s="656"/>
      <c r="M176" s="656"/>
      <c r="N176" s="656"/>
      <c r="O176" s="656"/>
      <c r="P176" s="656"/>
      <c r="Q176" s="656"/>
      <c r="R176" s="656"/>
      <c r="S176" s="656"/>
      <c r="T176" s="656"/>
      <c r="U176" s="656"/>
      <c r="V176" s="656"/>
      <c r="W176" s="656"/>
      <c r="X176" s="656"/>
      <c r="Y176" s="656"/>
      <c r="Z176" s="656"/>
      <c r="AA176" s="656"/>
      <c r="AB176" s="656"/>
      <c r="AC176" s="656"/>
      <c r="AD176" s="656"/>
      <c r="AE176" s="656"/>
      <c r="AF176" s="656"/>
      <c r="AG176" s="656"/>
      <c r="AH176" s="656"/>
      <c r="AI176" s="656"/>
      <c r="AJ176" s="656"/>
      <c r="AK176" s="656"/>
      <c r="AL176" s="656"/>
      <c r="AM176" s="656"/>
      <c r="AN176" s="656"/>
      <c r="AO176" s="656"/>
      <c r="AP176" s="656"/>
      <c r="AQ176" s="656"/>
      <c r="AR176" s="656"/>
      <c r="AS176" s="656"/>
      <c r="AT176" s="656"/>
      <c r="AU176" s="656"/>
      <c r="AV176" s="656"/>
      <c r="AW176" s="656"/>
      <c r="AX176" s="656"/>
      <c r="AY176" s="656"/>
      <c r="AZ176" s="656"/>
      <c r="BA176" s="656"/>
      <c r="BB176" s="656"/>
      <c r="BC176" s="656"/>
      <c r="BD176" s="656"/>
      <c r="BE176" s="656"/>
      <c r="BF176" s="656"/>
      <c r="BG176" s="656"/>
      <c r="BH176" s="656"/>
      <c r="BI176" s="656"/>
      <c r="BJ176" s="656"/>
      <c r="BK176" s="656"/>
      <c r="BL176" s="656"/>
      <c r="BM176" s="656"/>
      <c r="BN176" s="656"/>
      <c r="BO176" s="656"/>
      <c r="BP176" s="656"/>
      <c r="BQ176" s="656"/>
      <c r="BR176" s="656"/>
      <c r="BS176" s="656"/>
      <c r="BT176" s="656"/>
      <c r="BU176" s="656"/>
      <c r="BV176" s="656"/>
      <c r="BW176" s="656"/>
      <c r="BX176" s="656"/>
      <c r="BY176" s="656"/>
      <c r="BZ176" s="656"/>
      <c r="CA176" s="656"/>
      <c r="CB176" s="656"/>
      <c r="CC176" s="656"/>
      <c r="CD176" s="656"/>
      <c r="CE176" s="656"/>
      <c r="CF176" s="656"/>
      <c r="CG176" s="656"/>
      <c r="CH176" s="656"/>
      <c r="CI176" s="656"/>
      <c r="CJ176" s="656"/>
      <c r="CK176" s="656"/>
      <c r="CL176" s="656"/>
      <c r="CM176" s="656"/>
      <c r="CN176" s="656"/>
      <c r="CO176" s="656"/>
      <c r="CP176" s="656"/>
      <c r="CQ176" s="656"/>
      <c r="CR176" s="656"/>
      <c r="CS176" s="656"/>
      <c r="CT176" s="656"/>
      <c r="CU176" s="656"/>
      <c r="CV176" s="656"/>
      <c r="CW176" s="656"/>
      <c r="CX176" s="656"/>
      <c r="CY176" s="656"/>
      <c r="CZ176" s="656"/>
      <c r="DA176" s="656"/>
      <c r="DB176" s="656"/>
      <c r="DC176" s="656"/>
      <c r="DD176" s="656"/>
      <c r="DE176" s="656"/>
      <c r="DF176" s="656"/>
      <c r="DG176" s="656"/>
      <c r="DH176" s="656"/>
      <c r="DI176" s="656"/>
      <c r="DJ176" s="656"/>
      <c r="DK176" s="656"/>
      <c r="DL176" s="656"/>
      <c r="DM176" s="656"/>
      <c r="DN176" s="656"/>
      <c r="DO176" s="656"/>
      <c r="DP176" s="656"/>
      <c r="DQ176" s="656"/>
      <c r="DR176" s="656"/>
      <c r="DS176" s="656"/>
      <c r="DT176" s="656"/>
      <c r="DU176" s="656"/>
      <c r="DV176" s="656"/>
      <c r="DW176" s="656"/>
      <c r="DX176" s="656"/>
      <c r="DY176" s="656"/>
      <c r="DZ176" s="656"/>
    </row>
    <row r="177" spans="1:130">
      <c r="A177" s="656"/>
      <c r="B177" s="656"/>
      <c r="C177" s="656"/>
      <c r="D177" s="656"/>
      <c r="E177" s="656"/>
      <c r="F177" s="656"/>
      <c r="G177" s="656"/>
      <c r="H177" s="656"/>
      <c r="I177" s="656"/>
      <c r="J177" s="656"/>
      <c r="K177" s="656"/>
      <c r="L177" s="656"/>
      <c r="M177" s="656"/>
      <c r="N177" s="656"/>
      <c r="O177" s="656"/>
      <c r="P177" s="656"/>
      <c r="Q177" s="656"/>
      <c r="R177" s="656"/>
      <c r="S177" s="656"/>
      <c r="T177" s="656"/>
      <c r="U177" s="656"/>
      <c r="V177" s="656"/>
      <c r="W177" s="656"/>
      <c r="X177" s="656"/>
      <c r="Y177" s="656"/>
      <c r="Z177" s="656"/>
      <c r="AA177" s="656"/>
      <c r="AB177" s="656"/>
      <c r="AC177" s="656"/>
      <c r="AD177" s="656"/>
      <c r="AE177" s="656"/>
      <c r="AF177" s="656"/>
      <c r="AG177" s="656"/>
      <c r="AH177" s="656"/>
      <c r="AI177" s="656"/>
      <c r="AJ177" s="656"/>
      <c r="AK177" s="656"/>
      <c r="AL177" s="656"/>
      <c r="AM177" s="656"/>
      <c r="AN177" s="656"/>
      <c r="AO177" s="656"/>
      <c r="AP177" s="656"/>
      <c r="AQ177" s="656"/>
      <c r="AR177" s="656"/>
      <c r="AS177" s="656"/>
      <c r="AT177" s="656"/>
      <c r="AU177" s="656"/>
      <c r="AV177" s="656"/>
      <c r="AW177" s="656"/>
      <c r="AX177" s="656"/>
      <c r="AY177" s="656"/>
      <c r="AZ177" s="656"/>
      <c r="BA177" s="656"/>
      <c r="BB177" s="656"/>
      <c r="BC177" s="656"/>
      <c r="BD177" s="656"/>
      <c r="BE177" s="656"/>
      <c r="BF177" s="656"/>
      <c r="BG177" s="656"/>
      <c r="BH177" s="656"/>
      <c r="BI177" s="656"/>
      <c r="BJ177" s="656"/>
      <c r="BK177" s="656"/>
      <c r="BL177" s="656"/>
      <c r="BM177" s="656"/>
      <c r="BN177" s="656"/>
      <c r="BO177" s="656"/>
      <c r="BP177" s="656"/>
      <c r="BQ177" s="656"/>
      <c r="BR177" s="656"/>
      <c r="BS177" s="656"/>
      <c r="BT177" s="656"/>
      <c r="BU177" s="656"/>
      <c r="BV177" s="656"/>
      <c r="BW177" s="656"/>
      <c r="BX177" s="656"/>
      <c r="BY177" s="656"/>
      <c r="BZ177" s="656"/>
      <c r="CA177" s="656"/>
      <c r="CB177" s="656"/>
      <c r="CC177" s="656"/>
      <c r="CD177" s="656"/>
      <c r="CE177" s="656"/>
      <c r="CF177" s="656"/>
      <c r="CG177" s="656"/>
      <c r="CH177" s="656"/>
      <c r="CI177" s="656"/>
      <c r="CJ177" s="656"/>
      <c r="CK177" s="656"/>
      <c r="CL177" s="656"/>
      <c r="CM177" s="656"/>
      <c r="CN177" s="656"/>
      <c r="CO177" s="656"/>
      <c r="CP177" s="656"/>
      <c r="CQ177" s="656"/>
      <c r="CR177" s="656"/>
      <c r="CS177" s="656"/>
      <c r="CT177" s="656"/>
      <c r="CU177" s="656"/>
      <c r="CV177" s="656"/>
      <c r="CW177" s="656"/>
      <c r="CX177" s="656"/>
      <c r="CY177" s="656"/>
      <c r="CZ177" s="656"/>
      <c r="DA177" s="656"/>
      <c r="DB177" s="656"/>
      <c r="DC177" s="656"/>
      <c r="DD177" s="656"/>
      <c r="DE177" s="656"/>
      <c r="DF177" s="656"/>
      <c r="DG177" s="656"/>
      <c r="DH177" s="656"/>
      <c r="DI177" s="656"/>
      <c r="DJ177" s="656"/>
      <c r="DK177" s="656"/>
      <c r="DL177" s="656"/>
      <c r="DM177" s="656"/>
      <c r="DN177" s="656"/>
      <c r="DO177" s="656"/>
      <c r="DP177" s="656"/>
      <c r="DQ177" s="656"/>
      <c r="DR177" s="656"/>
      <c r="DS177" s="656"/>
      <c r="DT177" s="656"/>
      <c r="DU177" s="656"/>
      <c r="DV177" s="656"/>
      <c r="DW177" s="656"/>
      <c r="DX177" s="656"/>
      <c r="DY177" s="656"/>
      <c r="DZ177" s="656"/>
    </row>
    <row r="178" spans="1:130">
      <c r="A178" s="656"/>
      <c r="B178" s="656"/>
      <c r="C178" s="656"/>
      <c r="D178" s="656"/>
      <c r="E178" s="656"/>
      <c r="F178" s="656"/>
      <c r="G178" s="656"/>
      <c r="H178" s="656"/>
      <c r="I178" s="656"/>
      <c r="J178" s="656"/>
      <c r="K178" s="656"/>
      <c r="L178" s="656"/>
      <c r="M178" s="656"/>
      <c r="N178" s="656"/>
      <c r="O178" s="656"/>
      <c r="P178" s="656"/>
      <c r="Q178" s="656"/>
      <c r="R178" s="656"/>
      <c r="S178" s="656"/>
      <c r="T178" s="656"/>
      <c r="U178" s="656"/>
      <c r="V178" s="656"/>
      <c r="W178" s="656"/>
      <c r="X178" s="656"/>
      <c r="Y178" s="656"/>
      <c r="Z178" s="656"/>
      <c r="AA178" s="656"/>
      <c r="AB178" s="656"/>
      <c r="AC178" s="656"/>
      <c r="AD178" s="656"/>
      <c r="AE178" s="656"/>
      <c r="AF178" s="656"/>
      <c r="AG178" s="656"/>
      <c r="AH178" s="656"/>
      <c r="AI178" s="656"/>
      <c r="AJ178" s="656"/>
      <c r="AK178" s="656"/>
      <c r="AL178" s="656"/>
      <c r="AM178" s="656"/>
      <c r="AN178" s="656"/>
      <c r="AO178" s="656"/>
      <c r="AP178" s="656"/>
      <c r="AQ178" s="656"/>
      <c r="AR178" s="656"/>
      <c r="AS178" s="656"/>
      <c r="AT178" s="656"/>
      <c r="AU178" s="656"/>
      <c r="AV178" s="656"/>
      <c r="AW178" s="656"/>
      <c r="AX178" s="656"/>
      <c r="AY178" s="656"/>
      <c r="AZ178" s="656"/>
      <c r="BA178" s="656"/>
      <c r="BB178" s="656"/>
      <c r="BC178" s="656"/>
      <c r="BD178" s="656"/>
      <c r="BE178" s="656"/>
      <c r="BF178" s="656"/>
      <c r="BG178" s="656"/>
      <c r="BH178" s="656"/>
      <c r="BI178" s="656"/>
      <c r="BJ178" s="656"/>
      <c r="BK178" s="656"/>
      <c r="BL178" s="656"/>
      <c r="BM178" s="656"/>
      <c r="BN178" s="656"/>
      <c r="BO178" s="656"/>
      <c r="BP178" s="656"/>
      <c r="BQ178" s="656"/>
      <c r="BR178" s="656"/>
      <c r="BS178" s="656"/>
      <c r="BT178" s="656"/>
      <c r="BU178" s="656"/>
      <c r="BV178" s="656"/>
      <c r="BW178" s="656"/>
      <c r="BX178" s="656"/>
      <c r="BY178" s="656"/>
      <c r="BZ178" s="656"/>
      <c r="CA178" s="656"/>
      <c r="CB178" s="656"/>
      <c r="CC178" s="656"/>
      <c r="CD178" s="656"/>
      <c r="CE178" s="656"/>
      <c r="CF178" s="656"/>
      <c r="CG178" s="656"/>
      <c r="CH178" s="656"/>
      <c r="CI178" s="656"/>
      <c r="CJ178" s="656"/>
      <c r="CK178" s="656"/>
      <c r="CL178" s="656"/>
      <c r="CM178" s="656"/>
      <c r="CN178" s="656"/>
      <c r="CO178" s="656"/>
      <c r="CP178" s="656"/>
      <c r="CQ178" s="656"/>
      <c r="CR178" s="656"/>
      <c r="CS178" s="656"/>
      <c r="CT178" s="656"/>
      <c r="CU178" s="656"/>
      <c r="CV178" s="656"/>
      <c r="CW178" s="656"/>
      <c r="CX178" s="656"/>
      <c r="CY178" s="656"/>
      <c r="CZ178" s="656"/>
      <c r="DA178" s="656"/>
      <c r="DB178" s="656"/>
      <c r="DC178" s="656"/>
      <c r="DD178" s="656"/>
      <c r="DE178" s="656"/>
      <c r="DF178" s="656"/>
      <c r="DG178" s="656"/>
      <c r="DH178" s="656"/>
      <c r="DI178" s="656"/>
      <c r="DJ178" s="656"/>
      <c r="DK178" s="656"/>
      <c r="DL178" s="656"/>
      <c r="DM178" s="656"/>
      <c r="DN178" s="656"/>
      <c r="DO178" s="656"/>
      <c r="DP178" s="656"/>
      <c r="DQ178" s="656"/>
      <c r="DR178" s="656"/>
      <c r="DS178" s="656"/>
      <c r="DT178" s="656"/>
      <c r="DU178" s="656"/>
      <c r="DV178" s="656"/>
      <c r="DW178" s="656"/>
      <c r="DX178" s="656"/>
      <c r="DY178" s="656"/>
      <c r="DZ178" s="656"/>
    </row>
    <row r="179" spans="1:130">
      <c r="A179" s="656"/>
      <c r="B179" s="656"/>
      <c r="C179" s="656"/>
      <c r="D179" s="656"/>
      <c r="E179" s="656"/>
      <c r="F179" s="656"/>
      <c r="G179" s="656"/>
      <c r="H179" s="656"/>
      <c r="I179" s="656"/>
      <c r="J179" s="656"/>
      <c r="K179" s="656"/>
      <c r="L179" s="656"/>
      <c r="M179" s="656"/>
      <c r="N179" s="656"/>
      <c r="O179" s="656"/>
      <c r="P179" s="656"/>
      <c r="Q179" s="656"/>
      <c r="R179" s="656"/>
      <c r="S179" s="656"/>
      <c r="T179" s="656"/>
      <c r="U179" s="656"/>
      <c r="V179" s="656"/>
      <c r="W179" s="656"/>
      <c r="X179" s="656"/>
      <c r="Y179" s="656"/>
      <c r="Z179" s="656"/>
      <c r="AA179" s="656"/>
      <c r="AB179" s="656"/>
      <c r="AC179" s="656"/>
      <c r="AD179" s="656"/>
      <c r="AE179" s="656"/>
      <c r="AF179" s="656"/>
      <c r="AG179" s="656"/>
      <c r="AH179" s="656"/>
      <c r="AI179" s="656"/>
      <c r="AJ179" s="656"/>
      <c r="AK179" s="656"/>
      <c r="AL179" s="656"/>
      <c r="AM179" s="656"/>
      <c r="AN179" s="656"/>
      <c r="AO179" s="656"/>
      <c r="AP179" s="656"/>
      <c r="AQ179" s="656"/>
      <c r="AR179" s="656"/>
      <c r="AS179" s="656"/>
      <c r="AT179" s="656"/>
      <c r="AU179" s="656"/>
      <c r="AV179" s="656"/>
      <c r="AW179" s="656"/>
      <c r="AX179" s="656"/>
      <c r="AY179" s="656"/>
      <c r="AZ179" s="656"/>
      <c r="BA179" s="656"/>
      <c r="BB179" s="656"/>
      <c r="BC179" s="656"/>
      <c r="BD179" s="656"/>
      <c r="BE179" s="656"/>
      <c r="BF179" s="656"/>
      <c r="BG179" s="656"/>
      <c r="BH179" s="656"/>
      <c r="BI179" s="656"/>
      <c r="BJ179" s="656"/>
      <c r="BK179" s="656"/>
      <c r="BL179" s="656"/>
      <c r="BM179" s="656"/>
      <c r="BN179" s="656"/>
      <c r="BO179" s="656"/>
      <c r="BP179" s="656"/>
      <c r="BQ179" s="656"/>
      <c r="BR179" s="656"/>
      <c r="BS179" s="656"/>
      <c r="BT179" s="656"/>
      <c r="BU179" s="656"/>
      <c r="BV179" s="656"/>
      <c r="BW179" s="656"/>
      <c r="BX179" s="656"/>
      <c r="BY179" s="656"/>
      <c r="BZ179" s="656"/>
      <c r="CA179" s="656"/>
      <c r="CB179" s="656"/>
      <c r="CC179" s="656"/>
      <c r="CD179" s="656"/>
      <c r="CE179" s="656"/>
      <c r="CF179" s="656"/>
      <c r="CG179" s="656"/>
      <c r="CH179" s="656"/>
      <c r="CI179" s="656"/>
      <c r="CJ179" s="656"/>
      <c r="CK179" s="656"/>
      <c r="CL179" s="656"/>
      <c r="CM179" s="656"/>
      <c r="CN179" s="656"/>
      <c r="CO179" s="656"/>
      <c r="CP179" s="656"/>
      <c r="CQ179" s="656"/>
      <c r="CR179" s="656"/>
      <c r="CS179" s="656"/>
      <c r="CT179" s="656"/>
      <c r="CU179" s="656"/>
      <c r="CV179" s="656"/>
      <c r="CW179" s="656"/>
      <c r="CX179" s="656"/>
      <c r="CY179" s="656"/>
      <c r="CZ179" s="656"/>
      <c r="DA179" s="656"/>
      <c r="DB179" s="656"/>
      <c r="DC179" s="656"/>
      <c r="DD179" s="656"/>
      <c r="DE179" s="656"/>
      <c r="DF179" s="656"/>
      <c r="DG179" s="656"/>
      <c r="DH179" s="656"/>
      <c r="DI179" s="656"/>
      <c r="DJ179" s="656"/>
      <c r="DK179" s="656"/>
      <c r="DL179" s="656"/>
      <c r="DM179" s="656"/>
      <c r="DN179" s="656"/>
      <c r="DO179" s="656"/>
      <c r="DP179" s="656"/>
      <c r="DQ179" s="656"/>
      <c r="DR179" s="656"/>
      <c r="DS179" s="656"/>
      <c r="DT179" s="656"/>
      <c r="DU179" s="656"/>
      <c r="DV179" s="656"/>
      <c r="DW179" s="656"/>
      <c r="DX179" s="656"/>
      <c r="DY179" s="656"/>
      <c r="DZ179" s="656"/>
    </row>
    <row r="180" spans="1:130">
      <c r="A180" s="656"/>
      <c r="B180" s="656"/>
      <c r="C180" s="656"/>
      <c r="D180" s="656"/>
      <c r="E180" s="656"/>
      <c r="F180" s="656"/>
      <c r="G180" s="656"/>
      <c r="H180" s="656"/>
      <c r="I180" s="656"/>
      <c r="J180" s="656"/>
      <c r="K180" s="656"/>
      <c r="L180" s="656"/>
      <c r="M180" s="656"/>
      <c r="N180" s="656"/>
      <c r="O180" s="656"/>
      <c r="P180" s="656"/>
      <c r="Q180" s="656"/>
      <c r="R180" s="656"/>
      <c r="S180" s="656"/>
      <c r="T180" s="656"/>
      <c r="U180" s="656"/>
      <c r="V180" s="656"/>
      <c r="W180" s="656"/>
      <c r="X180" s="656"/>
      <c r="Y180" s="656"/>
      <c r="Z180" s="656"/>
      <c r="AA180" s="656"/>
      <c r="AB180" s="656"/>
      <c r="AC180" s="656"/>
      <c r="AD180" s="656"/>
      <c r="AE180" s="656"/>
      <c r="AF180" s="656"/>
      <c r="AG180" s="656"/>
      <c r="AH180" s="656"/>
      <c r="AI180" s="656"/>
      <c r="AJ180" s="656"/>
      <c r="AK180" s="656"/>
      <c r="AL180" s="656"/>
      <c r="AM180" s="656"/>
      <c r="AN180" s="656"/>
      <c r="AO180" s="656"/>
      <c r="AP180" s="656"/>
      <c r="AQ180" s="656"/>
      <c r="AR180" s="656"/>
      <c r="AS180" s="656"/>
      <c r="AT180" s="656"/>
      <c r="AU180" s="656"/>
      <c r="AV180" s="656"/>
      <c r="AW180" s="656"/>
      <c r="AX180" s="656"/>
      <c r="AY180" s="656"/>
      <c r="AZ180" s="656"/>
      <c r="BA180" s="656"/>
      <c r="BB180" s="656"/>
      <c r="BC180" s="656"/>
      <c r="BD180" s="656"/>
      <c r="BE180" s="656"/>
      <c r="BF180" s="656"/>
      <c r="BG180" s="656"/>
      <c r="BH180" s="656"/>
      <c r="BI180" s="656"/>
      <c r="BJ180" s="656"/>
      <c r="BK180" s="656"/>
      <c r="BL180" s="656"/>
      <c r="BM180" s="656"/>
      <c r="BN180" s="656"/>
      <c r="BO180" s="656"/>
      <c r="BP180" s="656"/>
      <c r="BQ180" s="656"/>
      <c r="BR180" s="656"/>
      <c r="BS180" s="656"/>
      <c r="BT180" s="656"/>
      <c r="BU180" s="656"/>
      <c r="BV180" s="656"/>
      <c r="BW180" s="656"/>
      <c r="BX180" s="656"/>
      <c r="BY180" s="656"/>
      <c r="BZ180" s="656"/>
      <c r="CA180" s="656"/>
      <c r="CB180" s="656"/>
      <c r="CC180" s="656"/>
      <c r="CD180" s="656"/>
      <c r="CE180" s="656"/>
      <c r="CF180" s="656"/>
      <c r="CG180" s="656"/>
      <c r="CH180" s="656"/>
      <c r="CI180" s="656"/>
      <c r="CJ180" s="656"/>
      <c r="CK180" s="656"/>
      <c r="CL180" s="656"/>
      <c r="CM180" s="656"/>
      <c r="CN180" s="656"/>
      <c r="CO180" s="656"/>
      <c r="CP180" s="656"/>
      <c r="CQ180" s="656"/>
      <c r="CR180" s="656"/>
      <c r="CS180" s="656"/>
      <c r="CT180" s="656"/>
      <c r="CU180" s="656"/>
      <c r="CV180" s="656"/>
      <c r="CW180" s="656"/>
      <c r="CX180" s="656"/>
      <c r="CY180" s="656"/>
      <c r="CZ180" s="656"/>
      <c r="DA180" s="656"/>
      <c r="DB180" s="656"/>
      <c r="DC180" s="656"/>
      <c r="DD180" s="656"/>
      <c r="DE180" s="656"/>
      <c r="DF180" s="656"/>
      <c r="DG180" s="656"/>
      <c r="DH180" s="656"/>
      <c r="DI180" s="656"/>
      <c r="DJ180" s="656"/>
      <c r="DK180" s="656"/>
      <c r="DL180" s="656"/>
      <c r="DM180" s="656"/>
      <c r="DN180" s="656"/>
      <c r="DO180" s="656"/>
      <c r="DP180" s="656"/>
      <c r="DQ180" s="656"/>
      <c r="DR180" s="656"/>
      <c r="DS180" s="656"/>
      <c r="DT180" s="656"/>
      <c r="DU180" s="656"/>
      <c r="DV180" s="656"/>
      <c r="DW180" s="656"/>
      <c r="DX180" s="656"/>
      <c r="DY180" s="656"/>
      <c r="DZ180" s="656"/>
    </row>
    <row r="181" spans="1:130">
      <c r="A181" s="656"/>
      <c r="B181" s="656"/>
      <c r="C181" s="656"/>
      <c r="D181" s="656"/>
      <c r="E181" s="656"/>
      <c r="F181" s="656"/>
      <c r="G181" s="656"/>
      <c r="H181" s="656"/>
      <c r="I181" s="656"/>
      <c r="J181" s="656"/>
      <c r="K181" s="656"/>
      <c r="L181" s="656"/>
      <c r="M181" s="656"/>
      <c r="N181" s="656"/>
      <c r="O181" s="656"/>
      <c r="P181" s="656"/>
      <c r="Q181" s="656"/>
      <c r="R181" s="656"/>
      <c r="S181" s="656"/>
      <c r="T181" s="656"/>
      <c r="U181" s="656"/>
      <c r="V181" s="656"/>
      <c r="W181" s="656"/>
      <c r="X181" s="656"/>
      <c r="Y181" s="656"/>
      <c r="Z181" s="656"/>
      <c r="AA181" s="656"/>
      <c r="AB181" s="656"/>
      <c r="AC181" s="656"/>
      <c r="AD181" s="656"/>
      <c r="AE181" s="656"/>
      <c r="AF181" s="656"/>
      <c r="AG181" s="656"/>
      <c r="AH181" s="656"/>
      <c r="AI181" s="656"/>
      <c r="AJ181" s="656"/>
      <c r="AK181" s="656"/>
      <c r="AL181" s="656"/>
      <c r="AM181" s="656"/>
      <c r="AN181" s="656"/>
      <c r="AO181" s="656"/>
      <c r="AP181" s="656"/>
      <c r="AQ181" s="656"/>
      <c r="AR181" s="656"/>
      <c r="AS181" s="656"/>
      <c r="AT181" s="656"/>
      <c r="AU181" s="656"/>
      <c r="AV181" s="656"/>
      <c r="AW181" s="656"/>
      <c r="AX181" s="656"/>
      <c r="AY181" s="656"/>
      <c r="AZ181" s="656"/>
      <c r="BA181" s="656"/>
      <c r="BB181" s="656"/>
      <c r="BC181" s="656"/>
      <c r="BD181" s="656"/>
      <c r="BE181" s="656"/>
      <c r="BF181" s="656"/>
      <c r="BG181" s="656"/>
      <c r="BH181" s="656"/>
      <c r="BI181" s="656"/>
      <c r="BJ181" s="656"/>
      <c r="BK181" s="656"/>
      <c r="BL181" s="656"/>
      <c r="BM181" s="656"/>
      <c r="BN181" s="656"/>
      <c r="BO181" s="656"/>
      <c r="BP181" s="656"/>
      <c r="BQ181" s="656"/>
      <c r="BR181" s="656"/>
      <c r="BS181" s="656"/>
      <c r="BT181" s="656"/>
      <c r="BU181" s="656"/>
      <c r="BV181" s="656"/>
      <c r="BW181" s="656"/>
      <c r="BX181" s="656"/>
      <c r="BY181" s="656"/>
      <c r="BZ181" s="656"/>
      <c r="CA181" s="656"/>
      <c r="CB181" s="656"/>
      <c r="CC181" s="656"/>
      <c r="CD181" s="656"/>
      <c r="CE181" s="656"/>
      <c r="CF181" s="656"/>
      <c r="CG181" s="656"/>
      <c r="CH181" s="656"/>
      <c r="CI181" s="656"/>
      <c r="CJ181" s="656"/>
      <c r="CK181" s="656"/>
      <c r="CL181" s="656"/>
      <c r="CM181" s="656"/>
      <c r="CN181" s="656"/>
      <c r="CO181" s="656"/>
      <c r="CP181" s="656"/>
      <c r="CQ181" s="656"/>
      <c r="CR181" s="656"/>
      <c r="CS181" s="656"/>
      <c r="CT181" s="656"/>
      <c r="CU181" s="656"/>
      <c r="CV181" s="656"/>
      <c r="CW181" s="656"/>
      <c r="CX181" s="656"/>
      <c r="CY181" s="656"/>
      <c r="CZ181" s="656"/>
      <c r="DA181" s="656"/>
      <c r="DB181" s="656"/>
      <c r="DC181" s="656"/>
      <c r="DD181" s="656"/>
      <c r="DE181" s="656"/>
      <c r="DF181" s="656"/>
      <c r="DG181" s="656"/>
      <c r="DH181" s="656"/>
      <c r="DI181" s="656"/>
      <c r="DJ181" s="656"/>
      <c r="DK181" s="656"/>
      <c r="DL181" s="656"/>
      <c r="DM181" s="656"/>
      <c r="DN181" s="656"/>
      <c r="DO181" s="656"/>
      <c r="DP181" s="656"/>
      <c r="DQ181" s="656"/>
      <c r="DR181" s="656"/>
      <c r="DS181" s="656"/>
      <c r="DT181" s="656"/>
      <c r="DU181" s="656"/>
      <c r="DV181" s="656"/>
      <c r="DW181" s="656"/>
      <c r="DX181" s="656"/>
      <c r="DY181" s="656"/>
      <c r="DZ181" s="656"/>
    </row>
    <row r="182" spans="1:130">
      <c r="A182" s="656"/>
      <c r="B182" s="656"/>
      <c r="C182" s="656"/>
      <c r="D182" s="656"/>
      <c r="E182" s="656"/>
      <c r="F182" s="656"/>
      <c r="G182" s="656"/>
      <c r="H182" s="656"/>
      <c r="I182" s="656"/>
      <c r="J182" s="656"/>
      <c r="K182" s="656"/>
      <c r="L182" s="656"/>
      <c r="M182" s="656"/>
      <c r="N182" s="656"/>
      <c r="O182" s="656"/>
      <c r="P182" s="656"/>
      <c r="Q182" s="656"/>
      <c r="R182" s="656"/>
      <c r="S182" s="656"/>
      <c r="T182" s="656"/>
      <c r="U182" s="656"/>
      <c r="V182" s="656"/>
      <c r="W182" s="656"/>
      <c r="X182" s="656"/>
      <c r="Y182" s="656"/>
      <c r="Z182" s="656"/>
      <c r="AA182" s="656"/>
      <c r="AB182" s="656"/>
      <c r="AC182" s="656"/>
      <c r="AD182" s="656"/>
      <c r="AE182" s="656"/>
      <c r="AF182" s="656"/>
      <c r="AG182" s="656"/>
      <c r="AH182" s="656"/>
      <c r="AI182" s="656"/>
      <c r="AJ182" s="656"/>
      <c r="AK182" s="656"/>
      <c r="AL182" s="656"/>
      <c r="AM182" s="656"/>
      <c r="AN182" s="656"/>
      <c r="AO182" s="656"/>
      <c r="AP182" s="656"/>
      <c r="AQ182" s="656"/>
      <c r="AR182" s="656"/>
      <c r="AS182" s="656"/>
      <c r="AT182" s="656"/>
      <c r="AU182" s="656"/>
      <c r="AV182" s="656"/>
      <c r="AW182" s="656"/>
      <c r="AX182" s="656"/>
      <c r="AY182" s="656"/>
      <c r="AZ182" s="656"/>
      <c r="BA182" s="656"/>
      <c r="BB182" s="656"/>
      <c r="BC182" s="656"/>
      <c r="BD182" s="656"/>
      <c r="BE182" s="656"/>
      <c r="BF182" s="656"/>
      <c r="BG182" s="656"/>
      <c r="BH182" s="656"/>
      <c r="BI182" s="656"/>
      <c r="BJ182" s="656"/>
      <c r="BK182" s="656"/>
      <c r="BL182" s="656"/>
      <c r="BM182" s="656"/>
      <c r="BN182" s="656"/>
      <c r="BO182" s="656"/>
      <c r="BP182" s="656"/>
      <c r="BQ182" s="656"/>
      <c r="BR182" s="656"/>
      <c r="BS182" s="656"/>
      <c r="BT182" s="656"/>
      <c r="BU182" s="656"/>
      <c r="BV182" s="656"/>
      <c r="BW182" s="656"/>
      <c r="BX182" s="656"/>
      <c r="BY182" s="656"/>
      <c r="BZ182" s="656"/>
      <c r="CA182" s="656"/>
      <c r="CB182" s="656"/>
      <c r="CC182" s="656"/>
      <c r="CD182" s="656"/>
      <c r="CE182" s="656"/>
      <c r="CF182" s="656"/>
      <c r="CG182" s="656"/>
      <c r="CH182" s="656"/>
      <c r="CI182" s="656"/>
      <c r="CJ182" s="656"/>
      <c r="CK182" s="656"/>
      <c r="CL182" s="656"/>
      <c r="CM182" s="656"/>
      <c r="CN182" s="656"/>
      <c r="CO182" s="656"/>
      <c r="CP182" s="656"/>
      <c r="CQ182" s="656"/>
      <c r="CR182" s="656"/>
      <c r="CS182" s="656"/>
      <c r="CT182" s="656"/>
      <c r="CU182" s="656"/>
      <c r="CV182" s="656"/>
      <c r="CW182" s="656"/>
      <c r="CX182" s="656"/>
      <c r="CY182" s="656"/>
      <c r="CZ182" s="656"/>
      <c r="DA182" s="656"/>
      <c r="DB182" s="656"/>
      <c r="DC182" s="656"/>
      <c r="DD182" s="656"/>
      <c r="DE182" s="656"/>
      <c r="DF182" s="656"/>
      <c r="DG182" s="656"/>
      <c r="DH182" s="656"/>
      <c r="DI182" s="656"/>
      <c r="DJ182" s="656"/>
      <c r="DK182" s="656"/>
      <c r="DL182" s="656"/>
      <c r="DM182" s="656"/>
      <c r="DN182" s="656"/>
      <c r="DO182" s="656"/>
      <c r="DP182" s="656"/>
      <c r="DQ182" s="656"/>
      <c r="DR182" s="656"/>
      <c r="DS182" s="656"/>
      <c r="DT182" s="656"/>
      <c r="DU182" s="656"/>
      <c r="DV182" s="656"/>
      <c r="DW182" s="656"/>
      <c r="DX182" s="656"/>
      <c r="DY182" s="656"/>
      <c r="DZ182" s="656"/>
    </row>
    <row r="183" spans="1:130">
      <c r="A183" s="656"/>
      <c r="B183" s="656"/>
      <c r="C183" s="656"/>
      <c r="D183" s="656"/>
      <c r="E183" s="656"/>
      <c r="F183" s="656"/>
      <c r="G183" s="656"/>
      <c r="H183" s="656"/>
      <c r="I183" s="656"/>
      <c r="J183" s="656"/>
      <c r="K183" s="656"/>
      <c r="L183" s="656"/>
      <c r="M183" s="656"/>
      <c r="N183" s="656"/>
      <c r="O183" s="656"/>
      <c r="P183" s="656"/>
      <c r="Q183" s="656"/>
      <c r="R183" s="656"/>
      <c r="S183" s="656"/>
      <c r="T183" s="656"/>
      <c r="U183" s="656"/>
      <c r="V183" s="656"/>
      <c r="W183" s="656"/>
      <c r="X183" s="656"/>
      <c r="Y183" s="656"/>
      <c r="Z183" s="656"/>
      <c r="AA183" s="656"/>
      <c r="AB183" s="656"/>
      <c r="AC183" s="656"/>
      <c r="AD183" s="656"/>
      <c r="AE183" s="656"/>
      <c r="AF183" s="656"/>
      <c r="AG183" s="656"/>
      <c r="AH183" s="656"/>
      <c r="AI183" s="656"/>
      <c r="AJ183" s="656"/>
      <c r="AK183" s="656"/>
      <c r="AL183" s="656"/>
      <c r="AM183" s="656"/>
      <c r="AN183" s="656"/>
      <c r="AO183" s="656"/>
      <c r="AP183" s="656"/>
      <c r="AQ183" s="656"/>
      <c r="AR183" s="656"/>
      <c r="AS183" s="656"/>
      <c r="AT183" s="656"/>
      <c r="AU183" s="656"/>
      <c r="AV183" s="656"/>
      <c r="AW183" s="656"/>
      <c r="AX183" s="656"/>
      <c r="AY183" s="656"/>
      <c r="AZ183" s="656"/>
      <c r="BA183" s="656"/>
      <c r="BB183" s="656"/>
      <c r="BC183" s="656"/>
      <c r="BD183" s="656"/>
      <c r="BE183" s="656"/>
      <c r="BF183" s="656"/>
      <c r="BG183" s="656"/>
      <c r="BH183" s="656"/>
      <c r="BI183" s="656"/>
      <c r="BJ183" s="656"/>
      <c r="BK183" s="656"/>
      <c r="BL183" s="656"/>
      <c r="BM183" s="656"/>
      <c r="BN183" s="656"/>
      <c r="BO183" s="656"/>
      <c r="BP183" s="656"/>
      <c r="BQ183" s="656"/>
      <c r="BR183" s="656"/>
      <c r="BS183" s="656"/>
      <c r="BT183" s="656"/>
      <c r="BU183" s="656"/>
      <c r="BV183" s="656"/>
      <c r="BW183" s="656"/>
      <c r="BX183" s="656"/>
      <c r="BY183" s="656"/>
      <c r="BZ183" s="656"/>
      <c r="CA183" s="656"/>
      <c r="CB183" s="656"/>
      <c r="CC183" s="656"/>
      <c r="CD183" s="656"/>
      <c r="CE183" s="656"/>
      <c r="CF183" s="656"/>
      <c r="CG183" s="656"/>
      <c r="CH183" s="656"/>
      <c r="CI183" s="656"/>
      <c r="CJ183" s="656"/>
      <c r="CK183" s="656"/>
      <c r="CL183" s="656"/>
      <c r="CM183" s="656"/>
      <c r="CN183" s="656"/>
      <c r="CO183" s="656"/>
      <c r="CP183" s="656"/>
      <c r="CQ183" s="656"/>
      <c r="CR183" s="656"/>
      <c r="CS183" s="656"/>
      <c r="CT183" s="656"/>
      <c r="CU183" s="656"/>
      <c r="CV183" s="656"/>
      <c r="CW183" s="656"/>
      <c r="CX183" s="656"/>
      <c r="CY183" s="656"/>
      <c r="CZ183" s="656"/>
      <c r="DA183" s="656"/>
      <c r="DB183" s="656"/>
      <c r="DC183" s="656"/>
      <c r="DD183" s="656"/>
      <c r="DE183" s="656"/>
      <c r="DF183" s="656"/>
      <c r="DG183" s="656"/>
      <c r="DH183" s="656"/>
      <c r="DI183" s="656"/>
      <c r="DJ183" s="656"/>
      <c r="DK183" s="656"/>
      <c r="DL183" s="656"/>
      <c r="DM183" s="656"/>
      <c r="DN183" s="656"/>
      <c r="DO183" s="656"/>
      <c r="DP183" s="656"/>
      <c r="DQ183" s="656"/>
      <c r="DR183" s="656"/>
      <c r="DS183" s="656"/>
      <c r="DT183" s="656"/>
      <c r="DU183" s="656"/>
      <c r="DV183" s="656"/>
      <c r="DW183" s="656"/>
      <c r="DX183" s="656"/>
      <c r="DY183" s="656"/>
      <c r="DZ183" s="656"/>
    </row>
    <row r="184" spans="1:130">
      <c r="A184" s="656"/>
      <c r="B184" s="656"/>
      <c r="C184" s="656"/>
      <c r="D184" s="656"/>
      <c r="E184" s="656"/>
      <c r="F184" s="656"/>
      <c r="G184" s="656"/>
      <c r="H184" s="656"/>
      <c r="I184" s="656"/>
      <c r="J184" s="656"/>
      <c r="K184" s="656"/>
      <c r="L184" s="656"/>
      <c r="M184" s="656"/>
      <c r="N184" s="656"/>
      <c r="O184" s="656"/>
      <c r="P184" s="656"/>
      <c r="Q184" s="656"/>
      <c r="R184" s="656"/>
      <c r="S184" s="656"/>
      <c r="T184" s="656"/>
      <c r="U184" s="656"/>
      <c r="V184" s="656"/>
      <c r="W184" s="656"/>
      <c r="X184" s="656"/>
      <c r="Y184" s="656"/>
      <c r="Z184" s="656"/>
      <c r="AA184" s="656"/>
      <c r="AB184" s="656"/>
      <c r="AC184" s="656"/>
      <c r="AD184" s="656"/>
      <c r="AE184" s="656"/>
      <c r="AF184" s="656"/>
      <c r="AG184" s="656"/>
      <c r="AH184" s="656"/>
      <c r="AI184" s="656"/>
      <c r="AJ184" s="656"/>
      <c r="AK184" s="656"/>
      <c r="AL184" s="656"/>
      <c r="AM184" s="656"/>
      <c r="AN184" s="656"/>
      <c r="AO184" s="656"/>
      <c r="AP184" s="656"/>
      <c r="AQ184" s="656"/>
      <c r="AR184" s="656"/>
      <c r="AS184" s="656"/>
      <c r="AT184" s="656"/>
      <c r="AU184" s="656"/>
      <c r="AV184" s="656"/>
      <c r="AW184" s="656"/>
      <c r="AX184" s="656"/>
      <c r="AY184" s="656"/>
      <c r="AZ184" s="656"/>
      <c r="BA184" s="656"/>
      <c r="BB184" s="656"/>
      <c r="BC184" s="656"/>
      <c r="BD184" s="656"/>
      <c r="BE184" s="656"/>
      <c r="BF184" s="656"/>
      <c r="BG184" s="656"/>
      <c r="BH184" s="656"/>
      <c r="BI184" s="656"/>
      <c r="BJ184" s="656"/>
      <c r="BK184" s="656"/>
      <c r="BL184" s="656"/>
      <c r="BM184" s="656"/>
      <c r="BN184" s="656"/>
      <c r="BO184" s="656"/>
      <c r="BP184" s="656"/>
      <c r="BQ184" s="656"/>
      <c r="BR184" s="656"/>
      <c r="BS184" s="656"/>
      <c r="BT184" s="656"/>
      <c r="BU184" s="656"/>
      <c r="BV184" s="656"/>
      <c r="BW184" s="656"/>
      <c r="BX184" s="656"/>
      <c r="BY184" s="656"/>
      <c r="BZ184" s="656"/>
      <c r="CA184" s="656"/>
      <c r="CB184" s="656"/>
      <c r="CC184" s="656"/>
      <c r="CD184" s="656"/>
      <c r="CE184" s="656"/>
      <c r="CF184" s="656"/>
      <c r="CG184" s="656"/>
      <c r="CH184" s="656"/>
      <c r="CI184" s="656"/>
      <c r="CJ184" s="656"/>
      <c r="CK184" s="656"/>
      <c r="CL184" s="656"/>
      <c r="CM184" s="656"/>
      <c r="CN184" s="656"/>
      <c r="CO184" s="656"/>
      <c r="CP184" s="656"/>
      <c r="CQ184" s="656"/>
      <c r="CR184" s="656"/>
      <c r="CS184" s="656"/>
      <c r="CT184" s="656"/>
      <c r="CU184" s="656"/>
      <c r="CV184" s="656"/>
      <c r="CW184" s="656"/>
      <c r="CX184" s="656"/>
      <c r="CY184" s="656"/>
      <c r="CZ184" s="656"/>
      <c r="DA184" s="656"/>
      <c r="DB184" s="656"/>
      <c r="DC184" s="656"/>
      <c r="DD184" s="656"/>
      <c r="DE184" s="656"/>
      <c r="DF184" s="656"/>
      <c r="DG184" s="656"/>
      <c r="DH184" s="656"/>
      <c r="DI184" s="656"/>
      <c r="DJ184" s="656"/>
      <c r="DK184" s="656"/>
      <c r="DL184" s="656"/>
      <c r="DM184" s="656"/>
      <c r="DN184" s="656"/>
      <c r="DO184" s="656"/>
      <c r="DP184" s="656"/>
      <c r="DQ184" s="656"/>
      <c r="DR184" s="656"/>
      <c r="DS184" s="656"/>
      <c r="DT184" s="656"/>
      <c r="DU184" s="656"/>
      <c r="DV184" s="656"/>
      <c r="DW184" s="656"/>
      <c r="DX184" s="656"/>
      <c r="DY184" s="656"/>
      <c r="DZ184" s="656"/>
    </row>
    <row r="185" spans="1:130">
      <c r="A185" s="656"/>
      <c r="B185" s="656"/>
      <c r="C185" s="656"/>
      <c r="D185" s="656"/>
      <c r="E185" s="656"/>
      <c r="F185" s="656"/>
      <c r="G185" s="656"/>
      <c r="H185" s="656"/>
      <c r="I185" s="656"/>
      <c r="J185" s="656"/>
      <c r="K185" s="656"/>
      <c r="L185" s="656"/>
      <c r="M185" s="656"/>
      <c r="N185" s="656"/>
      <c r="O185" s="656"/>
      <c r="P185" s="656"/>
      <c r="Q185" s="656"/>
      <c r="R185" s="656"/>
      <c r="S185" s="656"/>
      <c r="T185" s="656"/>
      <c r="U185" s="656"/>
      <c r="V185" s="656"/>
      <c r="W185" s="656"/>
      <c r="X185" s="656"/>
      <c r="Y185" s="656"/>
      <c r="Z185" s="656"/>
      <c r="AA185" s="656"/>
      <c r="AB185" s="656"/>
      <c r="AC185" s="656"/>
      <c r="AD185" s="656"/>
      <c r="AE185" s="656"/>
      <c r="AF185" s="656"/>
      <c r="AG185" s="656"/>
      <c r="AH185" s="656"/>
      <c r="AI185" s="656"/>
      <c r="AJ185" s="656"/>
      <c r="AK185" s="656"/>
      <c r="AL185" s="656"/>
      <c r="AM185" s="656"/>
      <c r="AN185" s="656"/>
      <c r="AO185" s="656"/>
      <c r="AP185" s="656"/>
      <c r="AQ185" s="656"/>
      <c r="AR185" s="656"/>
      <c r="AS185" s="656"/>
      <c r="AT185" s="656"/>
      <c r="AU185" s="656"/>
      <c r="AV185" s="656"/>
      <c r="AW185" s="656"/>
      <c r="AX185" s="656"/>
      <c r="AY185" s="656"/>
      <c r="AZ185" s="656"/>
      <c r="BA185" s="656"/>
      <c r="BB185" s="656"/>
      <c r="BC185" s="656"/>
      <c r="BD185" s="656"/>
      <c r="BE185" s="656"/>
      <c r="BF185" s="656"/>
      <c r="BG185" s="656"/>
      <c r="BH185" s="656"/>
      <c r="BI185" s="656"/>
      <c r="BJ185" s="656"/>
      <c r="BK185" s="656"/>
      <c r="BL185" s="656"/>
      <c r="BM185" s="656"/>
      <c r="BN185" s="656"/>
      <c r="BO185" s="656"/>
      <c r="BP185" s="656"/>
      <c r="BQ185" s="656"/>
      <c r="BR185" s="656"/>
      <c r="BS185" s="656"/>
      <c r="BT185" s="656"/>
      <c r="BU185" s="656"/>
      <c r="BV185" s="656"/>
      <c r="BW185" s="656"/>
      <c r="BX185" s="656"/>
      <c r="BY185" s="656"/>
      <c r="BZ185" s="656"/>
      <c r="CA185" s="656"/>
      <c r="CB185" s="656"/>
      <c r="CC185" s="656"/>
      <c r="CD185" s="656"/>
      <c r="CE185" s="656"/>
      <c r="CF185" s="656"/>
      <c r="CG185" s="656"/>
      <c r="CH185" s="656"/>
      <c r="CI185" s="656"/>
      <c r="CJ185" s="656"/>
      <c r="CK185" s="656"/>
      <c r="CL185" s="656"/>
      <c r="CM185" s="656"/>
      <c r="CN185" s="656"/>
      <c r="CO185" s="656"/>
      <c r="CP185" s="656"/>
      <c r="CQ185" s="656"/>
      <c r="CR185" s="656"/>
      <c r="CS185" s="656"/>
      <c r="CT185" s="656"/>
      <c r="CU185" s="656"/>
      <c r="CV185" s="656"/>
      <c r="CW185" s="656"/>
      <c r="CX185" s="656"/>
      <c r="CY185" s="656"/>
      <c r="CZ185" s="656"/>
      <c r="DA185" s="656"/>
      <c r="DB185" s="656"/>
      <c r="DC185" s="656"/>
      <c r="DD185" s="656"/>
      <c r="DE185" s="656"/>
      <c r="DF185" s="656"/>
      <c r="DG185" s="656"/>
      <c r="DH185" s="656"/>
      <c r="DI185" s="656"/>
      <c r="DJ185" s="656"/>
      <c r="DK185" s="656"/>
      <c r="DL185" s="656"/>
      <c r="DM185" s="656"/>
      <c r="DN185" s="656"/>
      <c r="DO185" s="656"/>
      <c r="DP185" s="656"/>
      <c r="DQ185" s="656"/>
      <c r="DR185" s="656"/>
      <c r="DS185" s="656"/>
      <c r="DT185" s="656"/>
      <c r="DU185" s="656"/>
      <c r="DV185" s="656"/>
      <c r="DW185" s="656"/>
      <c r="DX185" s="656"/>
      <c r="DY185" s="656"/>
      <c r="DZ185" s="656"/>
    </row>
    <row r="186" spans="1:130">
      <c r="A186" s="656"/>
      <c r="B186" s="656"/>
      <c r="C186" s="656"/>
      <c r="D186" s="656"/>
      <c r="E186" s="656"/>
      <c r="F186" s="656"/>
      <c r="G186" s="656"/>
      <c r="H186" s="656"/>
      <c r="I186" s="656"/>
      <c r="J186" s="656"/>
      <c r="K186" s="656"/>
      <c r="L186" s="656"/>
      <c r="M186" s="656"/>
      <c r="N186" s="656"/>
      <c r="O186" s="656"/>
      <c r="P186" s="656"/>
      <c r="Q186" s="656"/>
      <c r="R186" s="656"/>
      <c r="S186" s="656"/>
      <c r="T186" s="656"/>
      <c r="U186" s="656"/>
      <c r="V186" s="656"/>
      <c r="W186" s="656"/>
      <c r="X186" s="656"/>
      <c r="Y186" s="656"/>
      <c r="Z186" s="656"/>
      <c r="AA186" s="656"/>
      <c r="AB186" s="656"/>
      <c r="AC186" s="656"/>
      <c r="AD186" s="656"/>
      <c r="AE186" s="656"/>
      <c r="AF186" s="656"/>
      <c r="AG186" s="656"/>
      <c r="AH186" s="656"/>
      <c r="AI186" s="656"/>
      <c r="AJ186" s="656"/>
      <c r="AK186" s="656"/>
      <c r="AL186" s="656"/>
      <c r="AM186" s="656"/>
      <c r="AN186" s="656"/>
      <c r="AO186" s="656"/>
      <c r="AP186" s="656"/>
      <c r="AQ186" s="656"/>
      <c r="AR186" s="656"/>
      <c r="AS186" s="656"/>
      <c r="AT186" s="656"/>
      <c r="AU186" s="656"/>
      <c r="AV186" s="656"/>
      <c r="AW186" s="656"/>
      <c r="AX186" s="656"/>
      <c r="AY186" s="656"/>
      <c r="AZ186" s="656"/>
      <c r="BA186" s="656"/>
      <c r="BB186" s="656"/>
      <c r="BC186" s="656"/>
      <c r="BD186" s="656"/>
      <c r="BE186" s="656"/>
      <c r="BF186" s="656"/>
      <c r="BG186" s="656"/>
      <c r="BH186" s="656"/>
      <c r="BI186" s="656"/>
      <c r="BJ186" s="656"/>
      <c r="BK186" s="656"/>
      <c r="BL186" s="656"/>
      <c r="BM186" s="656"/>
      <c r="BN186" s="656"/>
      <c r="BO186" s="656"/>
      <c r="BP186" s="656"/>
      <c r="BQ186" s="656"/>
      <c r="BR186" s="656"/>
      <c r="BS186" s="656"/>
      <c r="BT186" s="656"/>
      <c r="BU186" s="656"/>
      <c r="BV186" s="656"/>
      <c r="BW186" s="656"/>
      <c r="BX186" s="656"/>
      <c r="BY186" s="656"/>
      <c r="BZ186" s="656"/>
      <c r="CA186" s="656"/>
      <c r="CB186" s="656"/>
      <c r="CC186" s="656"/>
      <c r="CD186" s="656"/>
      <c r="CE186" s="656"/>
      <c r="CF186" s="656"/>
      <c r="CG186" s="656"/>
      <c r="CH186" s="656"/>
      <c r="CI186" s="656"/>
      <c r="CJ186" s="656"/>
      <c r="CK186" s="656"/>
      <c r="CL186" s="656"/>
      <c r="CM186" s="656"/>
      <c r="CN186" s="656"/>
      <c r="CO186" s="656"/>
      <c r="CP186" s="656"/>
      <c r="CQ186" s="656"/>
      <c r="CR186" s="656"/>
      <c r="CS186" s="656"/>
      <c r="CT186" s="656"/>
      <c r="CU186" s="656"/>
      <c r="CV186" s="656"/>
      <c r="CW186" s="656"/>
      <c r="CX186" s="656"/>
      <c r="CY186" s="656"/>
      <c r="CZ186" s="656"/>
      <c r="DA186" s="656"/>
      <c r="DB186" s="656"/>
      <c r="DC186" s="656"/>
      <c r="DD186" s="656"/>
      <c r="DE186" s="656"/>
      <c r="DF186" s="656"/>
      <c r="DG186" s="656"/>
      <c r="DH186" s="656"/>
      <c r="DI186" s="656"/>
      <c r="DJ186" s="656"/>
      <c r="DK186" s="656"/>
      <c r="DL186" s="656"/>
      <c r="DM186" s="656"/>
      <c r="DN186" s="656"/>
      <c r="DO186" s="656"/>
      <c r="DP186" s="656"/>
      <c r="DQ186" s="656"/>
      <c r="DR186" s="656"/>
      <c r="DS186" s="656"/>
      <c r="DT186" s="656"/>
      <c r="DU186" s="656"/>
      <c r="DV186" s="656"/>
      <c r="DW186" s="656"/>
      <c r="DX186" s="656"/>
      <c r="DY186" s="656"/>
      <c r="DZ186" s="656"/>
    </row>
    <row r="187" spans="1:130">
      <c r="A187" s="656"/>
      <c r="B187" s="656"/>
      <c r="C187" s="656"/>
      <c r="D187" s="656"/>
      <c r="E187" s="656"/>
      <c r="F187" s="656"/>
      <c r="G187" s="656"/>
      <c r="H187" s="656"/>
      <c r="I187" s="656"/>
      <c r="J187" s="656"/>
      <c r="K187" s="656"/>
      <c r="L187" s="656"/>
      <c r="M187" s="656"/>
      <c r="N187" s="656"/>
      <c r="O187" s="656"/>
      <c r="P187" s="656"/>
      <c r="Q187" s="656"/>
      <c r="R187" s="656"/>
      <c r="S187" s="656"/>
      <c r="T187" s="656"/>
      <c r="U187" s="656"/>
      <c r="V187" s="656"/>
      <c r="W187" s="656"/>
      <c r="X187" s="656"/>
      <c r="Y187" s="656"/>
      <c r="Z187" s="656"/>
      <c r="AA187" s="656"/>
      <c r="AB187" s="656"/>
      <c r="AC187" s="656"/>
      <c r="AD187" s="656"/>
      <c r="AE187" s="656"/>
      <c r="AF187" s="656"/>
      <c r="AG187" s="656"/>
      <c r="AH187" s="656"/>
      <c r="AI187" s="656"/>
      <c r="AJ187" s="656"/>
      <c r="AK187" s="656"/>
      <c r="AL187" s="656"/>
      <c r="AM187" s="656"/>
      <c r="AN187" s="656"/>
      <c r="AO187" s="656"/>
      <c r="AP187" s="656"/>
      <c r="AQ187" s="656"/>
      <c r="AR187" s="656"/>
      <c r="AS187" s="656"/>
      <c r="AT187" s="656"/>
      <c r="AU187" s="656"/>
      <c r="AV187" s="656"/>
      <c r="AW187" s="656"/>
      <c r="AX187" s="656"/>
      <c r="AY187" s="656"/>
      <c r="AZ187" s="656"/>
      <c r="BA187" s="656"/>
      <c r="BB187" s="656"/>
      <c r="BC187" s="656"/>
      <c r="BD187" s="656"/>
      <c r="BE187" s="656"/>
      <c r="BF187" s="656"/>
      <c r="BG187" s="656"/>
      <c r="BH187" s="656"/>
      <c r="BI187" s="656"/>
      <c r="BJ187" s="656"/>
      <c r="BK187" s="656"/>
      <c r="BL187" s="656"/>
      <c r="BM187" s="656"/>
      <c r="BN187" s="656"/>
      <c r="BO187" s="656"/>
      <c r="BP187" s="656"/>
      <c r="BQ187" s="656"/>
      <c r="BR187" s="656"/>
      <c r="BS187" s="656"/>
      <c r="BT187" s="656"/>
      <c r="BU187" s="656"/>
      <c r="BV187" s="656"/>
      <c r="BW187" s="656"/>
      <c r="BX187" s="656"/>
      <c r="BY187" s="656"/>
      <c r="BZ187" s="656"/>
      <c r="CA187" s="656"/>
      <c r="CB187" s="656"/>
      <c r="CC187" s="656"/>
      <c r="CD187" s="656"/>
      <c r="CE187" s="656"/>
      <c r="CF187" s="656"/>
      <c r="CG187" s="656"/>
      <c r="CH187" s="656"/>
      <c r="CI187" s="656"/>
      <c r="CJ187" s="656"/>
      <c r="CK187" s="656"/>
      <c r="CL187" s="656"/>
      <c r="CM187" s="656"/>
      <c r="CN187" s="656"/>
      <c r="CO187" s="656"/>
      <c r="CP187" s="656"/>
      <c r="CQ187" s="656"/>
      <c r="CR187" s="656"/>
      <c r="CS187" s="656"/>
      <c r="CT187" s="656"/>
      <c r="CU187" s="656"/>
      <c r="CV187" s="656"/>
      <c r="CW187" s="656"/>
      <c r="CX187" s="656"/>
      <c r="CY187" s="656"/>
      <c r="CZ187" s="656"/>
      <c r="DA187" s="656"/>
      <c r="DB187" s="656"/>
      <c r="DC187" s="656"/>
      <c r="DD187" s="656"/>
      <c r="DE187" s="656"/>
      <c r="DF187" s="656"/>
      <c r="DG187" s="656"/>
      <c r="DH187" s="656"/>
      <c r="DI187" s="656"/>
      <c r="DJ187" s="656"/>
      <c r="DK187" s="656"/>
      <c r="DL187" s="656"/>
      <c r="DM187" s="656"/>
      <c r="DN187" s="656"/>
      <c r="DO187" s="656"/>
      <c r="DP187" s="656"/>
      <c r="DQ187" s="656"/>
      <c r="DR187" s="656"/>
      <c r="DS187" s="656"/>
      <c r="DT187" s="656"/>
      <c r="DU187" s="656"/>
      <c r="DV187" s="656"/>
      <c r="DW187" s="656"/>
      <c r="DX187" s="656"/>
      <c r="DY187" s="656"/>
      <c r="DZ187" s="656"/>
    </row>
    <row r="188" spans="1:130">
      <c r="A188" s="656"/>
      <c r="B188" s="656"/>
      <c r="C188" s="656"/>
      <c r="D188" s="656"/>
      <c r="E188" s="656"/>
      <c r="F188" s="656"/>
      <c r="G188" s="656"/>
      <c r="H188" s="656"/>
      <c r="I188" s="656"/>
      <c r="J188" s="656"/>
      <c r="K188" s="656"/>
      <c r="L188" s="656"/>
      <c r="M188" s="656"/>
      <c r="N188" s="656"/>
      <c r="O188" s="656"/>
      <c r="P188" s="656"/>
      <c r="Q188" s="656"/>
      <c r="R188" s="656"/>
      <c r="S188" s="656"/>
      <c r="T188" s="656"/>
      <c r="U188" s="656"/>
      <c r="V188" s="656"/>
      <c r="W188" s="656"/>
      <c r="X188" s="656"/>
      <c r="Y188" s="656"/>
      <c r="Z188" s="656"/>
      <c r="AA188" s="656"/>
      <c r="AB188" s="656"/>
      <c r="AC188" s="656"/>
      <c r="AD188" s="656"/>
      <c r="AE188" s="656"/>
      <c r="AF188" s="656"/>
      <c r="AG188" s="656"/>
      <c r="AH188" s="656"/>
      <c r="AI188" s="656"/>
      <c r="AJ188" s="656"/>
      <c r="AK188" s="656"/>
      <c r="AL188" s="656"/>
      <c r="AM188" s="656"/>
      <c r="AN188" s="656"/>
      <c r="AO188" s="656"/>
      <c r="AP188" s="656"/>
      <c r="AQ188" s="656"/>
      <c r="AR188" s="656"/>
      <c r="AS188" s="656"/>
      <c r="AT188" s="656"/>
      <c r="AU188" s="656"/>
      <c r="AV188" s="656"/>
      <c r="AW188" s="656"/>
      <c r="AX188" s="656"/>
      <c r="AY188" s="656"/>
      <c r="AZ188" s="656"/>
      <c r="BA188" s="656"/>
      <c r="BB188" s="656"/>
      <c r="BC188" s="656"/>
      <c r="BD188" s="656"/>
      <c r="BE188" s="656"/>
      <c r="BF188" s="656"/>
      <c r="BG188" s="656"/>
      <c r="BH188" s="656"/>
      <c r="BI188" s="656"/>
      <c r="BJ188" s="656"/>
      <c r="BK188" s="656"/>
      <c r="BL188" s="656"/>
      <c r="BM188" s="656"/>
      <c r="BN188" s="656"/>
      <c r="BO188" s="656"/>
      <c r="BP188" s="656"/>
      <c r="BQ188" s="656"/>
      <c r="BR188" s="656"/>
      <c r="BS188" s="656"/>
      <c r="BT188" s="656"/>
      <c r="BU188" s="656"/>
      <c r="BV188" s="656"/>
      <c r="BW188" s="656"/>
      <c r="BX188" s="656"/>
      <c r="BY188" s="656"/>
      <c r="BZ188" s="656"/>
      <c r="CA188" s="656"/>
      <c r="CB188" s="656"/>
      <c r="CC188" s="656"/>
      <c r="CD188" s="656"/>
      <c r="CE188" s="656"/>
      <c r="CF188" s="656"/>
      <c r="CG188" s="656"/>
      <c r="CH188" s="656"/>
      <c r="CI188" s="656"/>
      <c r="CJ188" s="656"/>
      <c r="CK188" s="656"/>
      <c r="CL188" s="656"/>
      <c r="CM188" s="656"/>
      <c r="CN188" s="656"/>
      <c r="CO188" s="656"/>
      <c r="CP188" s="656"/>
      <c r="CQ188" s="656"/>
      <c r="CR188" s="656"/>
      <c r="CS188" s="656"/>
      <c r="CT188" s="656"/>
      <c r="CU188" s="656"/>
      <c r="CV188" s="656"/>
      <c r="CW188" s="656"/>
      <c r="CX188" s="656"/>
      <c r="CY188" s="656"/>
      <c r="CZ188" s="656"/>
      <c r="DA188" s="656"/>
      <c r="DB188" s="656"/>
      <c r="DC188" s="656"/>
      <c r="DD188" s="656"/>
      <c r="DE188" s="656"/>
      <c r="DF188" s="656"/>
      <c r="DG188" s="656"/>
      <c r="DH188" s="656"/>
      <c r="DI188" s="656"/>
      <c r="DJ188" s="656"/>
      <c r="DK188" s="656"/>
      <c r="DL188" s="656"/>
      <c r="DM188" s="656"/>
      <c r="DN188" s="656"/>
      <c r="DO188" s="656"/>
      <c r="DP188" s="656"/>
      <c r="DQ188" s="656"/>
      <c r="DR188" s="656"/>
      <c r="DS188" s="656"/>
      <c r="DT188" s="656"/>
      <c r="DU188" s="656"/>
      <c r="DV188" s="656"/>
      <c r="DW188" s="656"/>
      <c r="DX188" s="656"/>
      <c r="DY188" s="656"/>
      <c r="DZ188" s="656"/>
    </row>
    <row r="189" spans="1:130">
      <c r="A189" s="656"/>
      <c r="B189" s="656"/>
      <c r="C189" s="656"/>
      <c r="D189" s="656"/>
      <c r="E189" s="656"/>
      <c r="F189" s="656"/>
      <c r="G189" s="656"/>
      <c r="H189" s="656"/>
      <c r="I189" s="656"/>
      <c r="J189" s="656"/>
      <c r="K189" s="656"/>
      <c r="L189" s="656"/>
      <c r="M189" s="656"/>
      <c r="N189" s="656"/>
      <c r="O189" s="656"/>
      <c r="P189" s="656"/>
      <c r="Q189" s="656"/>
      <c r="R189" s="656"/>
      <c r="S189" s="656"/>
      <c r="T189" s="656"/>
      <c r="U189" s="656"/>
      <c r="V189" s="656"/>
      <c r="W189" s="656"/>
      <c r="X189" s="656"/>
      <c r="Y189" s="656"/>
      <c r="Z189" s="656"/>
      <c r="AA189" s="656"/>
      <c r="AB189" s="656"/>
      <c r="AC189" s="656"/>
      <c r="AD189" s="656"/>
      <c r="AE189" s="656"/>
      <c r="AF189" s="656"/>
      <c r="AG189" s="656"/>
      <c r="AH189" s="656"/>
      <c r="AI189" s="656"/>
      <c r="AJ189" s="656"/>
      <c r="AK189" s="656"/>
      <c r="AL189" s="656"/>
      <c r="AM189" s="656"/>
      <c r="AN189" s="656"/>
      <c r="AO189" s="656"/>
      <c r="AP189" s="656"/>
      <c r="AQ189" s="656"/>
      <c r="AR189" s="656"/>
      <c r="AS189" s="656"/>
      <c r="AT189" s="656"/>
      <c r="AU189" s="656"/>
      <c r="AV189" s="656"/>
      <c r="AW189" s="656"/>
      <c r="AX189" s="656"/>
      <c r="AY189" s="656"/>
      <c r="AZ189" s="656"/>
      <c r="BA189" s="656"/>
      <c r="BB189" s="656"/>
      <c r="BC189" s="656"/>
      <c r="BD189" s="656"/>
      <c r="BE189" s="656"/>
      <c r="BF189" s="656"/>
      <c r="BG189" s="656"/>
      <c r="BH189" s="656"/>
      <c r="BI189" s="656"/>
      <c r="BJ189" s="656"/>
      <c r="BK189" s="656"/>
      <c r="BL189" s="656"/>
      <c r="BM189" s="656"/>
      <c r="BN189" s="656"/>
      <c r="BO189" s="656"/>
      <c r="BP189" s="656"/>
      <c r="BQ189" s="656"/>
      <c r="BR189" s="656"/>
      <c r="BS189" s="656"/>
      <c r="BT189" s="656"/>
      <c r="BU189" s="656"/>
      <c r="BV189" s="656"/>
      <c r="BW189" s="656"/>
      <c r="BX189" s="656"/>
      <c r="BY189" s="656"/>
      <c r="BZ189" s="656"/>
      <c r="CA189" s="656"/>
      <c r="CB189" s="656"/>
      <c r="CC189" s="656"/>
      <c r="CD189" s="656"/>
      <c r="CE189" s="656"/>
      <c r="CF189" s="656"/>
      <c r="CG189" s="656"/>
      <c r="CH189" s="656"/>
      <c r="CI189" s="656"/>
      <c r="CJ189" s="656"/>
      <c r="CK189" s="656"/>
      <c r="CL189" s="656"/>
      <c r="CM189" s="656"/>
      <c r="CN189" s="656"/>
      <c r="CO189" s="656"/>
      <c r="CP189" s="656"/>
      <c r="CQ189" s="656"/>
      <c r="CR189" s="656"/>
      <c r="CS189" s="656"/>
      <c r="CT189" s="656"/>
      <c r="CU189" s="656"/>
      <c r="CV189" s="656"/>
      <c r="CW189" s="656"/>
      <c r="CX189" s="656"/>
      <c r="CY189" s="656"/>
      <c r="CZ189" s="656"/>
      <c r="DA189" s="656"/>
      <c r="DB189" s="656"/>
      <c r="DC189" s="656"/>
      <c r="DD189" s="656"/>
      <c r="DE189" s="656"/>
      <c r="DF189" s="656"/>
      <c r="DG189" s="656"/>
      <c r="DH189" s="656"/>
      <c r="DI189" s="656"/>
      <c r="DJ189" s="656"/>
      <c r="DK189" s="656"/>
      <c r="DL189" s="656"/>
      <c r="DM189" s="656"/>
      <c r="DN189" s="656"/>
      <c r="DO189" s="656"/>
      <c r="DP189" s="656"/>
      <c r="DQ189" s="656"/>
      <c r="DR189" s="656"/>
      <c r="DS189" s="656"/>
      <c r="DT189" s="656"/>
      <c r="DU189" s="656"/>
      <c r="DV189" s="656"/>
      <c r="DW189" s="656"/>
      <c r="DX189" s="656"/>
      <c r="DY189" s="656"/>
      <c r="DZ189" s="656"/>
    </row>
    <row r="190" spans="1:130">
      <c r="A190" s="656"/>
      <c r="B190" s="656"/>
      <c r="C190" s="656"/>
      <c r="D190" s="656"/>
      <c r="E190" s="656"/>
      <c r="F190" s="656"/>
      <c r="G190" s="656"/>
      <c r="H190" s="656"/>
      <c r="I190" s="656"/>
      <c r="J190" s="656"/>
      <c r="K190" s="656"/>
      <c r="L190" s="656"/>
      <c r="M190" s="656"/>
      <c r="N190" s="656"/>
      <c r="O190" s="656"/>
      <c r="P190" s="656"/>
      <c r="Q190" s="656"/>
      <c r="R190" s="656"/>
      <c r="S190" s="656"/>
      <c r="T190" s="656"/>
      <c r="U190" s="656"/>
      <c r="V190" s="656"/>
      <c r="W190" s="656"/>
      <c r="X190" s="656"/>
      <c r="Y190" s="656"/>
      <c r="Z190" s="656"/>
      <c r="AA190" s="656"/>
      <c r="AB190" s="656"/>
      <c r="AC190" s="656"/>
      <c r="AD190" s="656"/>
      <c r="AE190" s="656"/>
      <c r="AF190" s="656"/>
      <c r="AG190" s="656"/>
      <c r="AH190" s="656"/>
      <c r="AI190" s="656"/>
      <c r="AJ190" s="656"/>
      <c r="AK190" s="656"/>
      <c r="AL190" s="656"/>
      <c r="AM190" s="656"/>
      <c r="AN190" s="656"/>
      <c r="AO190" s="656"/>
      <c r="AP190" s="656"/>
      <c r="AQ190" s="656"/>
      <c r="AR190" s="656"/>
      <c r="AS190" s="656"/>
      <c r="AT190" s="656"/>
      <c r="AU190" s="656"/>
      <c r="AV190" s="656"/>
      <c r="AW190" s="656"/>
      <c r="AX190" s="656"/>
      <c r="AY190" s="656"/>
      <c r="AZ190" s="656"/>
      <c r="BA190" s="656"/>
      <c r="BB190" s="656"/>
      <c r="BC190" s="656"/>
      <c r="BD190" s="656"/>
      <c r="BE190" s="656"/>
      <c r="BF190" s="656"/>
      <c r="BG190" s="656"/>
      <c r="BH190" s="656"/>
      <c r="BI190" s="656"/>
      <c r="BJ190" s="656"/>
      <c r="BK190" s="656"/>
      <c r="BL190" s="656"/>
      <c r="BM190" s="656"/>
      <c r="BN190" s="656"/>
      <c r="BO190" s="656"/>
      <c r="BP190" s="656"/>
      <c r="BQ190" s="656"/>
      <c r="BR190" s="656"/>
      <c r="BS190" s="656"/>
      <c r="BT190" s="656"/>
      <c r="BU190" s="656"/>
      <c r="BV190" s="656"/>
      <c r="BW190" s="656"/>
      <c r="BX190" s="656"/>
      <c r="BY190" s="656"/>
      <c r="BZ190" s="656"/>
      <c r="CA190" s="656"/>
      <c r="CB190" s="656"/>
      <c r="CC190" s="656"/>
      <c r="CD190" s="656"/>
      <c r="CE190" s="656"/>
      <c r="CF190" s="656"/>
      <c r="CG190" s="656"/>
      <c r="CH190" s="656"/>
      <c r="CI190" s="656"/>
      <c r="CJ190" s="656"/>
      <c r="CK190" s="656"/>
      <c r="CL190" s="656"/>
      <c r="CM190" s="656"/>
      <c r="CN190" s="656"/>
      <c r="CO190" s="656"/>
      <c r="CP190" s="656"/>
      <c r="CQ190" s="656"/>
      <c r="CR190" s="656"/>
      <c r="CS190" s="656"/>
      <c r="CT190" s="656"/>
      <c r="CU190" s="656"/>
      <c r="CV190" s="656"/>
      <c r="CW190" s="656"/>
      <c r="CX190" s="656"/>
      <c r="CY190" s="656"/>
      <c r="CZ190" s="656"/>
      <c r="DA190" s="656"/>
      <c r="DB190" s="656"/>
      <c r="DC190" s="656"/>
      <c r="DD190" s="656"/>
      <c r="DE190" s="656"/>
      <c r="DF190" s="656"/>
      <c r="DG190" s="656"/>
      <c r="DH190" s="656"/>
      <c r="DI190" s="656"/>
      <c r="DJ190" s="656"/>
      <c r="DK190" s="656"/>
      <c r="DL190" s="656"/>
      <c r="DM190" s="656"/>
      <c r="DN190" s="656"/>
      <c r="DO190" s="656"/>
      <c r="DP190" s="656"/>
      <c r="DQ190" s="656"/>
      <c r="DR190" s="656"/>
      <c r="DS190" s="656"/>
      <c r="DT190" s="656"/>
      <c r="DU190" s="656"/>
      <c r="DV190" s="656"/>
      <c r="DW190" s="656"/>
      <c r="DX190" s="656"/>
      <c r="DY190" s="656"/>
      <c r="DZ190" s="656"/>
    </row>
    <row r="191" spans="1:130">
      <c r="A191" s="656"/>
      <c r="B191" s="656"/>
      <c r="C191" s="656"/>
      <c r="D191" s="656"/>
      <c r="E191" s="656"/>
      <c r="F191" s="656"/>
      <c r="G191" s="656"/>
      <c r="H191" s="656"/>
      <c r="I191" s="656"/>
      <c r="J191" s="656"/>
      <c r="K191" s="656"/>
      <c r="L191" s="656"/>
      <c r="M191" s="656"/>
      <c r="N191" s="656"/>
      <c r="O191" s="656"/>
      <c r="P191" s="656"/>
      <c r="Q191" s="656"/>
      <c r="R191" s="656"/>
      <c r="S191" s="656"/>
      <c r="T191" s="656"/>
      <c r="U191" s="656"/>
      <c r="V191" s="656"/>
      <c r="W191" s="656"/>
      <c r="X191" s="656"/>
      <c r="Y191" s="656"/>
      <c r="Z191" s="656"/>
      <c r="AA191" s="656"/>
      <c r="AB191" s="656"/>
      <c r="AC191" s="656"/>
      <c r="AD191" s="656"/>
      <c r="AE191" s="656"/>
      <c r="AF191" s="656"/>
      <c r="AG191" s="656"/>
      <c r="AH191" s="656"/>
      <c r="AI191" s="656"/>
      <c r="AJ191" s="656"/>
      <c r="AK191" s="656"/>
      <c r="AL191" s="656"/>
      <c r="AM191" s="656"/>
      <c r="AN191" s="656"/>
      <c r="AO191" s="656"/>
      <c r="AP191" s="656"/>
      <c r="AQ191" s="656"/>
      <c r="AR191" s="656"/>
      <c r="AS191" s="656"/>
      <c r="AT191" s="656"/>
      <c r="AU191" s="656"/>
      <c r="AV191" s="656"/>
      <c r="AW191" s="656"/>
      <c r="AX191" s="656"/>
      <c r="AY191" s="656"/>
      <c r="AZ191" s="656"/>
      <c r="BA191" s="656"/>
      <c r="BB191" s="656"/>
      <c r="BC191" s="656"/>
      <c r="BD191" s="656"/>
      <c r="BE191" s="656"/>
      <c r="BF191" s="656"/>
      <c r="BG191" s="656"/>
      <c r="BH191" s="656"/>
      <c r="BI191" s="656"/>
      <c r="BJ191" s="656"/>
      <c r="BK191" s="656"/>
      <c r="BL191" s="656"/>
      <c r="BM191" s="656"/>
      <c r="BN191" s="656"/>
      <c r="BO191" s="656"/>
      <c r="BP191" s="656"/>
      <c r="BQ191" s="656"/>
      <c r="BR191" s="656"/>
      <c r="BS191" s="656"/>
      <c r="BT191" s="656"/>
      <c r="BU191" s="656"/>
      <c r="BV191" s="656"/>
      <c r="BW191" s="656"/>
      <c r="BX191" s="656"/>
      <c r="BY191" s="656"/>
      <c r="BZ191" s="656"/>
      <c r="CA191" s="656"/>
      <c r="CB191" s="656"/>
      <c r="CC191" s="656"/>
      <c r="CD191" s="656"/>
      <c r="CE191" s="656"/>
      <c r="CF191" s="656"/>
      <c r="CG191" s="656"/>
      <c r="CH191" s="656"/>
      <c r="CI191" s="656"/>
      <c r="CJ191" s="656"/>
      <c r="CK191" s="656"/>
      <c r="CL191" s="656"/>
      <c r="CM191" s="656"/>
      <c r="CN191" s="656"/>
      <c r="CO191" s="656"/>
      <c r="CP191" s="656"/>
      <c r="CQ191" s="656"/>
      <c r="CR191" s="656"/>
      <c r="CS191" s="656"/>
      <c r="CT191" s="656"/>
      <c r="CU191" s="656"/>
      <c r="CV191" s="656"/>
      <c r="CW191" s="656"/>
      <c r="CX191" s="656"/>
      <c r="CY191" s="656"/>
      <c r="CZ191" s="656"/>
      <c r="DA191" s="656"/>
      <c r="DB191" s="656"/>
      <c r="DC191" s="656"/>
      <c r="DD191" s="656"/>
      <c r="DE191" s="656"/>
      <c r="DF191" s="656"/>
      <c r="DG191" s="656"/>
      <c r="DH191" s="656"/>
      <c r="DI191" s="656"/>
      <c r="DJ191" s="656"/>
      <c r="DK191" s="656"/>
      <c r="DL191" s="656"/>
      <c r="DM191" s="656"/>
      <c r="DN191" s="656"/>
      <c r="DO191" s="656"/>
      <c r="DP191" s="656"/>
      <c r="DQ191" s="656"/>
      <c r="DR191" s="656"/>
      <c r="DS191" s="656"/>
      <c r="DT191" s="656"/>
      <c r="DU191" s="656"/>
      <c r="DV191" s="656"/>
      <c r="DW191" s="656"/>
      <c r="DX191" s="656"/>
      <c r="DY191" s="656"/>
      <c r="DZ191" s="656"/>
    </row>
    <row r="192" spans="1:130">
      <c r="A192" s="656"/>
      <c r="B192" s="656"/>
      <c r="C192" s="656"/>
      <c r="D192" s="656"/>
      <c r="E192" s="656"/>
      <c r="F192" s="656"/>
      <c r="G192" s="656"/>
      <c r="H192" s="656"/>
      <c r="I192" s="656"/>
      <c r="J192" s="656"/>
      <c r="K192" s="656"/>
      <c r="L192" s="656"/>
      <c r="M192" s="656"/>
      <c r="N192" s="656"/>
      <c r="O192" s="656"/>
      <c r="P192" s="656"/>
      <c r="Q192" s="656"/>
      <c r="R192" s="656"/>
      <c r="S192" s="656"/>
      <c r="T192" s="656"/>
      <c r="U192" s="656"/>
      <c r="V192" s="656"/>
      <c r="W192" s="656"/>
      <c r="X192" s="656"/>
      <c r="Y192" s="656"/>
      <c r="Z192" s="656"/>
      <c r="AA192" s="656"/>
      <c r="AB192" s="656"/>
      <c r="AC192" s="656"/>
      <c r="AD192" s="656"/>
      <c r="AE192" s="656"/>
      <c r="AF192" s="656"/>
      <c r="AG192" s="656"/>
      <c r="AH192" s="656"/>
      <c r="AI192" s="656"/>
      <c r="AJ192" s="656"/>
      <c r="AK192" s="656"/>
      <c r="AL192" s="656"/>
      <c r="AM192" s="656"/>
      <c r="AN192" s="656"/>
      <c r="AO192" s="656"/>
      <c r="AP192" s="656"/>
      <c r="AQ192" s="656"/>
      <c r="AR192" s="656"/>
      <c r="AS192" s="656"/>
      <c r="AT192" s="656"/>
      <c r="AU192" s="656"/>
      <c r="AV192" s="656"/>
      <c r="AW192" s="656"/>
      <c r="AX192" s="656"/>
      <c r="AY192" s="656"/>
      <c r="AZ192" s="656"/>
      <c r="BA192" s="656"/>
      <c r="BB192" s="656"/>
      <c r="BC192" s="656"/>
      <c r="BD192" s="656"/>
      <c r="BE192" s="656"/>
      <c r="BF192" s="656"/>
      <c r="BG192" s="656"/>
      <c r="BH192" s="656"/>
      <c r="BI192" s="656"/>
      <c r="BJ192" s="656"/>
      <c r="BK192" s="656"/>
      <c r="BL192" s="656"/>
      <c r="BM192" s="656"/>
      <c r="BN192" s="656"/>
      <c r="BO192" s="656"/>
      <c r="BP192" s="656"/>
      <c r="BQ192" s="656"/>
      <c r="BR192" s="656"/>
      <c r="BS192" s="656"/>
      <c r="BT192" s="656"/>
      <c r="BU192" s="656"/>
      <c r="BV192" s="656"/>
      <c r="BW192" s="656"/>
      <c r="BX192" s="656"/>
      <c r="BY192" s="656"/>
      <c r="BZ192" s="656"/>
      <c r="CA192" s="656"/>
      <c r="CB192" s="656"/>
      <c r="CC192" s="656"/>
      <c r="CD192" s="656"/>
      <c r="CE192" s="656"/>
      <c r="CF192" s="656"/>
      <c r="CG192" s="656"/>
      <c r="CH192" s="656"/>
      <c r="CI192" s="656"/>
      <c r="CJ192" s="656"/>
      <c r="CK192" s="656"/>
      <c r="CL192" s="656"/>
      <c r="CM192" s="656"/>
      <c r="CN192" s="656"/>
      <c r="CO192" s="656"/>
      <c r="CP192" s="656"/>
      <c r="CQ192" s="656"/>
      <c r="CR192" s="656"/>
      <c r="CS192" s="656"/>
      <c r="CT192" s="656"/>
      <c r="CU192" s="656"/>
      <c r="CV192" s="656"/>
      <c r="CW192" s="656"/>
      <c r="CX192" s="656"/>
      <c r="CY192" s="656"/>
      <c r="CZ192" s="656"/>
      <c r="DA192" s="656"/>
      <c r="DB192" s="656"/>
      <c r="DC192" s="656"/>
      <c r="DD192" s="656"/>
      <c r="DE192" s="656"/>
      <c r="DF192" s="656"/>
      <c r="DG192" s="656"/>
      <c r="DH192" s="656"/>
      <c r="DI192" s="656"/>
      <c r="DJ192" s="656"/>
      <c r="DK192" s="656"/>
      <c r="DL192" s="656"/>
      <c r="DM192" s="656"/>
      <c r="DN192" s="656"/>
      <c r="DO192" s="656"/>
      <c r="DP192" s="656"/>
      <c r="DQ192" s="656"/>
      <c r="DR192" s="656"/>
      <c r="DS192" s="656"/>
      <c r="DT192" s="656"/>
      <c r="DU192" s="656"/>
      <c r="DV192" s="656"/>
      <c r="DW192" s="656"/>
      <c r="DX192" s="656"/>
      <c r="DY192" s="656"/>
      <c r="DZ192" s="656"/>
    </row>
    <row r="193" spans="1:130">
      <c r="A193" s="656"/>
      <c r="B193" s="656"/>
      <c r="C193" s="656"/>
      <c r="D193" s="656"/>
      <c r="E193" s="656"/>
      <c r="F193" s="656"/>
      <c r="G193" s="656"/>
      <c r="H193" s="656"/>
      <c r="I193" s="656"/>
      <c r="J193" s="656"/>
      <c r="K193" s="656"/>
      <c r="L193" s="656"/>
      <c r="M193" s="656"/>
      <c r="N193" s="656"/>
      <c r="O193" s="656"/>
      <c r="P193" s="656"/>
      <c r="Q193" s="656"/>
      <c r="R193" s="656"/>
      <c r="S193" s="656"/>
      <c r="T193" s="656"/>
      <c r="U193" s="656"/>
      <c r="V193" s="656"/>
      <c r="W193" s="656"/>
      <c r="X193" s="656"/>
      <c r="Y193" s="656"/>
      <c r="Z193" s="656"/>
      <c r="AA193" s="656"/>
      <c r="AB193" s="656"/>
      <c r="AC193" s="656"/>
      <c r="AD193" s="656"/>
      <c r="AE193" s="656"/>
      <c r="AF193" s="656"/>
      <c r="AG193" s="656"/>
      <c r="AH193" s="656"/>
      <c r="AI193" s="656"/>
      <c r="AJ193" s="656"/>
      <c r="AK193" s="656"/>
      <c r="AL193" s="656"/>
      <c r="AM193" s="656"/>
      <c r="AN193" s="656"/>
      <c r="AO193" s="656"/>
      <c r="AP193" s="656"/>
      <c r="AQ193" s="656"/>
      <c r="AR193" s="656"/>
      <c r="AS193" s="656"/>
      <c r="AT193" s="656"/>
      <c r="AU193" s="656"/>
      <c r="AV193" s="656"/>
      <c r="AW193" s="656"/>
      <c r="AX193" s="656"/>
      <c r="AY193" s="656"/>
      <c r="AZ193" s="656"/>
      <c r="BA193" s="656"/>
      <c r="BB193" s="656"/>
      <c r="BC193" s="656"/>
      <c r="BD193" s="656"/>
      <c r="BE193" s="656"/>
      <c r="BF193" s="656"/>
      <c r="BG193" s="656"/>
      <c r="BH193" s="656"/>
      <c r="BI193" s="656"/>
      <c r="BJ193" s="656"/>
      <c r="BK193" s="656"/>
      <c r="BL193" s="656"/>
      <c r="BM193" s="656"/>
      <c r="BN193" s="656"/>
      <c r="BO193" s="656"/>
      <c r="BP193" s="656"/>
      <c r="BQ193" s="656"/>
      <c r="BR193" s="656"/>
      <c r="BS193" s="656"/>
      <c r="BT193" s="656"/>
      <c r="BU193" s="656"/>
      <c r="BV193" s="656"/>
      <c r="BW193" s="656"/>
      <c r="BX193" s="656"/>
      <c r="BY193" s="656"/>
      <c r="BZ193" s="656"/>
      <c r="CA193" s="656"/>
      <c r="CB193" s="656"/>
      <c r="CC193" s="656"/>
      <c r="CD193" s="656"/>
      <c r="CE193" s="656"/>
      <c r="CF193" s="656"/>
      <c r="CG193" s="656"/>
      <c r="CH193" s="656"/>
      <c r="CI193" s="656"/>
      <c r="CJ193" s="656"/>
      <c r="CK193" s="656"/>
      <c r="CL193" s="656"/>
      <c r="CM193" s="656"/>
      <c r="CN193" s="656"/>
      <c r="CO193" s="656"/>
      <c r="CP193" s="656"/>
      <c r="CQ193" s="656"/>
      <c r="CR193" s="656"/>
      <c r="CS193" s="656"/>
      <c r="CT193" s="656"/>
      <c r="CU193" s="656"/>
      <c r="CV193" s="656"/>
      <c r="CW193" s="656"/>
      <c r="CX193" s="656"/>
      <c r="CY193" s="656"/>
      <c r="CZ193" s="656"/>
      <c r="DA193" s="656"/>
      <c r="DB193" s="656"/>
      <c r="DC193" s="656"/>
      <c r="DD193" s="656"/>
      <c r="DE193" s="656"/>
      <c r="DF193" s="656"/>
      <c r="DG193" s="656"/>
      <c r="DH193" s="656"/>
      <c r="DI193" s="656"/>
      <c r="DJ193" s="656"/>
      <c r="DK193" s="656"/>
      <c r="DL193" s="656"/>
      <c r="DM193" s="656"/>
      <c r="DN193" s="656"/>
      <c r="DO193" s="656"/>
      <c r="DP193" s="656"/>
      <c r="DQ193" s="656"/>
      <c r="DR193" s="656"/>
      <c r="DS193" s="656"/>
      <c r="DT193" s="656"/>
      <c r="DU193" s="656"/>
      <c r="DV193" s="656"/>
      <c r="DW193" s="656"/>
      <c r="DX193" s="656"/>
      <c r="DY193" s="656"/>
      <c r="DZ193" s="656"/>
    </row>
    <row r="194" spans="1:130">
      <c r="A194" s="656"/>
      <c r="B194" s="656"/>
      <c r="C194" s="656"/>
      <c r="D194" s="656"/>
      <c r="E194" s="656"/>
      <c r="F194" s="656"/>
      <c r="G194" s="656"/>
      <c r="H194" s="656"/>
      <c r="I194" s="656"/>
      <c r="J194" s="656"/>
      <c r="K194" s="656"/>
      <c r="L194" s="656"/>
      <c r="M194" s="656"/>
      <c r="N194" s="656"/>
      <c r="O194" s="656"/>
      <c r="P194" s="656"/>
      <c r="Q194" s="656"/>
      <c r="R194" s="656"/>
      <c r="S194" s="656"/>
      <c r="T194" s="656"/>
      <c r="U194" s="656"/>
      <c r="V194" s="656"/>
      <c r="W194" s="656"/>
      <c r="X194" s="656"/>
      <c r="Y194" s="656"/>
      <c r="Z194" s="656"/>
      <c r="AA194" s="656"/>
      <c r="AB194" s="656"/>
      <c r="AC194" s="656"/>
      <c r="AD194" s="656"/>
      <c r="AE194" s="656"/>
      <c r="AF194" s="656"/>
      <c r="AG194" s="656"/>
      <c r="AH194" s="656"/>
      <c r="AI194" s="656"/>
      <c r="AJ194" s="656"/>
      <c r="AK194" s="656"/>
      <c r="AL194" s="656"/>
      <c r="AM194" s="656"/>
      <c r="AN194" s="656"/>
      <c r="AO194" s="656"/>
      <c r="AP194" s="656"/>
      <c r="AQ194" s="656"/>
      <c r="AR194" s="656"/>
      <c r="AS194" s="656"/>
      <c r="AT194" s="656"/>
      <c r="AU194" s="656"/>
      <c r="AV194" s="656"/>
      <c r="AW194" s="656"/>
      <c r="AX194" s="656"/>
      <c r="AY194" s="656"/>
      <c r="AZ194" s="656"/>
      <c r="BA194" s="656"/>
      <c r="BB194" s="656"/>
      <c r="BC194" s="656"/>
      <c r="BD194" s="656"/>
      <c r="BE194" s="656"/>
      <c r="BF194" s="656"/>
      <c r="BG194" s="656"/>
      <c r="BH194" s="656"/>
      <c r="BI194" s="656"/>
      <c r="BJ194" s="656"/>
      <c r="BK194" s="656"/>
      <c r="BL194" s="656"/>
      <c r="BM194" s="656"/>
      <c r="BN194" s="656"/>
      <c r="BO194" s="656"/>
      <c r="BP194" s="656"/>
      <c r="BQ194" s="656"/>
      <c r="BR194" s="656"/>
      <c r="BS194" s="656"/>
      <c r="BT194" s="656"/>
      <c r="BU194" s="656"/>
      <c r="BV194" s="656"/>
      <c r="BW194" s="656"/>
      <c r="BX194" s="656"/>
      <c r="BY194" s="656"/>
      <c r="BZ194" s="656"/>
      <c r="CA194" s="656"/>
      <c r="CB194" s="656"/>
      <c r="CC194" s="656"/>
      <c r="CD194" s="656"/>
      <c r="CE194" s="656"/>
      <c r="CF194" s="656"/>
      <c r="CG194" s="656"/>
      <c r="CH194" s="656"/>
      <c r="CI194" s="656"/>
      <c r="CJ194" s="656"/>
      <c r="CK194" s="656"/>
      <c r="CL194" s="656"/>
      <c r="CM194" s="656"/>
      <c r="CN194" s="656"/>
      <c r="CO194" s="656"/>
      <c r="CP194" s="656"/>
      <c r="CQ194" s="656"/>
      <c r="CR194" s="656"/>
      <c r="CS194" s="656"/>
      <c r="CT194" s="656"/>
      <c r="CU194" s="656"/>
      <c r="CV194" s="656"/>
      <c r="CW194" s="656"/>
      <c r="CX194" s="656"/>
      <c r="CY194" s="656"/>
      <c r="CZ194" s="656"/>
      <c r="DA194" s="656"/>
      <c r="DB194" s="656"/>
      <c r="DC194" s="656"/>
      <c r="DD194" s="656"/>
      <c r="DE194" s="656"/>
      <c r="DF194" s="656"/>
      <c r="DG194" s="656"/>
      <c r="DH194" s="656"/>
      <c r="DI194" s="656"/>
      <c r="DJ194" s="656"/>
      <c r="DK194" s="656"/>
      <c r="DL194" s="656"/>
      <c r="DM194" s="656"/>
      <c r="DN194" s="656"/>
      <c r="DO194" s="656"/>
      <c r="DP194" s="656"/>
      <c r="DQ194" s="656"/>
      <c r="DR194" s="656"/>
      <c r="DS194" s="656"/>
      <c r="DT194" s="656"/>
      <c r="DU194" s="656"/>
      <c r="DV194" s="656"/>
      <c r="DW194" s="656"/>
      <c r="DX194" s="656"/>
      <c r="DY194" s="656"/>
      <c r="DZ194" s="656"/>
    </row>
    <row r="195" spans="1:130">
      <c r="A195" s="656"/>
      <c r="B195" s="656"/>
      <c r="C195" s="656"/>
      <c r="D195" s="656"/>
      <c r="E195" s="656"/>
      <c r="F195" s="656"/>
      <c r="G195" s="656"/>
      <c r="H195" s="656"/>
      <c r="I195" s="656"/>
      <c r="J195" s="656"/>
      <c r="K195" s="656"/>
      <c r="L195" s="656"/>
      <c r="M195" s="656"/>
      <c r="N195" s="656"/>
      <c r="O195" s="656"/>
      <c r="P195" s="656"/>
      <c r="Q195" s="656"/>
      <c r="R195" s="656"/>
      <c r="S195" s="656"/>
      <c r="T195" s="656"/>
      <c r="U195" s="656"/>
      <c r="V195" s="656"/>
      <c r="W195" s="656"/>
      <c r="X195" s="656"/>
      <c r="Y195" s="656"/>
      <c r="Z195" s="656"/>
      <c r="AA195" s="656"/>
      <c r="AB195" s="656"/>
      <c r="AC195" s="656"/>
      <c r="AD195" s="656"/>
      <c r="AE195" s="656"/>
      <c r="AF195" s="656"/>
      <c r="AG195" s="656"/>
      <c r="AH195" s="656"/>
      <c r="AI195" s="656"/>
      <c r="AJ195" s="656"/>
      <c r="AK195" s="656"/>
      <c r="AL195" s="656"/>
      <c r="AM195" s="656"/>
      <c r="AN195" s="656"/>
      <c r="AO195" s="656"/>
      <c r="AP195" s="656"/>
      <c r="AQ195" s="656"/>
      <c r="AR195" s="656"/>
      <c r="AS195" s="656"/>
      <c r="AT195" s="656"/>
      <c r="AU195" s="656"/>
      <c r="AV195" s="656"/>
      <c r="AW195" s="656"/>
      <c r="AX195" s="656"/>
      <c r="AY195" s="656"/>
      <c r="AZ195" s="656"/>
      <c r="BA195" s="656"/>
      <c r="BB195" s="656"/>
      <c r="BC195" s="656"/>
      <c r="BD195" s="656"/>
      <c r="BE195" s="656"/>
      <c r="BF195" s="656"/>
      <c r="BG195" s="656"/>
      <c r="BH195" s="656"/>
      <c r="BI195" s="656"/>
      <c r="BJ195" s="656"/>
      <c r="BK195" s="656"/>
      <c r="BL195" s="656"/>
      <c r="BM195" s="656"/>
      <c r="BN195" s="656"/>
      <c r="BO195" s="656"/>
      <c r="BP195" s="656"/>
      <c r="BQ195" s="656"/>
      <c r="BR195" s="656"/>
      <c r="BS195" s="656"/>
      <c r="BT195" s="656"/>
      <c r="BU195" s="656"/>
      <c r="BV195" s="656"/>
      <c r="BW195" s="656"/>
      <c r="BX195" s="656"/>
      <c r="BY195" s="656"/>
      <c r="BZ195" s="656"/>
      <c r="CA195" s="656"/>
      <c r="CB195" s="656"/>
      <c r="CC195" s="656"/>
      <c r="CD195" s="656"/>
      <c r="CE195" s="656"/>
      <c r="CF195" s="656"/>
      <c r="CG195" s="656"/>
      <c r="CH195" s="656"/>
      <c r="CI195" s="656"/>
      <c r="CJ195" s="656"/>
      <c r="CK195" s="656"/>
      <c r="CL195" s="656"/>
      <c r="CM195" s="656"/>
      <c r="CN195" s="656"/>
      <c r="CO195" s="656"/>
      <c r="CP195" s="656"/>
      <c r="CQ195" s="656"/>
      <c r="CR195" s="656"/>
      <c r="CS195" s="656"/>
      <c r="CT195" s="656"/>
      <c r="CU195" s="656"/>
      <c r="CV195" s="656"/>
      <c r="CW195" s="656"/>
      <c r="CX195" s="656"/>
      <c r="CY195" s="656"/>
      <c r="CZ195" s="656"/>
      <c r="DA195" s="656"/>
      <c r="DB195" s="656"/>
      <c r="DC195" s="656"/>
      <c r="DD195" s="656"/>
      <c r="DE195" s="656"/>
      <c r="DF195" s="656"/>
      <c r="DG195" s="656"/>
      <c r="DH195" s="656"/>
      <c r="DI195" s="656"/>
      <c r="DJ195" s="656"/>
      <c r="DK195" s="656"/>
      <c r="DL195" s="656"/>
      <c r="DM195" s="656"/>
      <c r="DN195" s="656"/>
      <c r="DO195" s="656"/>
      <c r="DP195" s="656"/>
      <c r="DQ195" s="656"/>
      <c r="DR195" s="656"/>
      <c r="DS195" s="656"/>
      <c r="DT195" s="656"/>
      <c r="DU195" s="656"/>
      <c r="DV195" s="656"/>
      <c r="DW195" s="656"/>
      <c r="DX195" s="656"/>
      <c r="DY195" s="656"/>
      <c r="DZ195" s="656"/>
    </row>
    <row r="196" spans="1:130">
      <c r="A196" s="656"/>
      <c r="B196" s="656"/>
      <c r="C196" s="656"/>
      <c r="D196" s="656"/>
      <c r="E196" s="656"/>
      <c r="F196" s="656"/>
      <c r="G196" s="656"/>
      <c r="H196" s="656"/>
      <c r="I196" s="656"/>
      <c r="J196" s="656"/>
      <c r="K196" s="656"/>
      <c r="L196" s="656"/>
      <c r="M196" s="656"/>
      <c r="N196" s="656"/>
      <c r="O196" s="656"/>
      <c r="P196" s="656"/>
      <c r="Q196" s="656"/>
      <c r="R196" s="656"/>
      <c r="S196" s="656"/>
      <c r="T196" s="656"/>
      <c r="U196" s="656"/>
      <c r="V196" s="656"/>
      <c r="W196" s="656"/>
      <c r="X196" s="656"/>
      <c r="Y196" s="656"/>
      <c r="Z196" s="656"/>
      <c r="AA196" s="656"/>
      <c r="AB196" s="656"/>
      <c r="AC196" s="656"/>
      <c r="AD196" s="656"/>
      <c r="AE196" s="656"/>
      <c r="AF196" s="656"/>
      <c r="AG196" s="656"/>
      <c r="AH196" s="656"/>
      <c r="AI196" s="656"/>
      <c r="AJ196" s="656"/>
      <c r="AK196" s="656"/>
      <c r="AL196" s="656"/>
      <c r="AM196" s="656"/>
      <c r="AN196" s="656"/>
      <c r="AO196" s="656"/>
      <c r="AP196" s="656"/>
      <c r="AQ196" s="656"/>
      <c r="AR196" s="656"/>
      <c r="AS196" s="656"/>
      <c r="AT196" s="656"/>
      <c r="AU196" s="656"/>
      <c r="AV196" s="656"/>
      <c r="AW196" s="656"/>
      <c r="AX196" s="656"/>
      <c r="AY196" s="656"/>
      <c r="AZ196" s="656"/>
      <c r="BA196" s="656"/>
      <c r="BB196" s="656"/>
      <c r="BC196" s="656"/>
      <c r="BD196" s="656"/>
      <c r="BE196" s="656"/>
      <c r="BF196" s="656"/>
      <c r="BG196" s="656"/>
      <c r="BH196" s="656"/>
      <c r="BI196" s="656"/>
      <c r="BJ196" s="656"/>
      <c r="BK196" s="656"/>
      <c r="BL196" s="656"/>
      <c r="BM196" s="656"/>
      <c r="BN196" s="656"/>
      <c r="BO196" s="656"/>
      <c r="BP196" s="656"/>
      <c r="BQ196" s="656"/>
      <c r="BR196" s="656"/>
      <c r="BS196" s="656"/>
      <c r="BT196" s="656"/>
      <c r="BU196" s="656"/>
      <c r="BV196" s="656"/>
      <c r="BW196" s="656"/>
      <c r="BX196" s="656"/>
      <c r="BY196" s="656"/>
      <c r="BZ196" s="656"/>
      <c r="CA196" s="656"/>
      <c r="CB196" s="656"/>
      <c r="CC196" s="656"/>
      <c r="CD196" s="656"/>
      <c r="CE196" s="656"/>
      <c r="CF196" s="656"/>
      <c r="CG196" s="656"/>
      <c r="CH196" s="656"/>
      <c r="CI196" s="656"/>
      <c r="CJ196" s="656"/>
      <c r="CK196" s="656"/>
      <c r="CL196" s="656"/>
      <c r="CM196" s="656"/>
      <c r="CN196" s="656"/>
      <c r="CO196" s="656"/>
      <c r="CP196" s="656"/>
      <c r="CQ196" s="656"/>
      <c r="CR196" s="656"/>
      <c r="CS196" s="656"/>
      <c r="CT196" s="656"/>
      <c r="CU196" s="656"/>
      <c r="CV196" s="656"/>
      <c r="CW196" s="656"/>
      <c r="CX196" s="656"/>
      <c r="CY196" s="656"/>
      <c r="CZ196" s="656"/>
      <c r="DA196" s="656"/>
      <c r="DB196" s="656"/>
      <c r="DC196" s="656"/>
      <c r="DD196" s="656"/>
      <c r="DE196" s="656"/>
      <c r="DF196" s="656"/>
      <c r="DG196" s="656"/>
      <c r="DH196" s="656"/>
      <c r="DI196" s="656"/>
      <c r="DJ196" s="656"/>
      <c r="DK196" s="656"/>
      <c r="DL196" s="656"/>
      <c r="DM196" s="656"/>
      <c r="DN196" s="656"/>
      <c r="DO196" s="656"/>
      <c r="DP196" s="656"/>
      <c r="DQ196" s="656"/>
      <c r="DR196" s="656"/>
      <c r="DS196" s="656"/>
      <c r="DT196" s="656"/>
      <c r="DU196" s="656"/>
      <c r="DV196" s="656"/>
      <c r="DW196" s="656"/>
      <c r="DX196" s="656"/>
      <c r="DY196" s="656"/>
      <c r="DZ196" s="656"/>
    </row>
    <row r="197" spans="1:130">
      <c r="A197" s="656"/>
      <c r="B197" s="656"/>
      <c r="C197" s="656"/>
      <c r="D197" s="656"/>
      <c r="E197" s="656"/>
      <c r="F197" s="656"/>
      <c r="G197" s="656"/>
      <c r="H197" s="656"/>
      <c r="I197" s="656"/>
      <c r="J197" s="656"/>
      <c r="K197" s="656"/>
      <c r="L197" s="656"/>
      <c r="M197" s="656"/>
      <c r="N197" s="656"/>
      <c r="O197" s="656"/>
      <c r="P197" s="656"/>
      <c r="Q197" s="656"/>
      <c r="R197" s="656"/>
      <c r="S197" s="656"/>
      <c r="T197" s="656"/>
      <c r="U197" s="656"/>
      <c r="V197" s="656"/>
      <c r="W197" s="656"/>
      <c r="X197" s="656"/>
      <c r="Y197" s="656"/>
      <c r="Z197" s="656"/>
      <c r="AA197" s="656"/>
      <c r="AB197" s="656"/>
      <c r="AC197" s="656"/>
      <c r="AD197" s="656"/>
      <c r="AE197" s="656"/>
      <c r="AF197" s="656"/>
      <c r="AG197" s="656"/>
      <c r="AH197" s="656"/>
      <c r="AI197" s="656"/>
      <c r="AJ197" s="656"/>
      <c r="AK197" s="656"/>
      <c r="AL197" s="656"/>
      <c r="AM197" s="656"/>
      <c r="AN197" s="656"/>
      <c r="AO197" s="656"/>
      <c r="AP197" s="656"/>
      <c r="AQ197" s="656"/>
      <c r="AR197" s="656"/>
      <c r="AS197" s="656"/>
      <c r="AT197" s="656"/>
      <c r="AU197" s="656"/>
      <c r="AV197" s="656"/>
      <c r="AW197" s="656"/>
      <c r="AX197" s="656"/>
      <c r="AY197" s="656"/>
      <c r="AZ197" s="656"/>
      <c r="BA197" s="656"/>
      <c r="BB197" s="656"/>
      <c r="BC197" s="656"/>
      <c r="BD197" s="656"/>
      <c r="BE197" s="656"/>
      <c r="BF197" s="656"/>
      <c r="BG197" s="656"/>
      <c r="BH197" s="656"/>
      <c r="BI197" s="656"/>
      <c r="BJ197" s="656"/>
      <c r="BK197" s="656"/>
      <c r="BL197" s="656"/>
      <c r="BM197" s="656"/>
      <c r="BN197" s="656"/>
      <c r="BO197" s="656"/>
      <c r="BP197" s="656"/>
      <c r="BQ197" s="656"/>
      <c r="BR197" s="656"/>
      <c r="BS197" s="656"/>
      <c r="BT197" s="656"/>
      <c r="BU197" s="656"/>
      <c r="BV197" s="656"/>
      <c r="BW197" s="656"/>
      <c r="BX197" s="656"/>
      <c r="BY197" s="656"/>
      <c r="BZ197" s="656"/>
      <c r="CA197" s="656"/>
      <c r="CB197" s="656"/>
      <c r="CC197" s="656"/>
      <c r="CD197" s="656"/>
      <c r="CE197" s="656"/>
      <c r="CF197" s="656"/>
      <c r="CG197" s="656"/>
      <c r="CH197" s="656"/>
      <c r="CI197" s="656"/>
      <c r="CJ197" s="656"/>
      <c r="CK197" s="656"/>
      <c r="CL197" s="656"/>
      <c r="CM197" s="656"/>
      <c r="CN197" s="656"/>
      <c r="CO197" s="656"/>
      <c r="CP197" s="656"/>
      <c r="CQ197" s="656"/>
      <c r="CR197" s="656"/>
      <c r="CS197" s="656"/>
      <c r="CT197" s="656"/>
      <c r="CU197" s="656"/>
      <c r="CV197" s="656"/>
      <c r="CW197" s="656"/>
      <c r="CX197" s="656"/>
      <c r="CY197" s="656"/>
      <c r="CZ197" s="656"/>
      <c r="DA197" s="656"/>
      <c r="DB197" s="656"/>
      <c r="DC197" s="656"/>
      <c r="DD197" s="656"/>
      <c r="DE197" s="656"/>
      <c r="DF197" s="656"/>
      <c r="DG197" s="656"/>
      <c r="DH197" s="656"/>
      <c r="DI197" s="656"/>
      <c r="DJ197" s="656"/>
      <c r="DK197" s="656"/>
      <c r="DL197" s="656"/>
      <c r="DM197" s="656"/>
      <c r="DN197" s="656"/>
      <c r="DO197" s="656"/>
      <c r="DP197" s="656"/>
      <c r="DQ197" s="656"/>
      <c r="DR197" s="656"/>
      <c r="DS197" s="656"/>
      <c r="DT197" s="656"/>
      <c r="DU197" s="656"/>
      <c r="DV197" s="656"/>
      <c r="DW197" s="656"/>
      <c r="DX197" s="656"/>
      <c r="DY197" s="656"/>
      <c r="DZ197" s="656"/>
    </row>
    <row r="198" spans="1:130">
      <c r="A198" s="656"/>
      <c r="B198" s="656"/>
      <c r="C198" s="656"/>
      <c r="D198" s="656"/>
      <c r="E198" s="656"/>
      <c r="F198" s="656"/>
      <c r="G198" s="656"/>
      <c r="H198" s="656"/>
      <c r="I198" s="656"/>
      <c r="J198" s="656"/>
      <c r="K198" s="656"/>
      <c r="L198" s="656"/>
      <c r="M198" s="656"/>
      <c r="N198" s="656"/>
      <c r="O198" s="656"/>
      <c r="P198" s="656"/>
      <c r="Q198" s="656"/>
      <c r="R198" s="656"/>
      <c r="S198" s="656"/>
      <c r="T198" s="656"/>
      <c r="U198" s="656"/>
      <c r="V198" s="656"/>
      <c r="W198" s="656"/>
      <c r="X198" s="656"/>
      <c r="Y198" s="656"/>
      <c r="Z198" s="656"/>
      <c r="AA198" s="656"/>
      <c r="AB198" s="656"/>
      <c r="AC198" s="656"/>
      <c r="AD198" s="656"/>
      <c r="AE198" s="656"/>
      <c r="AF198" s="656"/>
      <c r="AG198" s="656"/>
      <c r="AH198" s="656"/>
      <c r="AI198" s="656"/>
      <c r="AJ198" s="656"/>
      <c r="AK198" s="656"/>
      <c r="AL198" s="656"/>
      <c r="AM198" s="656"/>
      <c r="AN198" s="656"/>
      <c r="AO198" s="656"/>
      <c r="AP198" s="656"/>
      <c r="AQ198" s="656"/>
      <c r="AR198" s="656"/>
      <c r="AS198" s="656"/>
      <c r="AT198" s="656"/>
      <c r="AU198" s="656"/>
      <c r="AV198" s="656"/>
      <c r="AW198" s="656"/>
      <c r="AX198" s="656"/>
      <c r="AY198" s="656"/>
      <c r="AZ198" s="656"/>
      <c r="BA198" s="656"/>
      <c r="BB198" s="656"/>
      <c r="BC198" s="656"/>
      <c r="BD198" s="656"/>
      <c r="BE198" s="656"/>
      <c r="BF198" s="656"/>
      <c r="BG198" s="656"/>
      <c r="BH198" s="656"/>
      <c r="BI198" s="656"/>
      <c r="BJ198" s="656"/>
      <c r="BK198" s="656"/>
      <c r="BL198" s="656"/>
      <c r="BM198" s="656"/>
      <c r="BN198" s="656"/>
      <c r="BO198" s="656"/>
      <c r="BP198" s="656"/>
      <c r="BQ198" s="656"/>
      <c r="BR198" s="656"/>
      <c r="BS198" s="656"/>
      <c r="BT198" s="656"/>
      <c r="BU198" s="656"/>
      <c r="BV198" s="656"/>
      <c r="BW198" s="656"/>
      <c r="BX198" s="656"/>
      <c r="BY198" s="656"/>
      <c r="BZ198" s="656"/>
      <c r="CA198" s="656"/>
      <c r="CB198" s="656"/>
      <c r="CC198" s="656"/>
      <c r="CD198" s="656"/>
      <c r="CE198" s="656"/>
      <c r="CF198" s="656"/>
      <c r="CG198" s="656"/>
      <c r="CH198" s="656"/>
      <c r="CI198" s="656"/>
      <c r="CJ198" s="656"/>
      <c r="CK198" s="656"/>
      <c r="CL198" s="656"/>
      <c r="CM198" s="656"/>
      <c r="CN198" s="656"/>
      <c r="CO198" s="656"/>
      <c r="CP198" s="656"/>
      <c r="CQ198" s="656"/>
      <c r="CR198" s="656"/>
      <c r="CS198" s="656"/>
      <c r="CT198" s="656"/>
      <c r="CU198" s="656"/>
      <c r="CV198" s="656"/>
      <c r="CW198" s="656"/>
      <c r="CX198" s="656"/>
      <c r="CY198" s="656"/>
      <c r="CZ198" s="656"/>
      <c r="DA198" s="656"/>
      <c r="DB198" s="656"/>
      <c r="DC198" s="656"/>
      <c r="DD198" s="656"/>
      <c r="DE198" s="656"/>
      <c r="DF198" s="656"/>
      <c r="DG198" s="656"/>
      <c r="DH198" s="656"/>
      <c r="DI198" s="656"/>
      <c r="DJ198" s="656"/>
      <c r="DK198" s="656"/>
      <c r="DL198" s="656"/>
      <c r="DM198" s="656"/>
      <c r="DN198" s="656"/>
      <c r="DO198" s="656"/>
      <c r="DP198" s="656"/>
      <c r="DQ198" s="656"/>
      <c r="DR198" s="656"/>
      <c r="DS198" s="656"/>
      <c r="DT198" s="656"/>
      <c r="DU198" s="656"/>
      <c r="DV198" s="656"/>
      <c r="DW198" s="656"/>
      <c r="DX198" s="656"/>
      <c r="DY198" s="656"/>
      <c r="DZ198" s="656"/>
    </row>
    <row r="199" spans="1:130">
      <c r="A199" s="656"/>
      <c r="B199" s="656"/>
      <c r="C199" s="656"/>
      <c r="D199" s="656"/>
      <c r="E199" s="656"/>
      <c r="F199" s="656"/>
      <c r="G199" s="656"/>
      <c r="H199" s="656"/>
      <c r="I199" s="656"/>
      <c r="J199" s="656"/>
      <c r="K199" s="656"/>
      <c r="L199" s="656"/>
      <c r="M199" s="656"/>
      <c r="N199" s="656"/>
      <c r="O199" s="656"/>
      <c r="P199" s="656"/>
      <c r="Q199" s="656"/>
      <c r="R199" s="656"/>
      <c r="S199" s="656"/>
      <c r="T199" s="656"/>
      <c r="U199" s="656"/>
      <c r="V199" s="656"/>
      <c r="W199" s="656"/>
      <c r="X199" s="656"/>
      <c r="Y199" s="656"/>
      <c r="Z199" s="656"/>
      <c r="AA199" s="656"/>
      <c r="AB199" s="656"/>
      <c r="AC199" s="656"/>
      <c r="AD199" s="656"/>
      <c r="AE199" s="656"/>
      <c r="AF199" s="656"/>
      <c r="AG199" s="656"/>
      <c r="AH199" s="656"/>
      <c r="AI199" s="656"/>
      <c r="AJ199" s="656"/>
      <c r="AK199" s="656"/>
      <c r="AL199" s="656"/>
      <c r="AM199" s="656"/>
      <c r="AN199" s="656"/>
      <c r="AO199" s="656"/>
      <c r="AP199" s="656"/>
      <c r="AQ199" s="656"/>
      <c r="AR199" s="656"/>
      <c r="AS199" s="656"/>
      <c r="AT199" s="656"/>
      <c r="AU199" s="656"/>
      <c r="AV199" s="656"/>
      <c r="AW199" s="656"/>
      <c r="AX199" s="656"/>
      <c r="AY199" s="656"/>
      <c r="AZ199" s="656"/>
      <c r="BA199" s="656"/>
      <c r="BB199" s="656"/>
      <c r="BC199" s="656"/>
      <c r="BD199" s="656"/>
      <c r="BE199" s="656"/>
      <c r="BF199" s="656"/>
      <c r="BG199" s="656"/>
      <c r="BH199" s="656"/>
      <c r="BI199" s="656"/>
      <c r="BJ199" s="656"/>
      <c r="BK199" s="656"/>
      <c r="BL199" s="656"/>
      <c r="BM199" s="656"/>
      <c r="BN199" s="656"/>
      <c r="BO199" s="656"/>
      <c r="BP199" s="656"/>
      <c r="BQ199" s="656"/>
      <c r="BR199" s="656"/>
      <c r="BS199" s="656"/>
      <c r="BT199" s="656"/>
      <c r="BU199" s="656"/>
      <c r="BV199" s="656"/>
      <c r="BW199" s="656"/>
      <c r="BX199" s="656"/>
      <c r="BY199" s="656"/>
      <c r="BZ199" s="656"/>
      <c r="CA199" s="656"/>
      <c r="CB199" s="656"/>
      <c r="CC199" s="656"/>
      <c r="CD199" s="656"/>
      <c r="CE199" s="656"/>
      <c r="CF199" s="656"/>
      <c r="CG199" s="656"/>
      <c r="CH199" s="656"/>
      <c r="CI199" s="656"/>
      <c r="CJ199" s="656"/>
      <c r="CK199" s="656"/>
      <c r="CL199" s="656"/>
      <c r="CM199" s="656"/>
      <c r="CN199" s="656"/>
      <c r="CO199" s="656"/>
      <c r="CP199" s="656"/>
      <c r="CQ199" s="656"/>
      <c r="CR199" s="656"/>
      <c r="CS199" s="656"/>
      <c r="CT199" s="656"/>
      <c r="CU199" s="656"/>
      <c r="CV199" s="656"/>
      <c r="CW199" s="656"/>
      <c r="CX199" s="656"/>
      <c r="CY199" s="656"/>
      <c r="CZ199" s="656"/>
      <c r="DA199" s="656"/>
      <c r="DB199" s="656"/>
      <c r="DC199" s="656"/>
      <c r="DD199" s="656"/>
      <c r="DE199" s="656"/>
      <c r="DF199" s="656"/>
      <c r="DG199" s="656"/>
      <c r="DH199" s="656"/>
      <c r="DI199" s="656"/>
      <c r="DJ199" s="656"/>
      <c r="DK199" s="656"/>
      <c r="DL199" s="656"/>
      <c r="DM199" s="656"/>
      <c r="DN199" s="656"/>
      <c r="DO199" s="656"/>
      <c r="DP199" s="656"/>
      <c r="DQ199" s="656"/>
      <c r="DR199" s="656"/>
      <c r="DS199" s="656"/>
      <c r="DT199" s="656"/>
      <c r="DU199" s="656"/>
      <c r="DV199" s="656"/>
      <c r="DW199" s="656"/>
      <c r="DX199" s="656"/>
      <c r="DY199" s="656"/>
      <c r="DZ199" s="656"/>
    </row>
    <row r="200" spans="1:130">
      <c r="A200" s="656"/>
      <c r="B200" s="656"/>
      <c r="C200" s="656"/>
      <c r="D200" s="656"/>
      <c r="E200" s="656"/>
      <c r="F200" s="656"/>
      <c r="G200" s="656"/>
      <c r="H200" s="656"/>
      <c r="I200" s="656"/>
      <c r="J200" s="656"/>
      <c r="K200" s="656"/>
      <c r="L200" s="656"/>
      <c r="M200" s="656"/>
      <c r="N200" s="656"/>
      <c r="O200" s="656"/>
      <c r="P200" s="656"/>
      <c r="Q200" s="656"/>
      <c r="R200" s="656"/>
      <c r="S200" s="656"/>
      <c r="T200" s="656"/>
      <c r="U200" s="656"/>
      <c r="V200" s="656"/>
      <c r="W200" s="656"/>
      <c r="X200" s="656"/>
      <c r="Y200" s="656"/>
      <c r="Z200" s="656"/>
      <c r="AA200" s="656"/>
      <c r="AB200" s="656"/>
      <c r="AC200" s="656"/>
      <c r="AD200" s="656"/>
      <c r="AE200" s="656"/>
      <c r="AF200" s="656"/>
      <c r="AG200" s="656"/>
      <c r="AH200" s="656"/>
      <c r="AI200" s="656"/>
      <c r="AJ200" s="656"/>
      <c r="AK200" s="656"/>
      <c r="AL200" s="656"/>
      <c r="AM200" s="656"/>
      <c r="AN200" s="656"/>
      <c r="AO200" s="656"/>
      <c r="AP200" s="656"/>
      <c r="AQ200" s="656"/>
      <c r="AR200" s="656"/>
      <c r="AS200" s="656"/>
      <c r="AT200" s="656"/>
      <c r="AU200" s="656"/>
      <c r="AV200" s="656"/>
      <c r="AW200" s="656"/>
      <c r="AX200" s="656"/>
      <c r="AY200" s="656"/>
      <c r="AZ200" s="656"/>
      <c r="BA200" s="656"/>
      <c r="BB200" s="656"/>
      <c r="BC200" s="656"/>
      <c r="BD200" s="656"/>
      <c r="BE200" s="656"/>
      <c r="BF200" s="656"/>
      <c r="BG200" s="656"/>
      <c r="BH200" s="656"/>
      <c r="BI200" s="656"/>
      <c r="BJ200" s="656"/>
      <c r="BK200" s="656"/>
      <c r="BL200" s="656"/>
      <c r="BM200" s="656"/>
      <c r="BN200" s="656"/>
      <c r="BO200" s="656"/>
      <c r="BP200" s="656"/>
      <c r="BQ200" s="656"/>
      <c r="BR200" s="656"/>
      <c r="BS200" s="656"/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/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56"/>
      <c r="CU200" s="656"/>
      <c r="CV200" s="656"/>
      <c r="CW200" s="656"/>
      <c r="CX200" s="656"/>
      <c r="CY200" s="656"/>
      <c r="CZ200" s="656"/>
      <c r="DA200" s="656"/>
      <c r="DB200" s="656"/>
      <c r="DC200" s="656"/>
      <c r="DD200" s="656"/>
      <c r="DE200" s="656"/>
      <c r="DF200" s="656"/>
      <c r="DG200" s="656"/>
      <c r="DH200" s="656"/>
      <c r="DI200" s="656"/>
      <c r="DJ200" s="656"/>
      <c r="DK200" s="656"/>
      <c r="DL200" s="656"/>
      <c r="DM200" s="656"/>
      <c r="DN200" s="656"/>
      <c r="DO200" s="656"/>
      <c r="DP200" s="656"/>
      <c r="DQ200" s="656"/>
      <c r="DR200" s="656"/>
      <c r="DS200" s="656"/>
      <c r="DT200" s="656"/>
      <c r="DU200" s="656"/>
      <c r="DV200" s="656"/>
      <c r="DW200" s="656"/>
      <c r="DX200" s="656"/>
      <c r="DY200" s="656"/>
      <c r="DZ200" s="656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1" priority="23" stopIfTrue="1" operator="equal">
      <formula>FALSE</formula>
    </cfRule>
  </conditionalFormatting>
  <conditionalFormatting sqref="I39:L80 I22:L23 I3:L19 I26:L36">
    <cfRule type="expression" dxfId="60" priority="17" stopIfTrue="1">
      <formula>NOT($E3)</formula>
    </cfRule>
  </conditionalFormatting>
  <conditionalFormatting sqref="L3:L19">
    <cfRule type="expression" dxfId="59" priority="18" stopIfTrue="1">
      <formula>ISNUMBER(J3)</formula>
    </cfRule>
    <cfRule type="expression" dxfId="58" priority="22" stopIfTrue="1">
      <formula>ISNUMBER(K3)</formula>
    </cfRule>
  </conditionalFormatting>
  <conditionalFormatting sqref="L22:L23">
    <cfRule type="expression" dxfId="57" priority="16" stopIfTrue="1">
      <formula>ISNUMBER(J22)</formula>
    </cfRule>
    <cfRule type="expression" dxfId="56" priority="21" stopIfTrue="1">
      <formula>ISNUMBER(K22)</formula>
    </cfRule>
  </conditionalFormatting>
  <conditionalFormatting sqref="L26:L36">
    <cfRule type="expression" dxfId="55" priority="15" stopIfTrue="1">
      <formula>ISNUMBER(J26)</formula>
    </cfRule>
    <cfRule type="expression" dxfId="54" priority="20" stopIfTrue="1">
      <formula>ISNUMBER(K26)</formula>
    </cfRule>
  </conditionalFormatting>
  <conditionalFormatting sqref="L39:L80">
    <cfRule type="expression" dxfId="53" priority="14" stopIfTrue="1">
      <formula>ISNUMBER(J39)</formula>
    </cfRule>
    <cfRule type="expression" dxfId="52" priority="19" stopIfTrue="1">
      <formula>ISNUMBER(K39)</formula>
    </cfRule>
  </conditionalFormatting>
  <conditionalFormatting sqref="AP3:AP64">
    <cfRule type="cellIs" dxfId="51" priority="13" stopIfTrue="1" operator="equal">
      <formula>FALSE</formula>
    </cfRule>
  </conditionalFormatting>
  <conditionalFormatting sqref="AT4:AW64">
    <cfRule type="expression" dxfId="50" priority="10" stopIfTrue="1">
      <formula>NOT($AP4)</formula>
    </cfRule>
  </conditionalFormatting>
  <conditionalFormatting sqref="E39:E80">
    <cfRule type="cellIs" dxfId="49" priority="9" stopIfTrue="1" operator="equal">
      <formula>FALSE</formula>
    </cfRule>
  </conditionalFormatting>
  <conditionalFormatting sqref="E26:E36">
    <cfRule type="cellIs" dxfId="48" priority="8" stopIfTrue="1" operator="equal">
      <formula>FALSE</formula>
    </cfRule>
  </conditionalFormatting>
  <conditionalFormatting sqref="E23">
    <cfRule type="cellIs" dxfId="47" priority="7" stopIfTrue="1" operator="equal">
      <formula>FALSE</formula>
    </cfRule>
  </conditionalFormatting>
  <conditionalFormatting sqref="E22">
    <cfRule type="cellIs" dxfId="46" priority="6" stopIfTrue="1" operator="equal">
      <formula>FALSE</formula>
    </cfRule>
  </conditionalFormatting>
  <conditionalFormatting sqref="E3:E17">
    <cfRule type="cellIs" dxfId="45" priority="5" stopIfTrue="1" operator="equal">
      <formula>FALSE</formula>
    </cfRule>
  </conditionalFormatting>
  <conditionalFormatting sqref="E18">
    <cfRule type="cellIs" dxfId="44" priority="4" stopIfTrue="1" operator="equal">
      <formula>FALSE</formula>
    </cfRule>
  </conditionalFormatting>
  <conditionalFormatting sqref="AT3">
    <cfRule type="expression" dxfId="43" priority="3" stopIfTrue="1">
      <formula>NOT($AP3)</formula>
    </cfRule>
  </conditionalFormatting>
  <conditionalFormatting sqref="AW3:AW64">
    <cfRule type="expression" dxfId="42" priority="11" stopIfTrue="1">
      <formula>ISNUMBER(AU3)</formula>
    </cfRule>
    <cfRule type="expression" dxfId="41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577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14" t="s">
        <v>369</v>
      </c>
      <c r="B39" s="215" t="s">
        <v>370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371</v>
      </c>
      <c r="B42" s="215"/>
    </row>
    <row r="43" spans="1:4">
      <c r="A43" s="215"/>
      <c r="B43" s="215"/>
    </row>
    <row r="44" spans="1:4">
      <c r="A44" s="215" t="s">
        <v>372</v>
      </c>
      <c r="B44" s="215" t="s">
        <v>373</v>
      </c>
    </row>
    <row r="45" spans="1:4">
      <c r="A45" s="215"/>
      <c r="B45" s="215"/>
      <c r="D45" s="859" t="s">
        <v>2024</v>
      </c>
    </row>
    <row r="46" spans="1:4">
      <c r="A46" s="858" t="s">
        <v>374</v>
      </c>
      <c r="B46" s="216" t="s">
        <v>375</v>
      </c>
      <c r="D46" s="38" t="s">
        <v>2025</v>
      </c>
    </row>
    <row r="47" spans="1:4">
      <c r="A47" s="858" t="s">
        <v>376</v>
      </c>
      <c r="B47" s="216" t="s">
        <v>377</v>
      </c>
    </row>
    <row r="48" spans="1:4">
      <c r="A48" s="215"/>
      <c r="B48" s="215"/>
    </row>
    <row r="49" spans="1:2">
      <c r="A49" s="38" t="s">
        <v>378</v>
      </c>
      <c r="B49" s="215" t="s">
        <v>379</v>
      </c>
    </row>
    <row r="50" spans="1:2">
      <c r="A50" s="38" t="s">
        <v>380</v>
      </c>
      <c r="B50" s="215" t="s">
        <v>381</v>
      </c>
    </row>
    <row r="51" spans="1:2">
      <c r="A51" s="38" t="s">
        <v>382</v>
      </c>
      <c r="B51" s="215" t="s">
        <v>383</v>
      </c>
    </row>
    <row r="52" spans="1:2">
      <c r="A52" s="38" t="s">
        <v>384</v>
      </c>
      <c r="B52" s="215" t="s">
        <v>385</v>
      </c>
    </row>
    <row r="53" spans="1:2">
      <c r="A53" s="38" t="s">
        <v>386</v>
      </c>
      <c r="B53" s="215" t="s">
        <v>387</v>
      </c>
    </row>
    <row r="54" spans="1:2">
      <c r="A54" s="38" t="s">
        <v>388</v>
      </c>
      <c r="B54" s="215"/>
    </row>
    <row r="55" spans="1:2">
      <c r="A55" s="38" t="s">
        <v>389</v>
      </c>
      <c r="B55" s="215"/>
    </row>
    <row r="56" spans="1:2">
      <c r="A56" s="215"/>
      <c r="B56" s="215"/>
    </row>
    <row r="57" spans="1:2">
      <c r="A57" s="38" t="s">
        <v>390</v>
      </c>
      <c r="B57" s="215" t="s">
        <v>391</v>
      </c>
    </row>
    <row r="58" spans="1:2">
      <c r="A58" s="38" t="s">
        <v>392</v>
      </c>
      <c r="B58" s="215" t="s">
        <v>393</v>
      </c>
    </row>
    <row r="59" spans="1:2">
      <c r="A59" s="38" t="s">
        <v>394</v>
      </c>
      <c r="B59" s="215" t="s">
        <v>393</v>
      </c>
    </row>
    <row r="60" spans="1:2">
      <c r="A60" s="38" t="s">
        <v>395</v>
      </c>
      <c r="B60" s="217" t="s">
        <v>396</v>
      </c>
    </row>
    <row r="61" spans="1:2">
      <c r="A61" s="38" t="s">
        <v>397</v>
      </c>
      <c r="B61" s="217" t="s">
        <v>398</v>
      </c>
    </row>
    <row r="62" spans="1:2">
      <c r="A62" s="38" t="s">
        <v>401</v>
      </c>
      <c r="B62" s="217" t="s">
        <v>399</v>
      </c>
    </row>
    <row r="63" spans="1:2">
      <c r="A63" s="38" t="s">
        <v>402</v>
      </c>
      <c r="B63" s="217" t="s">
        <v>400</v>
      </c>
    </row>
    <row r="64" spans="1:2">
      <c r="A64" s="38" t="s">
        <v>403</v>
      </c>
      <c r="B64" s="217" t="s">
        <v>404</v>
      </c>
    </row>
    <row r="69" spans="1:4">
      <c r="A69" s="745" t="s">
        <v>1672</v>
      </c>
      <c r="B69" s="746"/>
      <c r="C69" s="746"/>
      <c r="D69" s="746"/>
    </row>
    <row r="70" spans="1:4" ht="13.5" thickBot="1">
      <c r="A70" s="746"/>
      <c r="B70" s="745"/>
      <c r="C70" s="745"/>
      <c r="D70" s="746"/>
    </row>
    <row r="71" spans="1:4" ht="13.5" thickBot="1">
      <c r="A71" s="737"/>
      <c r="B71" s="747" t="s">
        <v>1673</v>
      </c>
      <c r="C71" s="749"/>
      <c r="D71" s="736"/>
    </row>
    <row r="72" spans="1:4">
      <c r="A72" s="737"/>
      <c r="B72" s="742" t="s">
        <v>1674</v>
      </c>
      <c r="C72" s="740" t="s">
        <v>1675</v>
      </c>
      <c r="D72" s="736"/>
    </row>
    <row r="73" spans="1:4">
      <c r="A73" s="737"/>
      <c r="B73" s="743" t="s">
        <v>1676</v>
      </c>
      <c r="C73" s="740" t="s">
        <v>1677</v>
      </c>
      <c r="D73" s="736"/>
    </row>
    <row r="74" spans="1:4">
      <c r="A74" s="736"/>
      <c r="B74" s="743" t="s">
        <v>1678</v>
      </c>
      <c r="C74" s="740" t="s">
        <v>1679</v>
      </c>
      <c r="D74" s="736"/>
    </row>
    <row r="75" spans="1:4">
      <c r="A75" s="738"/>
      <c r="B75" s="743" t="s">
        <v>1680</v>
      </c>
      <c r="C75" s="740" t="s">
        <v>1681</v>
      </c>
      <c r="D75" s="736"/>
    </row>
    <row r="76" spans="1:4">
      <c r="A76" s="737"/>
      <c r="B76" s="743" t="s">
        <v>1682</v>
      </c>
      <c r="C76" s="740" t="s">
        <v>1683</v>
      </c>
      <c r="D76" s="736"/>
    </row>
    <row r="77" spans="1:4" ht="13.5" thickBot="1">
      <c r="A77" s="739"/>
      <c r="B77" s="743" t="s">
        <v>1684</v>
      </c>
      <c r="C77" s="740" t="s">
        <v>1685</v>
      </c>
      <c r="D77" s="736"/>
    </row>
    <row r="78" spans="1:4" ht="13.5" thickBot="1">
      <c r="A78" s="739"/>
      <c r="B78" s="747" t="s">
        <v>1686</v>
      </c>
      <c r="C78" s="748"/>
      <c r="D78" s="736"/>
    </row>
    <row r="79" spans="1:4">
      <c r="A79" s="737"/>
      <c r="B79" s="751" t="s">
        <v>1687</v>
      </c>
      <c r="C79" s="752" t="s">
        <v>1688</v>
      </c>
      <c r="D79" s="736"/>
    </row>
    <row r="80" spans="1:4">
      <c r="A80" s="737"/>
      <c r="B80" s="744" t="s">
        <v>1689</v>
      </c>
      <c r="C80" s="741" t="s">
        <v>1690</v>
      </c>
      <c r="D80" s="736"/>
    </row>
    <row r="81" spans="1:4">
      <c r="A81" s="737"/>
      <c r="B81" s="743" t="s">
        <v>1691</v>
      </c>
      <c r="C81" s="740" t="s">
        <v>1692</v>
      </c>
      <c r="D81" s="736"/>
    </row>
    <row r="82" spans="1:4">
      <c r="A82" s="737"/>
      <c r="B82" s="743" t="s">
        <v>1693</v>
      </c>
      <c r="C82" s="740" t="s">
        <v>1694</v>
      </c>
      <c r="D82" s="736"/>
    </row>
    <row r="83" spans="1:4">
      <c r="A83" s="737"/>
      <c r="B83" s="743" t="s">
        <v>1695</v>
      </c>
      <c r="C83" s="740" t="s">
        <v>1696</v>
      </c>
      <c r="D83" s="736"/>
    </row>
    <row r="84" spans="1:4" ht="48">
      <c r="A84" s="737"/>
      <c r="B84" s="750" t="s">
        <v>1697</v>
      </c>
      <c r="C84" s="740" t="s">
        <v>1698</v>
      </c>
      <c r="D84" s="736"/>
    </row>
    <row r="85" spans="1:4" ht="13.5" thickBot="1">
      <c r="A85" s="737"/>
      <c r="B85" s="753" t="s">
        <v>1699</v>
      </c>
      <c r="C85" s="754" t="s">
        <v>1700</v>
      </c>
    </row>
  </sheetData>
  <phoneticPr fontId="32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B31" sqref="B31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107</v>
      </c>
      <c r="B1" s="160" t="s">
        <v>108</v>
      </c>
      <c r="C1" s="161" t="s">
        <v>109</v>
      </c>
    </row>
    <row r="2" spans="1:3">
      <c r="A2" s="162" t="s">
        <v>110</v>
      </c>
      <c r="B2" s="163" t="s">
        <v>111</v>
      </c>
      <c r="C2" s="164" t="s">
        <v>112</v>
      </c>
    </row>
    <row r="3" spans="1:3">
      <c r="A3" s="162" t="s">
        <v>113</v>
      </c>
      <c r="B3" s="163" t="s">
        <v>114</v>
      </c>
      <c r="C3" s="164" t="s">
        <v>115</v>
      </c>
    </row>
    <row r="4" spans="1:3">
      <c r="A4" s="162" t="s">
        <v>116</v>
      </c>
      <c r="B4" s="163" t="s">
        <v>117</v>
      </c>
      <c r="C4" s="165" t="s">
        <v>118</v>
      </c>
    </row>
    <row r="5" spans="1:3">
      <c r="A5" s="162" t="s">
        <v>119</v>
      </c>
      <c r="B5" s="163" t="s">
        <v>120</v>
      </c>
      <c r="C5" s="164" t="s">
        <v>121</v>
      </c>
    </row>
    <row r="6" spans="1:3">
      <c r="A6" s="162" t="s">
        <v>122</v>
      </c>
      <c r="B6" s="163" t="s">
        <v>123</v>
      </c>
      <c r="C6" s="164" t="s">
        <v>124</v>
      </c>
    </row>
    <row r="7" spans="1:3">
      <c r="A7" s="162" t="s">
        <v>125</v>
      </c>
      <c r="B7" s="163" t="s">
        <v>126</v>
      </c>
      <c r="C7" s="164" t="s">
        <v>127</v>
      </c>
    </row>
    <row r="8" spans="1:3">
      <c r="A8" s="162" t="s">
        <v>128</v>
      </c>
      <c r="B8" s="163" t="s">
        <v>129</v>
      </c>
      <c r="C8" s="164" t="s">
        <v>130</v>
      </c>
    </row>
    <row r="9" spans="1:3">
      <c r="A9" s="162" t="s">
        <v>131</v>
      </c>
      <c r="B9" s="163" t="s">
        <v>132</v>
      </c>
      <c r="C9" s="165" t="s">
        <v>133</v>
      </c>
    </row>
    <row r="10" spans="1:3">
      <c r="A10" s="162" t="s">
        <v>134</v>
      </c>
      <c r="B10" s="163" t="s">
        <v>135</v>
      </c>
      <c r="C10" s="164" t="s">
        <v>136</v>
      </c>
    </row>
    <row r="11" spans="1:3">
      <c r="A11" s="162" t="s">
        <v>137</v>
      </c>
      <c r="B11" s="163" t="s">
        <v>138</v>
      </c>
      <c r="C11" s="164" t="s">
        <v>139</v>
      </c>
    </row>
    <row r="12" spans="1:3">
      <c r="A12" s="162" t="s">
        <v>140</v>
      </c>
      <c r="B12" s="163" t="s">
        <v>141</v>
      </c>
      <c r="C12" s="165" t="s">
        <v>142</v>
      </c>
    </row>
    <row r="13" spans="1:3">
      <c r="A13" s="162" t="s">
        <v>143</v>
      </c>
      <c r="B13" s="163" t="s">
        <v>144</v>
      </c>
      <c r="C13" s="164" t="s">
        <v>145</v>
      </c>
    </row>
    <row r="14" spans="1:3">
      <c r="A14" s="162" t="s">
        <v>146</v>
      </c>
      <c r="B14" s="163" t="s">
        <v>147</v>
      </c>
      <c r="C14" s="165" t="s">
        <v>148</v>
      </c>
    </row>
    <row r="15" spans="1:3">
      <c r="A15" s="162" t="s">
        <v>149</v>
      </c>
      <c r="B15" s="163" t="s">
        <v>150</v>
      </c>
      <c r="C15" s="164" t="s">
        <v>151</v>
      </c>
    </row>
    <row r="16" spans="1:3">
      <c r="A16" s="162" t="s">
        <v>152</v>
      </c>
      <c r="B16" s="163" t="s">
        <v>153</v>
      </c>
      <c r="C16" s="164" t="s">
        <v>764</v>
      </c>
    </row>
    <row r="17" spans="1:3">
      <c r="A17" s="162" t="s">
        <v>154</v>
      </c>
      <c r="B17" s="163" t="s">
        <v>155</v>
      </c>
      <c r="C17" s="164" t="s">
        <v>156</v>
      </c>
    </row>
    <row r="18" spans="1:3">
      <c r="A18" s="162" t="s">
        <v>157</v>
      </c>
      <c r="B18" s="163" t="s">
        <v>158</v>
      </c>
      <c r="C18" s="164" t="s">
        <v>159</v>
      </c>
    </row>
    <row r="19" spans="1:3">
      <c r="A19" s="162" t="s">
        <v>160</v>
      </c>
      <c r="B19" s="163" t="s">
        <v>161</v>
      </c>
      <c r="C19" s="164" t="s">
        <v>162</v>
      </c>
    </row>
    <row r="20" spans="1:3">
      <c r="A20" s="162" t="s">
        <v>163</v>
      </c>
      <c r="B20" s="163" t="s">
        <v>164</v>
      </c>
      <c r="C20" s="164" t="s">
        <v>165</v>
      </c>
    </row>
    <row r="21" spans="1:3">
      <c r="A21" s="162" t="s">
        <v>166</v>
      </c>
      <c r="B21" s="163" t="s">
        <v>167</v>
      </c>
      <c r="C21" s="164" t="s">
        <v>168</v>
      </c>
    </row>
    <row r="22" spans="1:3">
      <c r="A22" s="162" t="s">
        <v>169</v>
      </c>
      <c r="B22" s="163" t="s">
        <v>170</v>
      </c>
      <c r="C22" s="164" t="s">
        <v>171</v>
      </c>
    </row>
    <row r="23" spans="1:3">
      <c r="A23" s="162" t="s">
        <v>172</v>
      </c>
      <c r="B23" s="163" t="s">
        <v>173</v>
      </c>
      <c r="C23" s="165" t="s">
        <v>174</v>
      </c>
    </row>
    <row r="24" spans="1:3">
      <c r="A24" s="162" t="s">
        <v>175</v>
      </c>
      <c r="B24" s="163" t="s">
        <v>176</v>
      </c>
      <c r="C24" s="164" t="s">
        <v>177</v>
      </c>
    </row>
    <row r="25" spans="1:3">
      <c r="A25" s="162" t="s">
        <v>178</v>
      </c>
      <c r="B25" s="163" t="s">
        <v>179</v>
      </c>
      <c r="C25" s="165" t="s">
        <v>180</v>
      </c>
    </row>
    <row r="26" spans="1:3">
      <c r="A26" s="162" t="s">
        <v>181</v>
      </c>
      <c r="B26" s="163" t="s">
        <v>182</v>
      </c>
      <c r="C26" s="164" t="s">
        <v>183</v>
      </c>
    </row>
    <row r="27" spans="1:3">
      <c r="A27" s="162" t="s">
        <v>184</v>
      </c>
      <c r="B27" s="163" t="s">
        <v>185</v>
      </c>
      <c r="C27" s="165" t="s">
        <v>186</v>
      </c>
    </row>
    <row r="28" spans="1:3">
      <c r="A28" s="162" t="s">
        <v>187</v>
      </c>
      <c r="B28" s="163" t="s">
        <v>188</v>
      </c>
      <c r="C28" s="165" t="s">
        <v>189</v>
      </c>
    </row>
    <row r="29" spans="1:3">
      <c r="A29" s="162" t="s">
        <v>190</v>
      </c>
      <c r="B29" s="163" t="s">
        <v>191</v>
      </c>
      <c r="C29" s="164" t="s">
        <v>192</v>
      </c>
    </row>
    <row r="30" spans="1:3">
      <c r="A30" s="162" t="s">
        <v>193</v>
      </c>
      <c r="B30" s="163" t="s">
        <v>194</v>
      </c>
      <c r="C30" s="164" t="s">
        <v>195</v>
      </c>
    </row>
    <row r="31" spans="1:3">
      <c r="A31" s="162" t="s">
        <v>196</v>
      </c>
      <c r="B31" s="163" t="s">
        <v>197</v>
      </c>
      <c r="C31" s="164" t="s">
        <v>198</v>
      </c>
    </row>
    <row r="32" spans="1:3">
      <c r="A32" s="162" t="s">
        <v>199</v>
      </c>
      <c r="B32" s="163" t="s">
        <v>200</v>
      </c>
      <c r="C32" s="164" t="s">
        <v>201</v>
      </c>
    </row>
    <row r="33" spans="1:3">
      <c r="A33" s="162" t="s">
        <v>202</v>
      </c>
      <c r="B33" s="163" t="s">
        <v>202</v>
      </c>
      <c r="C33" s="164" t="s">
        <v>203</v>
      </c>
    </row>
    <row r="34" spans="1:3">
      <c r="A34" s="162" t="s">
        <v>204</v>
      </c>
      <c r="B34" s="163" t="s">
        <v>205</v>
      </c>
      <c r="C34" s="165" t="s">
        <v>206</v>
      </c>
    </row>
    <row r="35" spans="1:3">
      <c r="A35" s="162" t="s">
        <v>207</v>
      </c>
      <c r="B35" s="163" t="s">
        <v>208</v>
      </c>
      <c r="C35" s="165" t="s">
        <v>209</v>
      </c>
    </row>
    <row r="36" spans="1:3">
      <c r="A36" s="162" t="s">
        <v>210</v>
      </c>
      <c r="B36" s="163" t="s">
        <v>211</v>
      </c>
      <c r="C36" s="164" t="s">
        <v>212</v>
      </c>
    </row>
    <row r="37" spans="1:3">
      <c r="A37" s="162" t="s">
        <v>213</v>
      </c>
      <c r="B37" s="163" t="s">
        <v>214</v>
      </c>
      <c r="C37" s="165" t="s">
        <v>215</v>
      </c>
    </row>
    <row r="38" spans="1:3">
      <c r="A38" s="162" t="s">
        <v>213</v>
      </c>
      <c r="B38" s="163" t="s">
        <v>216</v>
      </c>
      <c r="C38" s="165" t="s">
        <v>217</v>
      </c>
    </row>
    <row r="39" spans="1:3">
      <c r="A39" s="162" t="s">
        <v>218</v>
      </c>
      <c r="B39" s="163" t="s">
        <v>219</v>
      </c>
      <c r="C39" s="164" t="s">
        <v>220</v>
      </c>
    </row>
    <row r="40" spans="1:3">
      <c r="A40" s="162" t="s">
        <v>221</v>
      </c>
      <c r="B40" s="163" t="s">
        <v>222</v>
      </c>
      <c r="C40" s="164" t="s">
        <v>223</v>
      </c>
    </row>
    <row r="41" spans="1:3">
      <c r="A41" s="162" t="s">
        <v>224</v>
      </c>
      <c r="B41" s="163" t="s">
        <v>224</v>
      </c>
      <c r="C41" s="164" t="s">
        <v>225</v>
      </c>
    </row>
    <row r="42" spans="1:3">
      <c r="A42" s="162" t="s">
        <v>226</v>
      </c>
      <c r="B42" s="163" t="s">
        <v>227</v>
      </c>
      <c r="C42" s="164" t="s">
        <v>228</v>
      </c>
    </row>
    <row r="43" spans="1:3">
      <c r="A43" s="162" t="s">
        <v>229</v>
      </c>
      <c r="B43" s="163" t="s">
        <v>230</v>
      </c>
      <c r="C43" s="164" t="s">
        <v>231</v>
      </c>
    </row>
    <row r="44" spans="1:3">
      <c r="A44" s="162" t="s">
        <v>232</v>
      </c>
      <c r="B44" s="163" t="s">
        <v>233</v>
      </c>
      <c r="C44" s="164" t="s">
        <v>234</v>
      </c>
    </row>
    <row r="45" spans="1:3">
      <c r="A45" s="162" t="s">
        <v>235</v>
      </c>
      <c r="B45" s="163" t="s">
        <v>235</v>
      </c>
      <c r="C45" s="165" t="s">
        <v>236</v>
      </c>
    </row>
    <row r="46" spans="1:3">
      <c r="A46" s="162" t="s">
        <v>237</v>
      </c>
      <c r="B46" s="163" t="s">
        <v>238</v>
      </c>
      <c r="C46" s="165" t="s">
        <v>239</v>
      </c>
    </row>
    <row r="47" spans="1:3">
      <c r="A47" s="162" t="s">
        <v>240</v>
      </c>
      <c r="B47" s="163" t="s">
        <v>240</v>
      </c>
      <c r="C47" s="165" t="s">
        <v>241</v>
      </c>
    </row>
    <row r="48" spans="1:3">
      <c r="A48" s="162" t="s">
        <v>242</v>
      </c>
      <c r="B48" s="163" t="s">
        <v>243</v>
      </c>
      <c r="C48" s="164" t="s">
        <v>244</v>
      </c>
    </row>
    <row r="49" spans="1:3">
      <c r="A49" s="162" t="s">
        <v>245</v>
      </c>
      <c r="B49" s="163" t="s">
        <v>246</v>
      </c>
      <c r="C49" s="164" t="s">
        <v>247</v>
      </c>
    </row>
    <row r="50" spans="1:3">
      <c r="A50" s="162" t="s">
        <v>248</v>
      </c>
      <c r="B50" s="163" t="s">
        <v>248</v>
      </c>
      <c r="C50" s="165" t="s">
        <v>249</v>
      </c>
    </row>
    <row r="51" spans="1:3">
      <c r="A51" s="162" t="s">
        <v>250</v>
      </c>
      <c r="B51" s="163" t="s">
        <v>251</v>
      </c>
      <c r="C51" s="164" t="s">
        <v>252</v>
      </c>
    </row>
    <row r="52" spans="1:3">
      <c r="A52" s="162" t="s">
        <v>253</v>
      </c>
      <c r="B52" s="163" t="s">
        <v>254</v>
      </c>
      <c r="C52" s="165" t="s">
        <v>255</v>
      </c>
    </row>
    <row r="53" spans="1:3">
      <c r="A53" s="162" t="s">
        <v>256</v>
      </c>
      <c r="B53" s="163" t="s">
        <v>257</v>
      </c>
      <c r="C53" s="164" t="s">
        <v>258</v>
      </c>
    </row>
    <row r="54" spans="1:3">
      <c r="A54" s="162" t="s">
        <v>259</v>
      </c>
      <c r="B54" s="163" t="s">
        <v>260</v>
      </c>
      <c r="C54" s="165" t="s">
        <v>261</v>
      </c>
    </row>
    <row r="55" spans="1:3">
      <c r="A55" s="162" t="s">
        <v>262</v>
      </c>
      <c r="B55" s="163" t="s">
        <v>263</v>
      </c>
      <c r="C55" s="165" t="s">
        <v>264</v>
      </c>
    </row>
    <row r="56" spans="1:3">
      <c r="A56" s="162" t="s">
        <v>265</v>
      </c>
      <c r="B56" s="163" t="s">
        <v>266</v>
      </c>
      <c r="C56" s="165" t="s">
        <v>267</v>
      </c>
    </row>
    <row r="57" spans="1:3">
      <c r="A57" s="162" t="s">
        <v>268</v>
      </c>
      <c r="B57" s="163" t="s">
        <v>269</v>
      </c>
      <c r="C57" s="164" t="s">
        <v>270</v>
      </c>
    </row>
    <row r="58" spans="1:3">
      <c r="A58" s="162" t="s">
        <v>271</v>
      </c>
      <c r="B58" s="163" t="s">
        <v>272</v>
      </c>
      <c r="C58" s="165" t="s">
        <v>273</v>
      </c>
    </row>
    <row r="59" spans="1:3">
      <c r="A59" s="162" t="s">
        <v>274</v>
      </c>
      <c r="B59" s="163" t="s">
        <v>275</v>
      </c>
      <c r="C59" s="164" t="s">
        <v>276</v>
      </c>
    </row>
    <row r="60" spans="1:3">
      <c r="A60" s="162" t="s">
        <v>277</v>
      </c>
      <c r="B60" s="163" t="s">
        <v>278</v>
      </c>
      <c r="C60" s="165" t="s">
        <v>279</v>
      </c>
    </row>
    <row r="61" spans="1:3">
      <c r="A61" s="162" t="s">
        <v>280</v>
      </c>
      <c r="B61" s="163" t="s">
        <v>281</v>
      </c>
      <c r="C61" s="164" t="s">
        <v>282</v>
      </c>
    </row>
    <row r="62" spans="1:3">
      <c r="A62" s="162" t="s">
        <v>283</v>
      </c>
      <c r="B62" s="163" t="s">
        <v>284</v>
      </c>
      <c r="C62" s="164" t="s">
        <v>285</v>
      </c>
    </row>
    <row r="63" spans="1:3">
      <c r="A63" s="166" t="s">
        <v>286</v>
      </c>
      <c r="B63" s="163" t="s">
        <v>286</v>
      </c>
      <c r="C63" s="164" t="s">
        <v>287</v>
      </c>
    </row>
    <row r="64" spans="1:3">
      <c r="A64" s="166" t="s">
        <v>288</v>
      </c>
      <c r="B64" s="163" t="s">
        <v>288</v>
      </c>
      <c r="C64" s="165" t="s">
        <v>289</v>
      </c>
    </row>
  </sheetData>
  <phoneticPr fontId="32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topLeftCell="A202" zoomScale="70" zoomScaleNormal="70" workbookViewId="0">
      <selection activeCell="I237" sqref="I237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13" customWidth="1"/>
    <col min="8" max="8" width="12.7109375" style="223" customWidth="1"/>
    <col min="9" max="9" width="19.140625" style="245"/>
    <col min="10" max="12" width="19.140625" style="223"/>
    <col min="13" max="13" width="19.140625" style="363"/>
    <col min="14" max="16384" width="19.140625" style="223"/>
  </cols>
  <sheetData>
    <row r="1" spans="1:152" ht="15.75">
      <c r="A1" s="409" t="s">
        <v>572</v>
      </c>
      <c r="B1" s="411" t="s">
        <v>573</v>
      </c>
      <c r="C1" s="410" t="s">
        <v>574</v>
      </c>
      <c r="D1" s="410" t="s">
        <v>33</v>
      </c>
      <c r="E1" s="409" t="s">
        <v>405</v>
      </c>
      <c r="F1" s="410" t="s">
        <v>406</v>
      </c>
      <c r="G1" s="408" t="s">
        <v>407</v>
      </c>
      <c r="H1" s="320" t="s">
        <v>407</v>
      </c>
      <c r="I1" s="243"/>
      <c r="J1" s="257" t="s">
        <v>772</v>
      </c>
      <c r="K1" s="222"/>
      <c r="L1" s="222"/>
      <c r="M1" s="364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763" t="s">
        <v>766</v>
      </c>
      <c r="B2" s="765"/>
      <c r="C2" s="761"/>
      <c r="D2" s="761"/>
      <c r="E2" s="764"/>
      <c r="F2" s="766"/>
      <c r="G2" s="767"/>
      <c r="H2" s="319"/>
      <c r="I2" s="243"/>
      <c r="J2" s="222"/>
      <c r="K2" s="222"/>
      <c r="L2" s="222"/>
      <c r="M2" s="364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797" t="s">
        <v>1706</v>
      </c>
      <c r="B3" s="768">
        <v>43392</v>
      </c>
      <c r="C3" s="760" t="s">
        <v>435</v>
      </c>
      <c r="D3" s="760" t="s">
        <v>622</v>
      </c>
      <c r="E3" s="798">
        <v>0.39900000000000002</v>
      </c>
      <c r="F3" s="769">
        <v>3.99</v>
      </c>
      <c r="G3" s="762" t="s">
        <v>1995</v>
      </c>
      <c r="H3" s="762" t="s">
        <v>1995</v>
      </c>
      <c r="I3" s="256" t="str">
        <f>LEFT(D3,12)</f>
        <v>AT0000A12B06</v>
      </c>
      <c r="J3" s="256" t="str">
        <f>I3</f>
        <v>AT0000A12B06</v>
      </c>
      <c r="K3" s="318" t="str">
        <f>LEFT(H3,6)</f>
        <v>FGBSH8</v>
      </c>
      <c r="L3" s="318" t="str">
        <f>K3</f>
        <v>FGBSH8</v>
      </c>
      <c r="M3" s="364" t="s">
        <v>1995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797" t="s">
        <v>1707</v>
      </c>
      <c r="B4" s="768">
        <v>43539</v>
      </c>
      <c r="C4" s="760" t="s">
        <v>436</v>
      </c>
      <c r="D4" s="760" t="s">
        <v>623</v>
      </c>
      <c r="E4" s="798">
        <v>0.60199999999999998</v>
      </c>
      <c r="F4" s="769">
        <v>6.02</v>
      </c>
      <c r="G4" s="762" t="s">
        <v>1995</v>
      </c>
      <c r="H4" s="762" t="s">
        <v>1995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8" t="str">
        <f t="shared" ref="K4:K67" si="2">LEFT(H4,6)</f>
        <v>FGBSH8</v>
      </c>
      <c r="L4" s="318" t="str">
        <f t="shared" ref="L4:L67" si="3">K4</f>
        <v>FGBSH8</v>
      </c>
      <c r="M4" s="364" t="s">
        <v>1995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797" t="s">
        <v>1708</v>
      </c>
      <c r="B5" s="768">
        <v>43634</v>
      </c>
      <c r="C5" s="760" t="s">
        <v>437</v>
      </c>
      <c r="D5" s="760" t="s">
        <v>624</v>
      </c>
      <c r="E5" s="798">
        <v>0.70399999999999996</v>
      </c>
      <c r="F5" s="769">
        <v>7.0399999999999991</v>
      </c>
      <c r="G5" s="762" t="s">
        <v>1995</v>
      </c>
      <c r="H5" s="762" t="s">
        <v>1995</v>
      </c>
      <c r="I5" s="256" t="str">
        <f>LEFT(D5,12)</f>
        <v>AT0000A0VRF9</v>
      </c>
      <c r="J5" s="256" t="str">
        <f>I5</f>
        <v>AT0000A0VRF9</v>
      </c>
      <c r="K5" s="318" t="str">
        <f>LEFT(H5,6)</f>
        <v>FGBSH8</v>
      </c>
      <c r="L5" s="318" t="str">
        <f>K5</f>
        <v>FGBSH8</v>
      </c>
      <c r="M5" s="364" t="s">
        <v>1995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797" t="s">
        <v>1709</v>
      </c>
      <c r="B6" s="768">
        <v>43756</v>
      </c>
      <c r="C6" s="770" t="s">
        <v>438</v>
      </c>
      <c r="D6" s="770" t="s">
        <v>408</v>
      </c>
      <c r="E6" s="798">
        <v>0.83599999999999997</v>
      </c>
      <c r="F6" s="769">
        <v>8.36</v>
      </c>
      <c r="G6" s="762" t="s">
        <v>1995</v>
      </c>
      <c r="H6" s="762" t="s">
        <v>1995</v>
      </c>
      <c r="I6" s="256" t="str">
        <f t="shared" si="0"/>
        <v>AT0000A19XC3</v>
      </c>
      <c r="J6" s="256" t="str">
        <f t="shared" si="1"/>
        <v>AT0000A19XC3</v>
      </c>
      <c r="K6" s="318" t="str">
        <f t="shared" si="2"/>
        <v>FGBSH8</v>
      </c>
      <c r="L6" s="318" t="str">
        <f t="shared" si="3"/>
        <v>FGBSH8</v>
      </c>
      <c r="M6" s="364" t="s">
        <v>1995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797" t="s">
        <v>1710</v>
      </c>
      <c r="B7" s="768">
        <v>44027</v>
      </c>
      <c r="C7" s="760" t="s">
        <v>314</v>
      </c>
      <c r="D7" s="760" t="s">
        <v>625</v>
      </c>
      <c r="E7" s="798">
        <v>1.242</v>
      </c>
      <c r="F7" s="769">
        <v>12.42</v>
      </c>
      <c r="G7" s="762" t="s">
        <v>1995</v>
      </c>
      <c r="H7" s="762" t="s">
        <v>1995</v>
      </c>
      <c r="I7" s="256" t="str">
        <f t="shared" si="0"/>
        <v>AT0000386115</v>
      </c>
      <c r="J7" s="256" t="str">
        <f t="shared" si="1"/>
        <v>AT0000386115</v>
      </c>
      <c r="K7" s="318" t="str">
        <f t="shared" si="2"/>
        <v>FGBSH8</v>
      </c>
      <c r="L7" s="318" t="str">
        <f t="shared" si="3"/>
        <v>FGBSH8</v>
      </c>
      <c r="M7" s="364" t="s">
        <v>1995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797" t="s">
        <v>1711</v>
      </c>
      <c r="B8" s="768">
        <v>44454</v>
      </c>
      <c r="C8" s="760" t="s">
        <v>315</v>
      </c>
      <c r="D8" s="760" t="s">
        <v>626</v>
      </c>
      <c r="E8" s="799">
        <v>0.65200000000000002</v>
      </c>
      <c r="F8" s="769">
        <v>6.5200000000000005</v>
      </c>
      <c r="G8" s="762" t="s">
        <v>1996</v>
      </c>
      <c r="H8" s="762" t="s">
        <v>1996</v>
      </c>
      <c r="I8" s="256" t="str">
        <f t="shared" si="0"/>
        <v>AT0000A001X2</v>
      </c>
      <c r="J8" s="256" t="str">
        <f t="shared" si="1"/>
        <v>AT0000A001X2</v>
      </c>
      <c r="K8" s="318" t="str">
        <f t="shared" si="2"/>
        <v>FGBMH8</v>
      </c>
      <c r="L8" s="318" t="str">
        <f t="shared" si="3"/>
        <v>FGBMH8</v>
      </c>
      <c r="M8" s="364" t="s">
        <v>1996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797" t="s">
        <v>1712</v>
      </c>
      <c r="B9" s="768">
        <v>44671</v>
      </c>
      <c r="C9" s="760" t="s">
        <v>439</v>
      </c>
      <c r="D9" s="760" t="s">
        <v>627</v>
      </c>
      <c r="E9" s="799">
        <v>0.76</v>
      </c>
      <c r="F9" s="769">
        <v>7.6</v>
      </c>
      <c r="G9" s="762" t="s">
        <v>1996</v>
      </c>
      <c r="H9" s="762" t="s">
        <v>1996</v>
      </c>
      <c r="I9" s="256" t="str">
        <f t="shared" si="0"/>
        <v>AT0000A0N9A0</v>
      </c>
      <c r="J9" s="256" t="str">
        <f t="shared" si="1"/>
        <v>AT0000A0N9A0</v>
      </c>
      <c r="K9" s="318" t="str">
        <f t="shared" si="2"/>
        <v>FGBMH8</v>
      </c>
      <c r="L9" s="318" t="str">
        <f t="shared" si="3"/>
        <v>FGBMH8</v>
      </c>
      <c r="M9" s="364" t="s">
        <v>1996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797" t="s">
        <v>1713</v>
      </c>
      <c r="B10" s="768">
        <v>44824</v>
      </c>
      <c r="C10" s="760" t="s">
        <v>1714</v>
      </c>
      <c r="D10" s="760" t="s">
        <v>2001</v>
      </c>
      <c r="E10" s="799">
        <v>0.75600000000000001</v>
      </c>
      <c r="F10" s="769">
        <v>7.5600000000000005</v>
      </c>
      <c r="G10" s="762" t="s">
        <v>1996</v>
      </c>
      <c r="H10" s="762" t="s">
        <v>1996</v>
      </c>
      <c r="I10" s="256" t="str">
        <f t="shared" si="0"/>
        <v>AT0000A1XM92</v>
      </c>
      <c r="J10" s="256" t="str">
        <f t="shared" si="1"/>
        <v>AT0000A1XM92</v>
      </c>
      <c r="K10" s="318" t="str">
        <f t="shared" si="2"/>
        <v>FGBMH8</v>
      </c>
      <c r="L10" s="318" t="str">
        <f t="shared" si="3"/>
        <v>FGBMH8</v>
      </c>
      <c r="M10" s="364" t="s">
        <v>1996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796" t="s">
        <v>1715</v>
      </c>
      <c r="B11" s="768">
        <v>44887</v>
      </c>
      <c r="C11" s="760" t="s">
        <v>440</v>
      </c>
      <c r="D11" s="760" t="s">
        <v>628</v>
      </c>
      <c r="E11" s="800">
        <v>0.86099999999999999</v>
      </c>
      <c r="F11" s="769">
        <v>8.61</v>
      </c>
      <c r="G11" s="762" t="s">
        <v>1996</v>
      </c>
      <c r="H11" s="762" t="s">
        <v>1996</v>
      </c>
      <c r="I11" s="256" t="str">
        <f t="shared" si="0"/>
        <v>AT0000A0U3T4</v>
      </c>
      <c r="J11" s="256" t="str">
        <f t="shared" si="1"/>
        <v>AT0000A0U3T4</v>
      </c>
      <c r="K11" s="318" t="str">
        <f t="shared" si="2"/>
        <v>FGBMH8</v>
      </c>
      <c r="L11" s="318" t="str">
        <f t="shared" si="3"/>
        <v>FGBMH8</v>
      </c>
      <c r="M11" s="364" t="s">
        <v>1996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797" t="s">
        <v>1716</v>
      </c>
      <c r="B12" s="768">
        <v>45122</v>
      </c>
      <c r="C12" s="776" t="s">
        <v>985</v>
      </c>
      <c r="D12" s="771" t="s">
        <v>909</v>
      </c>
      <c r="E12" s="800">
        <v>0.875</v>
      </c>
      <c r="F12" s="769">
        <v>8.75</v>
      </c>
      <c r="G12" s="762" t="s">
        <v>1996</v>
      </c>
      <c r="H12" s="762" t="s">
        <v>1996</v>
      </c>
      <c r="I12" s="256" t="str">
        <f t="shared" si="0"/>
        <v>AT0000A1PE50</v>
      </c>
      <c r="J12" s="256" t="str">
        <f t="shared" si="1"/>
        <v>AT0000A1PE50</v>
      </c>
      <c r="K12" s="318" t="str">
        <f t="shared" si="2"/>
        <v>FGBMH8</v>
      </c>
      <c r="L12" s="318" t="str">
        <f t="shared" si="3"/>
        <v>FGBMH8</v>
      </c>
      <c r="M12" s="364" t="s">
        <v>1996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797" t="s">
        <v>1717</v>
      </c>
      <c r="B13" s="768">
        <v>45219</v>
      </c>
      <c r="C13" s="760" t="s">
        <v>441</v>
      </c>
      <c r="D13" s="760" t="s">
        <v>629</v>
      </c>
      <c r="E13" s="800">
        <v>0.97099999999999997</v>
      </c>
      <c r="F13" s="769">
        <v>9.7099999999999991</v>
      </c>
      <c r="G13" s="762" t="s">
        <v>1996</v>
      </c>
      <c r="H13" s="762" t="s">
        <v>1996</v>
      </c>
      <c r="I13" s="256" t="str">
        <f t="shared" si="0"/>
        <v>AT0000A105W3</v>
      </c>
      <c r="J13" s="256" t="str">
        <f t="shared" si="1"/>
        <v>AT0000A105W3</v>
      </c>
      <c r="K13" s="318" t="str">
        <f t="shared" si="2"/>
        <v>FGBMH8</v>
      </c>
      <c r="L13" s="318" t="str">
        <f t="shared" si="3"/>
        <v>FGBMH8</v>
      </c>
      <c r="M13" s="364" t="s">
        <v>1996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797" t="s">
        <v>1718</v>
      </c>
      <c r="B14" s="768">
        <v>45586</v>
      </c>
      <c r="C14" s="760" t="s">
        <v>442</v>
      </c>
      <c r="D14" s="772" t="s">
        <v>409</v>
      </c>
      <c r="E14" s="800">
        <v>1.1259999999999999</v>
      </c>
      <c r="F14" s="769">
        <v>11.259999999999998</v>
      </c>
      <c r="G14" s="762" t="s">
        <v>1996</v>
      </c>
      <c r="H14" s="762" t="s">
        <v>1996</v>
      </c>
      <c r="I14" s="256" t="str">
        <f t="shared" si="0"/>
        <v>AT0000A185T1</v>
      </c>
      <c r="J14" s="256" t="str">
        <f t="shared" si="1"/>
        <v>AT0000A185T1</v>
      </c>
      <c r="K14" s="318" t="str">
        <f t="shared" si="2"/>
        <v>FGBMH8</v>
      </c>
      <c r="L14" s="318" t="str">
        <f t="shared" si="3"/>
        <v>FGBMH8</v>
      </c>
      <c r="M14" s="364" t="s">
        <v>1996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797" t="s">
        <v>1719</v>
      </c>
      <c r="B15" s="768">
        <v>45950</v>
      </c>
      <c r="C15" s="760" t="s">
        <v>767</v>
      </c>
      <c r="D15" s="770" t="s">
        <v>768</v>
      </c>
      <c r="E15" s="801">
        <v>0.54900000000000004</v>
      </c>
      <c r="F15" s="769">
        <v>5.49</v>
      </c>
      <c r="G15" s="762" t="s">
        <v>1997</v>
      </c>
      <c r="H15" s="762" t="s">
        <v>1997</v>
      </c>
      <c r="I15" s="256" t="str">
        <f t="shared" si="0"/>
        <v>AT0000A1FAP5</v>
      </c>
      <c r="J15" s="256" t="str">
        <f t="shared" si="1"/>
        <v>AT0000A1FAP5</v>
      </c>
      <c r="K15" s="318" t="str">
        <f t="shared" si="2"/>
        <v>FGBLH8</v>
      </c>
      <c r="L15" s="318" t="str">
        <f t="shared" si="3"/>
        <v>FGBLH8</v>
      </c>
      <c r="M15" s="364" t="s">
        <v>1997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797" t="s">
        <v>1720</v>
      </c>
      <c r="B16" s="768">
        <v>46096</v>
      </c>
      <c r="C16" s="760" t="s">
        <v>443</v>
      </c>
      <c r="D16" s="760" t="s">
        <v>630</v>
      </c>
      <c r="E16" s="801">
        <v>0.67300000000000004</v>
      </c>
      <c r="F16" s="769">
        <v>6.73</v>
      </c>
      <c r="G16" s="762" t="s">
        <v>1997</v>
      </c>
      <c r="H16" s="762" t="s">
        <v>1997</v>
      </c>
      <c r="I16" s="256" t="str">
        <f t="shared" si="0"/>
        <v>AT0000A0DXC2</v>
      </c>
      <c r="J16" s="256" t="str">
        <f t="shared" si="1"/>
        <v>AT0000A0DXC2</v>
      </c>
      <c r="K16" s="318" t="str">
        <f t="shared" si="2"/>
        <v>FGBLH8</v>
      </c>
      <c r="L16" s="318" t="str">
        <f t="shared" si="3"/>
        <v>FGBLH8</v>
      </c>
      <c r="M16" s="364" t="s">
        <v>1997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797" t="s">
        <v>1721</v>
      </c>
      <c r="B17" s="768">
        <v>46315</v>
      </c>
      <c r="C17" s="770" t="s">
        <v>808</v>
      </c>
      <c r="D17" s="770" t="s">
        <v>809</v>
      </c>
      <c r="E17" s="801">
        <v>0.59699999999999998</v>
      </c>
      <c r="F17" s="769">
        <v>5.97</v>
      </c>
      <c r="G17" s="762" t="s">
        <v>1997</v>
      </c>
      <c r="H17" s="762" t="s">
        <v>1997</v>
      </c>
      <c r="I17" s="256" t="str">
        <f t="shared" si="0"/>
        <v>AT0000A1K9C8</v>
      </c>
      <c r="J17" s="256" t="str">
        <f t="shared" si="1"/>
        <v>AT0000A1K9C8</v>
      </c>
      <c r="K17" s="318" t="str">
        <f t="shared" si="2"/>
        <v>FGBLH8</v>
      </c>
      <c r="L17" s="318" t="str">
        <f t="shared" si="3"/>
        <v>FGBLH8</v>
      </c>
      <c r="M17" s="364" t="s">
        <v>1997</v>
      </c>
    </row>
    <row r="18" spans="1:13" ht="16.5" thickBot="1">
      <c r="A18" s="797" t="s">
        <v>1722</v>
      </c>
      <c r="B18" s="768">
        <v>46497</v>
      </c>
      <c r="C18" s="776" t="s">
        <v>986</v>
      </c>
      <c r="D18" s="793" t="s">
        <v>1002</v>
      </c>
      <c r="E18" s="801">
        <v>0.61699999999999999</v>
      </c>
      <c r="F18" s="769">
        <v>6.17</v>
      </c>
      <c r="G18" s="762" t="s">
        <v>1997</v>
      </c>
      <c r="H18" s="762" t="s">
        <v>1997</v>
      </c>
      <c r="I18" s="256" t="str">
        <f t="shared" si="0"/>
        <v>AT0000A1VGK0</v>
      </c>
      <c r="J18" s="256" t="str">
        <f t="shared" si="1"/>
        <v>AT0000A1VGK0</v>
      </c>
      <c r="K18" s="318" t="str">
        <f t="shared" si="2"/>
        <v>FGBLH8</v>
      </c>
      <c r="L18" s="318" t="str">
        <f t="shared" si="3"/>
        <v>FGBLH8</v>
      </c>
      <c r="M18" s="364" t="s">
        <v>1997</v>
      </c>
    </row>
    <row r="19" spans="1:13" ht="16.5" thickBot="1">
      <c r="A19" s="797" t="s">
        <v>1723</v>
      </c>
      <c r="B19" s="768">
        <v>46583</v>
      </c>
      <c r="C19" s="760" t="s">
        <v>316</v>
      </c>
      <c r="D19" s="760" t="s">
        <v>631</v>
      </c>
      <c r="E19" s="801">
        <v>0.83399999999999996</v>
      </c>
      <c r="F19" s="769">
        <v>8.34</v>
      </c>
      <c r="G19" s="762" t="s">
        <v>1997</v>
      </c>
      <c r="H19" s="762" t="s">
        <v>1997</v>
      </c>
      <c r="I19" s="256" t="str">
        <f t="shared" si="0"/>
        <v>AT0000383864</v>
      </c>
      <c r="J19" s="256" t="str">
        <f t="shared" si="1"/>
        <v>AT0000383864</v>
      </c>
      <c r="K19" s="318" t="str">
        <f t="shared" si="2"/>
        <v>FGBLH8</v>
      </c>
      <c r="L19" s="318" t="str">
        <f t="shared" si="3"/>
        <v>FGBLH8</v>
      </c>
      <c r="M19" s="364" t="s">
        <v>1997</v>
      </c>
    </row>
    <row r="20" spans="1:13" ht="16.5" thickBot="1">
      <c r="A20" s="797" t="s">
        <v>1724</v>
      </c>
      <c r="B20" s="768">
        <v>49087</v>
      </c>
      <c r="C20" s="760" t="s">
        <v>444</v>
      </c>
      <c r="D20" s="760" t="s">
        <v>632</v>
      </c>
      <c r="E20" s="801">
        <v>1.1299999999999999</v>
      </c>
      <c r="F20" s="769">
        <v>11.299999999999999</v>
      </c>
      <c r="G20" s="762" t="s">
        <v>1997</v>
      </c>
      <c r="H20" s="762" t="s">
        <v>1997</v>
      </c>
      <c r="I20" s="256" t="str">
        <f t="shared" si="0"/>
        <v>AT0000A10683</v>
      </c>
      <c r="J20" s="256" t="str">
        <f t="shared" si="1"/>
        <v>AT0000A10683</v>
      </c>
      <c r="K20" s="318" t="str">
        <f t="shared" si="2"/>
        <v>FGBLH8</v>
      </c>
      <c r="L20" s="318" t="str">
        <f t="shared" si="3"/>
        <v>FGBLH8</v>
      </c>
      <c r="M20" s="364" t="s">
        <v>1997</v>
      </c>
    </row>
    <row r="21" spans="1:13" ht="16.5" thickBot="1">
      <c r="A21" s="797" t="s">
        <v>1725</v>
      </c>
      <c r="B21" s="768">
        <v>50114</v>
      </c>
      <c r="C21" s="760" t="s">
        <v>445</v>
      </c>
      <c r="D21" s="760" t="s">
        <v>633</v>
      </c>
      <c r="E21" s="801">
        <v>1.502</v>
      </c>
      <c r="F21" s="769">
        <v>15.02</v>
      </c>
      <c r="G21" s="762" t="s">
        <v>1997</v>
      </c>
      <c r="H21" s="762" t="s">
        <v>1997</v>
      </c>
      <c r="I21" s="256" t="str">
        <f t="shared" si="0"/>
        <v>AT0000A04967</v>
      </c>
      <c r="J21" s="256" t="str">
        <f t="shared" si="1"/>
        <v>AT0000A04967</v>
      </c>
      <c r="K21" s="318" t="str">
        <f t="shared" si="2"/>
        <v>FGBLH8</v>
      </c>
      <c r="L21" s="318" t="str">
        <f t="shared" si="3"/>
        <v>FGBLH8</v>
      </c>
      <c r="M21" s="364" t="s">
        <v>1997</v>
      </c>
    </row>
    <row r="22" spans="1:13" ht="16.5" thickBot="1">
      <c r="A22" s="797" t="s">
        <v>1726</v>
      </c>
      <c r="B22" s="768">
        <v>52768</v>
      </c>
      <c r="C22" s="760" t="s">
        <v>446</v>
      </c>
      <c r="D22" s="760" t="s">
        <v>634</v>
      </c>
      <c r="E22" s="801">
        <v>1.841</v>
      </c>
      <c r="F22" s="769">
        <v>18.41</v>
      </c>
      <c r="G22" s="762" t="s">
        <v>1997</v>
      </c>
      <c r="H22" s="762" t="s">
        <v>1997</v>
      </c>
      <c r="I22" s="256" t="str">
        <f t="shared" si="0"/>
        <v>AT0000A0VRQ6</v>
      </c>
      <c r="J22" s="256" t="str">
        <f t="shared" si="1"/>
        <v>AT0000A0VRQ6</v>
      </c>
      <c r="K22" s="318" t="str">
        <f t="shared" si="2"/>
        <v>FGBLH8</v>
      </c>
      <c r="L22" s="318" t="str">
        <f t="shared" si="3"/>
        <v>FGBLH8</v>
      </c>
      <c r="M22" s="364" t="s">
        <v>1997</v>
      </c>
    </row>
    <row r="23" spans="1:13" ht="16.5" thickBot="1">
      <c r="A23" s="797" t="s">
        <v>1727</v>
      </c>
      <c r="B23" s="768">
        <v>53743</v>
      </c>
      <c r="C23" s="770" t="s">
        <v>810</v>
      </c>
      <c r="D23" s="760" t="s">
        <v>811</v>
      </c>
      <c r="E23" s="801">
        <v>1.599</v>
      </c>
      <c r="F23" s="769">
        <v>15.99</v>
      </c>
      <c r="G23" s="762" t="s">
        <v>1997</v>
      </c>
      <c r="H23" s="762" t="s">
        <v>1997</v>
      </c>
      <c r="I23" s="256" t="str">
        <f t="shared" si="0"/>
        <v>AT0000A1K9F1</v>
      </c>
      <c r="J23" s="256" t="str">
        <f t="shared" si="1"/>
        <v>AT0000A1K9F1</v>
      </c>
      <c r="K23" s="318" t="str">
        <f t="shared" si="2"/>
        <v>FGBLH8</v>
      </c>
      <c r="L23" s="318" t="str">
        <f t="shared" si="3"/>
        <v>FGBLH8</v>
      </c>
      <c r="M23" s="364" t="s">
        <v>1997</v>
      </c>
    </row>
    <row r="24" spans="1:13" ht="16.5" thickBot="1">
      <c r="A24" s="797" t="s">
        <v>1728</v>
      </c>
      <c r="B24" s="768">
        <v>59197</v>
      </c>
      <c r="C24" s="760" t="s">
        <v>447</v>
      </c>
      <c r="D24" s="760" t="s">
        <v>635</v>
      </c>
      <c r="E24" s="801">
        <v>3.0459999999999998</v>
      </c>
      <c r="F24" s="769">
        <v>30.459999999999997</v>
      </c>
      <c r="G24" s="762" t="s">
        <v>1997</v>
      </c>
      <c r="H24" s="762" t="s">
        <v>1997</v>
      </c>
      <c r="I24" s="256" t="str">
        <f t="shared" si="0"/>
        <v>AT0000A0U299</v>
      </c>
      <c r="J24" s="256" t="str">
        <f t="shared" si="1"/>
        <v>AT0000A0U299</v>
      </c>
      <c r="K24" s="318" t="str">
        <f t="shared" si="2"/>
        <v>FGBLH8</v>
      </c>
      <c r="L24" s="318" t="str">
        <f t="shared" si="3"/>
        <v>FGBLH8</v>
      </c>
      <c r="M24" s="364" t="s">
        <v>1997</v>
      </c>
    </row>
    <row r="25" spans="1:13" ht="15.75">
      <c r="A25" s="797" t="s">
        <v>1729</v>
      </c>
      <c r="B25" s="768">
        <v>68243</v>
      </c>
      <c r="C25" s="771" t="s">
        <v>932</v>
      </c>
      <c r="D25" s="771" t="s">
        <v>910</v>
      </c>
      <c r="E25" s="802">
        <v>2.4460000000000002</v>
      </c>
      <c r="F25" s="769">
        <v>24.46</v>
      </c>
      <c r="G25" s="762" t="s">
        <v>1997</v>
      </c>
      <c r="H25" s="762" t="s">
        <v>1997</v>
      </c>
      <c r="I25" s="256" t="str">
        <f t="shared" si="0"/>
        <v>AT0000A1PEF7</v>
      </c>
      <c r="J25" s="256" t="str">
        <f t="shared" si="1"/>
        <v>AT0000A1PEF7</v>
      </c>
      <c r="K25" s="318" t="str">
        <f t="shared" si="2"/>
        <v>FGBLH8</v>
      </c>
      <c r="L25" s="318" t="str">
        <f t="shared" si="3"/>
        <v>FGBLH8</v>
      </c>
      <c r="M25" s="364" t="s">
        <v>1997</v>
      </c>
    </row>
    <row r="26" spans="1:13" ht="15.75">
      <c r="A26" s="796" t="s">
        <v>1730</v>
      </c>
      <c r="B26" s="768">
        <v>79522</v>
      </c>
      <c r="C26" s="796" t="s">
        <v>1731</v>
      </c>
      <c r="D26" s="771" t="s">
        <v>1732</v>
      </c>
      <c r="E26" s="803">
        <v>3.113</v>
      </c>
      <c r="F26" s="769">
        <v>31.13</v>
      </c>
      <c r="G26" s="762" t="s">
        <v>1997</v>
      </c>
      <c r="H26" s="762" t="s">
        <v>1997</v>
      </c>
      <c r="I26" s="256" t="str">
        <f t="shared" si="0"/>
        <v>AT0000A1XML2</v>
      </c>
      <c r="J26" s="256" t="str">
        <f t="shared" si="1"/>
        <v>AT0000A1XML2</v>
      </c>
      <c r="K26" s="318" t="str">
        <f t="shared" si="2"/>
        <v>FGBLH8</v>
      </c>
      <c r="L26" s="318" t="str">
        <f t="shared" si="3"/>
        <v>FGBLH8</v>
      </c>
      <c r="M26" s="364" t="s">
        <v>1997</v>
      </c>
    </row>
    <row r="27" spans="1:13" ht="16.5" thickBot="1">
      <c r="A27" s="773" t="s">
        <v>579</v>
      </c>
      <c r="B27" s="768"/>
      <c r="C27" s="760"/>
      <c r="D27" s="760" t="s">
        <v>621</v>
      </c>
      <c r="E27" s="774"/>
      <c r="F27" s="769"/>
      <c r="G27" s="760" t="s">
        <v>621</v>
      </c>
      <c r="H27" s="760" t="s">
        <v>621</v>
      </c>
      <c r="I27" s="256" t="str">
        <f t="shared" si="0"/>
        <v/>
      </c>
      <c r="J27" s="256" t="str">
        <f t="shared" si="1"/>
        <v/>
      </c>
      <c r="K27" s="318" t="str">
        <f t="shared" si="2"/>
        <v/>
      </c>
      <c r="L27" s="318" t="str">
        <f t="shared" si="3"/>
        <v/>
      </c>
      <c r="M27" s="364" t="s">
        <v>621</v>
      </c>
    </row>
    <row r="28" spans="1:13" ht="16.5" thickBot="1">
      <c r="A28" s="797" t="s">
        <v>1733</v>
      </c>
      <c r="B28" s="768">
        <v>43187</v>
      </c>
      <c r="C28" s="760" t="s">
        <v>448</v>
      </c>
      <c r="D28" s="760" t="s">
        <v>636</v>
      </c>
      <c r="E28" s="804">
        <v>0.156</v>
      </c>
      <c r="F28" s="769">
        <v>1.56</v>
      </c>
      <c r="G28" s="762" t="s">
        <v>1995</v>
      </c>
      <c r="H28" s="762" t="s">
        <v>1995</v>
      </c>
      <c r="I28" s="256" t="str">
        <f t="shared" si="0"/>
        <v>BE0000312216</v>
      </c>
      <c r="J28" s="256" t="str">
        <f t="shared" si="1"/>
        <v>BE0000312216</v>
      </c>
      <c r="K28" s="318" t="str">
        <f t="shared" si="2"/>
        <v>FGBSH8</v>
      </c>
      <c r="L28" s="318" t="str">
        <f t="shared" si="3"/>
        <v>FGBSH8</v>
      </c>
      <c r="M28" s="364" t="s">
        <v>1995</v>
      </c>
    </row>
    <row r="29" spans="1:13" ht="16.5" thickBot="1">
      <c r="A29" s="797" t="s">
        <v>1734</v>
      </c>
      <c r="B29" s="775">
        <v>43273</v>
      </c>
      <c r="C29" s="762" t="s">
        <v>449</v>
      </c>
      <c r="D29" s="762" t="s">
        <v>637</v>
      </c>
      <c r="E29" s="804">
        <v>0.25600000000000001</v>
      </c>
      <c r="F29" s="769">
        <v>2.56</v>
      </c>
      <c r="G29" s="762" t="s">
        <v>1995</v>
      </c>
      <c r="H29" s="762" t="s">
        <v>1995</v>
      </c>
      <c r="I29" s="256" t="str">
        <f t="shared" si="0"/>
        <v>BE0000329384</v>
      </c>
      <c r="J29" s="256" t="str">
        <f t="shared" si="1"/>
        <v>BE0000329384</v>
      </c>
      <c r="K29" s="318" t="str">
        <f t="shared" si="2"/>
        <v>FGBSH8</v>
      </c>
      <c r="L29" s="318" t="str">
        <f t="shared" si="3"/>
        <v>FGBSH8</v>
      </c>
      <c r="M29" s="364" t="s">
        <v>1995</v>
      </c>
    </row>
    <row r="30" spans="1:13" ht="16.5" thickBot="1">
      <c r="A30" s="797" t="s">
        <v>1735</v>
      </c>
      <c r="B30" s="775">
        <v>43552</v>
      </c>
      <c r="C30" s="762" t="s">
        <v>450</v>
      </c>
      <c r="D30" s="762" t="s">
        <v>638</v>
      </c>
      <c r="E30" s="804">
        <v>0.61699999999999999</v>
      </c>
      <c r="F30" s="769">
        <v>6.17</v>
      </c>
      <c r="G30" s="762" t="s">
        <v>1995</v>
      </c>
      <c r="H30" s="762" t="s">
        <v>1995</v>
      </c>
      <c r="I30" s="256" t="str">
        <f t="shared" si="0"/>
        <v>BE0000315243</v>
      </c>
      <c r="J30" s="256" t="str">
        <f t="shared" si="1"/>
        <v>BE0000315243</v>
      </c>
      <c r="K30" s="318" t="str">
        <f t="shared" si="2"/>
        <v>FGBSH8</v>
      </c>
      <c r="L30" s="318" t="str">
        <f t="shared" si="3"/>
        <v>FGBSH8</v>
      </c>
      <c r="M30" s="364" t="s">
        <v>1995</v>
      </c>
    </row>
    <row r="31" spans="1:13" ht="16.5" thickBot="1">
      <c r="A31" s="797" t="s">
        <v>1736</v>
      </c>
      <c r="B31" s="775">
        <v>43736</v>
      </c>
      <c r="C31" s="762" t="s">
        <v>451</v>
      </c>
      <c r="D31" s="762" t="s">
        <v>639</v>
      </c>
      <c r="E31" s="804">
        <v>0.84399999999999997</v>
      </c>
      <c r="F31" s="769">
        <v>8.44</v>
      </c>
      <c r="G31" s="762" t="s">
        <v>1995</v>
      </c>
      <c r="H31" s="762" t="s">
        <v>1995</v>
      </c>
      <c r="I31" s="256" t="str">
        <f t="shared" si="0"/>
        <v>BE0000327362</v>
      </c>
      <c r="J31" s="256" t="str">
        <f t="shared" si="1"/>
        <v>BE0000327362</v>
      </c>
      <c r="K31" s="318" t="str">
        <f t="shared" si="2"/>
        <v>FGBSH8</v>
      </c>
      <c r="L31" s="318" t="str">
        <f t="shared" si="3"/>
        <v>FGBSH8</v>
      </c>
      <c r="M31" s="364" t="s">
        <v>1995</v>
      </c>
    </row>
    <row r="32" spans="1:13" ht="16.5" thickBot="1">
      <c r="A32" s="797" t="s">
        <v>1737</v>
      </c>
      <c r="B32" s="775">
        <v>44102</v>
      </c>
      <c r="C32" s="762" t="s">
        <v>452</v>
      </c>
      <c r="D32" s="762" t="s">
        <v>640</v>
      </c>
      <c r="E32" s="804">
        <v>1.341</v>
      </c>
      <c r="F32" s="769">
        <v>13.41</v>
      </c>
      <c r="G32" s="762" t="s">
        <v>1995</v>
      </c>
      <c r="H32" s="762" t="s">
        <v>1995</v>
      </c>
      <c r="I32" s="256" t="str">
        <f t="shared" si="0"/>
        <v>BE0000318270</v>
      </c>
      <c r="J32" s="256" t="str">
        <f t="shared" si="1"/>
        <v>BE0000318270</v>
      </c>
      <c r="K32" s="318" t="str">
        <f t="shared" si="2"/>
        <v>FGBSH8</v>
      </c>
      <c r="L32" s="318" t="str">
        <f t="shared" si="3"/>
        <v>FGBSH8</v>
      </c>
      <c r="M32" s="364" t="s">
        <v>1995</v>
      </c>
    </row>
    <row r="33" spans="1:149" ht="16.5" thickBot="1">
      <c r="A33" s="797" t="s">
        <v>1738</v>
      </c>
      <c r="B33" s="775">
        <v>44467</v>
      </c>
      <c r="C33" s="762" t="s">
        <v>453</v>
      </c>
      <c r="D33" s="762" t="s">
        <v>641</v>
      </c>
      <c r="E33" s="805">
        <v>0.66900000000000004</v>
      </c>
      <c r="F33" s="769">
        <v>6.69</v>
      </c>
      <c r="G33" s="762" t="s">
        <v>1996</v>
      </c>
      <c r="H33" s="762" t="s">
        <v>1996</v>
      </c>
      <c r="I33" s="256" t="str">
        <f t="shared" si="0"/>
        <v>BE0000321308</v>
      </c>
      <c r="J33" s="256" t="str">
        <f t="shared" si="1"/>
        <v>BE0000321308</v>
      </c>
      <c r="K33" s="318" t="str">
        <f t="shared" si="2"/>
        <v>FGBMH8</v>
      </c>
      <c r="L33" s="318" t="str">
        <f t="shared" si="3"/>
        <v>FGBMH8</v>
      </c>
      <c r="M33" s="364" t="s">
        <v>1996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797" t="s">
        <v>1739</v>
      </c>
      <c r="B34" s="775">
        <v>44648</v>
      </c>
      <c r="C34" s="762" t="s">
        <v>454</v>
      </c>
      <c r="D34" s="762" t="s">
        <v>642</v>
      </c>
      <c r="E34" s="805">
        <v>0.75600000000000001</v>
      </c>
      <c r="F34" s="769">
        <v>7.5600000000000005</v>
      </c>
      <c r="G34" s="762" t="s">
        <v>1996</v>
      </c>
      <c r="H34" s="762" t="s">
        <v>1996</v>
      </c>
      <c r="I34" s="256" t="str">
        <f t="shared" si="0"/>
        <v>BE0000308172</v>
      </c>
      <c r="J34" s="256" t="str">
        <f t="shared" si="1"/>
        <v>BE0000308172</v>
      </c>
      <c r="K34" s="318" t="str">
        <f t="shared" si="2"/>
        <v>FGBMH8</v>
      </c>
      <c r="L34" s="318" t="str">
        <f t="shared" si="3"/>
        <v>FGBMH8</v>
      </c>
      <c r="M34" s="364" t="s">
        <v>1996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797" t="s">
        <v>1740</v>
      </c>
      <c r="B35" s="775">
        <v>44832</v>
      </c>
      <c r="C35" s="762" t="s">
        <v>455</v>
      </c>
      <c r="D35" s="762" t="s">
        <v>643</v>
      </c>
      <c r="E35" s="805">
        <v>0.85399999999999998</v>
      </c>
      <c r="F35" s="769">
        <v>8.5399999999999991</v>
      </c>
      <c r="G35" s="762" t="s">
        <v>1996</v>
      </c>
      <c r="H35" s="762" t="s">
        <v>1996</v>
      </c>
      <c r="I35" s="256" t="str">
        <f t="shared" si="0"/>
        <v>BE0000325341</v>
      </c>
      <c r="J35" s="256" t="str">
        <f t="shared" si="1"/>
        <v>BE0000325341</v>
      </c>
      <c r="K35" s="318" t="str">
        <f t="shared" si="2"/>
        <v>FGBMH8</v>
      </c>
      <c r="L35" s="318" t="str">
        <f t="shared" si="3"/>
        <v>FGBMH8</v>
      </c>
      <c r="M35" s="364" t="s">
        <v>1996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797" t="s">
        <v>1741</v>
      </c>
      <c r="B36" s="775">
        <v>45099</v>
      </c>
      <c r="C36" s="762" t="s">
        <v>456</v>
      </c>
      <c r="D36" s="762" t="s">
        <v>644</v>
      </c>
      <c r="E36" s="805">
        <v>0.93300000000000005</v>
      </c>
      <c r="F36" s="769">
        <v>9.33</v>
      </c>
      <c r="G36" s="762" t="s">
        <v>1996</v>
      </c>
      <c r="H36" s="762" t="s">
        <v>1996</v>
      </c>
      <c r="I36" s="256" t="str">
        <f t="shared" si="0"/>
        <v>BE0000328378</v>
      </c>
      <c r="J36" s="256" t="str">
        <f t="shared" si="1"/>
        <v>BE0000328378</v>
      </c>
      <c r="K36" s="318" t="str">
        <f t="shared" si="2"/>
        <v>FGBMH8</v>
      </c>
      <c r="L36" s="318" t="str">
        <f t="shared" si="3"/>
        <v>FGBMH8</v>
      </c>
      <c r="M36" s="364" t="s">
        <v>1996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797" t="s">
        <v>1742</v>
      </c>
      <c r="B37" s="775">
        <v>45221</v>
      </c>
      <c r="C37" s="762" t="s">
        <v>869</v>
      </c>
      <c r="D37" s="770" t="s">
        <v>870</v>
      </c>
      <c r="E37" s="806">
        <v>0.92</v>
      </c>
      <c r="F37" s="769">
        <v>9.2000000000000011</v>
      </c>
      <c r="G37" s="762" t="s">
        <v>1996</v>
      </c>
      <c r="H37" s="762" t="s">
        <v>1996</v>
      </c>
      <c r="I37" s="256" t="str">
        <f t="shared" si="0"/>
        <v>BE0000339482</v>
      </c>
      <c r="J37" s="256" t="str">
        <f t="shared" si="1"/>
        <v>BE0000339482</v>
      </c>
      <c r="K37" s="318" t="str">
        <f t="shared" si="2"/>
        <v>FGBMH8</v>
      </c>
      <c r="L37" s="318" t="str">
        <f t="shared" si="3"/>
        <v>FGBMH8</v>
      </c>
      <c r="M37" s="364" t="s">
        <v>1996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797" t="s">
        <v>1743</v>
      </c>
      <c r="B38" s="775">
        <v>45465</v>
      </c>
      <c r="C38" s="762" t="s">
        <v>457</v>
      </c>
      <c r="D38" s="762" t="s">
        <v>410</v>
      </c>
      <c r="E38" s="806">
        <v>1.1100000000000001</v>
      </c>
      <c r="F38" s="769">
        <v>11.100000000000001</v>
      </c>
      <c r="G38" s="762" t="s">
        <v>1996</v>
      </c>
      <c r="H38" s="762" t="s">
        <v>1996</v>
      </c>
      <c r="I38" s="256" t="str">
        <f t="shared" si="0"/>
        <v>BE0000332412</v>
      </c>
      <c r="J38" s="256" t="str">
        <f t="shared" si="1"/>
        <v>BE0000332412</v>
      </c>
      <c r="K38" s="318" t="str">
        <f t="shared" si="2"/>
        <v>FGBMH8</v>
      </c>
      <c r="L38" s="318" t="str">
        <f t="shared" si="3"/>
        <v>FGBMH8</v>
      </c>
      <c r="M38" s="364" t="s">
        <v>1996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797" t="s">
        <v>1744</v>
      </c>
      <c r="B39" s="775">
        <v>45587</v>
      </c>
      <c r="C39" s="762" t="s">
        <v>933</v>
      </c>
      <c r="D39" s="776" t="s">
        <v>934</v>
      </c>
      <c r="E39" s="806">
        <v>1.0740000000000001</v>
      </c>
      <c r="F39" s="769">
        <v>10.74</v>
      </c>
      <c r="G39" s="762" t="s">
        <v>1996</v>
      </c>
      <c r="H39" s="762" t="s">
        <v>1996</v>
      </c>
      <c r="I39" s="256" t="str">
        <f t="shared" si="0"/>
        <v>BE0000342510</v>
      </c>
      <c r="J39" s="256" t="str">
        <f t="shared" si="1"/>
        <v>BE0000342510</v>
      </c>
      <c r="K39" s="318" t="str">
        <f t="shared" si="2"/>
        <v>FGBMH8</v>
      </c>
      <c r="L39" s="318" t="str">
        <f t="shared" si="3"/>
        <v>FGBMH8</v>
      </c>
      <c r="M39" s="364" t="s">
        <v>1996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797" t="s">
        <v>1745</v>
      </c>
      <c r="B40" s="775">
        <v>45830</v>
      </c>
      <c r="C40" s="777" t="s">
        <v>580</v>
      </c>
      <c r="D40" s="777" t="s">
        <v>581</v>
      </c>
      <c r="E40" s="807">
        <v>0.51700000000000002</v>
      </c>
      <c r="F40" s="769">
        <v>5.17</v>
      </c>
      <c r="G40" s="762" t="s">
        <v>1997</v>
      </c>
      <c r="H40" s="762" t="s">
        <v>1997</v>
      </c>
      <c r="I40" s="256" t="str">
        <f t="shared" si="0"/>
        <v>BE0000334434</v>
      </c>
      <c r="J40" s="256" t="str">
        <f t="shared" si="1"/>
        <v>BE0000334434</v>
      </c>
      <c r="K40" s="318" t="str">
        <f t="shared" si="2"/>
        <v>FGBLH8</v>
      </c>
      <c r="L40" s="318" t="str">
        <f t="shared" si="3"/>
        <v>FGBLH8</v>
      </c>
      <c r="M40" s="364" t="s">
        <v>1997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797" t="s">
        <v>1746</v>
      </c>
      <c r="B41" s="775">
        <v>46109</v>
      </c>
      <c r="C41" s="762" t="s">
        <v>458</v>
      </c>
      <c r="D41" s="762" t="s">
        <v>645</v>
      </c>
      <c r="E41" s="807">
        <v>0.66400000000000003</v>
      </c>
      <c r="F41" s="769">
        <v>6.6400000000000006</v>
      </c>
      <c r="G41" s="762" t="s">
        <v>1997</v>
      </c>
      <c r="H41" s="762" t="s">
        <v>1997</v>
      </c>
      <c r="I41" s="256" t="str">
        <f t="shared" si="0"/>
        <v>BE0000324336</v>
      </c>
      <c r="J41" s="256" t="str">
        <f t="shared" si="1"/>
        <v>BE0000324336</v>
      </c>
      <c r="K41" s="318" t="str">
        <f t="shared" si="2"/>
        <v>FGBLH8</v>
      </c>
      <c r="L41" s="318" t="str">
        <f t="shared" si="3"/>
        <v>FGBLH8</v>
      </c>
      <c r="M41" s="364" t="s">
        <v>1997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797" t="s">
        <v>1747</v>
      </c>
      <c r="B42" s="775">
        <v>46195</v>
      </c>
      <c r="C42" s="770" t="s">
        <v>812</v>
      </c>
      <c r="D42" s="770" t="s">
        <v>813</v>
      </c>
      <c r="E42" s="807">
        <v>0.58299999999999996</v>
      </c>
      <c r="F42" s="769">
        <v>5.83</v>
      </c>
      <c r="G42" s="762" t="s">
        <v>1997</v>
      </c>
      <c r="H42" s="762" t="s">
        <v>1997</v>
      </c>
      <c r="I42" s="256" t="str">
        <f t="shared" si="0"/>
        <v>BE0000337460</v>
      </c>
      <c r="J42" s="256" t="str">
        <f t="shared" si="1"/>
        <v>BE0000337460</v>
      </c>
      <c r="K42" s="318" t="str">
        <f t="shared" si="2"/>
        <v>FGBLH8</v>
      </c>
      <c r="L42" s="318" t="str">
        <f t="shared" si="3"/>
        <v>FGBLH8</v>
      </c>
      <c r="M42" s="364" t="s">
        <v>1997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797" t="s">
        <v>1748</v>
      </c>
      <c r="B43" s="775">
        <v>46560</v>
      </c>
      <c r="C43" s="770" t="s">
        <v>935</v>
      </c>
      <c r="D43" s="770" t="s">
        <v>936</v>
      </c>
      <c r="E43" s="807">
        <v>0.63300000000000001</v>
      </c>
      <c r="F43" s="769">
        <v>6.33</v>
      </c>
      <c r="G43" s="762" t="s">
        <v>1997</v>
      </c>
      <c r="H43" s="762" t="s">
        <v>1997</v>
      </c>
      <c r="I43" s="256" t="str">
        <f t="shared" si="0"/>
        <v>BE0000341504</v>
      </c>
      <c r="J43" s="256" t="str">
        <f t="shared" si="1"/>
        <v>BE0000341504</v>
      </c>
      <c r="K43" s="318" t="str">
        <f t="shared" si="2"/>
        <v>FGBLH8</v>
      </c>
      <c r="L43" s="318" t="str">
        <f t="shared" si="3"/>
        <v>FGBLH8</v>
      </c>
      <c r="M43" s="364" t="s">
        <v>1997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797" t="s">
        <v>1749</v>
      </c>
      <c r="B44" s="775">
        <v>46840</v>
      </c>
      <c r="C44" s="762" t="s">
        <v>317</v>
      </c>
      <c r="D44" s="762" t="s">
        <v>646</v>
      </c>
      <c r="E44" s="807">
        <v>0.86399999999999999</v>
      </c>
      <c r="F44" s="769">
        <v>8.64</v>
      </c>
      <c r="G44" s="762" t="s">
        <v>1997</v>
      </c>
      <c r="H44" s="762" t="s">
        <v>1997</v>
      </c>
      <c r="I44" s="256" t="str">
        <f t="shared" si="0"/>
        <v>BE0000291972</v>
      </c>
      <c r="J44" s="256" t="str">
        <f t="shared" si="1"/>
        <v>BE0000291972</v>
      </c>
      <c r="K44" s="318" t="str">
        <f t="shared" si="2"/>
        <v>FGBLH8</v>
      </c>
      <c r="L44" s="318" t="str">
        <f t="shared" si="3"/>
        <v>FGBLH8</v>
      </c>
      <c r="M44" s="364" t="s">
        <v>1997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797" t="s">
        <v>1750</v>
      </c>
      <c r="B45" s="775">
        <v>48021</v>
      </c>
      <c r="C45" s="777" t="s">
        <v>582</v>
      </c>
      <c r="D45" s="762" t="s">
        <v>583</v>
      </c>
      <c r="E45" s="807">
        <v>0.85299999999999998</v>
      </c>
      <c r="F45" s="769">
        <v>8.5299999999999994</v>
      </c>
      <c r="G45" s="762" t="s">
        <v>1997</v>
      </c>
      <c r="H45" s="762" t="s">
        <v>1997</v>
      </c>
      <c r="I45" s="256" t="str">
        <f t="shared" si="0"/>
        <v>BE0000335449</v>
      </c>
      <c r="J45" s="256" t="str">
        <f t="shared" si="1"/>
        <v>BE0000335449</v>
      </c>
      <c r="K45" s="318" t="str">
        <f t="shared" si="2"/>
        <v>FGBLH8</v>
      </c>
      <c r="L45" s="318" t="str">
        <f t="shared" si="3"/>
        <v>FGBLH8</v>
      </c>
      <c r="M45" s="364" t="s">
        <v>1997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797" t="s">
        <v>1751</v>
      </c>
      <c r="B46" s="775">
        <v>48301</v>
      </c>
      <c r="C46" s="762" t="s">
        <v>459</v>
      </c>
      <c r="D46" s="762" t="s">
        <v>647</v>
      </c>
      <c r="E46" s="807">
        <v>1.1040000000000001</v>
      </c>
      <c r="F46" s="769">
        <v>11.040000000000001</v>
      </c>
      <c r="G46" s="762" t="s">
        <v>1997</v>
      </c>
      <c r="H46" s="762" t="s">
        <v>1997</v>
      </c>
      <c r="I46" s="256" t="str">
        <f t="shared" si="0"/>
        <v>BE0000326356</v>
      </c>
      <c r="J46" s="256" t="str">
        <f t="shared" si="1"/>
        <v>BE0000326356</v>
      </c>
      <c r="K46" s="318" t="str">
        <f t="shared" si="2"/>
        <v>FGBLH8</v>
      </c>
      <c r="L46" s="318" t="str">
        <f t="shared" si="3"/>
        <v>FGBLH8</v>
      </c>
      <c r="M46" s="364" t="s">
        <v>1997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797" t="s">
        <v>1752</v>
      </c>
      <c r="B47" s="775">
        <v>49117</v>
      </c>
      <c r="C47" s="762" t="s">
        <v>460</v>
      </c>
      <c r="D47" s="778" t="s">
        <v>411</v>
      </c>
      <c r="E47" s="807">
        <v>1.171</v>
      </c>
      <c r="F47" s="769">
        <v>11.71</v>
      </c>
      <c r="G47" s="762" t="s">
        <v>1997</v>
      </c>
      <c r="H47" s="762" t="s">
        <v>1997</v>
      </c>
      <c r="I47" s="256" t="str">
        <f t="shared" si="0"/>
        <v>BE0000333428</v>
      </c>
      <c r="J47" s="256" t="str">
        <f t="shared" si="1"/>
        <v>BE0000333428</v>
      </c>
      <c r="K47" s="318" t="str">
        <f t="shared" si="2"/>
        <v>FGBLH8</v>
      </c>
      <c r="L47" s="318" t="str">
        <f t="shared" si="3"/>
        <v>FGBLH8</v>
      </c>
      <c r="M47" s="364" t="s">
        <v>1997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797" t="s">
        <v>1753</v>
      </c>
      <c r="B48" s="775">
        <v>49396</v>
      </c>
      <c r="C48" s="762" t="s">
        <v>319</v>
      </c>
      <c r="D48" s="762" t="s">
        <v>648</v>
      </c>
      <c r="E48" s="807">
        <v>1.419</v>
      </c>
      <c r="F48" s="769">
        <v>14.190000000000001</v>
      </c>
      <c r="G48" s="762" t="s">
        <v>1997</v>
      </c>
      <c r="H48" s="762" t="s">
        <v>1997</v>
      </c>
      <c r="I48" s="256" t="str">
        <f t="shared" si="0"/>
        <v>BE0000304130</v>
      </c>
      <c r="J48" s="256" t="str">
        <f t="shared" si="1"/>
        <v>BE0000304130</v>
      </c>
      <c r="K48" s="318" t="str">
        <f t="shared" si="2"/>
        <v>FGBLH8</v>
      </c>
      <c r="L48" s="318" t="str">
        <f t="shared" si="3"/>
        <v>FGBLH8</v>
      </c>
      <c r="M48" s="364" t="s">
        <v>1997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797" t="s">
        <v>1754</v>
      </c>
      <c r="B49" s="775">
        <v>50213</v>
      </c>
      <c r="C49" s="776" t="s">
        <v>987</v>
      </c>
      <c r="D49" s="793" t="s">
        <v>1003</v>
      </c>
      <c r="E49" s="807">
        <v>1.165</v>
      </c>
      <c r="F49" s="769">
        <v>11.65</v>
      </c>
      <c r="G49" s="762" t="s">
        <v>1997</v>
      </c>
      <c r="H49" s="762" t="s">
        <v>1997</v>
      </c>
      <c r="I49" s="256" t="str">
        <f t="shared" si="0"/>
        <v>BE0000344532</v>
      </c>
      <c r="J49" s="256" t="str">
        <f t="shared" si="1"/>
        <v>BE0000344532</v>
      </c>
      <c r="K49" s="318" t="str">
        <f t="shared" si="2"/>
        <v>FGBLH8</v>
      </c>
      <c r="L49" s="318" t="str">
        <f t="shared" si="3"/>
        <v>FGBLH8</v>
      </c>
      <c r="M49" s="364" t="s">
        <v>1997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797" t="s">
        <v>1755</v>
      </c>
      <c r="B50" s="775">
        <v>50578</v>
      </c>
      <c r="C50" s="762" t="s">
        <v>783</v>
      </c>
      <c r="D50" s="762" t="s">
        <v>800</v>
      </c>
      <c r="E50" s="807">
        <v>1.2649999999999999</v>
      </c>
      <c r="F50" s="769">
        <v>12.649999999999999</v>
      </c>
      <c r="G50" s="762" t="s">
        <v>1997</v>
      </c>
      <c r="H50" s="762" t="s">
        <v>1997</v>
      </c>
      <c r="I50" s="256" t="str">
        <f t="shared" si="0"/>
        <v>BE0000336454</v>
      </c>
      <c r="J50" s="256" t="str">
        <f t="shared" si="1"/>
        <v>BE0000336454</v>
      </c>
      <c r="K50" s="318" t="str">
        <f t="shared" si="2"/>
        <v>FGBLH8</v>
      </c>
      <c r="L50" s="318" t="str">
        <f t="shared" si="3"/>
        <v>FGBLH8</v>
      </c>
      <c r="M50" s="364" t="s">
        <v>1997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797" t="s">
        <v>1756</v>
      </c>
      <c r="B51" s="775">
        <v>51588</v>
      </c>
      <c r="C51" s="762" t="s">
        <v>461</v>
      </c>
      <c r="D51" s="762" t="s">
        <v>649</v>
      </c>
      <c r="E51" s="807">
        <v>1.762</v>
      </c>
      <c r="F51" s="769">
        <v>17.62</v>
      </c>
      <c r="G51" s="762" t="s">
        <v>1997</v>
      </c>
      <c r="H51" s="762" t="s">
        <v>1997</v>
      </c>
      <c r="I51" s="256" t="str">
        <f t="shared" si="0"/>
        <v>BE0000320292</v>
      </c>
      <c r="J51" s="256" t="str">
        <f t="shared" si="1"/>
        <v>BE0000320292</v>
      </c>
      <c r="K51" s="318" t="str">
        <f t="shared" si="2"/>
        <v>FGBLH8</v>
      </c>
      <c r="L51" s="318" t="str">
        <f t="shared" si="3"/>
        <v>FGBLH8</v>
      </c>
      <c r="M51" s="364" t="s">
        <v>1997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797" t="s">
        <v>1757</v>
      </c>
      <c r="B52" s="775">
        <v>53135</v>
      </c>
      <c r="C52" s="762" t="s">
        <v>462</v>
      </c>
      <c r="D52" s="762" t="s">
        <v>650</v>
      </c>
      <c r="E52" s="808">
        <v>1.958</v>
      </c>
      <c r="F52" s="769">
        <v>19.579999999999998</v>
      </c>
      <c r="G52" s="762" t="s">
        <v>1997</v>
      </c>
      <c r="H52" s="762" t="s">
        <v>1997</v>
      </c>
      <c r="I52" s="256" t="str">
        <f t="shared" si="0"/>
        <v>BE0000331406</v>
      </c>
      <c r="J52" s="256" t="str">
        <f t="shared" si="1"/>
        <v>BE0000331406</v>
      </c>
      <c r="K52" s="318" t="str">
        <f t="shared" si="2"/>
        <v>FGBLH8</v>
      </c>
      <c r="L52" s="318" t="str">
        <f t="shared" si="3"/>
        <v>FGBLH8</v>
      </c>
      <c r="M52" s="364" t="s">
        <v>1997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797" t="s">
        <v>1758</v>
      </c>
      <c r="B53" s="775">
        <v>53865</v>
      </c>
      <c r="C53" s="762" t="s">
        <v>871</v>
      </c>
      <c r="D53" s="770" t="s">
        <v>872</v>
      </c>
      <c r="E53" s="808">
        <v>1.5680000000000001</v>
      </c>
      <c r="F53" s="769">
        <v>15.68</v>
      </c>
      <c r="G53" s="762" t="s">
        <v>1997</v>
      </c>
      <c r="H53" s="762" t="s">
        <v>1997</v>
      </c>
      <c r="I53" s="256" t="str">
        <f t="shared" si="0"/>
        <v>BE0000338476</v>
      </c>
      <c r="J53" s="256" t="str">
        <f t="shared" si="1"/>
        <v>BE0000338476</v>
      </c>
      <c r="K53" s="318" t="str">
        <f t="shared" si="2"/>
        <v>FGBLH8</v>
      </c>
      <c r="L53" s="318" t="str">
        <f t="shared" si="3"/>
        <v>FGBLH8</v>
      </c>
      <c r="M53" s="364" t="s">
        <v>1997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797" t="s">
        <v>1759</v>
      </c>
      <c r="B54" s="775">
        <v>57487</v>
      </c>
      <c r="C54" s="762" t="s">
        <v>937</v>
      </c>
      <c r="D54" s="776" t="s">
        <v>938</v>
      </c>
      <c r="E54" s="808">
        <v>2.0489999999999999</v>
      </c>
      <c r="F54" s="769">
        <v>20.49</v>
      </c>
      <c r="G54" s="762" t="s">
        <v>1997</v>
      </c>
      <c r="H54" s="762" t="s">
        <v>1997</v>
      </c>
      <c r="I54" s="256" t="str">
        <f t="shared" si="0"/>
        <v>BE0000343526</v>
      </c>
      <c r="J54" s="256" t="str">
        <f t="shared" si="1"/>
        <v>BE0000343526</v>
      </c>
      <c r="K54" s="318" t="str">
        <f t="shared" si="2"/>
        <v>FGBLH8</v>
      </c>
      <c r="L54" s="318" t="str">
        <f t="shared" si="3"/>
        <v>FGBLH8</v>
      </c>
      <c r="M54" s="364" t="s">
        <v>1997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797" t="s">
        <v>1760</v>
      </c>
      <c r="B55" s="775">
        <v>60805</v>
      </c>
      <c r="C55" s="762" t="s">
        <v>873</v>
      </c>
      <c r="D55" s="770" t="s">
        <v>874</v>
      </c>
      <c r="E55" s="808">
        <v>2.2570000000000001</v>
      </c>
      <c r="F55" s="769">
        <v>22.57</v>
      </c>
      <c r="G55" s="762" t="s">
        <v>1997</v>
      </c>
      <c r="H55" s="762" t="s">
        <v>1997</v>
      </c>
      <c r="I55" s="256" t="str">
        <f t="shared" si="0"/>
        <v>BE0000340498</v>
      </c>
      <c r="J55" s="256" t="str">
        <f t="shared" si="1"/>
        <v>BE0000340498</v>
      </c>
      <c r="K55" s="318" t="str">
        <f t="shared" si="2"/>
        <v>FGBLH8</v>
      </c>
      <c r="L55" s="318" t="str">
        <f t="shared" si="3"/>
        <v>FGBLH8</v>
      </c>
      <c r="M55" s="364" t="s">
        <v>1997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773" t="s">
        <v>584</v>
      </c>
      <c r="B56" s="768"/>
      <c r="C56" s="760"/>
      <c r="D56" s="760" t="s">
        <v>621</v>
      </c>
      <c r="E56" s="774"/>
      <c r="F56" s="769"/>
      <c r="G56" s="760" t="s">
        <v>621</v>
      </c>
      <c r="H56" s="760" t="s">
        <v>621</v>
      </c>
      <c r="I56" s="256" t="str">
        <f t="shared" si="0"/>
        <v/>
      </c>
      <c r="J56" s="256" t="str">
        <f t="shared" si="1"/>
        <v/>
      </c>
      <c r="K56" s="318" t="str">
        <f t="shared" si="2"/>
        <v/>
      </c>
      <c r="L56" s="318" t="str">
        <f t="shared" si="3"/>
        <v/>
      </c>
      <c r="M56" s="364" t="s">
        <v>621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797" t="s">
        <v>1761</v>
      </c>
      <c r="B57" s="768">
        <v>43203</v>
      </c>
      <c r="C57" s="760" t="s">
        <v>463</v>
      </c>
      <c r="D57" s="760" t="s">
        <v>655</v>
      </c>
      <c r="E57" s="809">
        <v>0.16900000000000001</v>
      </c>
      <c r="F57" s="769">
        <v>1.6900000000000002</v>
      </c>
      <c r="G57" s="762" t="s">
        <v>1995</v>
      </c>
      <c r="H57" s="762" t="s">
        <v>1995</v>
      </c>
      <c r="I57" s="256" t="str">
        <f t="shared" si="0"/>
        <v>DE0001141661</v>
      </c>
      <c r="J57" s="256" t="str">
        <f t="shared" si="1"/>
        <v>DE0001141661</v>
      </c>
      <c r="K57" s="318" t="str">
        <f t="shared" si="2"/>
        <v>FGBSH8</v>
      </c>
      <c r="L57" s="318" t="str">
        <f t="shared" si="3"/>
        <v>FGBSH8</v>
      </c>
      <c r="M57" s="364" t="s">
        <v>1995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797" t="s">
        <v>1762</v>
      </c>
      <c r="B58" s="768">
        <v>43266</v>
      </c>
      <c r="C58" s="760" t="s">
        <v>875</v>
      </c>
      <c r="D58" s="770" t="s">
        <v>876</v>
      </c>
      <c r="E58" s="809">
        <v>0.24399999999999999</v>
      </c>
      <c r="F58" s="769">
        <v>2.44</v>
      </c>
      <c r="G58" s="762" t="s">
        <v>1995</v>
      </c>
      <c r="H58" s="762" t="s">
        <v>1995</v>
      </c>
      <c r="I58" s="256" t="str">
        <f t="shared" si="0"/>
        <v>DE0001104644</v>
      </c>
      <c r="J58" s="256" t="str">
        <f t="shared" si="1"/>
        <v>DE0001104644</v>
      </c>
      <c r="K58" s="318" t="str">
        <f t="shared" si="2"/>
        <v>FGBSH8</v>
      </c>
      <c r="L58" s="318" t="str">
        <f t="shared" si="3"/>
        <v>FGBSH8</v>
      </c>
      <c r="M58" s="364" t="s">
        <v>1995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797" t="s">
        <v>1763</v>
      </c>
      <c r="B59" s="768">
        <v>43285</v>
      </c>
      <c r="C59" s="760" t="s">
        <v>464</v>
      </c>
      <c r="D59" s="760" t="s">
        <v>656</v>
      </c>
      <c r="E59" s="809">
        <v>0.27800000000000002</v>
      </c>
      <c r="F59" s="769">
        <v>2.7800000000000002</v>
      </c>
      <c r="G59" s="762" t="s">
        <v>1995</v>
      </c>
      <c r="H59" s="762" t="s">
        <v>1995</v>
      </c>
      <c r="I59" s="256" t="str">
        <f t="shared" si="0"/>
        <v>DE0001135358</v>
      </c>
      <c r="J59" s="256" t="str">
        <f t="shared" si="1"/>
        <v>DE0001135358</v>
      </c>
      <c r="K59" s="318" t="str">
        <f t="shared" si="2"/>
        <v>FGBSH8</v>
      </c>
      <c r="L59" s="318" t="str">
        <f t="shared" si="3"/>
        <v>FGBSH8</v>
      </c>
      <c r="M59" s="364" t="s">
        <v>1995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797" t="s">
        <v>1764</v>
      </c>
      <c r="B60" s="768">
        <v>43357</v>
      </c>
      <c r="C60" s="760" t="s">
        <v>898</v>
      </c>
      <c r="D60" s="770" t="s">
        <v>903</v>
      </c>
      <c r="E60" s="810">
        <v>0.35299999999999998</v>
      </c>
      <c r="F60" s="769">
        <v>3.53</v>
      </c>
      <c r="G60" s="762" t="s">
        <v>1995</v>
      </c>
      <c r="H60" s="762" t="s">
        <v>1995</v>
      </c>
      <c r="I60" s="256" t="str">
        <f t="shared" si="0"/>
        <v>DE0001104651</v>
      </c>
      <c r="J60" s="256" t="str">
        <f t="shared" si="1"/>
        <v>DE0001104651</v>
      </c>
      <c r="K60" s="318" t="str">
        <f t="shared" si="2"/>
        <v>FGBSH8</v>
      </c>
      <c r="L60" s="318" t="str">
        <f t="shared" si="3"/>
        <v>FGBSH8</v>
      </c>
      <c r="M60" s="364" t="s">
        <v>1995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797" t="s">
        <v>1765</v>
      </c>
      <c r="B61" s="768">
        <v>43385</v>
      </c>
      <c r="C61" s="760" t="s">
        <v>465</v>
      </c>
      <c r="D61" s="760" t="s">
        <v>657</v>
      </c>
      <c r="E61" s="810">
        <v>0.39100000000000001</v>
      </c>
      <c r="F61" s="769">
        <v>3.91</v>
      </c>
      <c r="G61" s="762" t="s">
        <v>1995</v>
      </c>
      <c r="H61" s="762" t="s">
        <v>1995</v>
      </c>
      <c r="I61" s="256" t="str">
        <f t="shared" si="0"/>
        <v>DE0001141679</v>
      </c>
      <c r="J61" s="256" t="str">
        <f t="shared" si="1"/>
        <v>DE0001141679</v>
      </c>
      <c r="K61" s="318" t="str">
        <f t="shared" si="2"/>
        <v>FGBSH8</v>
      </c>
      <c r="L61" s="318" t="str">
        <f t="shared" si="3"/>
        <v>FGBSH8</v>
      </c>
      <c r="M61" s="364" t="s">
        <v>1995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797" t="s">
        <v>1766</v>
      </c>
      <c r="B62" s="768">
        <v>43448</v>
      </c>
      <c r="C62" s="771" t="s">
        <v>911</v>
      </c>
      <c r="D62" s="780" t="s">
        <v>912</v>
      </c>
      <c r="E62" s="810">
        <v>0.46300000000000002</v>
      </c>
      <c r="F62" s="769">
        <v>4.63</v>
      </c>
      <c r="G62" s="762" t="s">
        <v>1995</v>
      </c>
      <c r="H62" s="762" t="s">
        <v>1995</v>
      </c>
      <c r="I62" s="256" t="str">
        <f t="shared" si="0"/>
        <v>DE0001104669</v>
      </c>
      <c r="J62" s="256" t="str">
        <f t="shared" si="1"/>
        <v>DE0001104669</v>
      </c>
      <c r="K62" s="318" t="str">
        <f t="shared" si="2"/>
        <v>FGBSH8</v>
      </c>
      <c r="L62" s="318" t="str">
        <f t="shared" si="3"/>
        <v>FGBSH8</v>
      </c>
      <c r="M62" s="364" t="s">
        <v>1995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797" t="s">
        <v>1767</v>
      </c>
      <c r="B63" s="768">
        <v>43469</v>
      </c>
      <c r="C63" s="760" t="s">
        <v>466</v>
      </c>
      <c r="D63" s="760" t="s">
        <v>658</v>
      </c>
      <c r="E63" s="810">
        <v>0.50900000000000001</v>
      </c>
      <c r="F63" s="769">
        <v>5.09</v>
      </c>
      <c r="G63" s="762" t="s">
        <v>1995</v>
      </c>
      <c r="H63" s="762" t="s">
        <v>1995</v>
      </c>
      <c r="I63" s="256" t="str">
        <f t="shared" si="0"/>
        <v>DE0001135374</v>
      </c>
      <c r="J63" s="256" t="str">
        <f t="shared" si="1"/>
        <v>DE0001135374</v>
      </c>
      <c r="K63" s="318" t="str">
        <f t="shared" si="2"/>
        <v>FGBSH8</v>
      </c>
      <c r="L63" s="318" t="str">
        <f t="shared" si="3"/>
        <v>FGBSH8</v>
      </c>
      <c r="M63" s="364" t="s">
        <v>1995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797" t="s">
        <v>1768</v>
      </c>
      <c r="B64" s="768">
        <v>43518</v>
      </c>
      <c r="C64" s="760" t="s">
        <v>467</v>
      </c>
      <c r="D64" s="760" t="s">
        <v>412</v>
      </c>
      <c r="E64" s="810">
        <v>0.55400000000000005</v>
      </c>
      <c r="F64" s="769">
        <v>5.5400000000000009</v>
      </c>
      <c r="G64" s="762" t="s">
        <v>1995</v>
      </c>
      <c r="H64" s="762" t="s">
        <v>1995</v>
      </c>
      <c r="I64" s="256" t="str">
        <f t="shared" si="0"/>
        <v>DE0001141687</v>
      </c>
      <c r="J64" s="256" t="str">
        <f t="shared" si="1"/>
        <v>DE0001141687</v>
      </c>
      <c r="K64" s="318" t="str">
        <f t="shared" si="2"/>
        <v>FGBSH8</v>
      </c>
      <c r="L64" s="318" t="str">
        <f t="shared" si="3"/>
        <v>FGBSH8</v>
      </c>
      <c r="M64" s="364" t="s">
        <v>1995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797" t="s">
        <v>1769</v>
      </c>
      <c r="B65" s="768">
        <v>43539</v>
      </c>
      <c r="C65" s="760" t="s">
        <v>939</v>
      </c>
      <c r="D65" s="760" t="s">
        <v>940</v>
      </c>
      <c r="E65" s="810">
        <v>0.57299999999999995</v>
      </c>
      <c r="F65" s="769">
        <v>5.7299999999999995</v>
      </c>
      <c r="G65" s="762" t="s">
        <v>1995</v>
      </c>
      <c r="H65" s="762" t="s">
        <v>1995</v>
      </c>
      <c r="I65" s="256" t="str">
        <f t="shared" si="0"/>
        <v>DE0001104677</v>
      </c>
      <c r="J65" s="256" t="str">
        <f t="shared" si="1"/>
        <v>DE0001104677</v>
      </c>
      <c r="K65" s="318" t="str">
        <f t="shared" si="2"/>
        <v>FGBSH8</v>
      </c>
      <c r="L65" s="318" t="str">
        <f t="shared" si="3"/>
        <v>FGBSH8</v>
      </c>
      <c r="M65" s="364" t="s">
        <v>1995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797" t="s">
        <v>1770</v>
      </c>
      <c r="B66" s="768">
        <v>43567</v>
      </c>
      <c r="C66" s="781" t="s">
        <v>468</v>
      </c>
      <c r="D66" s="760" t="s">
        <v>413</v>
      </c>
      <c r="E66" s="810">
        <v>0.61099999999999999</v>
      </c>
      <c r="F66" s="769">
        <v>6.1099999999999994</v>
      </c>
      <c r="G66" s="762" t="s">
        <v>1995</v>
      </c>
      <c r="H66" s="762" t="s">
        <v>1995</v>
      </c>
      <c r="I66" s="256" t="str">
        <f t="shared" si="0"/>
        <v>DE0001141695</v>
      </c>
      <c r="J66" s="256" t="str">
        <f t="shared" si="1"/>
        <v>DE0001141695</v>
      </c>
      <c r="K66" s="318" t="str">
        <f t="shared" si="2"/>
        <v>FGBSH8</v>
      </c>
      <c r="L66" s="318" t="str">
        <f t="shared" si="3"/>
        <v>FGBSH8</v>
      </c>
      <c r="M66" s="364" t="s">
        <v>1995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797" t="s">
        <v>1771</v>
      </c>
      <c r="B67" s="768">
        <v>43630</v>
      </c>
      <c r="C67" s="760" t="s">
        <v>988</v>
      </c>
      <c r="D67" s="760" t="s">
        <v>989</v>
      </c>
      <c r="E67" s="810">
        <v>0.68300000000000005</v>
      </c>
      <c r="F67" s="769">
        <v>6.83</v>
      </c>
      <c r="G67" s="762" t="s">
        <v>1995</v>
      </c>
      <c r="H67" s="762" t="s">
        <v>1995</v>
      </c>
      <c r="I67" s="261" t="str">
        <f t="shared" ref="I67:I130" si="4">LEFT(D67,12)</f>
        <v>DE0001104685</v>
      </c>
      <c r="J67" s="261" t="str">
        <f t="shared" si="1"/>
        <v>DE0001104685</v>
      </c>
      <c r="K67" s="318" t="str">
        <f t="shared" si="2"/>
        <v>FGBSH8</v>
      </c>
      <c r="L67" s="321" t="str">
        <f t="shared" si="3"/>
        <v>FGBSH8</v>
      </c>
      <c r="M67" s="364" t="s">
        <v>1995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797" t="s">
        <v>1772</v>
      </c>
      <c r="B68" s="768">
        <v>43650</v>
      </c>
      <c r="C68" s="782" t="s">
        <v>469</v>
      </c>
      <c r="D68" s="760" t="s">
        <v>659</v>
      </c>
      <c r="E68" s="810">
        <v>0.74099999999999999</v>
      </c>
      <c r="F68" s="769">
        <v>7.41</v>
      </c>
      <c r="G68" s="762" t="s">
        <v>1995</v>
      </c>
      <c r="H68" s="762" t="s">
        <v>1995</v>
      </c>
      <c r="I68" s="256" t="str">
        <f t="shared" si="4"/>
        <v>DE0001135382</v>
      </c>
      <c r="J68" s="256" t="str">
        <f t="shared" ref="J68:J131" si="5">I68</f>
        <v>DE0001135382</v>
      </c>
      <c r="K68" s="318" t="str">
        <f t="shared" ref="K68:K131" si="6">LEFT(H68,6)</f>
        <v>FGBSH8</v>
      </c>
      <c r="L68" s="318" t="str">
        <f t="shared" ref="L68:L131" si="7">K68</f>
        <v>FGBSH8</v>
      </c>
      <c r="M68" s="364" t="s">
        <v>1995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797" t="s">
        <v>1773</v>
      </c>
      <c r="B69" s="783">
        <v>43721</v>
      </c>
      <c r="C69" s="760" t="s">
        <v>1011</v>
      </c>
      <c r="D69" s="760" t="s">
        <v>1012</v>
      </c>
      <c r="E69" s="810">
        <v>0.79300000000000004</v>
      </c>
      <c r="F69" s="769">
        <v>7.9300000000000006</v>
      </c>
      <c r="G69" s="762" t="s">
        <v>1995</v>
      </c>
      <c r="H69" s="762" t="s">
        <v>1995</v>
      </c>
      <c r="I69" s="256" t="str">
        <f t="shared" si="4"/>
        <v>DE0001104693</v>
      </c>
      <c r="J69" s="256" t="str">
        <f t="shared" si="5"/>
        <v>DE0001104693</v>
      </c>
      <c r="K69" s="318" t="str">
        <f t="shared" si="6"/>
        <v>FGBSH8</v>
      </c>
      <c r="L69" s="318" t="str">
        <f t="shared" si="7"/>
        <v>FGBSH8</v>
      </c>
      <c r="M69" s="364" t="s">
        <v>1995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797" t="s">
        <v>1774</v>
      </c>
      <c r="B70" s="783">
        <v>43749</v>
      </c>
      <c r="C70" s="782" t="s">
        <v>470</v>
      </c>
      <c r="D70" s="760" t="s">
        <v>414</v>
      </c>
      <c r="E70" s="810">
        <v>0.83</v>
      </c>
      <c r="F70" s="769">
        <v>8.2999999999999989</v>
      </c>
      <c r="G70" s="762" t="s">
        <v>1995</v>
      </c>
      <c r="H70" s="762" t="s">
        <v>1995</v>
      </c>
      <c r="I70" s="256" t="str">
        <f t="shared" si="4"/>
        <v>DE0001141703</v>
      </c>
      <c r="J70" s="256" t="str">
        <f t="shared" si="5"/>
        <v>DE0001141703</v>
      </c>
      <c r="K70" s="318" t="str">
        <f t="shared" si="6"/>
        <v>FGBSH8</v>
      </c>
      <c r="L70" s="318" t="str">
        <f t="shared" si="7"/>
        <v>FGBSH8</v>
      </c>
      <c r="M70" s="364" t="s">
        <v>1995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797" t="s">
        <v>1775</v>
      </c>
      <c r="B71" s="783">
        <v>43812</v>
      </c>
      <c r="C71" s="760" t="s">
        <v>1776</v>
      </c>
      <c r="D71" s="760" t="s">
        <v>1701</v>
      </c>
      <c r="E71" s="810">
        <v>0.90273199999999998</v>
      </c>
      <c r="F71" s="769">
        <v>9.0273199999999996</v>
      </c>
      <c r="G71" s="762" t="s">
        <v>1995</v>
      </c>
      <c r="H71" s="762" t="s">
        <v>1995</v>
      </c>
      <c r="I71" s="256" t="str">
        <f t="shared" si="4"/>
        <v>DE0001104701</v>
      </c>
      <c r="J71" s="256" t="str">
        <f t="shared" si="5"/>
        <v>DE0001104701</v>
      </c>
      <c r="K71" s="318" t="str">
        <f t="shared" si="6"/>
        <v>FGBSH8</v>
      </c>
      <c r="L71" s="318" t="str">
        <f t="shared" si="7"/>
        <v>FGBSH8</v>
      </c>
      <c r="M71" s="364" t="s">
        <v>1995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797" t="s">
        <v>1777</v>
      </c>
      <c r="B72" s="775">
        <v>43834</v>
      </c>
      <c r="C72" s="762" t="s">
        <v>471</v>
      </c>
      <c r="D72" s="760" t="s">
        <v>660</v>
      </c>
      <c r="E72" s="810">
        <v>0.95382699999999998</v>
      </c>
      <c r="F72" s="769">
        <v>9.7899999999999991</v>
      </c>
      <c r="G72" s="762" t="s">
        <v>1995</v>
      </c>
      <c r="H72" s="762" t="s">
        <v>1995</v>
      </c>
      <c r="I72" s="256" t="str">
        <f t="shared" si="4"/>
        <v>DE0001135390</v>
      </c>
      <c r="J72" s="256" t="str">
        <f t="shared" si="5"/>
        <v>DE0001135390</v>
      </c>
      <c r="K72" s="318" t="str">
        <f t="shared" si="6"/>
        <v>FGBSH8</v>
      </c>
      <c r="L72" s="318" t="str">
        <f t="shared" si="7"/>
        <v>FGBSH8</v>
      </c>
      <c r="M72" s="364" t="s">
        <v>1995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797" t="s">
        <v>1778</v>
      </c>
      <c r="B73" s="775">
        <v>43938</v>
      </c>
      <c r="C73" s="762" t="s">
        <v>586</v>
      </c>
      <c r="D73" s="770" t="s">
        <v>587</v>
      </c>
      <c r="E73" s="810">
        <v>0.88489600000000002</v>
      </c>
      <c r="F73" s="769">
        <v>10.55</v>
      </c>
      <c r="G73" s="762" t="s">
        <v>1995</v>
      </c>
      <c r="H73" s="762" t="s">
        <v>1995</v>
      </c>
      <c r="I73" s="256" t="str">
        <f t="shared" si="4"/>
        <v>DE0001141711</v>
      </c>
      <c r="J73" s="256" t="str">
        <f t="shared" si="5"/>
        <v>DE0001141711</v>
      </c>
      <c r="K73" s="318" t="str">
        <f t="shared" si="6"/>
        <v>FGBSH8</v>
      </c>
      <c r="L73" s="318" t="str">
        <f t="shared" si="7"/>
        <v>FGBSH8</v>
      </c>
      <c r="M73" s="364" t="s">
        <v>1995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797" t="s">
        <v>1779</v>
      </c>
      <c r="B74" s="775">
        <v>44016</v>
      </c>
      <c r="C74" s="762" t="s">
        <v>472</v>
      </c>
      <c r="D74" s="760" t="s">
        <v>661</v>
      </c>
      <c r="E74" s="810">
        <v>1.214</v>
      </c>
      <c r="F74" s="769">
        <v>12.14</v>
      </c>
      <c r="G74" s="762" t="s">
        <v>1995</v>
      </c>
      <c r="H74" s="762" t="s">
        <v>1995</v>
      </c>
      <c r="I74" s="256" t="str">
        <f t="shared" si="4"/>
        <v>DE0001135408</v>
      </c>
      <c r="J74" s="256" t="str">
        <f t="shared" si="5"/>
        <v>DE0001135408</v>
      </c>
      <c r="K74" s="318" t="str">
        <f t="shared" si="6"/>
        <v>FGBSH8</v>
      </c>
      <c r="L74" s="318" t="str">
        <f t="shared" si="7"/>
        <v>FGBSH8</v>
      </c>
      <c r="M74" s="364" t="s">
        <v>1995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797" t="s">
        <v>1780</v>
      </c>
      <c r="B75" s="775">
        <v>44078</v>
      </c>
      <c r="C75" s="762" t="s">
        <v>473</v>
      </c>
      <c r="D75" s="760" t="s">
        <v>662</v>
      </c>
      <c r="E75" s="810">
        <v>1.2789999999999999</v>
      </c>
      <c r="F75" s="769">
        <v>12.79</v>
      </c>
      <c r="G75" s="762" t="s">
        <v>1995</v>
      </c>
      <c r="H75" s="762" t="s">
        <v>1995</v>
      </c>
      <c r="I75" s="256" t="str">
        <f t="shared" si="4"/>
        <v>DE0001135416</v>
      </c>
      <c r="J75" s="256" t="str">
        <f t="shared" si="5"/>
        <v>DE0001135416</v>
      </c>
      <c r="K75" s="318" t="str">
        <f t="shared" si="6"/>
        <v>FGBSH8</v>
      </c>
      <c r="L75" s="318" t="str">
        <f t="shared" si="7"/>
        <v>FGBSH8</v>
      </c>
      <c r="M75" s="364" t="s">
        <v>1995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797" t="s">
        <v>1781</v>
      </c>
      <c r="B76" s="775">
        <v>44120</v>
      </c>
      <c r="C76" s="762" t="s">
        <v>770</v>
      </c>
      <c r="D76" s="760" t="s">
        <v>763</v>
      </c>
      <c r="E76" s="810">
        <v>1.282</v>
      </c>
      <c r="F76" s="769">
        <v>12.82</v>
      </c>
      <c r="G76" s="762" t="s">
        <v>1995</v>
      </c>
      <c r="H76" s="762" t="s">
        <v>1995</v>
      </c>
      <c r="I76" s="256" t="str">
        <f t="shared" si="4"/>
        <v>DE0001141729</v>
      </c>
      <c r="J76" s="256" t="str">
        <f t="shared" si="5"/>
        <v>DE0001141729</v>
      </c>
      <c r="K76" s="318" t="str">
        <f t="shared" si="6"/>
        <v>FGBSH8</v>
      </c>
      <c r="L76" s="318" t="str">
        <f t="shared" si="7"/>
        <v>FGBSH8</v>
      </c>
      <c r="M76" s="364" t="s">
        <v>1995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797" t="s">
        <v>1782</v>
      </c>
      <c r="B77" s="768">
        <v>44200</v>
      </c>
      <c r="C77" s="760" t="s">
        <v>474</v>
      </c>
      <c r="D77" s="760" t="s">
        <v>663</v>
      </c>
      <c r="E77" s="810">
        <v>1.4450000000000001</v>
      </c>
      <c r="F77" s="769">
        <v>14.450000000000001</v>
      </c>
      <c r="G77" s="762" t="s">
        <v>1995</v>
      </c>
      <c r="H77" s="762" t="s">
        <v>1995</v>
      </c>
      <c r="I77" s="256" t="str">
        <f t="shared" si="4"/>
        <v>DE0001135424</v>
      </c>
      <c r="J77" s="256" t="str">
        <f t="shared" si="5"/>
        <v>DE0001135424</v>
      </c>
      <c r="K77" s="318" t="str">
        <f t="shared" si="6"/>
        <v>FGBSH8</v>
      </c>
      <c r="L77" s="318" t="str">
        <f t="shared" si="7"/>
        <v>FGBSH8</v>
      </c>
      <c r="M77" s="364" t="s">
        <v>1995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797" t="s">
        <v>1783</v>
      </c>
      <c r="B78" s="768">
        <v>44295</v>
      </c>
      <c r="C78" s="770" t="s">
        <v>815</v>
      </c>
      <c r="D78" s="770" t="s">
        <v>816</v>
      </c>
      <c r="E78" s="811">
        <v>0.53400000000000003</v>
      </c>
      <c r="F78" s="769">
        <v>5.34</v>
      </c>
      <c r="G78" s="762" t="s">
        <v>1996</v>
      </c>
      <c r="H78" s="762" t="s">
        <v>1996</v>
      </c>
      <c r="I78" s="256" t="str">
        <f t="shared" si="4"/>
        <v>DE0001141737</v>
      </c>
      <c r="J78" s="256" t="str">
        <f t="shared" si="5"/>
        <v>DE0001141737</v>
      </c>
      <c r="K78" s="318" t="str">
        <f t="shared" si="6"/>
        <v>FGBMH8</v>
      </c>
      <c r="L78" s="318" t="str">
        <f t="shared" si="7"/>
        <v>FGBMH8</v>
      </c>
      <c r="M78" s="364" t="s">
        <v>1996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797" t="s">
        <v>1784</v>
      </c>
      <c r="B79" s="768">
        <v>44381</v>
      </c>
      <c r="C79" s="760" t="s">
        <v>475</v>
      </c>
      <c r="D79" s="760" t="s">
        <v>664</v>
      </c>
      <c r="E79" s="811">
        <v>0.61499999999999999</v>
      </c>
      <c r="F79" s="769">
        <v>6.15</v>
      </c>
      <c r="G79" s="762" t="s">
        <v>1996</v>
      </c>
      <c r="H79" s="762" t="s">
        <v>1996</v>
      </c>
      <c r="I79" s="256" t="str">
        <f t="shared" si="4"/>
        <v>DE0001135440</v>
      </c>
      <c r="J79" s="256" t="str">
        <f t="shared" si="5"/>
        <v>DE0001135440</v>
      </c>
      <c r="K79" s="318" t="str">
        <f t="shared" si="6"/>
        <v>FGBMH8</v>
      </c>
      <c r="L79" s="318" t="str">
        <f t="shared" si="7"/>
        <v>FGBMH8</v>
      </c>
      <c r="M79" s="364" t="s">
        <v>1996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797" t="s">
        <v>1785</v>
      </c>
      <c r="B80" s="768">
        <v>44443</v>
      </c>
      <c r="C80" s="760" t="s">
        <v>476</v>
      </c>
      <c r="D80" s="760" t="s">
        <v>665</v>
      </c>
      <c r="E80" s="811">
        <v>0.63</v>
      </c>
      <c r="F80" s="769">
        <v>6.3</v>
      </c>
      <c r="G80" s="762" t="s">
        <v>1996</v>
      </c>
      <c r="H80" s="762" t="s">
        <v>1996</v>
      </c>
      <c r="I80" s="256" t="str">
        <f t="shared" si="4"/>
        <v>DE0001135457</v>
      </c>
      <c r="J80" s="256" t="str">
        <f t="shared" si="5"/>
        <v>DE0001135457</v>
      </c>
      <c r="K80" s="318" t="str">
        <f t="shared" si="6"/>
        <v>FGBMH8</v>
      </c>
      <c r="L80" s="318" t="str">
        <f t="shared" si="7"/>
        <v>FGBMH8</v>
      </c>
      <c r="M80" s="364" t="s">
        <v>1996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797" t="s">
        <v>1786</v>
      </c>
      <c r="B81" s="768">
        <v>44477</v>
      </c>
      <c r="C81" s="770" t="s">
        <v>899</v>
      </c>
      <c r="D81" s="770" t="s">
        <v>904</v>
      </c>
      <c r="E81" s="811">
        <v>0.61199999999999999</v>
      </c>
      <c r="F81" s="769">
        <v>6.12</v>
      </c>
      <c r="G81" s="762" t="s">
        <v>1996</v>
      </c>
      <c r="H81" s="762" t="s">
        <v>1996</v>
      </c>
      <c r="I81" s="261" t="str">
        <f t="shared" si="4"/>
        <v>DE0001141745</v>
      </c>
      <c r="J81" s="261" t="str">
        <f t="shared" si="5"/>
        <v>DE0001141745</v>
      </c>
      <c r="K81" s="318" t="str">
        <f t="shared" si="6"/>
        <v>FGBMH8</v>
      </c>
      <c r="L81" s="321" t="str">
        <f t="shared" si="7"/>
        <v>FGBMH8</v>
      </c>
      <c r="M81" s="364" t="s">
        <v>1996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797" t="s">
        <v>1787</v>
      </c>
      <c r="B82" s="768">
        <v>44565</v>
      </c>
      <c r="C82" s="760" t="s">
        <v>477</v>
      </c>
      <c r="D82" s="760" t="s">
        <v>666</v>
      </c>
      <c r="E82" s="811">
        <v>0.68300000000000005</v>
      </c>
      <c r="F82" s="769">
        <v>6.83</v>
      </c>
      <c r="G82" s="762" t="s">
        <v>1996</v>
      </c>
      <c r="H82" s="762" t="s">
        <v>1996</v>
      </c>
      <c r="I82" s="256" t="str">
        <f t="shared" si="4"/>
        <v>DE0001135465</v>
      </c>
      <c r="J82" s="256" t="str">
        <f t="shared" si="5"/>
        <v>DE0001135465</v>
      </c>
      <c r="K82" s="318" t="str">
        <f t="shared" si="6"/>
        <v>FGBMH8</v>
      </c>
      <c r="L82" s="318" t="str">
        <f t="shared" si="7"/>
        <v>FGBMH8</v>
      </c>
      <c r="M82" s="364" t="s">
        <v>1996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797" t="s">
        <v>1788</v>
      </c>
      <c r="B83" s="768">
        <v>44659</v>
      </c>
      <c r="C83" s="760" t="s">
        <v>941</v>
      </c>
      <c r="D83" s="771" t="s">
        <v>942</v>
      </c>
      <c r="E83" s="811">
        <v>0.69</v>
      </c>
      <c r="F83" s="769">
        <v>6.8999999999999995</v>
      </c>
      <c r="G83" s="762" t="s">
        <v>1996</v>
      </c>
      <c r="H83" s="762" t="s">
        <v>1996</v>
      </c>
      <c r="I83" s="256" t="str">
        <f t="shared" si="4"/>
        <v>DE0001141752</v>
      </c>
      <c r="J83" s="256" t="str">
        <f t="shared" si="5"/>
        <v>DE0001141752</v>
      </c>
      <c r="K83" s="318" t="str">
        <f t="shared" si="6"/>
        <v>FGBMH8</v>
      </c>
      <c r="L83" s="318" t="str">
        <f t="shared" si="7"/>
        <v>FGBMH8</v>
      </c>
      <c r="M83" s="364" t="s">
        <v>1996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797" t="s">
        <v>1789</v>
      </c>
      <c r="B84" s="768">
        <v>44746</v>
      </c>
      <c r="C84" s="760" t="s">
        <v>478</v>
      </c>
      <c r="D84" s="760" t="s">
        <v>667</v>
      </c>
      <c r="E84" s="811">
        <v>0.76300000000000001</v>
      </c>
      <c r="F84" s="769">
        <v>7.63</v>
      </c>
      <c r="G84" s="762" t="s">
        <v>1996</v>
      </c>
      <c r="H84" s="762" t="s">
        <v>1996</v>
      </c>
      <c r="I84" s="256" t="str">
        <f t="shared" si="4"/>
        <v>DE0001135473</v>
      </c>
      <c r="J84" s="256" t="str">
        <f t="shared" si="5"/>
        <v>DE0001135473</v>
      </c>
      <c r="K84" s="318" t="str">
        <f t="shared" si="6"/>
        <v>FGBMH8</v>
      </c>
      <c r="L84" s="318" t="str">
        <f t="shared" si="7"/>
        <v>FGBMH8</v>
      </c>
      <c r="M84" s="364" t="s">
        <v>1996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797" t="s">
        <v>1790</v>
      </c>
      <c r="B85" s="768">
        <v>44808</v>
      </c>
      <c r="C85" s="760" t="s">
        <v>479</v>
      </c>
      <c r="D85" s="760" t="s">
        <v>668</v>
      </c>
      <c r="E85" s="811">
        <v>0.78600000000000003</v>
      </c>
      <c r="F85" s="769">
        <v>7.86</v>
      </c>
      <c r="G85" s="762" t="s">
        <v>1996</v>
      </c>
      <c r="H85" s="762" t="s">
        <v>1996</v>
      </c>
      <c r="I85" s="256" t="str">
        <f t="shared" si="4"/>
        <v>DE0001135499</v>
      </c>
      <c r="J85" s="256" t="str">
        <f t="shared" si="5"/>
        <v>DE0001135499</v>
      </c>
      <c r="K85" s="318" t="str">
        <f t="shared" si="6"/>
        <v>FGBMH8</v>
      </c>
      <c r="L85" s="318" t="str">
        <f t="shared" si="7"/>
        <v>FGBMH8</v>
      </c>
      <c r="M85" s="364" t="s">
        <v>1996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797" t="s">
        <v>1791</v>
      </c>
      <c r="B86" s="768">
        <v>44841</v>
      </c>
      <c r="C86" s="776" t="s">
        <v>1013</v>
      </c>
      <c r="D86" s="776" t="s">
        <v>1014</v>
      </c>
      <c r="E86" s="811">
        <v>0.76610199999999995</v>
      </c>
      <c r="F86" s="769">
        <v>7.6610199999999997</v>
      </c>
      <c r="G86" s="762" t="s">
        <v>1996</v>
      </c>
      <c r="H86" s="762" t="s">
        <v>1996</v>
      </c>
      <c r="I86" s="256" t="str">
        <f t="shared" si="4"/>
        <v>DE0001141760</v>
      </c>
      <c r="J86" s="256" t="str">
        <f t="shared" si="5"/>
        <v>DE0001141760</v>
      </c>
      <c r="K86" s="318" t="str">
        <f t="shared" si="6"/>
        <v>FGBMH8</v>
      </c>
      <c r="L86" s="318" t="str">
        <f t="shared" si="7"/>
        <v>FGBMH8</v>
      </c>
      <c r="M86" s="364" t="s">
        <v>1996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797" t="s">
        <v>1792</v>
      </c>
      <c r="B87" s="768">
        <v>44972</v>
      </c>
      <c r="C87" s="760" t="s">
        <v>480</v>
      </c>
      <c r="D87" s="760" t="s">
        <v>669</v>
      </c>
      <c r="E87" s="811">
        <v>0.81265699999999996</v>
      </c>
      <c r="F87" s="769">
        <v>8.6</v>
      </c>
      <c r="G87" s="762" t="s">
        <v>1996</v>
      </c>
      <c r="H87" s="762" t="s">
        <v>1996</v>
      </c>
      <c r="I87" s="256" t="str">
        <f t="shared" si="4"/>
        <v>DE0001102309</v>
      </c>
      <c r="J87" s="256" t="str">
        <f t="shared" si="5"/>
        <v>DE0001102309</v>
      </c>
      <c r="K87" s="318" t="str">
        <f t="shared" si="6"/>
        <v>FGBMH8</v>
      </c>
      <c r="L87" s="318" t="str">
        <f t="shared" si="7"/>
        <v>FGBMH8</v>
      </c>
      <c r="M87" s="364" t="s">
        <v>1996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797" t="s">
        <v>1793</v>
      </c>
      <c r="B88" s="768">
        <v>45061</v>
      </c>
      <c r="C88" s="781" t="s">
        <v>481</v>
      </c>
      <c r="D88" s="760" t="s">
        <v>670</v>
      </c>
      <c r="E88" s="811">
        <v>0.80468300000000004</v>
      </c>
      <c r="F88" s="769">
        <v>9</v>
      </c>
      <c r="G88" s="762" t="s">
        <v>1996</v>
      </c>
      <c r="H88" s="762" t="s">
        <v>1996</v>
      </c>
      <c r="I88" s="256" t="str">
        <f t="shared" si="4"/>
        <v>DE0001102317</v>
      </c>
      <c r="J88" s="256" t="str">
        <f t="shared" si="5"/>
        <v>DE0001102317</v>
      </c>
      <c r="K88" s="318" t="str">
        <f t="shared" si="6"/>
        <v>FGBMH8</v>
      </c>
      <c r="L88" s="318" t="str">
        <f t="shared" si="7"/>
        <v>FGBMH8</v>
      </c>
      <c r="M88" s="364" t="s">
        <v>1996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797" t="s">
        <v>1794</v>
      </c>
      <c r="B89" s="775">
        <v>45153</v>
      </c>
      <c r="C89" s="762" t="s">
        <v>482</v>
      </c>
      <c r="D89" s="762" t="s">
        <v>671</v>
      </c>
      <c r="E89" s="811">
        <v>0.81910899999999998</v>
      </c>
      <c r="F89" s="769">
        <v>9.56</v>
      </c>
      <c r="G89" s="762" t="s">
        <v>1996</v>
      </c>
      <c r="H89" s="762" t="s">
        <v>1996</v>
      </c>
      <c r="I89" s="256" t="str">
        <f t="shared" si="4"/>
        <v>DE0001102325</v>
      </c>
      <c r="J89" s="256" t="str">
        <f t="shared" si="5"/>
        <v>DE0001102325</v>
      </c>
      <c r="K89" s="318" t="str">
        <f t="shared" si="6"/>
        <v>FGBMH8</v>
      </c>
      <c r="L89" s="318" t="str">
        <f t="shared" si="7"/>
        <v>FGBMH8</v>
      </c>
      <c r="M89" s="364" t="s">
        <v>1996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797" t="s">
        <v>1795</v>
      </c>
      <c r="B90" s="768">
        <v>45295</v>
      </c>
      <c r="C90" s="760" t="s">
        <v>483</v>
      </c>
      <c r="D90" s="760" t="s">
        <v>672</v>
      </c>
      <c r="E90" s="811">
        <v>1.1639999999999999</v>
      </c>
      <c r="F90" s="769">
        <v>11.639999999999999</v>
      </c>
      <c r="G90" s="762" t="s">
        <v>1996</v>
      </c>
      <c r="H90" s="762" t="s">
        <v>1996</v>
      </c>
      <c r="I90" s="256" t="str">
        <f t="shared" si="4"/>
        <v>DE0001134922</v>
      </c>
      <c r="J90" s="256" t="str">
        <f t="shared" si="5"/>
        <v>DE0001134922</v>
      </c>
      <c r="K90" s="318" t="str">
        <f t="shared" si="6"/>
        <v>FGBMH8</v>
      </c>
      <c r="L90" s="318" t="str">
        <f t="shared" si="7"/>
        <v>FGBMH8</v>
      </c>
      <c r="M90" s="364" t="s">
        <v>1996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797" t="s">
        <v>1796</v>
      </c>
      <c r="B91" s="775">
        <v>45337</v>
      </c>
      <c r="C91" s="762" t="s">
        <v>484</v>
      </c>
      <c r="D91" s="760" t="s">
        <v>415</v>
      </c>
      <c r="E91" s="811">
        <v>1.032</v>
      </c>
      <c r="F91" s="769">
        <v>10.32</v>
      </c>
      <c r="G91" s="762" t="s">
        <v>1996</v>
      </c>
      <c r="H91" s="762" t="s">
        <v>1996</v>
      </c>
      <c r="I91" s="256" t="str">
        <f t="shared" si="4"/>
        <v>DE0001102333</v>
      </c>
      <c r="J91" s="256" t="str">
        <f t="shared" si="5"/>
        <v>DE0001102333</v>
      </c>
      <c r="K91" s="318" t="str">
        <f t="shared" si="6"/>
        <v>FGBMH8</v>
      </c>
      <c r="L91" s="318" t="str">
        <f t="shared" si="7"/>
        <v>FGBMH8</v>
      </c>
      <c r="M91" s="364" t="s">
        <v>1996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797" t="s">
        <v>1797</v>
      </c>
      <c r="B92" s="775">
        <v>45427</v>
      </c>
      <c r="C92" s="762" t="s">
        <v>485</v>
      </c>
      <c r="D92" s="772" t="s">
        <v>416</v>
      </c>
      <c r="E92" s="811">
        <v>1.0629999999999999</v>
      </c>
      <c r="F92" s="769">
        <v>10.629999999999999</v>
      </c>
      <c r="G92" s="762" t="s">
        <v>1996</v>
      </c>
      <c r="H92" s="762" t="s">
        <v>1996</v>
      </c>
      <c r="I92" s="256" t="str">
        <f t="shared" si="4"/>
        <v>DE0001102358</v>
      </c>
      <c r="J92" s="256" t="str">
        <f t="shared" si="5"/>
        <v>DE0001102358</v>
      </c>
      <c r="K92" s="318" t="str">
        <f t="shared" si="6"/>
        <v>FGBMH8</v>
      </c>
      <c r="L92" s="318" t="str">
        <f t="shared" si="7"/>
        <v>FGBMH8</v>
      </c>
      <c r="M92" s="364" t="s">
        <v>1996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797" t="s">
        <v>1798</v>
      </c>
      <c r="B93" s="775">
        <v>45519</v>
      </c>
      <c r="C93" s="762" t="s">
        <v>588</v>
      </c>
      <c r="D93" s="772" t="s">
        <v>417</v>
      </c>
      <c r="E93" s="811">
        <v>1.083</v>
      </c>
      <c r="F93" s="769">
        <v>10.83</v>
      </c>
      <c r="G93" s="762" t="s">
        <v>1996</v>
      </c>
      <c r="H93" s="762" t="s">
        <v>1996</v>
      </c>
      <c r="I93" s="256" t="str">
        <f t="shared" si="4"/>
        <v>DE0001102366</v>
      </c>
      <c r="J93" s="256" t="str">
        <f t="shared" si="5"/>
        <v>DE0001102366</v>
      </c>
      <c r="K93" s="318" t="str">
        <f t="shared" si="6"/>
        <v>FGBMH8</v>
      </c>
      <c r="L93" s="318" t="str">
        <f t="shared" si="7"/>
        <v>FGBMH8</v>
      </c>
      <c r="M93" s="364" t="s">
        <v>1996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797" t="s">
        <v>1799</v>
      </c>
      <c r="B94" s="775">
        <v>45703</v>
      </c>
      <c r="C94" s="777" t="s">
        <v>589</v>
      </c>
      <c r="D94" s="770" t="s">
        <v>590</v>
      </c>
      <c r="E94" s="811">
        <v>1.137</v>
      </c>
      <c r="F94" s="769">
        <v>11.370000000000001</v>
      </c>
      <c r="G94" s="762" t="s">
        <v>1996</v>
      </c>
      <c r="H94" s="762" t="s">
        <v>1996</v>
      </c>
      <c r="I94" s="256" t="str">
        <f t="shared" si="4"/>
        <v>DE0001102374</v>
      </c>
      <c r="J94" s="256" t="str">
        <f t="shared" si="5"/>
        <v>DE0001102374</v>
      </c>
      <c r="K94" s="318" t="str">
        <f t="shared" si="6"/>
        <v>FGBMH8</v>
      </c>
      <c r="L94" s="318" t="str">
        <f t="shared" si="7"/>
        <v>FGBMH8</v>
      </c>
      <c r="M94" s="364" t="s">
        <v>1996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797" t="s">
        <v>1800</v>
      </c>
      <c r="B95" s="775">
        <v>45884</v>
      </c>
      <c r="C95" s="770" t="s">
        <v>771</v>
      </c>
      <c r="D95" s="770" t="s">
        <v>765</v>
      </c>
      <c r="E95" s="812">
        <v>0.54100000000000004</v>
      </c>
      <c r="F95" s="769">
        <v>5.41</v>
      </c>
      <c r="G95" s="762" t="s">
        <v>1997</v>
      </c>
      <c r="H95" s="762" t="s">
        <v>1997</v>
      </c>
      <c r="I95" s="256" t="str">
        <f t="shared" si="4"/>
        <v>DE0001102382</v>
      </c>
      <c r="J95" s="256" t="str">
        <f t="shared" si="5"/>
        <v>DE0001102382</v>
      </c>
      <c r="K95" s="318" t="str">
        <f t="shared" si="6"/>
        <v>FGBLH8</v>
      </c>
      <c r="L95" s="318" t="str">
        <f t="shared" si="7"/>
        <v>FGBLH8</v>
      </c>
      <c r="M95" s="364" t="s">
        <v>1997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797" t="s">
        <v>1801</v>
      </c>
      <c r="B96" s="775">
        <v>46068</v>
      </c>
      <c r="C96" s="770" t="s">
        <v>817</v>
      </c>
      <c r="D96" s="770" t="s">
        <v>818</v>
      </c>
      <c r="E96" s="812">
        <v>0.56000000000000005</v>
      </c>
      <c r="F96" s="769">
        <v>5.6000000000000005</v>
      </c>
      <c r="G96" s="762" t="s">
        <v>1997</v>
      </c>
      <c r="H96" s="762" t="s">
        <v>1997</v>
      </c>
      <c r="I96" s="261" t="str">
        <f t="shared" si="4"/>
        <v>DE0001102390</v>
      </c>
      <c r="J96" s="261" t="str">
        <f t="shared" si="5"/>
        <v>DE0001102390</v>
      </c>
      <c r="K96" s="318" t="str">
        <f t="shared" si="6"/>
        <v>FGBLH8</v>
      </c>
      <c r="L96" s="321" t="str">
        <f t="shared" si="7"/>
        <v>FGBLH8</v>
      </c>
      <c r="M96" s="364" t="s">
        <v>1997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797" t="s">
        <v>1802</v>
      </c>
      <c r="B97" s="775">
        <v>46249</v>
      </c>
      <c r="C97" s="770" t="s">
        <v>900</v>
      </c>
      <c r="D97" s="770" t="s">
        <v>905</v>
      </c>
      <c r="E97" s="812">
        <v>0.57599999999999996</v>
      </c>
      <c r="F97" s="769">
        <v>5.76</v>
      </c>
      <c r="G97" s="762" t="s">
        <v>1997</v>
      </c>
      <c r="H97" s="762" t="s">
        <v>1997</v>
      </c>
      <c r="I97" s="256" t="str">
        <f t="shared" si="4"/>
        <v>DE0001102408</v>
      </c>
      <c r="J97" s="256" t="str">
        <f t="shared" si="5"/>
        <v>DE0001102408</v>
      </c>
      <c r="K97" s="318" t="str">
        <f t="shared" si="6"/>
        <v>FGBLH8</v>
      </c>
      <c r="L97" s="318" t="str">
        <f t="shared" si="7"/>
        <v>FGBLH8</v>
      </c>
      <c r="M97" s="364" t="s">
        <v>1997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797" t="s">
        <v>1803</v>
      </c>
      <c r="B98" s="775">
        <v>46433</v>
      </c>
      <c r="C98" s="771" t="s">
        <v>943</v>
      </c>
      <c r="D98" s="770" t="s">
        <v>944</v>
      </c>
      <c r="E98" s="812">
        <v>0.61116599999999999</v>
      </c>
      <c r="F98" s="769">
        <v>6.1116599999999996</v>
      </c>
      <c r="G98" s="762" t="s">
        <v>1997</v>
      </c>
      <c r="H98" s="762" t="s">
        <v>1997</v>
      </c>
      <c r="I98" s="256" t="str">
        <f t="shared" si="4"/>
        <v>DE0001102416</v>
      </c>
      <c r="J98" s="256" t="str">
        <f t="shared" si="5"/>
        <v>DE0001102416</v>
      </c>
      <c r="K98" s="318" t="str">
        <f t="shared" si="6"/>
        <v>FGBLH8</v>
      </c>
      <c r="L98" s="318" t="str">
        <f t="shared" si="7"/>
        <v>FGBLH8</v>
      </c>
      <c r="M98" s="364" t="s">
        <v>1997</v>
      </c>
    </row>
    <row r="99" spans="1:152" ht="16.5" thickBot="1">
      <c r="A99" s="797" t="s">
        <v>1804</v>
      </c>
      <c r="B99" s="775">
        <v>46572</v>
      </c>
      <c r="C99" s="762" t="s">
        <v>486</v>
      </c>
      <c r="D99" s="760" t="s">
        <v>673</v>
      </c>
      <c r="E99" s="812">
        <v>0.84699999999999998</v>
      </c>
      <c r="F99" s="769">
        <v>8.4699999999999989</v>
      </c>
      <c r="G99" s="762" t="s">
        <v>1997</v>
      </c>
      <c r="H99" s="762" t="s">
        <v>1997</v>
      </c>
      <c r="I99" s="256" t="str">
        <f t="shared" si="4"/>
        <v>DE0001135044</v>
      </c>
      <c r="J99" s="256" t="str">
        <f t="shared" si="5"/>
        <v>DE0001135044</v>
      </c>
      <c r="K99" s="318" t="str">
        <f t="shared" si="6"/>
        <v>FGBLH8</v>
      </c>
      <c r="L99" s="318" t="str">
        <f t="shared" si="7"/>
        <v>FGBLH8</v>
      </c>
      <c r="M99" s="364" t="s">
        <v>1997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797" t="s">
        <v>1805</v>
      </c>
      <c r="B100" s="775">
        <v>46614</v>
      </c>
      <c r="C100" s="776" t="s">
        <v>1015</v>
      </c>
      <c r="D100" s="776" t="s">
        <v>1016</v>
      </c>
      <c r="E100" s="812">
        <v>0.61251500000000003</v>
      </c>
      <c r="F100" s="769">
        <v>6.46</v>
      </c>
      <c r="G100" s="762" t="s">
        <v>1997</v>
      </c>
      <c r="H100" s="762" t="s">
        <v>1997</v>
      </c>
      <c r="I100" s="256" t="str">
        <f t="shared" si="4"/>
        <v>DE0001102424</v>
      </c>
      <c r="J100" s="256" t="str">
        <f t="shared" si="5"/>
        <v>DE0001102424</v>
      </c>
      <c r="K100" s="318" t="str">
        <f t="shared" si="6"/>
        <v>FGBLH8</v>
      </c>
      <c r="L100" s="318" t="str">
        <f t="shared" si="7"/>
        <v>FGBLH8</v>
      </c>
      <c r="M100" s="364" t="s">
        <v>1997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797" t="s">
        <v>1806</v>
      </c>
      <c r="B101" s="775">
        <v>46756</v>
      </c>
      <c r="C101" s="762" t="s">
        <v>487</v>
      </c>
      <c r="D101" s="760" t="s">
        <v>674</v>
      </c>
      <c r="E101" s="812">
        <v>0.86299999999999999</v>
      </c>
      <c r="F101" s="769">
        <v>8.629999999999999</v>
      </c>
      <c r="G101" s="762" t="s">
        <v>1997</v>
      </c>
      <c r="H101" s="762" t="s">
        <v>1997</v>
      </c>
      <c r="I101" s="256" t="str">
        <f t="shared" si="4"/>
        <v>DE0001135069</v>
      </c>
      <c r="J101" s="256" t="str">
        <f t="shared" si="5"/>
        <v>DE0001135069</v>
      </c>
      <c r="K101" s="318" t="str">
        <f t="shared" si="6"/>
        <v>FGBLH8</v>
      </c>
      <c r="L101" s="318" t="str">
        <f t="shared" si="7"/>
        <v>FGBLH8</v>
      </c>
      <c r="M101" s="364" t="s">
        <v>1997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797" t="s">
        <v>1807</v>
      </c>
      <c r="B102" s="775">
        <v>46938</v>
      </c>
      <c r="C102" s="762" t="s">
        <v>488</v>
      </c>
      <c r="D102" s="760" t="s">
        <v>675</v>
      </c>
      <c r="E102" s="812">
        <v>0.871</v>
      </c>
      <c r="F102" s="769">
        <v>8.7100000000000009</v>
      </c>
      <c r="G102" s="762" t="s">
        <v>1997</v>
      </c>
      <c r="H102" s="762" t="s">
        <v>1997</v>
      </c>
      <c r="I102" s="256" t="str">
        <f t="shared" si="4"/>
        <v>DE0001135085</v>
      </c>
      <c r="J102" s="256" t="str">
        <f t="shared" si="5"/>
        <v>DE0001135085</v>
      </c>
      <c r="K102" s="318" t="str">
        <f t="shared" si="6"/>
        <v>FGBLH8</v>
      </c>
      <c r="L102" s="318" t="str">
        <f t="shared" si="7"/>
        <v>FGBLH8</v>
      </c>
      <c r="M102" s="364" t="s">
        <v>1997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797" t="s">
        <v>1808</v>
      </c>
      <c r="B103" s="775">
        <v>47487</v>
      </c>
      <c r="C103" s="762" t="s">
        <v>489</v>
      </c>
      <c r="D103" s="760" t="s">
        <v>676</v>
      </c>
      <c r="E103" s="812">
        <v>1.079</v>
      </c>
      <c r="F103" s="769">
        <v>10.79</v>
      </c>
      <c r="G103" s="762" t="s">
        <v>1997</v>
      </c>
      <c r="H103" s="762" t="s">
        <v>1997</v>
      </c>
      <c r="I103" s="256" t="str">
        <f t="shared" si="4"/>
        <v>DE0001135143</v>
      </c>
      <c r="J103" s="256" t="str">
        <f t="shared" si="5"/>
        <v>DE0001135143</v>
      </c>
      <c r="K103" s="318" t="str">
        <f t="shared" si="6"/>
        <v>FGBLH8</v>
      </c>
      <c r="L103" s="318" t="str">
        <f t="shared" si="7"/>
        <v>FGBLH8</v>
      </c>
      <c r="M103" s="364" t="s">
        <v>1997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797" t="s">
        <v>1809</v>
      </c>
      <c r="B104" s="775">
        <v>47852</v>
      </c>
      <c r="C104" s="762" t="s">
        <v>490</v>
      </c>
      <c r="D104" s="760" t="s">
        <v>677</v>
      </c>
      <c r="E104" s="812">
        <v>1.1319999999999999</v>
      </c>
      <c r="F104" s="769">
        <v>11.319999999999999</v>
      </c>
      <c r="G104" s="762" t="s">
        <v>1997</v>
      </c>
      <c r="H104" s="762" t="s">
        <v>1997</v>
      </c>
      <c r="I104" s="256" t="str">
        <f t="shared" si="4"/>
        <v>DE0001135176</v>
      </c>
      <c r="J104" s="256" t="str">
        <f t="shared" si="5"/>
        <v>DE0001135176</v>
      </c>
      <c r="K104" s="318" t="str">
        <f t="shared" si="6"/>
        <v>FGBLH8</v>
      </c>
      <c r="L104" s="318" t="str">
        <f t="shared" si="7"/>
        <v>FGBLH8</v>
      </c>
      <c r="M104" s="364" t="s">
        <v>1997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797" t="s">
        <v>1810</v>
      </c>
      <c r="B105" s="775">
        <v>49129</v>
      </c>
      <c r="C105" s="762" t="s">
        <v>491</v>
      </c>
      <c r="D105" s="760" t="s">
        <v>678</v>
      </c>
      <c r="E105" s="813">
        <v>1.401</v>
      </c>
      <c r="F105" s="769">
        <v>14.01</v>
      </c>
      <c r="G105" s="762" t="s">
        <v>1997</v>
      </c>
      <c r="H105" s="762" t="s">
        <v>1997</v>
      </c>
      <c r="I105" s="256" t="str">
        <f t="shared" si="4"/>
        <v>DE0001135226</v>
      </c>
      <c r="J105" s="256" t="str">
        <f t="shared" si="5"/>
        <v>DE0001135226</v>
      </c>
      <c r="K105" s="318" t="str">
        <f t="shared" si="6"/>
        <v>FGBLH8</v>
      </c>
      <c r="L105" s="318" t="str">
        <f t="shared" si="7"/>
        <v>FGBLH8</v>
      </c>
      <c r="M105" s="364" t="s">
        <v>1997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797" t="s">
        <v>1811</v>
      </c>
      <c r="B106" s="775">
        <v>49129</v>
      </c>
      <c r="C106" s="762" t="s">
        <v>491</v>
      </c>
      <c r="D106" s="760" t="s">
        <v>678</v>
      </c>
      <c r="E106" s="814">
        <v>0.67500000000000004</v>
      </c>
      <c r="F106" s="769">
        <v>6.75</v>
      </c>
      <c r="G106" s="762" t="s">
        <v>2003</v>
      </c>
      <c r="H106" s="762" t="s">
        <v>2003</v>
      </c>
      <c r="I106" s="256" t="str">
        <f t="shared" si="4"/>
        <v>DE0001135226</v>
      </c>
      <c r="J106" s="256" t="str">
        <f t="shared" si="5"/>
        <v>DE0001135226</v>
      </c>
      <c r="K106" s="318" t="str">
        <f t="shared" si="6"/>
        <v>FGBXH8</v>
      </c>
      <c r="L106" s="318" t="str">
        <f t="shared" si="7"/>
        <v>FGBXH8</v>
      </c>
      <c r="M106" s="364" t="s">
        <v>2003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797" t="s">
        <v>1812</v>
      </c>
      <c r="B107" s="775">
        <v>50044</v>
      </c>
      <c r="C107" s="762" t="s">
        <v>492</v>
      </c>
      <c r="D107" s="760" t="s">
        <v>679</v>
      </c>
      <c r="E107" s="774">
        <v>1.534</v>
      </c>
      <c r="F107" s="769">
        <v>15.34</v>
      </c>
      <c r="G107" s="762" t="s">
        <v>1997</v>
      </c>
      <c r="H107" s="762" t="s">
        <v>1997</v>
      </c>
      <c r="I107" s="256" t="str">
        <f t="shared" si="4"/>
        <v>DE0001135275</v>
      </c>
      <c r="J107" s="256" t="str">
        <f t="shared" si="5"/>
        <v>DE0001135275</v>
      </c>
      <c r="K107" s="318" t="str">
        <f t="shared" si="6"/>
        <v>FGBLH8</v>
      </c>
      <c r="L107" s="318" t="str">
        <f t="shared" si="7"/>
        <v>FGBLH8</v>
      </c>
      <c r="M107" s="364" t="s">
        <v>1997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797" t="s">
        <v>1813</v>
      </c>
      <c r="B108" s="775">
        <v>50044</v>
      </c>
      <c r="C108" s="762" t="s">
        <v>492</v>
      </c>
      <c r="D108" s="760" t="s">
        <v>679</v>
      </c>
      <c r="E108" s="815">
        <v>0.73799999999999999</v>
      </c>
      <c r="F108" s="769">
        <v>7.38</v>
      </c>
      <c r="G108" s="762" t="s">
        <v>2003</v>
      </c>
      <c r="H108" s="762" t="s">
        <v>2003</v>
      </c>
      <c r="I108" s="256" t="str">
        <f t="shared" si="4"/>
        <v>DE0001135275</v>
      </c>
      <c r="J108" s="256" t="str">
        <f t="shared" si="5"/>
        <v>DE0001135275</v>
      </c>
      <c r="K108" s="318" t="str">
        <f t="shared" si="6"/>
        <v>FGBXH8</v>
      </c>
      <c r="L108" s="318" t="str">
        <f t="shared" si="7"/>
        <v>FGBXH8</v>
      </c>
      <c r="M108" s="364" t="s">
        <v>2003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797" t="s">
        <v>1814</v>
      </c>
      <c r="B109" s="775">
        <v>50955</v>
      </c>
      <c r="C109" s="762" t="s">
        <v>493</v>
      </c>
      <c r="D109" s="760" t="s">
        <v>680</v>
      </c>
      <c r="E109" s="774">
        <v>1.7749999999999999</v>
      </c>
      <c r="F109" s="769">
        <v>17.75</v>
      </c>
      <c r="G109" s="762" t="s">
        <v>1997</v>
      </c>
      <c r="H109" s="762" t="s">
        <v>1997</v>
      </c>
      <c r="I109" s="256" t="str">
        <f t="shared" si="4"/>
        <v>DE0001135325</v>
      </c>
      <c r="J109" s="256" t="str">
        <f t="shared" si="5"/>
        <v>DE0001135325</v>
      </c>
      <c r="K109" s="318" t="str">
        <f t="shared" si="6"/>
        <v>FGBLH8</v>
      </c>
      <c r="L109" s="318" t="str">
        <f t="shared" si="7"/>
        <v>FGBLH8</v>
      </c>
      <c r="M109" s="364" t="s">
        <v>1997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797" t="s">
        <v>1815</v>
      </c>
      <c r="B110" s="775">
        <v>50955</v>
      </c>
      <c r="C110" s="762" t="s">
        <v>493</v>
      </c>
      <c r="D110" s="760" t="s">
        <v>680</v>
      </c>
      <c r="E110" s="816">
        <v>0.85499999999999998</v>
      </c>
      <c r="F110" s="769">
        <v>8.5500000000000007</v>
      </c>
      <c r="G110" s="762" t="s">
        <v>2003</v>
      </c>
      <c r="H110" s="762" t="s">
        <v>2003</v>
      </c>
      <c r="I110" s="256" t="str">
        <f t="shared" si="4"/>
        <v>DE0001135325</v>
      </c>
      <c r="J110" s="256" t="str">
        <f t="shared" si="5"/>
        <v>DE0001135325</v>
      </c>
      <c r="K110" s="318" t="str">
        <f t="shared" si="6"/>
        <v>FGBXH8</v>
      </c>
      <c r="L110" s="318" t="str">
        <f t="shared" si="7"/>
        <v>FGBXH8</v>
      </c>
      <c r="M110" s="364" t="s">
        <v>2003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797" t="s">
        <v>1816</v>
      </c>
      <c r="B111" s="775">
        <v>51321</v>
      </c>
      <c r="C111" s="762" t="s">
        <v>494</v>
      </c>
      <c r="D111" s="760" t="s">
        <v>681</v>
      </c>
      <c r="E111" s="784">
        <v>1.9390000000000001</v>
      </c>
      <c r="F111" s="769">
        <v>19.39</v>
      </c>
      <c r="G111" s="762" t="s">
        <v>1997</v>
      </c>
      <c r="H111" s="762" t="s">
        <v>1997</v>
      </c>
      <c r="I111" s="256" t="str">
        <f t="shared" si="4"/>
        <v>DE0001135366</v>
      </c>
      <c r="J111" s="256" t="str">
        <f t="shared" si="5"/>
        <v>DE0001135366</v>
      </c>
      <c r="K111" s="318" t="str">
        <f t="shared" si="6"/>
        <v>FGBLH8</v>
      </c>
      <c r="L111" s="318" t="str">
        <f t="shared" si="7"/>
        <v>FGBLH8</v>
      </c>
      <c r="M111" s="364" t="s">
        <v>1997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797" t="s">
        <v>1817</v>
      </c>
      <c r="B112" s="775">
        <v>51321</v>
      </c>
      <c r="C112" s="762" t="s">
        <v>494</v>
      </c>
      <c r="D112" s="760" t="s">
        <v>681</v>
      </c>
      <c r="E112" s="817">
        <v>0.93300000000000005</v>
      </c>
      <c r="F112" s="769">
        <v>9.33</v>
      </c>
      <c r="G112" s="762" t="s">
        <v>2003</v>
      </c>
      <c r="H112" s="762" t="s">
        <v>2003</v>
      </c>
      <c r="I112" s="256" t="str">
        <f t="shared" si="4"/>
        <v>DE0001135366</v>
      </c>
      <c r="J112" s="256" t="str">
        <f t="shared" si="5"/>
        <v>DE0001135366</v>
      </c>
      <c r="K112" s="318" t="str">
        <f t="shared" si="6"/>
        <v>FGBXH8</v>
      </c>
      <c r="L112" s="318" t="str">
        <f t="shared" si="7"/>
        <v>FGBXH8</v>
      </c>
      <c r="M112" s="364" t="s">
        <v>2003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797" t="s">
        <v>1818</v>
      </c>
      <c r="B113" s="775">
        <v>52051</v>
      </c>
      <c r="C113" s="762" t="s">
        <v>495</v>
      </c>
      <c r="D113" s="760" t="s">
        <v>682</v>
      </c>
      <c r="E113" s="818">
        <v>0.88461999999999996</v>
      </c>
      <c r="F113" s="844">
        <v>8.8461999999999996</v>
      </c>
      <c r="G113" s="762" t="s">
        <v>2003</v>
      </c>
      <c r="H113" s="762" t="s">
        <v>2003</v>
      </c>
      <c r="I113" s="256" t="str">
        <f t="shared" si="4"/>
        <v>DE0001135432</v>
      </c>
      <c r="J113" s="256" t="str">
        <f t="shared" si="5"/>
        <v>DE0001135432</v>
      </c>
      <c r="K113" s="318" t="str">
        <f t="shared" si="6"/>
        <v>FGBXH8</v>
      </c>
      <c r="L113" s="318" t="str">
        <f t="shared" si="7"/>
        <v>FGBXH8</v>
      </c>
      <c r="M113" s="364" t="s">
        <v>2003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797" t="s">
        <v>1819</v>
      </c>
      <c r="B114" s="775">
        <v>52782</v>
      </c>
      <c r="C114" s="762" t="s">
        <v>496</v>
      </c>
      <c r="D114" s="760" t="s">
        <v>683</v>
      </c>
      <c r="E114" s="818">
        <v>0.75850600000000001</v>
      </c>
      <c r="F114" s="844">
        <v>8.74</v>
      </c>
      <c r="G114" s="762" t="s">
        <v>2003</v>
      </c>
      <c r="H114" s="762" t="s">
        <v>2003</v>
      </c>
      <c r="I114" s="256" t="str">
        <f t="shared" si="4"/>
        <v>DE0001135481</v>
      </c>
      <c r="J114" s="256" t="str">
        <f t="shared" si="5"/>
        <v>DE0001135481</v>
      </c>
      <c r="K114" s="318" t="str">
        <f t="shared" si="6"/>
        <v>FGBXH8</v>
      </c>
      <c r="L114" s="318" t="str">
        <f t="shared" si="7"/>
        <v>FGBXH8</v>
      </c>
      <c r="M114" s="364" t="s">
        <v>2003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797" t="s">
        <v>1820</v>
      </c>
      <c r="B115" s="775">
        <v>53554</v>
      </c>
      <c r="C115" s="762" t="s">
        <v>497</v>
      </c>
      <c r="D115" s="760" t="s">
        <v>418</v>
      </c>
      <c r="E115" s="818">
        <v>0.74785500000000005</v>
      </c>
      <c r="F115" s="844">
        <v>9.35</v>
      </c>
      <c r="G115" s="762" t="s">
        <v>2003</v>
      </c>
      <c r="H115" s="762" t="s">
        <v>2003</v>
      </c>
      <c r="I115" s="256" t="str">
        <f t="shared" si="4"/>
        <v>DE0001102341</v>
      </c>
      <c r="J115" s="256" t="str">
        <f t="shared" si="5"/>
        <v>DE0001102341</v>
      </c>
      <c r="K115" s="318" t="str">
        <f t="shared" si="6"/>
        <v>FGBXH8</v>
      </c>
      <c r="L115" s="318" t="str">
        <f t="shared" si="7"/>
        <v>FGBXH8</v>
      </c>
      <c r="M115" s="364" t="s">
        <v>2003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797" t="s">
        <v>1821</v>
      </c>
      <c r="B116" s="775">
        <v>54285</v>
      </c>
      <c r="C116" s="762" t="s">
        <v>1822</v>
      </c>
      <c r="D116" s="796" t="s">
        <v>1661</v>
      </c>
      <c r="E116" s="818">
        <v>0.52088500000000004</v>
      </c>
      <c r="F116" s="844">
        <v>8.3000000000000007</v>
      </c>
      <c r="G116" s="762" t="s">
        <v>2003</v>
      </c>
      <c r="H116" s="762" t="s">
        <v>2003</v>
      </c>
      <c r="I116" s="256" t="str">
        <f t="shared" si="4"/>
        <v>DE0001102432</v>
      </c>
      <c r="J116" s="256" t="str">
        <f t="shared" si="5"/>
        <v>DE0001102432</v>
      </c>
      <c r="K116" s="318" t="str">
        <f t="shared" si="6"/>
        <v>FGBXH8</v>
      </c>
      <c r="L116" s="318" t="str">
        <f t="shared" si="7"/>
        <v>FGBXH8</v>
      </c>
      <c r="M116" s="364" t="s">
        <v>2003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773" t="s">
        <v>591</v>
      </c>
      <c r="B117" s="768"/>
      <c r="C117" s="760"/>
      <c r="D117" s="760" t="s">
        <v>621</v>
      </c>
      <c r="E117" s="774"/>
      <c r="F117" s="769"/>
      <c r="G117" s="760" t="s">
        <v>621</v>
      </c>
      <c r="H117" s="760" t="s">
        <v>621</v>
      </c>
      <c r="I117" s="256" t="str">
        <f t="shared" si="4"/>
        <v/>
      </c>
      <c r="J117" s="256" t="str">
        <f t="shared" si="5"/>
        <v/>
      </c>
      <c r="K117" s="318" t="str">
        <f t="shared" si="6"/>
        <v/>
      </c>
      <c r="L117" s="318" t="str">
        <f t="shared" si="7"/>
        <v/>
      </c>
      <c r="M117" s="364" t="s">
        <v>621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797" t="s">
        <v>1823</v>
      </c>
      <c r="B118" s="768">
        <v>43358</v>
      </c>
      <c r="C118" s="760" t="s">
        <v>498</v>
      </c>
      <c r="D118" s="760" t="s">
        <v>684</v>
      </c>
      <c r="E118" s="819">
        <v>0.35799999999999998</v>
      </c>
      <c r="F118" s="769">
        <v>3.58</v>
      </c>
      <c r="G118" s="762" t="s">
        <v>1995</v>
      </c>
      <c r="H118" s="762" t="s">
        <v>1995</v>
      </c>
      <c r="I118" s="256" t="str">
        <f t="shared" si="4"/>
        <v>FI4000068663</v>
      </c>
      <c r="J118" s="256" t="str">
        <f t="shared" si="5"/>
        <v>FI4000068663</v>
      </c>
      <c r="K118" s="318" t="str">
        <f t="shared" si="6"/>
        <v>FGBSH8</v>
      </c>
      <c r="L118" s="318" t="str">
        <f t="shared" si="7"/>
        <v>FGBSH8</v>
      </c>
      <c r="M118" s="364" t="s">
        <v>1995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797" t="s">
        <v>1824</v>
      </c>
      <c r="B119" s="768">
        <v>43650</v>
      </c>
      <c r="C119" s="760" t="s">
        <v>499</v>
      </c>
      <c r="D119" s="760" t="s">
        <v>685</v>
      </c>
      <c r="E119" s="819">
        <v>0.748</v>
      </c>
      <c r="F119" s="769">
        <v>7.48</v>
      </c>
      <c r="G119" s="762" t="s">
        <v>1995</v>
      </c>
      <c r="H119" s="762" t="s">
        <v>1995</v>
      </c>
      <c r="I119" s="256" t="str">
        <f t="shared" si="4"/>
        <v>FI0001006306</v>
      </c>
      <c r="J119" s="256" t="str">
        <f t="shared" si="5"/>
        <v>FI0001006306</v>
      </c>
      <c r="K119" s="318" t="str">
        <f t="shared" si="6"/>
        <v>FGBSH8</v>
      </c>
      <c r="L119" s="318" t="str">
        <f t="shared" si="7"/>
        <v>FGBSH8</v>
      </c>
      <c r="M119" s="364" t="s">
        <v>1995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797" t="s">
        <v>1825</v>
      </c>
      <c r="B120" s="775">
        <v>43936</v>
      </c>
      <c r="C120" s="762" t="s">
        <v>500</v>
      </c>
      <c r="D120" s="762" t="s">
        <v>686</v>
      </c>
      <c r="E120" s="819">
        <v>1.111</v>
      </c>
      <c r="F120" s="769">
        <v>11.11</v>
      </c>
      <c r="G120" s="762" t="s">
        <v>1995</v>
      </c>
      <c r="H120" s="762" t="s">
        <v>1995</v>
      </c>
      <c r="I120" s="256" t="str">
        <f t="shared" si="4"/>
        <v>FI4000010848</v>
      </c>
      <c r="J120" s="256" t="str">
        <f t="shared" si="5"/>
        <v>FI4000010848</v>
      </c>
      <c r="K120" s="318" t="str">
        <f t="shared" si="6"/>
        <v>FGBSH8</v>
      </c>
      <c r="L120" s="318" t="str">
        <f t="shared" si="7"/>
        <v>FGBSH8</v>
      </c>
      <c r="M120" s="364" t="s">
        <v>1995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797" t="s">
        <v>1826</v>
      </c>
      <c r="B121" s="775">
        <v>44089</v>
      </c>
      <c r="C121" s="762" t="s">
        <v>501</v>
      </c>
      <c r="D121" s="777" t="s">
        <v>419</v>
      </c>
      <c r="E121" s="819">
        <v>1.2430000000000001</v>
      </c>
      <c r="F121" s="769">
        <v>12.430000000000001</v>
      </c>
      <c r="G121" s="762" t="s">
        <v>1995</v>
      </c>
      <c r="H121" s="762" t="s">
        <v>1995</v>
      </c>
      <c r="I121" s="256" t="str">
        <f t="shared" si="4"/>
        <v>FI4000106117</v>
      </c>
      <c r="J121" s="256" t="str">
        <f t="shared" si="5"/>
        <v>FI4000106117</v>
      </c>
      <c r="K121" s="318" t="str">
        <f t="shared" si="6"/>
        <v>FGBSH8</v>
      </c>
      <c r="L121" s="318" t="str">
        <f t="shared" si="7"/>
        <v>FGBSH8</v>
      </c>
      <c r="M121" s="364" t="s">
        <v>1995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797" t="s">
        <v>1827</v>
      </c>
      <c r="B122" s="775">
        <v>44301</v>
      </c>
      <c r="C122" s="762" t="s">
        <v>502</v>
      </c>
      <c r="D122" s="762" t="s">
        <v>687</v>
      </c>
      <c r="E122" s="820">
        <v>0.57599999999999996</v>
      </c>
      <c r="F122" s="769">
        <v>5.76</v>
      </c>
      <c r="G122" s="762" t="s">
        <v>1996</v>
      </c>
      <c r="H122" s="762" t="s">
        <v>1996</v>
      </c>
      <c r="I122" s="256" t="str">
        <f t="shared" si="4"/>
        <v>FI4000020961</v>
      </c>
      <c r="J122" s="256" t="str">
        <f t="shared" si="5"/>
        <v>FI4000020961</v>
      </c>
      <c r="K122" s="318" t="str">
        <f t="shared" si="6"/>
        <v>FGBMH8</v>
      </c>
      <c r="L122" s="318" t="str">
        <f t="shared" si="7"/>
        <v>FGBMH8</v>
      </c>
      <c r="M122" s="364" t="s">
        <v>1996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797" t="s">
        <v>1828</v>
      </c>
      <c r="B123" s="775">
        <v>44666</v>
      </c>
      <c r="C123" s="776" t="s">
        <v>945</v>
      </c>
      <c r="D123" s="776" t="s">
        <v>946</v>
      </c>
      <c r="E123" s="820">
        <v>0.68899999999999995</v>
      </c>
      <c r="F123" s="769">
        <v>6.89</v>
      </c>
      <c r="G123" s="762" t="s">
        <v>1996</v>
      </c>
      <c r="H123" s="762" t="s">
        <v>1996</v>
      </c>
      <c r="I123" s="256" t="str">
        <f t="shared" si="4"/>
        <v>FI4000242862</v>
      </c>
      <c r="J123" s="256" t="str">
        <f t="shared" si="5"/>
        <v>FI4000242862</v>
      </c>
      <c r="K123" s="318" t="str">
        <f t="shared" si="6"/>
        <v>FGBMH8</v>
      </c>
      <c r="L123" s="318" t="str">
        <f t="shared" si="7"/>
        <v>FGBMH8</v>
      </c>
      <c r="M123" s="364" t="s">
        <v>1996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797" t="s">
        <v>1829</v>
      </c>
      <c r="B124" s="775">
        <v>44819</v>
      </c>
      <c r="C124" s="762" t="s">
        <v>503</v>
      </c>
      <c r="D124" s="762" t="s">
        <v>688</v>
      </c>
      <c r="E124" s="820">
        <v>0.78800000000000003</v>
      </c>
      <c r="F124" s="769">
        <v>7.8800000000000008</v>
      </c>
      <c r="G124" s="762" t="s">
        <v>1996</v>
      </c>
      <c r="H124" s="762" t="s">
        <v>1996</v>
      </c>
      <c r="I124" s="256" t="str">
        <f t="shared" si="4"/>
        <v>FI4000047089</v>
      </c>
      <c r="J124" s="256" t="str">
        <f t="shared" si="5"/>
        <v>FI4000047089</v>
      </c>
      <c r="K124" s="318" t="str">
        <f t="shared" si="6"/>
        <v>FGBMH8</v>
      </c>
      <c r="L124" s="318" t="str">
        <f t="shared" si="7"/>
        <v>FGBMH8</v>
      </c>
      <c r="M124" s="364" t="s">
        <v>1996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797" t="s">
        <v>1830</v>
      </c>
      <c r="B125" s="775">
        <v>45031</v>
      </c>
      <c r="C125" s="762" t="s">
        <v>504</v>
      </c>
      <c r="D125" s="762" t="s">
        <v>689</v>
      </c>
      <c r="E125" s="820">
        <v>0.878</v>
      </c>
      <c r="F125" s="769">
        <v>8.7799999999999994</v>
      </c>
      <c r="G125" s="762" t="s">
        <v>1996</v>
      </c>
      <c r="H125" s="762" t="s">
        <v>1996</v>
      </c>
      <c r="I125" s="256" t="str">
        <f t="shared" si="4"/>
        <v>FI4000062625</v>
      </c>
      <c r="J125" s="256" t="str">
        <f t="shared" si="5"/>
        <v>FI4000062625</v>
      </c>
      <c r="K125" s="318" t="str">
        <f t="shared" si="6"/>
        <v>FGBMH8</v>
      </c>
      <c r="L125" s="318" t="str">
        <f t="shared" si="7"/>
        <v>FGBMH8</v>
      </c>
      <c r="M125" s="364" t="s">
        <v>1996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797" t="s">
        <v>1831</v>
      </c>
      <c r="B126" s="775">
        <v>45184</v>
      </c>
      <c r="C126" s="771" t="s">
        <v>913</v>
      </c>
      <c r="D126" s="785" t="s">
        <v>914</v>
      </c>
      <c r="E126" s="820">
        <v>0.9</v>
      </c>
      <c r="F126" s="769">
        <v>9</v>
      </c>
      <c r="G126" s="762" t="s">
        <v>1996</v>
      </c>
      <c r="H126" s="762" t="s">
        <v>1996</v>
      </c>
      <c r="I126" s="256" t="str">
        <f t="shared" si="4"/>
        <v>FI4000219787</v>
      </c>
      <c r="J126" s="256" t="str">
        <f t="shared" si="5"/>
        <v>FI4000219787</v>
      </c>
      <c r="K126" s="318" t="str">
        <f t="shared" si="6"/>
        <v>FGBMH8</v>
      </c>
      <c r="L126" s="318" t="str">
        <f t="shared" si="7"/>
        <v>FGBMH8</v>
      </c>
      <c r="M126" s="364" t="s">
        <v>1996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797" t="s">
        <v>1832</v>
      </c>
      <c r="B127" s="775">
        <v>45397</v>
      </c>
      <c r="C127" s="762" t="s">
        <v>505</v>
      </c>
      <c r="D127" s="762" t="s">
        <v>420</v>
      </c>
      <c r="E127" s="821">
        <v>1.056</v>
      </c>
      <c r="F127" s="769">
        <v>10.56</v>
      </c>
      <c r="G127" s="762" t="s">
        <v>1996</v>
      </c>
      <c r="H127" s="762" t="s">
        <v>1996</v>
      </c>
      <c r="I127" s="256" t="str">
        <f t="shared" si="4"/>
        <v>FI4000079041</v>
      </c>
      <c r="J127" s="256" t="str">
        <f t="shared" si="5"/>
        <v>FI4000079041</v>
      </c>
      <c r="K127" s="318" t="str">
        <f t="shared" si="6"/>
        <v>FGBMH8</v>
      </c>
      <c r="L127" s="318" t="str">
        <f t="shared" si="7"/>
        <v>FGBMH8</v>
      </c>
      <c r="M127" s="364" t="s">
        <v>1996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797" t="s">
        <v>1833</v>
      </c>
      <c r="B128" s="775">
        <v>45842</v>
      </c>
      <c r="C128" s="762" t="s">
        <v>506</v>
      </c>
      <c r="D128" s="762" t="s">
        <v>690</v>
      </c>
      <c r="E128" s="822">
        <v>0.59299999999999997</v>
      </c>
      <c r="F128" s="769">
        <v>5.93</v>
      </c>
      <c r="G128" s="762" t="s">
        <v>1997</v>
      </c>
      <c r="H128" s="762" t="s">
        <v>1997</v>
      </c>
      <c r="I128" s="256" t="str">
        <f t="shared" si="4"/>
        <v>FI4000006176</v>
      </c>
      <c r="J128" s="256" t="str">
        <f t="shared" si="5"/>
        <v>FI4000006176</v>
      </c>
      <c r="K128" s="318" t="str">
        <f t="shared" si="6"/>
        <v>FGBLH8</v>
      </c>
      <c r="L128" s="318" t="str">
        <f t="shared" si="7"/>
        <v>FGBLH8</v>
      </c>
      <c r="M128" s="364" t="s">
        <v>1997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797" t="s">
        <v>1834</v>
      </c>
      <c r="B129" s="775">
        <v>45915</v>
      </c>
      <c r="C129" s="777" t="s">
        <v>785</v>
      </c>
      <c r="D129" s="777" t="s">
        <v>786</v>
      </c>
      <c r="E129" s="822">
        <v>0.53500000000000003</v>
      </c>
      <c r="F129" s="769">
        <v>5.3500000000000005</v>
      </c>
      <c r="G129" s="775" t="s">
        <v>1997</v>
      </c>
      <c r="H129" s="775" t="s">
        <v>1997</v>
      </c>
      <c r="I129" s="256" t="str">
        <f t="shared" si="4"/>
        <v>FI4000167317</v>
      </c>
      <c r="J129" s="256" t="str">
        <f t="shared" si="5"/>
        <v>FI4000167317</v>
      </c>
      <c r="K129" s="318" t="str">
        <f t="shared" si="6"/>
        <v>FGBLH8</v>
      </c>
      <c r="L129" s="318" t="str">
        <f t="shared" si="7"/>
        <v>FGBLH8</v>
      </c>
      <c r="M129" s="364" t="s">
        <v>1997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797" t="s">
        <v>1835</v>
      </c>
      <c r="B130" s="775">
        <v>46127</v>
      </c>
      <c r="C130" s="770" t="s">
        <v>877</v>
      </c>
      <c r="D130" s="770" t="s">
        <v>878</v>
      </c>
      <c r="E130" s="822">
        <v>0.56200000000000006</v>
      </c>
      <c r="F130" s="769">
        <v>5.620000000000001</v>
      </c>
      <c r="G130" s="762" t="s">
        <v>1997</v>
      </c>
      <c r="H130" s="762" t="s">
        <v>1997</v>
      </c>
      <c r="I130" s="256" t="str">
        <f t="shared" si="4"/>
        <v>FI4000197959</v>
      </c>
      <c r="J130" s="256" t="str">
        <f t="shared" si="5"/>
        <v>FI4000197959</v>
      </c>
      <c r="K130" s="318" t="str">
        <f t="shared" si="6"/>
        <v>FGBLH8</v>
      </c>
      <c r="L130" s="318" t="str">
        <f t="shared" si="7"/>
        <v>FGBLH8</v>
      </c>
      <c r="M130" s="364" t="s">
        <v>1997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797" t="s">
        <v>1836</v>
      </c>
      <c r="B131" s="775">
        <v>46645</v>
      </c>
      <c r="C131" s="770" t="s">
        <v>1837</v>
      </c>
      <c r="D131" s="776" t="s">
        <v>1838</v>
      </c>
      <c r="E131" s="822">
        <v>0.64100000000000001</v>
      </c>
      <c r="F131" s="769">
        <v>6.41</v>
      </c>
      <c r="G131" s="762" t="s">
        <v>1997</v>
      </c>
      <c r="H131" s="762" t="s">
        <v>1997</v>
      </c>
      <c r="I131" s="256" t="str">
        <f t="shared" ref="I131:I195" si="8">LEFT(D131,12)</f>
        <v>FI4000278551</v>
      </c>
      <c r="J131" s="256" t="str">
        <f t="shared" si="5"/>
        <v>FI4000278551</v>
      </c>
      <c r="K131" s="318" t="str">
        <f t="shared" si="6"/>
        <v>FGBLH8</v>
      </c>
      <c r="L131" s="318" t="str">
        <f t="shared" si="7"/>
        <v>FGBLH8</v>
      </c>
      <c r="M131" s="364" t="s">
        <v>1997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797" t="s">
        <v>1839</v>
      </c>
      <c r="B132" s="775">
        <v>46938</v>
      </c>
      <c r="C132" s="762" t="s">
        <v>507</v>
      </c>
      <c r="D132" s="762" t="s">
        <v>691</v>
      </c>
      <c r="E132" s="822">
        <v>0.78100000000000003</v>
      </c>
      <c r="F132" s="769">
        <v>7.8100000000000005</v>
      </c>
      <c r="G132" s="762" t="s">
        <v>1997</v>
      </c>
      <c r="H132" s="762" t="s">
        <v>1997</v>
      </c>
      <c r="I132" s="256" t="str">
        <f t="shared" si="8"/>
        <v>FI4000037635</v>
      </c>
      <c r="J132" s="256" t="str">
        <f t="shared" ref="J132:J197" si="9">I132</f>
        <v>FI4000037635</v>
      </c>
      <c r="K132" s="318" t="str">
        <f t="shared" ref="K132:K195" si="10">LEFT(H132,6)</f>
        <v>FGBLH8</v>
      </c>
      <c r="L132" s="318" t="str">
        <f t="shared" ref="L132:L197" si="11">K132</f>
        <v>FGBLH8</v>
      </c>
      <c r="M132" s="364" t="s">
        <v>1997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797" t="s">
        <v>1840</v>
      </c>
      <c r="B133" s="775">
        <v>47953</v>
      </c>
      <c r="C133" s="762" t="s">
        <v>592</v>
      </c>
      <c r="D133" s="777" t="s">
        <v>593</v>
      </c>
      <c r="E133" s="822">
        <v>0.84599999999999997</v>
      </c>
      <c r="F133" s="769">
        <v>8.4599999999999991</v>
      </c>
      <c r="G133" s="762" t="s">
        <v>1997</v>
      </c>
      <c r="H133" s="762" t="s">
        <v>1997</v>
      </c>
      <c r="I133" s="256" t="str">
        <f t="shared" si="8"/>
        <v>FI4000148630</v>
      </c>
      <c r="J133" s="256" t="str">
        <f t="shared" si="9"/>
        <v>FI4000148630</v>
      </c>
      <c r="K133" s="318" t="str">
        <f t="shared" si="10"/>
        <v>FGBLH8</v>
      </c>
      <c r="L133" s="318" t="str">
        <f t="shared" si="11"/>
        <v>FGBLH8</v>
      </c>
      <c r="M133" s="364" t="s">
        <v>1997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797" t="s">
        <v>1841</v>
      </c>
      <c r="B134" s="768">
        <v>52051</v>
      </c>
      <c r="C134" s="760" t="s">
        <v>508</v>
      </c>
      <c r="D134" s="760" t="s">
        <v>692</v>
      </c>
      <c r="E134" s="822">
        <v>1.6919999999999999</v>
      </c>
      <c r="F134" s="769">
        <v>16.919999999999998</v>
      </c>
      <c r="G134" s="762" t="s">
        <v>1997</v>
      </c>
      <c r="H134" s="762" t="s">
        <v>1997</v>
      </c>
      <c r="I134" s="256" t="str">
        <f t="shared" si="8"/>
        <v>FI4000046545</v>
      </c>
      <c r="J134" s="256" t="str">
        <f t="shared" si="9"/>
        <v>FI4000046545</v>
      </c>
      <c r="K134" s="318" t="str">
        <f t="shared" si="10"/>
        <v>FGBLH8</v>
      </c>
      <c r="L134" s="318" t="str">
        <f t="shared" si="11"/>
        <v>FGBLH8</v>
      </c>
      <c r="M134" s="364" t="s">
        <v>1997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797" t="s">
        <v>1842</v>
      </c>
      <c r="B135" s="768">
        <v>53797</v>
      </c>
      <c r="C135" s="776" t="s">
        <v>947</v>
      </c>
      <c r="D135" s="776" t="s">
        <v>948</v>
      </c>
      <c r="E135" s="822">
        <v>1.657</v>
      </c>
      <c r="F135" s="769">
        <v>16.57</v>
      </c>
      <c r="G135" s="762" t="s">
        <v>1997</v>
      </c>
      <c r="H135" s="762" t="s">
        <v>1997</v>
      </c>
      <c r="I135" s="256" t="str">
        <f t="shared" si="8"/>
        <v>FI4000242870</v>
      </c>
      <c r="J135" s="256" t="str">
        <f t="shared" si="9"/>
        <v>FI4000242870</v>
      </c>
      <c r="K135" s="318" t="str">
        <f t="shared" si="10"/>
        <v>FGBLH8</v>
      </c>
      <c r="L135" s="318" t="str">
        <f t="shared" si="11"/>
        <v>FGBLH8</v>
      </c>
      <c r="M135" s="364" t="s">
        <v>1997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773" t="s">
        <v>594</v>
      </c>
      <c r="B136" s="768"/>
      <c r="C136" s="760"/>
      <c r="D136" s="760" t="s">
        <v>621</v>
      </c>
      <c r="E136" s="774"/>
      <c r="F136" s="769"/>
      <c r="G136" s="760" t="s">
        <v>621</v>
      </c>
      <c r="H136" s="760" t="s">
        <v>621</v>
      </c>
      <c r="I136" s="256" t="str">
        <f t="shared" si="8"/>
        <v/>
      </c>
      <c r="J136" s="256" t="str">
        <f t="shared" si="9"/>
        <v/>
      </c>
      <c r="K136" s="318" t="str">
        <f t="shared" si="10"/>
        <v/>
      </c>
      <c r="L136" s="318" t="str">
        <f t="shared" si="11"/>
        <v/>
      </c>
      <c r="M136" s="364" t="s">
        <v>621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797" t="s">
        <v>1843</v>
      </c>
      <c r="B137" s="775">
        <v>43156</v>
      </c>
      <c r="C137" s="777" t="s">
        <v>595</v>
      </c>
      <c r="D137" s="786" t="s">
        <v>596</v>
      </c>
      <c r="E137" s="823">
        <v>0.112</v>
      </c>
      <c r="F137" s="769">
        <v>1.1200000000000001</v>
      </c>
      <c r="G137" s="762" t="s">
        <v>1995</v>
      </c>
      <c r="H137" s="762" t="s">
        <v>1995</v>
      </c>
      <c r="I137" s="256" t="str">
        <f t="shared" si="8"/>
        <v>FR0012634558</v>
      </c>
      <c r="J137" s="256" t="str">
        <f t="shared" si="9"/>
        <v>FR0012634558</v>
      </c>
      <c r="K137" s="318" t="str">
        <f t="shared" si="10"/>
        <v>FGBSH8</v>
      </c>
      <c r="L137" s="318" t="str">
        <f t="shared" si="11"/>
        <v>FGBSH8</v>
      </c>
      <c r="M137" s="364" t="s">
        <v>1995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797" t="s">
        <v>1844</v>
      </c>
      <c r="B138" s="775">
        <v>43215</v>
      </c>
      <c r="C138" s="762" t="s">
        <v>509</v>
      </c>
      <c r="D138" s="762" t="s">
        <v>695</v>
      </c>
      <c r="E138" s="823">
        <v>0.191</v>
      </c>
      <c r="F138" s="769">
        <v>1.9100000000000001</v>
      </c>
      <c r="G138" s="762" t="s">
        <v>1995</v>
      </c>
      <c r="H138" s="762" t="s">
        <v>1995</v>
      </c>
      <c r="I138" s="256" t="str">
        <f t="shared" si="8"/>
        <v>FR0010604983</v>
      </c>
      <c r="J138" s="256" t="str">
        <f t="shared" si="9"/>
        <v>FR0010604983</v>
      </c>
      <c r="K138" s="318" t="str">
        <f t="shared" si="10"/>
        <v>FGBSH8</v>
      </c>
      <c r="L138" s="318" t="str">
        <f t="shared" si="11"/>
        <v>FGBSH8</v>
      </c>
      <c r="M138" s="364" t="s">
        <v>1995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797" t="s">
        <v>1845</v>
      </c>
      <c r="B139" s="768">
        <v>43245</v>
      </c>
      <c r="C139" s="760" t="s">
        <v>510</v>
      </c>
      <c r="D139" s="760" t="s">
        <v>696</v>
      </c>
      <c r="E139" s="823">
        <v>0.222</v>
      </c>
      <c r="F139" s="769">
        <v>2.2200000000000002</v>
      </c>
      <c r="G139" s="762" t="s">
        <v>1995</v>
      </c>
      <c r="H139" s="762" t="s">
        <v>1995</v>
      </c>
      <c r="I139" s="256" t="str">
        <f t="shared" si="8"/>
        <v>FR0011394345</v>
      </c>
      <c r="J139" s="256" t="str">
        <f t="shared" si="9"/>
        <v>FR0011394345</v>
      </c>
      <c r="K139" s="318" t="str">
        <f t="shared" si="10"/>
        <v>FGBSH8</v>
      </c>
      <c r="L139" s="318" t="str">
        <f t="shared" si="11"/>
        <v>FGBSH8</v>
      </c>
      <c r="M139" s="364" t="s">
        <v>1995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797" t="s">
        <v>1846</v>
      </c>
      <c r="B140" s="775">
        <v>43398</v>
      </c>
      <c r="C140" s="762" t="s">
        <v>511</v>
      </c>
      <c r="D140" s="762" t="s">
        <v>697</v>
      </c>
      <c r="E140" s="823">
        <v>0.41899999999999998</v>
      </c>
      <c r="F140" s="769">
        <v>4.1899999999999995</v>
      </c>
      <c r="G140" s="762" t="s">
        <v>1995</v>
      </c>
      <c r="H140" s="762" t="s">
        <v>1995</v>
      </c>
      <c r="I140" s="256" t="str">
        <f t="shared" si="8"/>
        <v>FR0010670737</v>
      </c>
      <c r="J140" s="256" t="str">
        <f t="shared" si="9"/>
        <v>FR0010670737</v>
      </c>
      <c r="K140" s="318" t="str">
        <f t="shared" si="10"/>
        <v>FGBSH8</v>
      </c>
      <c r="L140" s="318" t="str">
        <f t="shared" si="11"/>
        <v>FGBSH8</v>
      </c>
      <c r="M140" s="364" t="s">
        <v>1995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797" t="s">
        <v>1847</v>
      </c>
      <c r="B141" s="775">
        <v>43429</v>
      </c>
      <c r="C141" s="762" t="s">
        <v>512</v>
      </c>
      <c r="D141" s="762" t="s">
        <v>698</v>
      </c>
      <c r="E141" s="823">
        <v>0.44400000000000001</v>
      </c>
      <c r="F141" s="769">
        <v>4.4400000000000004</v>
      </c>
      <c r="G141" s="762" t="s">
        <v>1995</v>
      </c>
      <c r="H141" s="762" t="s">
        <v>1995</v>
      </c>
      <c r="I141" s="256" t="str">
        <f t="shared" si="8"/>
        <v>FR0011523257</v>
      </c>
      <c r="J141" s="256" t="str">
        <f t="shared" si="9"/>
        <v>FR0011523257</v>
      </c>
      <c r="K141" s="318" t="str">
        <f t="shared" si="10"/>
        <v>FGBSH8</v>
      </c>
      <c r="L141" s="318" t="str">
        <f t="shared" si="11"/>
        <v>FGBSH8</v>
      </c>
      <c r="M141" s="364" t="s">
        <v>1995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797" t="s">
        <v>1848</v>
      </c>
      <c r="B142" s="775">
        <v>43521</v>
      </c>
      <c r="C142" s="770" t="s">
        <v>819</v>
      </c>
      <c r="D142" s="770" t="s">
        <v>820</v>
      </c>
      <c r="E142" s="823">
        <v>0.54900000000000004</v>
      </c>
      <c r="F142" s="769">
        <v>5.49</v>
      </c>
      <c r="G142" s="762" t="s">
        <v>1995</v>
      </c>
      <c r="H142" s="762" t="s">
        <v>1995</v>
      </c>
      <c r="I142" s="256" t="str">
        <f t="shared" si="8"/>
        <v>FR0013101466</v>
      </c>
      <c r="J142" s="256" t="str">
        <f t="shared" si="9"/>
        <v>FR0013101466</v>
      </c>
      <c r="K142" s="318" t="str">
        <f t="shared" si="10"/>
        <v>FGBSH8</v>
      </c>
      <c r="L142" s="318" t="str">
        <f t="shared" si="11"/>
        <v>FGBSH8</v>
      </c>
      <c r="M142" s="364" t="s">
        <v>1995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797" t="s">
        <v>1849</v>
      </c>
      <c r="B143" s="775">
        <v>43580</v>
      </c>
      <c r="C143" s="762" t="s">
        <v>290</v>
      </c>
      <c r="D143" s="762" t="s">
        <v>699</v>
      </c>
      <c r="E143" s="823">
        <v>0.65500000000000003</v>
      </c>
      <c r="F143" s="769">
        <v>6.5500000000000007</v>
      </c>
      <c r="G143" s="762" t="s">
        <v>1995</v>
      </c>
      <c r="H143" s="762" t="s">
        <v>1995</v>
      </c>
      <c r="I143" s="256" t="str">
        <f t="shared" si="8"/>
        <v>FR0000189151</v>
      </c>
      <c r="J143" s="256" t="str">
        <f t="shared" si="9"/>
        <v>FR0000189151</v>
      </c>
      <c r="K143" s="318" t="str">
        <f t="shared" si="10"/>
        <v>FGBSH8</v>
      </c>
      <c r="L143" s="318" t="str">
        <f t="shared" si="11"/>
        <v>FGBSH8</v>
      </c>
      <c r="M143" s="364" t="s">
        <v>1995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797" t="s">
        <v>1850</v>
      </c>
      <c r="B144" s="775">
        <v>43610</v>
      </c>
      <c r="C144" s="762" t="s">
        <v>513</v>
      </c>
      <c r="D144" s="762" t="s">
        <v>421</v>
      </c>
      <c r="E144" s="823">
        <v>0.66600000000000004</v>
      </c>
      <c r="F144" s="769">
        <v>6.66</v>
      </c>
      <c r="G144" s="762" t="s">
        <v>1995</v>
      </c>
      <c r="H144" s="762" t="s">
        <v>1995</v>
      </c>
      <c r="I144" s="256" t="str">
        <f t="shared" si="8"/>
        <v>FR0011708080</v>
      </c>
      <c r="J144" s="256" t="str">
        <f t="shared" si="9"/>
        <v>FR0011708080</v>
      </c>
      <c r="K144" s="318" t="str">
        <f t="shared" si="10"/>
        <v>FGBSH8</v>
      </c>
      <c r="L144" s="318" t="str">
        <f t="shared" si="11"/>
        <v>FGBSH8</v>
      </c>
      <c r="M144" s="364" t="s">
        <v>1995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797" t="s">
        <v>1851</v>
      </c>
      <c r="B145" s="775">
        <v>43763</v>
      </c>
      <c r="C145" s="762" t="s">
        <v>514</v>
      </c>
      <c r="D145" s="762" t="s">
        <v>700</v>
      </c>
      <c r="E145" s="824">
        <v>0.88900000000000001</v>
      </c>
      <c r="F145" s="769">
        <v>8.89</v>
      </c>
      <c r="G145" s="762" t="s">
        <v>1995</v>
      </c>
      <c r="H145" s="762" t="s">
        <v>1995</v>
      </c>
      <c r="I145" s="256" t="str">
        <f t="shared" si="8"/>
        <v>FR0010776161</v>
      </c>
      <c r="J145" s="256" t="str">
        <f t="shared" si="9"/>
        <v>FR0010776161</v>
      </c>
      <c r="K145" s="318" t="str">
        <f t="shared" si="10"/>
        <v>FGBSH8</v>
      </c>
      <c r="L145" s="318" t="str">
        <f t="shared" si="11"/>
        <v>FGBSH8</v>
      </c>
      <c r="M145" s="364" t="s">
        <v>1995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797" t="s">
        <v>1852</v>
      </c>
      <c r="B146" s="775">
        <v>43794</v>
      </c>
      <c r="C146" s="762" t="s">
        <v>515</v>
      </c>
      <c r="D146" s="778" t="s">
        <v>422</v>
      </c>
      <c r="E146" s="824">
        <v>0.88600000000000001</v>
      </c>
      <c r="F146" s="769">
        <v>8.86</v>
      </c>
      <c r="G146" s="762" t="s">
        <v>1995</v>
      </c>
      <c r="H146" s="762" t="s">
        <v>1995</v>
      </c>
      <c r="I146" s="256" t="str">
        <f t="shared" si="8"/>
        <v>FR0011993179</v>
      </c>
      <c r="J146" s="256" t="str">
        <f t="shared" si="9"/>
        <v>FR0011993179</v>
      </c>
      <c r="K146" s="318" t="str">
        <f t="shared" si="10"/>
        <v>FGBSH8</v>
      </c>
      <c r="L146" s="318" t="str">
        <f t="shared" si="11"/>
        <v>FGBSH8</v>
      </c>
      <c r="M146" s="364" t="s">
        <v>1995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797" t="s">
        <v>1853</v>
      </c>
      <c r="B147" s="775">
        <v>43886</v>
      </c>
      <c r="C147" s="762" t="s">
        <v>990</v>
      </c>
      <c r="D147" s="778" t="s">
        <v>991</v>
      </c>
      <c r="E147" s="824">
        <v>0.98899999999999999</v>
      </c>
      <c r="F147" s="769">
        <v>9.89</v>
      </c>
      <c r="G147" s="762" t="s">
        <v>1995</v>
      </c>
      <c r="H147" s="762" t="s">
        <v>1995</v>
      </c>
      <c r="I147" s="256" t="str">
        <f t="shared" si="8"/>
        <v>FR0013232485</v>
      </c>
      <c r="J147" s="256" t="str">
        <f t="shared" si="9"/>
        <v>FR0013232485</v>
      </c>
      <c r="K147" s="318" t="str">
        <f t="shared" si="10"/>
        <v>FGBSH8</v>
      </c>
      <c r="L147" s="318" t="str">
        <f t="shared" si="11"/>
        <v>FGBSH8</v>
      </c>
      <c r="M147" s="364" t="s">
        <v>1995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797" t="s">
        <v>1854</v>
      </c>
      <c r="B148" s="775">
        <v>43946</v>
      </c>
      <c r="C148" s="762" t="s">
        <v>516</v>
      </c>
      <c r="D148" s="762" t="s">
        <v>701</v>
      </c>
      <c r="E148" s="824">
        <v>1.1259999999999999</v>
      </c>
      <c r="F148" s="769">
        <v>11.259999999999998</v>
      </c>
      <c r="G148" s="762" t="s">
        <v>1995</v>
      </c>
      <c r="H148" s="762" t="s">
        <v>1995</v>
      </c>
      <c r="I148" s="256" t="str">
        <f t="shared" si="8"/>
        <v>FR0010854182</v>
      </c>
      <c r="J148" s="256" t="str">
        <f t="shared" si="9"/>
        <v>FR0010854182</v>
      </c>
      <c r="K148" s="318" t="str">
        <f t="shared" si="10"/>
        <v>FGBSH8</v>
      </c>
      <c r="L148" s="318" t="str">
        <f t="shared" si="11"/>
        <v>FGBSH8</v>
      </c>
      <c r="M148" s="364" t="s">
        <v>1995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797" t="s">
        <v>1855</v>
      </c>
      <c r="B149" s="775">
        <v>43976</v>
      </c>
      <c r="C149" s="762" t="s">
        <v>597</v>
      </c>
      <c r="D149" s="762" t="s">
        <v>598</v>
      </c>
      <c r="E149" s="824">
        <v>1.097</v>
      </c>
      <c r="F149" s="769">
        <v>10.969999999999999</v>
      </c>
      <c r="G149" s="762" t="s">
        <v>1995</v>
      </c>
      <c r="H149" s="762" t="s">
        <v>1995</v>
      </c>
      <c r="I149" s="256" t="str">
        <f t="shared" si="8"/>
        <v>FR0012557957</v>
      </c>
      <c r="J149" s="256" t="str">
        <f t="shared" si="9"/>
        <v>FR0012557957</v>
      </c>
      <c r="K149" s="318" t="str">
        <f t="shared" si="10"/>
        <v>FGBSH8</v>
      </c>
      <c r="L149" s="318" t="str">
        <f t="shared" si="11"/>
        <v>FGBSH8</v>
      </c>
      <c r="M149" s="364" t="s">
        <v>1995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797" t="s">
        <v>1856</v>
      </c>
      <c r="B150" s="775">
        <v>44129</v>
      </c>
      <c r="C150" s="762" t="s">
        <v>517</v>
      </c>
      <c r="D150" s="762" t="s">
        <v>702</v>
      </c>
      <c r="E150" s="824">
        <v>1.345</v>
      </c>
      <c r="F150" s="769">
        <v>13.45</v>
      </c>
      <c r="G150" s="762" t="s">
        <v>1995</v>
      </c>
      <c r="H150" s="762" t="s">
        <v>1995</v>
      </c>
      <c r="I150" s="256" t="str">
        <f t="shared" si="8"/>
        <v>FR0010949651</v>
      </c>
      <c r="J150" s="256" t="str">
        <f t="shared" si="9"/>
        <v>FR0010949651</v>
      </c>
      <c r="K150" s="318" t="str">
        <f t="shared" si="10"/>
        <v>FGBSH8</v>
      </c>
      <c r="L150" s="318" t="str">
        <f t="shared" si="11"/>
        <v>FGBSH8</v>
      </c>
      <c r="M150" s="364" t="s">
        <v>1995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797" t="s">
        <v>1857</v>
      </c>
      <c r="B151" s="775">
        <v>44160</v>
      </c>
      <c r="C151" s="770" t="s">
        <v>787</v>
      </c>
      <c r="D151" s="770" t="s">
        <v>788</v>
      </c>
      <c r="E151" s="824">
        <v>1.3240000000000001</v>
      </c>
      <c r="F151" s="769">
        <v>13.24</v>
      </c>
      <c r="G151" s="762" t="s">
        <v>1995</v>
      </c>
      <c r="H151" s="762" t="s">
        <v>1995</v>
      </c>
      <c r="I151" s="256" t="str">
        <f t="shared" si="8"/>
        <v>FR0012968337</v>
      </c>
      <c r="J151" s="256" t="str">
        <f t="shared" si="9"/>
        <v>FR0012968337</v>
      </c>
      <c r="K151" s="318" t="str">
        <f t="shared" si="10"/>
        <v>FGBSH8</v>
      </c>
      <c r="L151" s="318" t="str">
        <f t="shared" si="11"/>
        <v>FGBSH8</v>
      </c>
      <c r="M151" s="364" t="s">
        <v>1995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797" t="s">
        <v>1858</v>
      </c>
      <c r="B152" s="775">
        <v>44311</v>
      </c>
      <c r="C152" s="762" t="s">
        <v>291</v>
      </c>
      <c r="D152" s="762" t="s">
        <v>703</v>
      </c>
      <c r="E152" s="825">
        <v>0.58399999999999996</v>
      </c>
      <c r="F152" s="769">
        <v>5.84</v>
      </c>
      <c r="G152" s="762" t="s">
        <v>1996</v>
      </c>
      <c r="H152" s="762" t="s">
        <v>1996</v>
      </c>
      <c r="I152" s="256" t="str">
        <f t="shared" si="8"/>
        <v>FR0010192997</v>
      </c>
      <c r="J152" s="256" t="str">
        <f t="shared" si="9"/>
        <v>FR0010192997</v>
      </c>
      <c r="K152" s="318" t="str">
        <f t="shared" si="10"/>
        <v>FGBMH8</v>
      </c>
      <c r="L152" s="318" t="str">
        <f t="shared" si="11"/>
        <v>FGBMH8</v>
      </c>
      <c r="M152" s="364" t="s">
        <v>1996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797" t="s">
        <v>1859</v>
      </c>
      <c r="B153" s="775">
        <v>44341</v>
      </c>
      <c r="C153" s="762" t="s">
        <v>879</v>
      </c>
      <c r="D153" s="762" t="s">
        <v>880</v>
      </c>
      <c r="E153" s="825">
        <v>0.55000000000000004</v>
      </c>
      <c r="F153" s="769">
        <v>5.5</v>
      </c>
      <c r="G153" s="762" t="s">
        <v>1996</v>
      </c>
      <c r="H153" s="762" t="s">
        <v>1996</v>
      </c>
      <c r="I153" s="256" t="str">
        <f t="shared" si="8"/>
        <v>FR0013157096</v>
      </c>
      <c r="J153" s="256" t="str">
        <f t="shared" si="9"/>
        <v>FR0013157096</v>
      </c>
      <c r="K153" s="318" t="str">
        <f t="shared" si="10"/>
        <v>FGBMH8</v>
      </c>
      <c r="L153" s="318" t="str">
        <f t="shared" si="11"/>
        <v>FGBMH8</v>
      </c>
      <c r="M153" s="364" t="s">
        <v>1996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797" t="s">
        <v>1860</v>
      </c>
      <c r="B154" s="775">
        <v>44494</v>
      </c>
      <c r="C154" s="762" t="s">
        <v>518</v>
      </c>
      <c r="D154" s="762" t="s">
        <v>704</v>
      </c>
      <c r="E154" s="825">
        <v>0.66600000000000004</v>
      </c>
      <c r="F154" s="769">
        <v>6.66</v>
      </c>
      <c r="G154" s="762" t="s">
        <v>1996</v>
      </c>
      <c r="H154" s="762" t="s">
        <v>1996</v>
      </c>
      <c r="I154" s="256" t="str">
        <f t="shared" si="8"/>
        <v>FR0011059088</v>
      </c>
      <c r="J154" s="256" t="str">
        <f t="shared" si="9"/>
        <v>FR0011059088</v>
      </c>
      <c r="K154" s="318" t="str">
        <f t="shared" si="10"/>
        <v>FGBMH8</v>
      </c>
      <c r="L154" s="318" t="str">
        <f t="shared" si="11"/>
        <v>FGBMH8</v>
      </c>
      <c r="M154" s="364" t="s">
        <v>1996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797" t="s">
        <v>1861</v>
      </c>
      <c r="B155" s="768">
        <v>44676</v>
      </c>
      <c r="C155" s="760" t="s">
        <v>519</v>
      </c>
      <c r="D155" s="760" t="s">
        <v>705</v>
      </c>
      <c r="E155" s="825">
        <v>0.75</v>
      </c>
      <c r="F155" s="769">
        <v>7.5</v>
      </c>
      <c r="G155" s="762" t="s">
        <v>1996</v>
      </c>
      <c r="H155" s="762" t="s">
        <v>1996</v>
      </c>
      <c r="I155" s="256" t="str">
        <f t="shared" si="8"/>
        <v>FR0011196856</v>
      </c>
      <c r="J155" s="256" t="str">
        <f t="shared" si="9"/>
        <v>FR0011196856</v>
      </c>
      <c r="K155" s="318" t="str">
        <f t="shared" si="10"/>
        <v>FGBMH8</v>
      </c>
      <c r="L155" s="318" t="str">
        <f t="shared" si="11"/>
        <v>FGBMH8</v>
      </c>
      <c r="M155" s="364" t="s">
        <v>1996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797" t="s">
        <v>1862</v>
      </c>
      <c r="B156" s="768">
        <v>44706</v>
      </c>
      <c r="C156" s="771" t="s">
        <v>915</v>
      </c>
      <c r="D156" s="771" t="s">
        <v>916</v>
      </c>
      <c r="E156" s="825">
        <v>0.70499999999999996</v>
      </c>
      <c r="F156" s="769">
        <v>7.05</v>
      </c>
      <c r="G156" s="762" t="s">
        <v>1996</v>
      </c>
      <c r="H156" s="762" t="s">
        <v>1996</v>
      </c>
      <c r="I156" s="256" t="str">
        <f t="shared" si="8"/>
        <v>FR0013219177</v>
      </c>
      <c r="J156" s="256" t="str">
        <f t="shared" si="9"/>
        <v>FR0013219177</v>
      </c>
      <c r="K156" s="318" t="str">
        <f t="shared" si="10"/>
        <v>FGBMH8</v>
      </c>
      <c r="L156" s="318" t="str">
        <f t="shared" si="11"/>
        <v>FGBMH8</v>
      </c>
      <c r="M156" s="364" t="s">
        <v>1996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797" t="s">
        <v>1863</v>
      </c>
      <c r="B157" s="768">
        <v>44859</v>
      </c>
      <c r="C157" s="760" t="s">
        <v>520</v>
      </c>
      <c r="D157" s="760" t="s">
        <v>706</v>
      </c>
      <c r="E157" s="825">
        <v>8.1999999999999993</v>
      </c>
      <c r="F157" s="769">
        <v>82</v>
      </c>
      <c r="G157" s="762" t="s">
        <v>1996</v>
      </c>
      <c r="H157" s="762" t="s">
        <v>1996</v>
      </c>
      <c r="I157" s="256" t="str">
        <f t="shared" si="8"/>
        <v>FR0011337880</v>
      </c>
      <c r="J157" s="256" t="str">
        <f t="shared" si="9"/>
        <v>FR0011337880</v>
      </c>
      <c r="K157" s="318" t="str">
        <f t="shared" si="10"/>
        <v>FGBMH8</v>
      </c>
      <c r="L157" s="318" t="str">
        <f t="shared" si="11"/>
        <v>FGBMH8</v>
      </c>
      <c r="M157" s="364" t="s">
        <v>1996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797" t="s">
        <v>1864</v>
      </c>
      <c r="B158" s="768">
        <v>45010</v>
      </c>
      <c r="C158" s="776" t="s">
        <v>1865</v>
      </c>
      <c r="D158" s="776" t="s">
        <v>1663</v>
      </c>
      <c r="E158" s="825">
        <v>0.82899999999999996</v>
      </c>
      <c r="F158" s="769">
        <v>8.2899999999999991</v>
      </c>
      <c r="G158" s="762" t="s">
        <v>1996</v>
      </c>
      <c r="H158" s="762" t="s">
        <v>1996</v>
      </c>
      <c r="I158" s="256" t="str">
        <f t="shared" si="8"/>
        <v>FR0013283686</v>
      </c>
      <c r="J158" s="256" t="str">
        <f t="shared" si="9"/>
        <v>FR0013283686</v>
      </c>
      <c r="K158" s="318" t="str">
        <f t="shared" si="10"/>
        <v>FGBMH8</v>
      </c>
      <c r="L158" s="318" t="str">
        <f t="shared" si="11"/>
        <v>FGBMH8</v>
      </c>
      <c r="M158" s="364" t="s">
        <v>1996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797" t="s">
        <v>1866</v>
      </c>
      <c r="B159" s="787">
        <v>45071</v>
      </c>
      <c r="C159" s="781" t="s">
        <v>521</v>
      </c>
      <c r="D159" s="760" t="s">
        <v>707</v>
      </c>
      <c r="E159" s="826">
        <v>0.90400000000000003</v>
      </c>
      <c r="F159" s="769">
        <v>9.0400000000000009</v>
      </c>
      <c r="G159" s="762" t="s">
        <v>1996</v>
      </c>
      <c r="H159" s="762" t="s">
        <v>1996</v>
      </c>
      <c r="I159" s="256" t="str">
        <f t="shared" si="8"/>
        <v>FR0011486067</v>
      </c>
      <c r="J159" s="256" t="str">
        <f t="shared" si="9"/>
        <v>FR0011486067</v>
      </c>
      <c r="K159" s="318" t="str">
        <f t="shared" si="10"/>
        <v>FGBMH8</v>
      </c>
      <c r="L159" s="318" t="str">
        <f t="shared" si="11"/>
        <v>FGBMH8</v>
      </c>
      <c r="M159" s="364" t="s">
        <v>1996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797" t="s">
        <v>1867</v>
      </c>
      <c r="B160" s="783">
        <v>45224</v>
      </c>
      <c r="C160" s="782" t="s">
        <v>522</v>
      </c>
      <c r="D160" s="760" t="s">
        <v>708</v>
      </c>
      <c r="E160" s="826">
        <v>1.054</v>
      </c>
      <c r="F160" s="769">
        <v>10.540000000000001</v>
      </c>
      <c r="G160" s="762" t="s">
        <v>1996</v>
      </c>
      <c r="H160" s="762" t="s">
        <v>1996</v>
      </c>
      <c r="I160" s="256" t="str">
        <f t="shared" si="8"/>
        <v>FR0010466938</v>
      </c>
      <c r="J160" s="256" t="str">
        <f t="shared" si="9"/>
        <v>FR0010466938</v>
      </c>
      <c r="K160" s="318" t="str">
        <f t="shared" si="10"/>
        <v>FGBMH8</v>
      </c>
      <c r="L160" s="318" t="str">
        <f t="shared" si="11"/>
        <v>FGBMH8</v>
      </c>
      <c r="M160" s="364" t="s">
        <v>1996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797" t="s">
        <v>1868</v>
      </c>
      <c r="B161" s="775">
        <v>45437</v>
      </c>
      <c r="C161" s="762" t="s">
        <v>523</v>
      </c>
      <c r="D161" s="760" t="s">
        <v>709</v>
      </c>
      <c r="E161" s="827">
        <v>0.502</v>
      </c>
      <c r="F161" s="769">
        <v>5.0199999999999996</v>
      </c>
      <c r="G161" s="762" t="s">
        <v>1999</v>
      </c>
      <c r="H161" s="762" t="s">
        <v>1999</v>
      </c>
      <c r="I161" s="256" t="str">
        <f t="shared" si="8"/>
        <v>FR0011619436</v>
      </c>
      <c r="J161" s="256" t="str">
        <f t="shared" si="9"/>
        <v>FR0011619436</v>
      </c>
      <c r="K161" s="318" t="str">
        <f t="shared" si="10"/>
        <v>FOATH8</v>
      </c>
      <c r="L161" s="318" t="str">
        <f t="shared" si="11"/>
        <v>FOATH8</v>
      </c>
      <c r="M161" s="364" t="s">
        <v>1999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797" t="s">
        <v>1869</v>
      </c>
      <c r="B162" s="775">
        <v>45621</v>
      </c>
      <c r="C162" s="778" t="s">
        <v>524</v>
      </c>
      <c r="D162" s="778" t="s">
        <v>423</v>
      </c>
      <c r="E162" s="827">
        <v>0.52900000000000003</v>
      </c>
      <c r="F162" s="769">
        <v>5.29</v>
      </c>
      <c r="G162" s="762" t="s">
        <v>1999</v>
      </c>
      <c r="H162" s="762" t="s">
        <v>1999</v>
      </c>
      <c r="I162" s="256" t="str">
        <f t="shared" si="8"/>
        <v>FR0011962398</v>
      </c>
      <c r="J162" s="256" t="str">
        <f t="shared" si="9"/>
        <v>FR0011962398</v>
      </c>
      <c r="K162" s="318" t="str">
        <f t="shared" si="10"/>
        <v>FOATH8</v>
      </c>
      <c r="L162" s="318" t="str">
        <f t="shared" si="11"/>
        <v>FOATH8</v>
      </c>
      <c r="M162" s="364" t="s">
        <v>1999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797" t="s">
        <v>1870</v>
      </c>
      <c r="B163" s="775">
        <v>45802</v>
      </c>
      <c r="C163" s="778" t="s">
        <v>599</v>
      </c>
      <c r="D163" s="777" t="s">
        <v>600</v>
      </c>
      <c r="E163" s="827">
        <v>0.53700000000000003</v>
      </c>
      <c r="F163" s="769">
        <v>5.37</v>
      </c>
      <c r="G163" s="762" t="s">
        <v>1999</v>
      </c>
      <c r="H163" s="762" t="s">
        <v>1999</v>
      </c>
      <c r="I163" s="256" t="str">
        <f t="shared" si="8"/>
        <v>FR0012517027</v>
      </c>
      <c r="J163" s="256" t="str">
        <f t="shared" si="9"/>
        <v>FR0012517027</v>
      </c>
      <c r="K163" s="318" t="str">
        <f t="shared" si="10"/>
        <v>FOATH8</v>
      </c>
      <c r="L163" s="318" t="str">
        <f t="shared" si="11"/>
        <v>FOATH8</v>
      </c>
      <c r="M163" s="364" t="s">
        <v>1999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797" t="s">
        <v>1871</v>
      </c>
      <c r="B164" s="775">
        <v>45955</v>
      </c>
      <c r="C164" s="762" t="s">
        <v>292</v>
      </c>
      <c r="D164" s="762" t="s">
        <v>710</v>
      </c>
      <c r="E164" s="827">
        <v>0.70599999999999996</v>
      </c>
      <c r="F164" s="769">
        <v>7.06</v>
      </c>
      <c r="G164" s="762" t="s">
        <v>1999</v>
      </c>
      <c r="H164" s="762" t="s">
        <v>1999</v>
      </c>
      <c r="I164" s="256" t="str">
        <f t="shared" si="8"/>
        <v>FR0000571150</v>
      </c>
      <c r="J164" s="256" t="str">
        <f t="shared" si="9"/>
        <v>FR0000571150</v>
      </c>
      <c r="K164" s="318" t="str">
        <f t="shared" si="10"/>
        <v>FOATH8</v>
      </c>
      <c r="L164" s="318" t="str">
        <f t="shared" si="11"/>
        <v>FOATH8</v>
      </c>
      <c r="M164" s="364" t="s">
        <v>1999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797" t="s">
        <v>1872</v>
      </c>
      <c r="B165" s="775">
        <v>45986</v>
      </c>
      <c r="C165" s="762" t="s">
        <v>881</v>
      </c>
      <c r="D165" s="762" t="s">
        <v>789</v>
      </c>
      <c r="E165" s="827">
        <v>0.58199999999999996</v>
      </c>
      <c r="F165" s="769">
        <v>5.8199999999999994</v>
      </c>
      <c r="G165" s="762" t="s">
        <v>1999</v>
      </c>
      <c r="H165" s="762" t="s">
        <v>1999</v>
      </c>
      <c r="I165" s="256" t="str">
        <f t="shared" si="8"/>
        <v>FR0012938116</v>
      </c>
      <c r="J165" s="256" t="str">
        <f t="shared" si="9"/>
        <v>FR0012938116</v>
      </c>
      <c r="K165" s="318" t="str">
        <f t="shared" si="10"/>
        <v>FOATH8</v>
      </c>
      <c r="L165" s="318" t="str">
        <f t="shared" si="11"/>
        <v>FOATH8</v>
      </c>
      <c r="M165" s="364" t="s">
        <v>1999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797" t="s">
        <v>1873</v>
      </c>
      <c r="B166" s="775">
        <v>46137</v>
      </c>
      <c r="C166" s="762" t="s">
        <v>525</v>
      </c>
      <c r="D166" s="762" t="s">
        <v>711</v>
      </c>
      <c r="E166" s="827">
        <v>0.68100000000000005</v>
      </c>
      <c r="F166" s="769">
        <v>6.8100000000000005</v>
      </c>
      <c r="G166" s="762" t="s">
        <v>1999</v>
      </c>
      <c r="H166" s="762" t="s">
        <v>1999</v>
      </c>
      <c r="I166" s="256" t="str">
        <f t="shared" si="8"/>
        <v>FR0010916924</v>
      </c>
      <c r="J166" s="256" t="str">
        <f t="shared" si="9"/>
        <v>FR0010916924</v>
      </c>
      <c r="K166" s="318" t="str">
        <f t="shared" si="10"/>
        <v>FOATH8</v>
      </c>
      <c r="L166" s="318" t="str">
        <f t="shared" si="11"/>
        <v>FOATH8</v>
      </c>
      <c r="M166" s="364" t="s">
        <v>1999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797" t="s">
        <v>1874</v>
      </c>
      <c r="B167" s="775">
        <v>46167</v>
      </c>
      <c r="C167" s="762" t="s">
        <v>882</v>
      </c>
      <c r="D167" s="770" t="s">
        <v>883</v>
      </c>
      <c r="E167" s="827">
        <v>0.6</v>
      </c>
      <c r="F167" s="769">
        <v>6</v>
      </c>
      <c r="G167" s="762" t="s">
        <v>1999</v>
      </c>
      <c r="H167" s="762" t="s">
        <v>1999</v>
      </c>
      <c r="I167" s="256" t="str">
        <f t="shared" si="8"/>
        <v>FR0013131877</v>
      </c>
      <c r="J167" s="256" t="str">
        <f t="shared" si="9"/>
        <v>FR0013131877</v>
      </c>
      <c r="K167" s="318" t="str">
        <f t="shared" si="10"/>
        <v>FOATH8</v>
      </c>
      <c r="L167" s="318" t="str">
        <f t="shared" si="11"/>
        <v>FOATH8</v>
      </c>
      <c r="M167" s="364" t="s">
        <v>1999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797" t="s">
        <v>1875</v>
      </c>
      <c r="B168" s="775">
        <v>46351</v>
      </c>
      <c r="C168" s="771" t="s">
        <v>917</v>
      </c>
      <c r="D168" s="771" t="s">
        <v>918</v>
      </c>
      <c r="E168" s="828">
        <v>0.61865999999999999</v>
      </c>
      <c r="F168" s="845">
        <v>6.22</v>
      </c>
      <c r="G168" s="762" t="s">
        <v>1999</v>
      </c>
      <c r="H168" s="762" t="s">
        <v>1999</v>
      </c>
      <c r="I168" s="256" t="str">
        <f t="shared" si="8"/>
        <v>FR0013200813</v>
      </c>
      <c r="J168" s="256" t="str">
        <f t="shared" si="9"/>
        <v>FR0013200813</v>
      </c>
      <c r="K168" s="318" t="str">
        <f t="shared" si="10"/>
        <v>FOATH8</v>
      </c>
      <c r="L168" s="318" t="str">
        <f t="shared" si="11"/>
        <v>FOATH8</v>
      </c>
      <c r="M168" s="364" t="s">
        <v>1999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797" t="s">
        <v>1876</v>
      </c>
      <c r="B169" s="775">
        <v>46532</v>
      </c>
      <c r="C169" s="776" t="s">
        <v>992</v>
      </c>
      <c r="D169" s="793" t="s">
        <v>960</v>
      </c>
      <c r="E169" s="828">
        <v>0.65407499999999996</v>
      </c>
      <c r="F169" s="845">
        <v>6.75</v>
      </c>
      <c r="G169" s="762" t="s">
        <v>1999</v>
      </c>
      <c r="H169" s="762" t="s">
        <v>1999</v>
      </c>
      <c r="I169" s="256" t="str">
        <f>LEFT(D169,12)</f>
        <v>FR0013250560</v>
      </c>
      <c r="J169" s="256" t="str">
        <f>I169</f>
        <v>FR0013250560</v>
      </c>
      <c r="K169" s="318" t="str">
        <f t="shared" si="10"/>
        <v>FOATH8</v>
      </c>
      <c r="L169" s="318" t="str">
        <f>K169</f>
        <v>FOATH8</v>
      </c>
      <c r="M169" s="364" t="s">
        <v>1999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797" t="s">
        <v>1877</v>
      </c>
      <c r="B170" s="775">
        <v>46685</v>
      </c>
      <c r="C170" s="762" t="s">
        <v>526</v>
      </c>
      <c r="D170" s="762" t="s">
        <v>712</v>
      </c>
      <c r="E170" s="828">
        <v>0.767347</v>
      </c>
      <c r="F170" s="845">
        <v>7.67347</v>
      </c>
      <c r="G170" s="762" t="s">
        <v>1999</v>
      </c>
      <c r="H170" s="762" t="s">
        <v>1999</v>
      </c>
      <c r="I170" s="256" t="str">
        <f t="shared" si="8"/>
        <v>FR0011317783</v>
      </c>
      <c r="J170" s="256" t="str">
        <f t="shared" si="9"/>
        <v>FR0011317783</v>
      </c>
      <c r="K170" s="318" t="str">
        <f t="shared" si="10"/>
        <v>FOATH8</v>
      </c>
      <c r="L170" s="318" t="str">
        <f t="shared" si="11"/>
        <v>FOATH8</v>
      </c>
      <c r="M170" s="364" t="s">
        <v>1999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796" t="s">
        <v>1878</v>
      </c>
      <c r="B171" s="775">
        <v>46898</v>
      </c>
      <c r="C171" s="776" t="s">
        <v>1879</v>
      </c>
      <c r="D171" s="793" t="s">
        <v>1666</v>
      </c>
      <c r="E171" s="828">
        <v>0.60782199999999997</v>
      </c>
      <c r="F171" s="845">
        <v>7.22</v>
      </c>
      <c r="G171" s="762" t="s">
        <v>1999</v>
      </c>
      <c r="H171" s="762" t="s">
        <v>1999</v>
      </c>
      <c r="I171" s="256" t="str">
        <f t="shared" si="8"/>
        <v>FR0013286192</v>
      </c>
      <c r="J171" s="256" t="str">
        <f t="shared" si="9"/>
        <v>FR0013286192</v>
      </c>
      <c r="K171" s="318" t="str">
        <f t="shared" si="10"/>
        <v>FOATH8</v>
      </c>
      <c r="L171" s="318" t="str">
        <f t="shared" si="11"/>
        <v>FOATH8</v>
      </c>
      <c r="M171" s="364" t="s">
        <v>1999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797" t="s">
        <v>1880</v>
      </c>
      <c r="B172" s="768">
        <v>47233</v>
      </c>
      <c r="C172" s="760" t="s">
        <v>293</v>
      </c>
      <c r="D172" s="760" t="s">
        <v>713</v>
      </c>
      <c r="E172" s="829">
        <v>1.012</v>
      </c>
      <c r="F172" s="769">
        <v>10.120000000000001</v>
      </c>
      <c r="G172" s="762" t="s">
        <v>1999</v>
      </c>
      <c r="H172" s="762" t="s">
        <v>1999</v>
      </c>
      <c r="I172" s="256" t="str">
        <f t="shared" si="8"/>
        <v>FR0000571218</v>
      </c>
      <c r="J172" s="256" t="str">
        <f t="shared" si="9"/>
        <v>FR0000571218</v>
      </c>
      <c r="K172" s="318" t="str">
        <f t="shared" si="10"/>
        <v>FOATH8</v>
      </c>
      <c r="L172" s="318" t="str">
        <f t="shared" si="11"/>
        <v>FOATH8</v>
      </c>
      <c r="M172" s="364" t="s">
        <v>1999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797" t="s">
        <v>1881</v>
      </c>
      <c r="B173" s="768">
        <v>47628</v>
      </c>
      <c r="C173" s="772" t="s">
        <v>527</v>
      </c>
      <c r="D173" s="772" t="s">
        <v>424</v>
      </c>
      <c r="E173" s="829">
        <v>0.93500000000000005</v>
      </c>
      <c r="F173" s="769">
        <v>9.3500000000000014</v>
      </c>
      <c r="G173" s="762" t="s">
        <v>1999</v>
      </c>
      <c r="H173" s="762" t="s">
        <v>1999</v>
      </c>
      <c r="I173" s="256" t="str">
        <f t="shared" si="8"/>
        <v>FR0011883966</v>
      </c>
      <c r="J173" s="256" t="str">
        <f t="shared" si="9"/>
        <v>FR0011883966</v>
      </c>
      <c r="K173" s="318" t="str">
        <f t="shared" si="10"/>
        <v>FOATH8</v>
      </c>
      <c r="L173" s="318" t="str">
        <f t="shared" si="11"/>
        <v>FOATH8</v>
      </c>
      <c r="M173" s="364" t="s">
        <v>1999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797" t="s">
        <v>1882</v>
      </c>
      <c r="B174" s="768">
        <v>47993</v>
      </c>
      <c r="C174" s="772" t="s">
        <v>790</v>
      </c>
      <c r="D174" s="770" t="s">
        <v>791</v>
      </c>
      <c r="E174" s="829">
        <v>0.93600000000000005</v>
      </c>
      <c r="F174" s="769">
        <v>9.3600000000000012</v>
      </c>
      <c r="G174" s="762" t="s">
        <v>1999</v>
      </c>
      <c r="H174" s="762" t="s">
        <v>1999</v>
      </c>
      <c r="I174" s="256" t="str">
        <f t="shared" si="8"/>
        <v>FR0012993103</v>
      </c>
      <c r="J174" s="256" t="str">
        <f t="shared" si="9"/>
        <v>FR0012993103</v>
      </c>
      <c r="K174" s="318" t="str">
        <f t="shared" si="10"/>
        <v>FOATH8</v>
      </c>
      <c r="L174" s="318" t="str">
        <f t="shared" si="11"/>
        <v>FOATH8</v>
      </c>
      <c r="M174" s="364" t="s">
        <v>1999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797" t="s">
        <v>1883</v>
      </c>
      <c r="B175" s="768">
        <v>48512</v>
      </c>
      <c r="C175" s="760" t="s">
        <v>294</v>
      </c>
      <c r="D175" s="760" t="s">
        <v>714</v>
      </c>
      <c r="E175" s="830">
        <v>1.355</v>
      </c>
      <c r="F175" s="769">
        <v>13.55</v>
      </c>
      <c r="G175" s="762" t="s">
        <v>1999</v>
      </c>
      <c r="H175" s="762" t="s">
        <v>1999</v>
      </c>
      <c r="I175" s="256" t="str">
        <f t="shared" si="8"/>
        <v>FR0000187635</v>
      </c>
      <c r="J175" s="256" t="str">
        <f t="shared" si="9"/>
        <v>FR0000187635</v>
      </c>
      <c r="K175" s="318" t="str">
        <f t="shared" si="10"/>
        <v>FOATH8</v>
      </c>
      <c r="L175" s="318" t="str">
        <f t="shared" si="11"/>
        <v>FOATH8</v>
      </c>
      <c r="M175" s="364" t="s">
        <v>1999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797" t="s">
        <v>1884</v>
      </c>
      <c r="B176" s="768">
        <v>49424</v>
      </c>
      <c r="C176" s="760" t="s">
        <v>295</v>
      </c>
      <c r="D176" s="760" t="s">
        <v>715</v>
      </c>
      <c r="E176" s="830">
        <v>1.4910000000000001</v>
      </c>
      <c r="F176" s="769">
        <v>14.91</v>
      </c>
      <c r="G176" s="762" t="s">
        <v>1999</v>
      </c>
      <c r="H176" s="762" t="s">
        <v>1999</v>
      </c>
      <c r="I176" s="256" t="str">
        <f t="shared" si="8"/>
        <v>FR0010070060</v>
      </c>
      <c r="J176" s="256" t="str">
        <f t="shared" si="9"/>
        <v>FR0010070060</v>
      </c>
      <c r="K176" s="318" t="str">
        <f t="shared" si="10"/>
        <v>FOATH8</v>
      </c>
      <c r="L176" s="318" t="str">
        <f t="shared" si="11"/>
        <v>FOATH8</v>
      </c>
      <c r="M176" s="364" t="s">
        <v>1999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797" t="s">
        <v>1885</v>
      </c>
      <c r="B177" s="768">
        <v>49820</v>
      </c>
      <c r="C177" s="772" t="s">
        <v>884</v>
      </c>
      <c r="D177" s="770" t="s">
        <v>885</v>
      </c>
      <c r="E177" s="830">
        <v>1.171</v>
      </c>
      <c r="F177" s="769">
        <v>11.71</v>
      </c>
      <c r="G177" s="762" t="s">
        <v>1999</v>
      </c>
      <c r="H177" s="762" t="s">
        <v>1999</v>
      </c>
      <c r="I177" s="256" t="str">
        <f t="shared" si="8"/>
        <v>FR0013154044</v>
      </c>
      <c r="J177" s="256" t="str">
        <f t="shared" si="9"/>
        <v>FR0013154044</v>
      </c>
      <c r="K177" s="318" t="str">
        <f t="shared" si="10"/>
        <v>FOATH8</v>
      </c>
      <c r="L177" s="318" t="str">
        <f t="shared" si="11"/>
        <v>FOATH8</v>
      </c>
      <c r="M177" s="364" t="s">
        <v>1999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797" t="s">
        <v>1886</v>
      </c>
      <c r="B178" s="768">
        <v>50703</v>
      </c>
      <c r="C178" s="760" t="s">
        <v>528</v>
      </c>
      <c r="D178" s="760" t="s">
        <v>716</v>
      </c>
      <c r="E178" s="830">
        <v>1.6739999999999999</v>
      </c>
      <c r="F178" s="769">
        <v>16.739999999999998</v>
      </c>
      <c r="G178" s="762" t="s">
        <v>1999</v>
      </c>
      <c r="H178" s="762" t="s">
        <v>1999</v>
      </c>
      <c r="I178" s="256" t="str">
        <f t="shared" si="8"/>
        <v>FR0010371401</v>
      </c>
      <c r="J178" s="256" t="str">
        <f t="shared" si="9"/>
        <v>FR0010371401</v>
      </c>
      <c r="K178" s="318" t="str">
        <f t="shared" si="10"/>
        <v>FOATH8</v>
      </c>
      <c r="L178" s="318" t="str">
        <f t="shared" si="11"/>
        <v>FOATH8</v>
      </c>
      <c r="M178" s="364" t="s">
        <v>1999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797" t="s">
        <v>1887</v>
      </c>
      <c r="B179" s="768">
        <v>50946</v>
      </c>
      <c r="C179" s="771" t="s">
        <v>949</v>
      </c>
      <c r="D179" s="771" t="s">
        <v>950</v>
      </c>
      <c r="E179" s="830">
        <v>1.383</v>
      </c>
      <c r="F179" s="769">
        <v>13.83</v>
      </c>
      <c r="G179" s="762" t="s">
        <v>1999</v>
      </c>
      <c r="H179" s="762" t="s">
        <v>1999</v>
      </c>
      <c r="I179" s="256" t="str">
        <f t="shared" si="8"/>
        <v>FR0013234333</v>
      </c>
      <c r="J179" s="256" t="str">
        <f t="shared" si="9"/>
        <v>FR0013234333</v>
      </c>
      <c r="K179" s="318" t="str">
        <f t="shared" si="10"/>
        <v>FOATH8</v>
      </c>
      <c r="L179" s="318" t="str">
        <f t="shared" si="11"/>
        <v>FOATH8</v>
      </c>
      <c r="M179" s="364" t="s">
        <v>1999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797" t="s">
        <v>1888</v>
      </c>
      <c r="B180" s="768">
        <v>51616</v>
      </c>
      <c r="C180" s="760" t="s">
        <v>529</v>
      </c>
      <c r="D180" s="760" t="s">
        <v>717</v>
      </c>
      <c r="E180" s="830">
        <v>1.9350000000000001</v>
      </c>
      <c r="F180" s="769">
        <v>19.350000000000001</v>
      </c>
      <c r="G180" s="762" t="s">
        <v>1999</v>
      </c>
      <c r="H180" s="762" t="s">
        <v>1999</v>
      </c>
      <c r="I180" s="256" t="str">
        <f t="shared" si="8"/>
        <v>FR0010773192</v>
      </c>
      <c r="J180" s="256" t="str">
        <f t="shared" si="9"/>
        <v>FR0010773192</v>
      </c>
      <c r="K180" s="318" t="str">
        <f t="shared" si="10"/>
        <v>FOATH8</v>
      </c>
      <c r="L180" s="318" t="str">
        <f t="shared" si="11"/>
        <v>FOATH8</v>
      </c>
      <c r="M180" s="364" t="s">
        <v>1999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797" t="s">
        <v>1889</v>
      </c>
      <c r="B181" s="768">
        <v>53107</v>
      </c>
      <c r="C181" s="760" t="s">
        <v>530</v>
      </c>
      <c r="D181" s="760" t="s">
        <v>718</v>
      </c>
      <c r="E181" s="830">
        <v>1.9450000000000001</v>
      </c>
      <c r="F181" s="769">
        <v>19.45</v>
      </c>
      <c r="G181" s="762" t="s">
        <v>1999</v>
      </c>
      <c r="H181" s="762" t="s">
        <v>1999</v>
      </c>
      <c r="I181" s="256" t="str">
        <f t="shared" si="8"/>
        <v>FR0011461037</v>
      </c>
      <c r="J181" s="256" t="str">
        <f t="shared" si="9"/>
        <v>FR0011461037</v>
      </c>
      <c r="K181" s="318" t="str">
        <f t="shared" si="10"/>
        <v>FOATH8</v>
      </c>
      <c r="L181" s="318" t="str">
        <f t="shared" si="11"/>
        <v>FOATH8</v>
      </c>
      <c r="M181" s="364" t="s">
        <v>1999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797" t="s">
        <v>1890</v>
      </c>
      <c r="B182" s="768">
        <v>54203</v>
      </c>
      <c r="C182" s="760" t="s">
        <v>993</v>
      </c>
      <c r="D182" s="793" t="s">
        <v>1004</v>
      </c>
      <c r="E182" s="830">
        <v>1.7849999999999999</v>
      </c>
      <c r="F182" s="769">
        <v>17.849999999999998</v>
      </c>
      <c r="G182" s="762" t="s">
        <v>1999</v>
      </c>
      <c r="H182" s="762" t="s">
        <v>1999</v>
      </c>
      <c r="I182" s="256" t="str">
        <f t="shared" si="8"/>
        <v>FR0013257524</v>
      </c>
      <c r="J182" s="256" t="str">
        <f t="shared" si="9"/>
        <v>FR0013257524</v>
      </c>
      <c r="K182" s="318" t="str">
        <f t="shared" si="10"/>
        <v>FOATH8</v>
      </c>
      <c r="L182" s="318" t="str">
        <f t="shared" si="11"/>
        <v>FOATH8</v>
      </c>
      <c r="M182" s="364" t="s">
        <v>1999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797" t="s">
        <v>1891</v>
      </c>
      <c r="B183" s="768">
        <v>56729</v>
      </c>
      <c r="C183" s="760" t="s">
        <v>296</v>
      </c>
      <c r="D183" s="760" t="s">
        <v>719</v>
      </c>
      <c r="E183" s="830">
        <v>2.7189999999999999</v>
      </c>
      <c r="F183" s="769">
        <v>27.189999999999998</v>
      </c>
      <c r="G183" s="762" t="s">
        <v>1999</v>
      </c>
      <c r="H183" s="762" t="s">
        <v>1999</v>
      </c>
      <c r="I183" s="256" t="str">
        <f t="shared" si="8"/>
        <v>FR0010171975</v>
      </c>
      <c r="J183" s="256" t="str">
        <f t="shared" si="9"/>
        <v>FR0010171975</v>
      </c>
      <c r="K183" s="318" t="str">
        <f t="shared" si="10"/>
        <v>FOATH8</v>
      </c>
      <c r="L183" s="318" t="str">
        <f t="shared" si="11"/>
        <v>FOATH8</v>
      </c>
      <c r="M183" s="364" t="s">
        <v>1999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797" t="s">
        <v>1892</v>
      </c>
      <c r="B184" s="768">
        <v>58556</v>
      </c>
      <c r="C184" s="760" t="s">
        <v>531</v>
      </c>
      <c r="D184" s="760" t="s">
        <v>720</v>
      </c>
      <c r="E184" s="830">
        <v>3.024</v>
      </c>
      <c r="F184" s="769">
        <v>30.240000000000002</v>
      </c>
      <c r="G184" s="762" t="s">
        <v>1999</v>
      </c>
      <c r="H184" s="762" t="s">
        <v>1999</v>
      </c>
      <c r="I184" s="256" t="str">
        <f t="shared" si="8"/>
        <v>FR0010870956</v>
      </c>
      <c r="J184" s="256" t="str">
        <f t="shared" si="9"/>
        <v>FR0010870956</v>
      </c>
      <c r="K184" s="318" t="str">
        <f t="shared" si="10"/>
        <v>FOATH8</v>
      </c>
      <c r="L184" s="318" t="str">
        <f t="shared" si="11"/>
        <v>FOATH8</v>
      </c>
      <c r="M184" s="364" t="s">
        <v>1999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797" t="s">
        <v>1893</v>
      </c>
      <c r="B185" s="768">
        <v>60777</v>
      </c>
      <c r="C185" s="760" t="s">
        <v>886</v>
      </c>
      <c r="D185" s="760" t="s">
        <v>887</v>
      </c>
      <c r="E185" s="830">
        <v>2.2629999999999999</v>
      </c>
      <c r="F185" s="769">
        <v>22.63</v>
      </c>
      <c r="G185" s="762" t="s">
        <v>1999</v>
      </c>
      <c r="H185" s="762" t="s">
        <v>1999</v>
      </c>
      <c r="I185" s="256" t="str">
        <f t="shared" si="8"/>
        <v>FR0013154028</v>
      </c>
      <c r="J185" s="256" t="str">
        <f t="shared" si="9"/>
        <v>FR0013154028</v>
      </c>
      <c r="K185" s="318" t="str">
        <f t="shared" si="10"/>
        <v>FOATH8</v>
      </c>
      <c r="L185" s="318" t="str">
        <f t="shared" si="11"/>
        <v>FOATH8</v>
      </c>
      <c r="M185" s="364" t="s">
        <v>1999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773" t="s">
        <v>601</v>
      </c>
      <c r="B186" s="768"/>
      <c r="C186" s="760"/>
      <c r="D186" s="772" t="s">
        <v>621</v>
      </c>
      <c r="E186" s="774"/>
      <c r="F186" s="769"/>
      <c r="G186" s="762" t="s">
        <v>621</v>
      </c>
      <c r="H186" s="762" t="s">
        <v>621</v>
      </c>
      <c r="I186" s="256" t="str">
        <f t="shared" si="8"/>
        <v/>
      </c>
      <c r="J186" s="256" t="str">
        <f t="shared" si="9"/>
        <v/>
      </c>
      <c r="K186" s="318" t="str">
        <f t="shared" si="10"/>
        <v/>
      </c>
      <c r="L186" s="318" t="str">
        <f t="shared" si="11"/>
        <v/>
      </c>
      <c r="M186" s="364" t="s">
        <v>621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797" t="s">
        <v>1894</v>
      </c>
      <c r="B187" s="783">
        <v>43235</v>
      </c>
      <c r="C187" s="788" t="s">
        <v>602</v>
      </c>
      <c r="D187" s="789" t="s">
        <v>603</v>
      </c>
      <c r="E187" s="831">
        <v>0.17299999999999999</v>
      </c>
      <c r="F187" s="769">
        <v>1.73</v>
      </c>
      <c r="G187" s="762" t="s">
        <v>1998</v>
      </c>
      <c r="H187" s="762" t="s">
        <v>1998</v>
      </c>
      <c r="I187" s="256" t="str">
        <f t="shared" si="8"/>
        <v>IT0005106049</v>
      </c>
      <c r="J187" s="256" t="str">
        <f t="shared" si="9"/>
        <v>IT0005106049</v>
      </c>
      <c r="K187" s="318" t="str">
        <f t="shared" si="10"/>
        <v>FBTSH8</v>
      </c>
      <c r="L187" s="318" t="str">
        <f t="shared" si="11"/>
        <v>FBTSH8</v>
      </c>
      <c r="M187" s="364" t="s">
        <v>1998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797" t="s">
        <v>1895</v>
      </c>
      <c r="B188" s="775">
        <v>43252</v>
      </c>
      <c r="C188" s="762" t="s">
        <v>532</v>
      </c>
      <c r="D188" s="760" t="s">
        <v>426</v>
      </c>
      <c r="E188" s="831">
        <v>0.193</v>
      </c>
      <c r="F188" s="769">
        <v>1.9300000000000002</v>
      </c>
      <c r="G188" s="762" t="s">
        <v>1998</v>
      </c>
      <c r="H188" s="762" t="s">
        <v>1998</v>
      </c>
      <c r="I188" s="256" t="str">
        <f t="shared" si="8"/>
        <v>IT0004907843</v>
      </c>
      <c r="J188" s="256" t="str">
        <f t="shared" si="9"/>
        <v>IT0004907843</v>
      </c>
      <c r="K188" s="318" t="str">
        <f t="shared" si="10"/>
        <v>FBTSH8</v>
      </c>
      <c r="L188" s="318" t="str">
        <f t="shared" si="11"/>
        <v>FBTSH8</v>
      </c>
      <c r="M188" s="364" t="s">
        <v>1998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797" t="s">
        <v>1896</v>
      </c>
      <c r="B189" s="775">
        <v>43313</v>
      </c>
      <c r="C189" s="762" t="s">
        <v>533</v>
      </c>
      <c r="D189" s="760" t="s">
        <v>721</v>
      </c>
      <c r="E189" s="831">
        <v>0.25800000000000001</v>
      </c>
      <c r="F189" s="769">
        <v>2.58</v>
      </c>
      <c r="G189" s="762" t="s">
        <v>1998</v>
      </c>
      <c r="H189" s="762" t="s">
        <v>1998</v>
      </c>
      <c r="I189" s="256" t="str">
        <f t="shared" si="8"/>
        <v>IT0004361041</v>
      </c>
      <c r="J189" s="256" t="str">
        <f t="shared" si="9"/>
        <v>IT0004361041</v>
      </c>
      <c r="K189" s="318" t="str">
        <f t="shared" si="10"/>
        <v>FBTSH8</v>
      </c>
      <c r="L189" s="318" t="str">
        <f t="shared" si="11"/>
        <v>FBTSH8</v>
      </c>
      <c r="M189" s="364" t="s">
        <v>1998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797" t="s">
        <v>1897</v>
      </c>
      <c r="B190" s="775">
        <v>43388</v>
      </c>
      <c r="C190" s="790" t="s">
        <v>792</v>
      </c>
      <c r="D190" s="770" t="s">
        <v>776</v>
      </c>
      <c r="E190" s="831">
        <v>0.32500000000000001</v>
      </c>
      <c r="F190" s="769">
        <v>3.25</v>
      </c>
      <c r="G190" s="762" t="s">
        <v>1998</v>
      </c>
      <c r="H190" s="762" t="s">
        <v>1998</v>
      </c>
      <c r="I190" s="261" t="str">
        <f t="shared" si="8"/>
        <v>IT0005139099</v>
      </c>
      <c r="J190" s="261" t="str">
        <f t="shared" si="9"/>
        <v>IT0005139099</v>
      </c>
      <c r="K190" s="318" t="str">
        <f t="shared" si="10"/>
        <v>FBTSH8</v>
      </c>
      <c r="L190" s="321" t="str">
        <f t="shared" si="11"/>
        <v>FBTSH8</v>
      </c>
      <c r="M190" s="364" t="s">
        <v>1998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797" t="s">
        <v>1898</v>
      </c>
      <c r="B191" s="775">
        <v>43435</v>
      </c>
      <c r="C191" s="762" t="s">
        <v>534</v>
      </c>
      <c r="D191" s="762" t="s">
        <v>427</v>
      </c>
      <c r="E191" s="831">
        <v>0.38400000000000001</v>
      </c>
      <c r="F191" s="769">
        <v>3.84</v>
      </c>
      <c r="G191" s="762" t="s">
        <v>1998</v>
      </c>
      <c r="H191" s="762" t="s">
        <v>1998</v>
      </c>
      <c r="I191" s="256" t="str">
        <f t="shared" si="8"/>
        <v>IT0004957574</v>
      </c>
      <c r="J191" s="256" t="str">
        <f t="shared" si="9"/>
        <v>IT0004957574</v>
      </c>
      <c r="K191" s="318" t="str">
        <f t="shared" si="10"/>
        <v>FBTSH8</v>
      </c>
      <c r="L191" s="318" t="str">
        <f t="shared" si="11"/>
        <v>FBTSH8</v>
      </c>
      <c r="M191" s="364" t="s">
        <v>1998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797" t="s">
        <v>1899</v>
      </c>
      <c r="B192" s="775">
        <v>43497</v>
      </c>
      <c r="C192" s="762" t="s">
        <v>300</v>
      </c>
      <c r="D192" s="762" t="s">
        <v>575</v>
      </c>
      <c r="E192" s="831">
        <v>0.44900000000000001</v>
      </c>
      <c r="F192" s="769">
        <v>4.49</v>
      </c>
      <c r="G192" s="762" t="s">
        <v>1998</v>
      </c>
      <c r="H192" s="762" t="s">
        <v>1998</v>
      </c>
      <c r="I192" s="256" t="str">
        <f t="shared" si="8"/>
        <v>IT0003493258</v>
      </c>
      <c r="J192" s="256" t="str">
        <f t="shared" si="9"/>
        <v>IT0003493258</v>
      </c>
      <c r="K192" s="318" t="str">
        <f t="shared" si="10"/>
        <v>FBTSH8</v>
      </c>
      <c r="L192" s="318" t="str">
        <f t="shared" si="11"/>
        <v>FBTSH8</v>
      </c>
      <c r="M192" s="364" t="s">
        <v>1998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797" t="s">
        <v>1900</v>
      </c>
      <c r="B193" s="775">
        <v>43525</v>
      </c>
      <c r="C193" s="762" t="s">
        <v>535</v>
      </c>
      <c r="D193" s="762" t="s">
        <v>722</v>
      </c>
      <c r="E193" s="832">
        <v>0.48099999999999998</v>
      </c>
      <c r="F193" s="769">
        <v>4.8099999999999996</v>
      </c>
      <c r="G193" s="762" t="s">
        <v>1998</v>
      </c>
      <c r="H193" s="762" t="s">
        <v>1998</v>
      </c>
      <c r="I193" s="256" t="str">
        <f t="shared" si="8"/>
        <v>IT0004423957</v>
      </c>
      <c r="J193" s="256" t="str">
        <f t="shared" si="9"/>
        <v>IT0004423957</v>
      </c>
      <c r="K193" s="318" t="str">
        <f t="shared" si="10"/>
        <v>FBTSH8</v>
      </c>
      <c r="L193" s="318" t="str">
        <f t="shared" si="11"/>
        <v>FBTSH8</v>
      </c>
      <c r="M193" s="364" t="s">
        <v>1998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797" t="s">
        <v>1901</v>
      </c>
      <c r="B194" s="775">
        <v>43570</v>
      </c>
      <c r="C194" s="770" t="s">
        <v>888</v>
      </c>
      <c r="D194" s="762" t="s">
        <v>889</v>
      </c>
      <c r="E194" s="832">
        <v>0.50700000000000001</v>
      </c>
      <c r="F194" s="769">
        <v>5.07</v>
      </c>
      <c r="G194" s="762" t="s">
        <v>1998</v>
      </c>
      <c r="H194" s="762" t="s">
        <v>1998</v>
      </c>
      <c r="I194" s="256" t="str">
        <f t="shared" si="8"/>
        <v>IT0005177271</v>
      </c>
      <c r="J194" s="256" t="str">
        <f>I194</f>
        <v>IT0005177271</v>
      </c>
      <c r="K194" s="318" t="str">
        <f t="shared" si="10"/>
        <v>FBTSH8</v>
      </c>
      <c r="L194" s="318" t="str">
        <f>K194</f>
        <v>FBTSH8</v>
      </c>
      <c r="M194" s="364" t="s">
        <v>1998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797" t="s">
        <v>1902</v>
      </c>
      <c r="B195" s="775">
        <v>43586</v>
      </c>
      <c r="C195" s="762" t="s">
        <v>536</v>
      </c>
      <c r="D195" s="762" t="s">
        <v>723</v>
      </c>
      <c r="E195" s="832">
        <v>0.53700000000000003</v>
      </c>
      <c r="F195" s="769">
        <v>5.37</v>
      </c>
      <c r="G195" s="762" t="s">
        <v>1998</v>
      </c>
      <c r="H195" s="762" t="s">
        <v>1998</v>
      </c>
      <c r="I195" s="256" t="str">
        <f t="shared" si="8"/>
        <v>IT0004992308</v>
      </c>
      <c r="J195" s="256" t="str">
        <f t="shared" si="9"/>
        <v>IT0004992308</v>
      </c>
      <c r="K195" s="318" t="str">
        <f t="shared" si="10"/>
        <v>FBTSH8</v>
      </c>
      <c r="L195" s="318" t="str">
        <f t="shared" si="11"/>
        <v>FBTSH8</v>
      </c>
      <c r="M195" s="364" t="s">
        <v>1998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797" t="s">
        <v>1903</v>
      </c>
      <c r="B196" s="775">
        <v>43678</v>
      </c>
      <c r="C196" s="762" t="s">
        <v>537</v>
      </c>
      <c r="D196" s="777" t="s">
        <v>604</v>
      </c>
      <c r="E196" s="832">
        <v>0.625</v>
      </c>
      <c r="F196" s="769">
        <v>6.25</v>
      </c>
      <c r="G196" s="762" t="s">
        <v>1998</v>
      </c>
      <c r="H196" s="762" t="s">
        <v>1998</v>
      </c>
      <c r="I196" s="256" t="str">
        <f t="shared" ref="I196:I265" si="12">LEFT(D196,12)</f>
        <v>IT0005030504</v>
      </c>
      <c r="J196" s="256" t="str">
        <f t="shared" si="9"/>
        <v>IT0005030504</v>
      </c>
      <c r="K196" s="318" t="str">
        <f t="shared" ref="K196:K261" si="13">LEFT(H196,6)</f>
        <v>FBTSH8</v>
      </c>
      <c r="L196" s="318" t="str">
        <f t="shared" si="11"/>
        <v>FBTSH8</v>
      </c>
      <c r="M196" s="364" t="s">
        <v>1998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797" t="s">
        <v>1904</v>
      </c>
      <c r="B197" s="775">
        <v>43709</v>
      </c>
      <c r="C197" s="762" t="s">
        <v>538</v>
      </c>
      <c r="D197" s="760" t="s">
        <v>340</v>
      </c>
      <c r="E197" s="832">
        <v>0.67700000000000005</v>
      </c>
      <c r="F197" s="769">
        <v>6.7700000000000005</v>
      </c>
      <c r="G197" s="762" t="s">
        <v>1998</v>
      </c>
      <c r="H197" s="762" t="s">
        <v>1998</v>
      </c>
      <c r="I197" s="256" t="str">
        <f t="shared" si="12"/>
        <v>IT0004489610</v>
      </c>
      <c r="J197" s="256" t="str">
        <f t="shared" si="9"/>
        <v>IT0004489610</v>
      </c>
      <c r="K197" s="318" t="str">
        <f t="shared" si="13"/>
        <v>FBTSH8</v>
      </c>
      <c r="L197" s="318" t="str">
        <f t="shared" si="11"/>
        <v>FBTSH8</v>
      </c>
      <c r="M197" s="364" t="s">
        <v>1998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797" t="s">
        <v>1905</v>
      </c>
      <c r="B198" s="775">
        <v>43753</v>
      </c>
      <c r="C198" s="771" t="s">
        <v>919</v>
      </c>
      <c r="D198" s="771" t="s">
        <v>920</v>
      </c>
      <c r="E198" s="832">
        <v>0.68899999999999995</v>
      </c>
      <c r="F198" s="769">
        <v>6.89</v>
      </c>
      <c r="G198" s="762" t="s">
        <v>1998</v>
      </c>
      <c r="H198" s="762" t="s">
        <v>1998</v>
      </c>
      <c r="I198" s="256" t="str">
        <f t="shared" si="12"/>
        <v>IT0005217929</v>
      </c>
      <c r="J198" s="256" t="str">
        <f t="shared" ref="J198:J272" si="14">I198</f>
        <v>IT0005217929</v>
      </c>
      <c r="K198" s="318" t="str">
        <f t="shared" si="13"/>
        <v>FBTSH8</v>
      </c>
      <c r="L198" s="318" t="str">
        <f t="shared" ref="L198:L271" si="15">K198</f>
        <v>FBTSH8</v>
      </c>
      <c r="M198" s="364" t="s">
        <v>1998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797" t="s">
        <v>1906</v>
      </c>
      <c r="B199" s="775">
        <v>43800</v>
      </c>
      <c r="C199" s="762" t="s">
        <v>605</v>
      </c>
      <c r="D199" s="760" t="s">
        <v>606</v>
      </c>
      <c r="E199" s="832">
        <v>0.746</v>
      </c>
      <c r="F199" s="769">
        <v>7.46</v>
      </c>
      <c r="G199" s="762" t="s">
        <v>1998</v>
      </c>
      <c r="H199" s="762" t="s">
        <v>1998</v>
      </c>
      <c r="I199" s="256" t="str">
        <f t="shared" si="12"/>
        <v>IT0005069395</v>
      </c>
      <c r="J199" s="256" t="str">
        <f t="shared" si="14"/>
        <v>IT0005069395</v>
      </c>
      <c r="K199" s="318" t="str">
        <f t="shared" si="13"/>
        <v>FBTSH8</v>
      </c>
      <c r="L199" s="318" t="str">
        <f t="shared" si="15"/>
        <v>FBTSH8</v>
      </c>
      <c r="M199" s="364" t="s">
        <v>1998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797" t="s">
        <v>1907</v>
      </c>
      <c r="B200" s="775">
        <v>43862</v>
      </c>
      <c r="C200" s="762" t="s">
        <v>301</v>
      </c>
      <c r="D200" s="760" t="s">
        <v>724</v>
      </c>
      <c r="E200" s="832">
        <v>0.84599999999999997</v>
      </c>
      <c r="F200" s="769">
        <v>8.4599999999999991</v>
      </c>
      <c r="G200" s="762" t="s">
        <v>1998</v>
      </c>
      <c r="H200" s="762" t="s">
        <v>1998</v>
      </c>
      <c r="I200" s="256" t="str">
        <f t="shared" si="12"/>
        <v>IT0003644769</v>
      </c>
      <c r="J200" s="256" t="str">
        <f t="shared" si="14"/>
        <v>IT0003644769</v>
      </c>
      <c r="K200" s="318" t="str">
        <f t="shared" si="13"/>
        <v>FBTSH8</v>
      </c>
      <c r="L200" s="318" t="str">
        <f t="shared" si="15"/>
        <v>FBTSH8</v>
      </c>
      <c r="M200" s="364" t="s">
        <v>1998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797" t="s">
        <v>1908</v>
      </c>
      <c r="B201" s="775">
        <v>43891</v>
      </c>
      <c r="C201" s="762" t="s">
        <v>539</v>
      </c>
      <c r="D201" s="760" t="s">
        <v>725</v>
      </c>
      <c r="E201" s="832">
        <v>0.874</v>
      </c>
      <c r="F201" s="769">
        <v>8.74</v>
      </c>
      <c r="G201" s="762" t="s">
        <v>1998</v>
      </c>
      <c r="H201" s="762" t="s">
        <v>1998</v>
      </c>
      <c r="I201" s="256" t="str">
        <f t="shared" si="12"/>
        <v>IT0004536949</v>
      </c>
      <c r="J201" s="256" t="str">
        <f t="shared" si="14"/>
        <v>IT0004536949</v>
      </c>
      <c r="K201" s="318" t="str">
        <f t="shared" si="13"/>
        <v>FBTSH8</v>
      </c>
      <c r="L201" s="318" t="str">
        <f t="shared" si="15"/>
        <v>FBTSH8</v>
      </c>
      <c r="M201" s="364" t="s">
        <v>1998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797" t="s">
        <v>1909</v>
      </c>
      <c r="B202" s="775">
        <v>43952</v>
      </c>
      <c r="C202" s="770" t="s">
        <v>793</v>
      </c>
      <c r="D202" s="770" t="s">
        <v>775</v>
      </c>
      <c r="E202" s="833">
        <v>0.89629800000000004</v>
      </c>
      <c r="F202" s="846">
        <v>8.9629799999999999</v>
      </c>
      <c r="G202" s="762" t="s">
        <v>1998</v>
      </c>
      <c r="H202" s="762" t="s">
        <v>1998</v>
      </c>
      <c r="I202" s="256" t="str">
        <f t="shared" si="12"/>
        <v>IT0005107708</v>
      </c>
      <c r="J202" s="256" t="str">
        <f t="shared" si="14"/>
        <v>IT0005107708</v>
      </c>
      <c r="K202" s="318" t="str">
        <f t="shared" si="13"/>
        <v>FBTSH8</v>
      </c>
      <c r="L202" s="318" t="str">
        <f t="shared" si="15"/>
        <v>FBTSH8</v>
      </c>
      <c r="M202" s="364" t="s">
        <v>1998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797" t="s">
        <v>1910</v>
      </c>
      <c r="B203" s="775">
        <v>43997</v>
      </c>
      <c r="C203" s="771" t="s">
        <v>1017</v>
      </c>
      <c r="D203" s="771" t="s">
        <v>1018</v>
      </c>
      <c r="E203" s="833">
        <v>0.88386299999999995</v>
      </c>
      <c r="F203" s="846">
        <v>9.32</v>
      </c>
      <c r="G203" s="762" t="s">
        <v>1998</v>
      </c>
      <c r="H203" s="762" t="s">
        <v>1998</v>
      </c>
      <c r="I203" s="256" t="str">
        <f t="shared" si="12"/>
        <v>IT0005250946</v>
      </c>
      <c r="J203" s="256" t="str">
        <f t="shared" si="14"/>
        <v>IT0005250946</v>
      </c>
      <c r="K203" s="318" t="str">
        <f t="shared" si="13"/>
        <v>FBTSH8</v>
      </c>
      <c r="L203" s="318" t="str">
        <f t="shared" si="15"/>
        <v>FBTSH8</v>
      </c>
      <c r="M203" s="364" t="s">
        <v>1998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797" t="s">
        <v>1911</v>
      </c>
      <c r="B204" s="775">
        <v>44075</v>
      </c>
      <c r="C204" s="762" t="s">
        <v>540</v>
      </c>
      <c r="D204" s="760" t="s">
        <v>726</v>
      </c>
      <c r="E204" s="833">
        <v>0.95660900000000004</v>
      </c>
      <c r="F204" s="846">
        <v>10.68</v>
      </c>
      <c r="G204" s="762" t="s">
        <v>1998</v>
      </c>
      <c r="H204" s="762" t="s">
        <v>1998</v>
      </c>
      <c r="I204" s="256" t="str">
        <f t="shared" si="12"/>
        <v>IT0004594930</v>
      </c>
      <c r="J204" s="256" t="str">
        <f>I204</f>
        <v>IT0004594930</v>
      </c>
      <c r="K204" s="318" t="str">
        <f t="shared" si="13"/>
        <v>FBTSH8</v>
      </c>
      <c r="L204" s="318" t="str">
        <f>K204</f>
        <v>FBTSH8</v>
      </c>
      <c r="M204" s="364" t="s">
        <v>1998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797" t="s">
        <v>1912</v>
      </c>
      <c r="B205" s="775">
        <v>44119</v>
      </c>
      <c r="C205" s="776" t="s">
        <v>1913</v>
      </c>
      <c r="D205" s="793" t="s">
        <v>1655</v>
      </c>
      <c r="E205" s="833">
        <v>0.86449100000000001</v>
      </c>
      <c r="F205" s="846">
        <v>10.48</v>
      </c>
      <c r="G205" s="762" t="s">
        <v>1998</v>
      </c>
      <c r="H205" s="762" t="s">
        <v>1998</v>
      </c>
      <c r="I205" s="256" t="str">
        <f t="shared" si="12"/>
        <v>IT0005285041</v>
      </c>
      <c r="J205" s="256" t="str">
        <f t="shared" si="14"/>
        <v>IT0005285041</v>
      </c>
      <c r="K205" s="318" t="str">
        <f t="shared" si="13"/>
        <v>FBTSH8</v>
      </c>
      <c r="L205" s="318" t="str">
        <f t="shared" si="15"/>
        <v>FBTSH8</v>
      </c>
      <c r="M205" s="364" t="s">
        <v>1998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797" t="s">
        <v>1914</v>
      </c>
      <c r="B206" s="775">
        <v>44136</v>
      </c>
      <c r="C206" s="776" t="s">
        <v>994</v>
      </c>
      <c r="D206" s="793" t="s">
        <v>826</v>
      </c>
      <c r="E206" s="833">
        <v>0.87302599999999997</v>
      </c>
      <c r="F206" s="846">
        <v>10.74</v>
      </c>
      <c r="G206" s="762" t="s">
        <v>1998</v>
      </c>
      <c r="H206" s="762" t="s">
        <v>1998</v>
      </c>
      <c r="I206" s="256" t="str">
        <f t="shared" si="12"/>
        <v>IT0005142143</v>
      </c>
      <c r="J206" s="256" t="str">
        <f t="shared" si="14"/>
        <v>IT0005142143</v>
      </c>
      <c r="K206" s="318" t="str">
        <f t="shared" si="13"/>
        <v>FBTSH8</v>
      </c>
      <c r="L206" s="318" t="str">
        <f t="shared" si="15"/>
        <v>FBTSH8</v>
      </c>
      <c r="M206" s="364" t="s">
        <v>1998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797" t="s">
        <v>1915</v>
      </c>
      <c r="B207" s="775">
        <v>44256</v>
      </c>
      <c r="C207" s="762" t="s">
        <v>541</v>
      </c>
      <c r="D207" s="760" t="s">
        <v>727</v>
      </c>
      <c r="E207" s="833">
        <v>0.94184800000000002</v>
      </c>
      <c r="F207" s="846">
        <v>12.6</v>
      </c>
      <c r="G207" s="762" t="s">
        <v>1998</v>
      </c>
      <c r="H207" s="762" t="s">
        <v>1998</v>
      </c>
      <c r="I207" s="256" t="str">
        <f t="shared" si="12"/>
        <v>IT0004634132</v>
      </c>
      <c r="J207" s="256" t="str">
        <f>I207</f>
        <v>IT0004634132</v>
      </c>
      <c r="K207" s="318" t="str">
        <f t="shared" si="13"/>
        <v>FBTSH8</v>
      </c>
      <c r="L207" s="318" t="str">
        <f>K207</f>
        <v>FBTSH8</v>
      </c>
      <c r="M207" s="364" t="s">
        <v>1998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797" t="s">
        <v>1916</v>
      </c>
      <c r="B208" s="775">
        <v>44317</v>
      </c>
      <c r="C208" s="762" t="s">
        <v>542</v>
      </c>
      <c r="D208" s="760" t="s">
        <v>428</v>
      </c>
      <c r="E208" s="833">
        <v>0.93853799999999998</v>
      </c>
      <c r="F208" s="846">
        <v>13.27</v>
      </c>
      <c r="G208" s="762" t="s">
        <v>1998</v>
      </c>
      <c r="H208" s="762" t="s">
        <v>1998</v>
      </c>
      <c r="I208" s="256" t="str">
        <f t="shared" si="12"/>
        <v>IT0004966401</v>
      </c>
      <c r="J208" s="256" t="str">
        <f t="shared" si="14"/>
        <v>IT0004966401</v>
      </c>
      <c r="K208" s="318" t="str">
        <f t="shared" si="13"/>
        <v>FBTSH8</v>
      </c>
      <c r="L208" s="318" t="str">
        <f t="shared" si="15"/>
        <v>FBTSH8</v>
      </c>
      <c r="M208" s="364" t="s">
        <v>1998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797" t="s">
        <v>1917</v>
      </c>
      <c r="B209" s="775">
        <v>44348</v>
      </c>
      <c r="C209" s="777" t="s">
        <v>890</v>
      </c>
      <c r="D209" s="760" t="s">
        <v>847</v>
      </c>
      <c r="E209" s="833">
        <v>0.84182299999999999</v>
      </c>
      <c r="F209" s="846">
        <v>12.75</v>
      </c>
      <c r="G209" s="762" t="s">
        <v>1998</v>
      </c>
      <c r="H209" s="762" t="s">
        <v>1998</v>
      </c>
      <c r="I209" s="256" t="str">
        <f t="shared" si="12"/>
        <v>IT0005175598</v>
      </c>
      <c r="J209" s="256" t="str">
        <f t="shared" si="14"/>
        <v>IT0005175598</v>
      </c>
      <c r="K209" s="318" t="str">
        <f t="shared" si="13"/>
        <v>FBTSH8</v>
      </c>
      <c r="L209" s="318" t="str">
        <f t="shared" si="15"/>
        <v>FBTSH8</v>
      </c>
      <c r="M209" s="364" t="s">
        <v>1998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797" t="s">
        <v>1918</v>
      </c>
      <c r="B210" s="775">
        <v>44409</v>
      </c>
      <c r="C210" s="762" t="s">
        <v>543</v>
      </c>
      <c r="D210" s="760" t="s">
        <v>728</v>
      </c>
      <c r="E210" s="834">
        <v>0.32400000000000001</v>
      </c>
      <c r="F210" s="769">
        <v>3.24</v>
      </c>
      <c r="G210" s="762" t="s">
        <v>2000</v>
      </c>
      <c r="H210" s="762" t="s">
        <v>2000</v>
      </c>
      <c r="I210" s="256" t="str">
        <f t="shared" si="12"/>
        <v>IT0004009673</v>
      </c>
      <c r="J210" s="256" t="str">
        <f t="shared" si="14"/>
        <v>IT0004009673</v>
      </c>
      <c r="K210" s="318" t="str">
        <f t="shared" si="13"/>
        <v>FBTPH8</v>
      </c>
      <c r="L210" s="318" t="str">
        <f t="shared" si="15"/>
        <v>FBTPH8</v>
      </c>
      <c r="M210" s="364" t="s">
        <v>2000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797" t="s">
        <v>1919</v>
      </c>
      <c r="B211" s="775">
        <v>44440</v>
      </c>
      <c r="C211" s="762" t="s">
        <v>544</v>
      </c>
      <c r="D211" s="760" t="s">
        <v>729</v>
      </c>
      <c r="E211" s="834">
        <v>0.33700000000000002</v>
      </c>
      <c r="F211" s="769">
        <v>3.37</v>
      </c>
      <c r="G211" s="762" t="s">
        <v>2000</v>
      </c>
      <c r="H211" s="762" t="s">
        <v>2000</v>
      </c>
      <c r="I211" s="256" t="str">
        <f t="shared" si="12"/>
        <v>IT0004695075</v>
      </c>
      <c r="J211" s="256" t="str">
        <f t="shared" si="14"/>
        <v>IT0004695075</v>
      </c>
      <c r="K211" s="318" t="str">
        <f t="shared" si="13"/>
        <v>FBTPH8</v>
      </c>
      <c r="L211" s="318" t="str">
        <f t="shared" si="15"/>
        <v>FBTPH8</v>
      </c>
      <c r="M211" s="364" t="s">
        <v>2000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797" t="s">
        <v>1920</v>
      </c>
      <c r="B212" s="775">
        <v>44501</v>
      </c>
      <c r="C212" s="794" t="s">
        <v>995</v>
      </c>
      <c r="D212" s="793" t="s">
        <v>908</v>
      </c>
      <c r="E212" s="834">
        <v>0.32200000000000001</v>
      </c>
      <c r="F212" s="769">
        <v>3.22</v>
      </c>
      <c r="G212" s="762" t="s">
        <v>2000</v>
      </c>
      <c r="H212" s="762" t="s">
        <v>2000</v>
      </c>
      <c r="I212" s="256" t="str">
        <f t="shared" si="12"/>
        <v>IT0005216491</v>
      </c>
      <c r="J212" s="256" t="str">
        <f t="shared" si="14"/>
        <v>IT0005216491</v>
      </c>
      <c r="K212" s="318" t="str">
        <f t="shared" si="13"/>
        <v>FBTPH8</v>
      </c>
      <c r="L212" s="318" t="str">
        <f t="shared" si="15"/>
        <v>FBTPH8</v>
      </c>
      <c r="M212" s="364" t="s">
        <v>2000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797" t="s">
        <v>1921</v>
      </c>
      <c r="B213" s="775">
        <v>44545</v>
      </c>
      <c r="C213" s="762" t="s">
        <v>607</v>
      </c>
      <c r="D213" s="760" t="s">
        <v>608</v>
      </c>
      <c r="E213" s="834">
        <v>0.34399999999999997</v>
      </c>
      <c r="F213" s="769">
        <v>3.4399999999999995</v>
      </c>
      <c r="G213" s="762" t="s">
        <v>2000</v>
      </c>
      <c r="H213" s="762" t="s">
        <v>2000</v>
      </c>
      <c r="I213" s="256" t="str">
        <f t="shared" si="12"/>
        <v>IT0005028003</v>
      </c>
      <c r="J213" s="256" t="str">
        <f t="shared" si="14"/>
        <v>IT0005028003</v>
      </c>
      <c r="K213" s="318" t="str">
        <f t="shared" si="13"/>
        <v>FBTPH8</v>
      </c>
      <c r="L213" s="318" t="str">
        <f t="shared" si="15"/>
        <v>FBTPH8</v>
      </c>
      <c r="M213" s="364" t="s">
        <v>2000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797" t="s">
        <v>1922</v>
      </c>
      <c r="B214" s="768">
        <v>44621</v>
      </c>
      <c r="C214" s="762" t="s">
        <v>545</v>
      </c>
      <c r="D214" s="760" t="s">
        <v>730</v>
      </c>
      <c r="E214" s="834">
        <v>0.38500000000000001</v>
      </c>
      <c r="F214" s="769">
        <v>3.85</v>
      </c>
      <c r="G214" s="762" t="s">
        <v>2000</v>
      </c>
      <c r="H214" s="762" t="s">
        <v>2000</v>
      </c>
      <c r="I214" s="256" t="str">
        <f t="shared" si="12"/>
        <v>IT0004759673</v>
      </c>
      <c r="J214" s="256" t="str">
        <f t="shared" si="14"/>
        <v>IT0004759673</v>
      </c>
      <c r="K214" s="318" t="str">
        <f t="shared" si="13"/>
        <v>FBTPH8</v>
      </c>
      <c r="L214" s="318" t="str">
        <f t="shared" si="15"/>
        <v>FBTPH8</v>
      </c>
      <c r="M214" s="364" t="s">
        <v>2000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797" t="s">
        <v>1923</v>
      </c>
      <c r="B215" s="768">
        <v>44652</v>
      </c>
      <c r="C215" s="794" t="s">
        <v>996</v>
      </c>
      <c r="D215" s="793" t="s">
        <v>1005</v>
      </c>
      <c r="E215" s="834">
        <v>0.35899999999999999</v>
      </c>
      <c r="F215" s="769">
        <v>3.59</v>
      </c>
      <c r="G215" s="762" t="s">
        <v>2000</v>
      </c>
      <c r="H215" s="762" t="s">
        <v>2000</v>
      </c>
      <c r="I215" s="256" t="str">
        <f t="shared" si="12"/>
        <v>IT0005244782</v>
      </c>
      <c r="J215" s="256" t="str">
        <f t="shared" si="14"/>
        <v>IT0005244782</v>
      </c>
      <c r="K215" s="318" t="str">
        <f t="shared" si="13"/>
        <v>FBTPH8</v>
      </c>
      <c r="L215" s="318" t="str">
        <f t="shared" si="15"/>
        <v>FBTPH8</v>
      </c>
      <c r="M215" s="364" t="s">
        <v>2000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797" t="s">
        <v>1924</v>
      </c>
      <c r="B216" s="768">
        <v>44666</v>
      </c>
      <c r="C216" s="762" t="s">
        <v>609</v>
      </c>
      <c r="D216" s="760" t="s">
        <v>610</v>
      </c>
      <c r="E216" s="834">
        <v>0.36399999999999999</v>
      </c>
      <c r="F216" s="769">
        <v>3.6399999999999997</v>
      </c>
      <c r="G216" s="762" t="s">
        <v>2000</v>
      </c>
      <c r="H216" s="762" t="s">
        <v>2000</v>
      </c>
      <c r="I216" s="256" t="str">
        <f t="shared" si="12"/>
        <v>IT0005086886</v>
      </c>
      <c r="J216" s="256" t="str">
        <f t="shared" si="14"/>
        <v>IT0005086886</v>
      </c>
      <c r="K216" s="318" t="str">
        <f t="shared" si="13"/>
        <v>FBTPH8</v>
      </c>
      <c r="L216" s="318" t="str">
        <f t="shared" si="15"/>
        <v>FBTPH8</v>
      </c>
      <c r="M216" s="364" t="s">
        <v>2000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797" t="s">
        <v>1925</v>
      </c>
      <c r="B217" s="768">
        <v>44774</v>
      </c>
      <c r="C217" s="762" t="s">
        <v>1926</v>
      </c>
      <c r="D217" s="760" t="s">
        <v>1656</v>
      </c>
      <c r="E217" s="834">
        <v>0.38200000000000001</v>
      </c>
      <c r="F217" s="769">
        <v>3.8200000000000003</v>
      </c>
      <c r="G217" s="762" t="s">
        <v>2000</v>
      </c>
      <c r="H217" s="762" t="s">
        <v>2000</v>
      </c>
      <c r="I217" s="256" t="str">
        <f t="shared" si="12"/>
        <v>IT0005277444</v>
      </c>
      <c r="J217" s="256" t="str">
        <f t="shared" si="14"/>
        <v>IT0005277444</v>
      </c>
      <c r="K217" s="318" t="str">
        <f t="shared" si="13"/>
        <v>FBTPH8</v>
      </c>
      <c r="L217" s="318" t="str">
        <f t="shared" si="15"/>
        <v>FBTPH8</v>
      </c>
      <c r="M217" s="364" t="s">
        <v>2000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797" t="s">
        <v>1927</v>
      </c>
      <c r="B218" s="768">
        <v>44805</v>
      </c>
      <c r="C218" s="762" t="s">
        <v>546</v>
      </c>
      <c r="D218" s="760" t="s">
        <v>731</v>
      </c>
      <c r="E218" s="835">
        <v>0.435</v>
      </c>
      <c r="F218" s="769">
        <v>4.3499999999999996</v>
      </c>
      <c r="G218" s="762" t="s">
        <v>2000</v>
      </c>
      <c r="H218" s="762" t="s">
        <v>2000</v>
      </c>
      <c r="I218" s="256" t="str">
        <f t="shared" si="12"/>
        <v>IT0004801541</v>
      </c>
      <c r="J218" s="256" t="str">
        <f t="shared" si="14"/>
        <v>IT0004801541</v>
      </c>
      <c r="K218" s="318" t="str">
        <f t="shared" si="13"/>
        <v>FBTPH8</v>
      </c>
      <c r="L218" s="318" t="str">
        <f t="shared" si="15"/>
        <v>FBTPH8</v>
      </c>
      <c r="M218" s="364" t="s">
        <v>2000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797" t="s">
        <v>1928</v>
      </c>
      <c r="B219" s="768">
        <v>44819</v>
      </c>
      <c r="C219" s="794" t="s">
        <v>951</v>
      </c>
      <c r="D219" s="760" t="s">
        <v>844</v>
      </c>
      <c r="E219" s="835">
        <v>0.39700000000000002</v>
      </c>
      <c r="F219" s="769">
        <v>3.97</v>
      </c>
      <c r="G219" s="762" t="s">
        <v>2000</v>
      </c>
      <c r="H219" s="762" t="s">
        <v>2000</v>
      </c>
      <c r="I219" s="256" t="str">
        <f t="shared" si="12"/>
        <v>IT0005135840</v>
      </c>
      <c r="J219" s="256" t="str">
        <f t="shared" si="14"/>
        <v>IT0005135840</v>
      </c>
      <c r="K219" s="318" t="str">
        <f t="shared" si="13"/>
        <v>FBTPH8</v>
      </c>
      <c r="L219" s="318" t="str">
        <f t="shared" si="15"/>
        <v>FBTPH8</v>
      </c>
      <c r="M219" s="364" t="s">
        <v>2000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797" t="s">
        <v>1929</v>
      </c>
      <c r="B220" s="768">
        <v>44866</v>
      </c>
      <c r="C220" s="762" t="s">
        <v>547</v>
      </c>
      <c r="D220" s="760" t="s">
        <v>732</v>
      </c>
      <c r="E220" s="835">
        <v>0.45</v>
      </c>
      <c r="F220" s="769">
        <v>4.5</v>
      </c>
      <c r="G220" s="762" t="s">
        <v>2000</v>
      </c>
      <c r="H220" s="762" t="s">
        <v>2000</v>
      </c>
      <c r="I220" s="256" t="str">
        <f t="shared" si="12"/>
        <v>IT0004848831</v>
      </c>
      <c r="J220" s="256" t="str">
        <f t="shared" si="14"/>
        <v>IT0004848831</v>
      </c>
      <c r="K220" s="318" t="str">
        <f t="shared" si="13"/>
        <v>FBTPH8</v>
      </c>
      <c r="L220" s="318" t="str">
        <f t="shared" si="15"/>
        <v>FBTPH8</v>
      </c>
      <c r="M220" s="364" t="s">
        <v>2000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797" t="s">
        <v>1930</v>
      </c>
      <c r="B221" s="768">
        <v>45000</v>
      </c>
      <c r="C221" s="794" t="s">
        <v>952</v>
      </c>
      <c r="D221" s="760" t="s">
        <v>845</v>
      </c>
      <c r="E221" s="835">
        <v>0.42799999999999999</v>
      </c>
      <c r="F221" s="769">
        <v>4.28</v>
      </c>
      <c r="G221" s="762" t="s">
        <v>2000</v>
      </c>
      <c r="H221" s="762" t="s">
        <v>2000</v>
      </c>
      <c r="I221" s="256" t="str">
        <f t="shared" si="12"/>
        <v>IT0005172322</v>
      </c>
      <c r="J221" s="256" t="str">
        <f t="shared" si="14"/>
        <v>IT0005172322</v>
      </c>
      <c r="K221" s="318" t="str">
        <f t="shared" si="13"/>
        <v>FBTPH8</v>
      </c>
      <c r="L221" s="318" t="str">
        <f t="shared" si="15"/>
        <v>FBTPH8</v>
      </c>
      <c r="M221" s="364" t="s">
        <v>2000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797" t="s">
        <v>1931</v>
      </c>
      <c r="B222" s="787">
        <v>45047</v>
      </c>
      <c r="C222" s="762" t="s">
        <v>548</v>
      </c>
      <c r="D222" s="760" t="s">
        <v>733</v>
      </c>
      <c r="E222" s="835">
        <v>0.48299999999999998</v>
      </c>
      <c r="F222" s="769">
        <v>4.83</v>
      </c>
      <c r="G222" s="762" t="s">
        <v>2000</v>
      </c>
      <c r="H222" s="762" t="s">
        <v>2000</v>
      </c>
      <c r="I222" s="256" t="str">
        <f t="shared" si="12"/>
        <v>IT0004898034</v>
      </c>
      <c r="J222" s="256" t="str">
        <f t="shared" si="14"/>
        <v>IT0004898034</v>
      </c>
      <c r="K222" s="318" t="str">
        <f t="shared" si="13"/>
        <v>FBTPH8</v>
      </c>
      <c r="L222" s="318" t="str">
        <f t="shared" si="15"/>
        <v>FBTPH8</v>
      </c>
      <c r="M222" s="364" t="s">
        <v>2000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5.75" thickBot="1">
      <c r="A223" s="797" t="s">
        <v>1932</v>
      </c>
      <c r="B223" s="768">
        <v>45139</v>
      </c>
      <c r="C223" s="762" t="s">
        <v>549</v>
      </c>
      <c r="D223" s="760" t="s">
        <v>957</v>
      </c>
      <c r="E223" s="835">
        <v>0.51</v>
      </c>
      <c r="F223" s="769">
        <v>5.0999999999999996</v>
      </c>
      <c r="G223" s="762" t="s">
        <v>2000</v>
      </c>
      <c r="H223" s="762" t="s">
        <v>2000</v>
      </c>
      <c r="I223" s="366" t="s">
        <v>957</v>
      </c>
      <c r="J223" s="366" t="s">
        <v>957</v>
      </c>
      <c r="K223" s="318" t="str">
        <f t="shared" si="13"/>
        <v>FBTPH8</v>
      </c>
      <c r="L223" s="318" t="str">
        <f>K223</f>
        <v>FBTPH8</v>
      </c>
      <c r="M223" s="364" t="s">
        <v>2000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797" t="s">
        <v>1933</v>
      </c>
      <c r="B224" s="768">
        <v>45214</v>
      </c>
      <c r="C224" s="794" t="s">
        <v>997</v>
      </c>
      <c r="D224" s="793" t="s">
        <v>907</v>
      </c>
      <c r="E224" s="835">
        <v>0.46500000000000002</v>
      </c>
      <c r="F224" s="769">
        <v>4.6500000000000004</v>
      </c>
      <c r="G224" s="762" t="s">
        <v>2000</v>
      </c>
      <c r="H224" s="762" t="s">
        <v>2000</v>
      </c>
      <c r="I224" s="261" t="str">
        <f t="shared" si="12"/>
        <v>IT0005215246</v>
      </c>
      <c r="J224" s="261" t="str">
        <f t="shared" si="14"/>
        <v>IT0005215246</v>
      </c>
      <c r="K224" s="318" t="str">
        <f t="shared" si="13"/>
        <v>FBTPH8</v>
      </c>
      <c r="L224" s="321" t="str">
        <f t="shared" si="15"/>
        <v>FBTPH8</v>
      </c>
      <c r="M224" s="364" t="s">
        <v>2000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797" t="s">
        <v>1934</v>
      </c>
      <c r="B225" s="768">
        <v>45231</v>
      </c>
      <c r="C225" s="762" t="s">
        <v>302</v>
      </c>
      <c r="D225" s="760" t="s">
        <v>735</v>
      </c>
      <c r="E225" s="835">
        <v>0.59399999999999997</v>
      </c>
      <c r="F225" s="769">
        <v>5.9399999999999995</v>
      </c>
      <c r="G225" s="762" t="s">
        <v>2000</v>
      </c>
      <c r="H225" s="762" t="s">
        <v>2000</v>
      </c>
      <c r="I225" s="256" t="str">
        <f t="shared" si="12"/>
        <v>IT0000366655</v>
      </c>
      <c r="J225" s="256" t="str">
        <f t="shared" si="14"/>
        <v>IT0000366655</v>
      </c>
      <c r="K225" s="318" t="str">
        <f t="shared" si="13"/>
        <v>FBTPH8</v>
      </c>
      <c r="L225" s="318" t="str">
        <f t="shared" si="15"/>
        <v>FBTPH8</v>
      </c>
      <c r="M225" s="364" t="s">
        <v>2000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797" t="s">
        <v>1935</v>
      </c>
      <c r="B226" s="768">
        <v>45282</v>
      </c>
      <c r="C226" s="760" t="s">
        <v>303</v>
      </c>
      <c r="D226" s="760" t="s">
        <v>2002</v>
      </c>
      <c r="E226" s="835">
        <v>0.60199999999999998</v>
      </c>
      <c r="F226" s="769">
        <v>6.02</v>
      </c>
      <c r="G226" s="762" t="s">
        <v>2000</v>
      </c>
      <c r="H226" s="762" t="s">
        <v>2000</v>
      </c>
      <c r="I226" s="256" t="str">
        <f t="shared" si="12"/>
        <v>IT0000366721</v>
      </c>
      <c r="J226" s="256" t="str">
        <f>I226</f>
        <v>IT0000366721</v>
      </c>
      <c r="K226" s="318" t="str">
        <f t="shared" si="13"/>
        <v>FBTPH8</v>
      </c>
      <c r="L226" s="318" t="str">
        <f>K226</f>
        <v>FBTPH8</v>
      </c>
      <c r="M226" s="364" t="s">
        <v>2000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797" t="s">
        <v>1936</v>
      </c>
      <c r="B227" s="775">
        <v>45352</v>
      </c>
      <c r="C227" s="762" t="s">
        <v>550</v>
      </c>
      <c r="D227" s="760" t="s">
        <v>736</v>
      </c>
      <c r="E227" s="835">
        <v>0.55300000000000005</v>
      </c>
      <c r="F227" s="769">
        <v>5.53</v>
      </c>
      <c r="G227" s="762" t="s">
        <v>2000</v>
      </c>
      <c r="H227" s="762" t="s">
        <v>2000</v>
      </c>
      <c r="I227" s="256" t="str">
        <f t="shared" si="12"/>
        <v>IT0004953417</v>
      </c>
      <c r="J227" s="256" t="str">
        <f t="shared" si="14"/>
        <v>IT0004953417</v>
      </c>
      <c r="K227" s="318" t="str">
        <f t="shared" si="13"/>
        <v>FBTPH8</v>
      </c>
      <c r="L227" s="318" t="str">
        <f t="shared" si="15"/>
        <v>FBTPH8</v>
      </c>
      <c r="M227" s="364" t="s">
        <v>2000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797" t="s">
        <v>1937</v>
      </c>
      <c r="B228" s="775">
        <v>45427</v>
      </c>
      <c r="C228" s="776" t="s">
        <v>998</v>
      </c>
      <c r="D228" s="776" t="s">
        <v>957</v>
      </c>
      <c r="E228" s="835">
        <v>0.52300000000000002</v>
      </c>
      <c r="F228" s="769">
        <v>5.23</v>
      </c>
      <c r="G228" s="762" t="s">
        <v>2000</v>
      </c>
      <c r="H228" s="762" t="s">
        <v>2000</v>
      </c>
      <c r="I228" s="256" t="str">
        <f t="shared" si="12"/>
        <v>IT0005246340</v>
      </c>
      <c r="J228" s="256" t="str">
        <f t="shared" si="14"/>
        <v>IT0005246340</v>
      </c>
      <c r="K228" s="318" t="str">
        <f t="shared" si="13"/>
        <v>FBTPH8</v>
      </c>
      <c r="L228" s="318" t="str">
        <f t="shared" si="15"/>
        <v>FBTPH8</v>
      </c>
      <c r="M228" s="364" t="s">
        <v>2000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797" t="s">
        <v>1938</v>
      </c>
      <c r="B229" s="775">
        <v>45536</v>
      </c>
      <c r="C229" s="778" t="s">
        <v>551</v>
      </c>
      <c r="D229" s="772" t="s">
        <v>429</v>
      </c>
      <c r="E229" s="836">
        <v>0.57999999999999996</v>
      </c>
      <c r="F229" s="769">
        <v>5.8</v>
      </c>
      <c r="G229" s="762" t="s">
        <v>2000</v>
      </c>
      <c r="H229" s="762" t="s">
        <v>2000</v>
      </c>
      <c r="I229" s="256" t="str">
        <f t="shared" si="12"/>
        <v>IT0005001547</v>
      </c>
      <c r="J229" s="256" t="str">
        <f>I229</f>
        <v>IT0005001547</v>
      </c>
      <c r="K229" s="318" t="str">
        <f t="shared" si="13"/>
        <v>FBTPH8</v>
      </c>
      <c r="L229" s="318" t="str">
        <f>K229</f>
        <v>FBTPH8</v>
      </c>
      <c r="M229" s="364" t="s">
        <v>2000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797" t="s">
        <v>1939</v>
      </c>
      <c r="B230" s="775">
        <v>45611</v>
      </c>
      <c r="C230" s="778" t="s">
        <v>1940</v>
      </c>
      <c r="D230" s="772" t="s">
        <v>1019</v>
      </c>
      <c r="E230" s="836">
        <v>0.54900000000000004</v>
      </c>
      <c r="F230" s="769">
        <v>5.49</v>
      </c>
      <c r="G230" s="762" t="s">
        <v>2000</v>
      </c>
      <c r="H230" s="762" t="s">
        <v>2000</v>
      </c>
      <c r="I230" s="256" t="str">
        <f>LEFT(D230,12)</f>
        <v>IT0005282527</v>
      </c>
      <c r="J230" s="256" t="str">
        <f>I230</f>
        <v>IT0005282527</v>
      </c>
      <c r="K230" s="318" t="str">
        <f t="shared" si="13"/>
        <v>FBTPH8</v>
      </c>
      <c r="L230" s="318" t="str">
        <f>K230</f>
        <v>FBTPH8</v>
      </c>
      <c r="M230" s="364" t="s">
        <v>2000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797" t="s">
        <v>1941</v>
      </c>
      <c r="B231" s="775">
        <v>45627</v>
      </c>
      <c r="C231" s="778" t="s">
        <v>552</v>
      </c>
      <c r="D231" s="770" t="s">
        <v>430</v>
      </c>
      <c r="E231" s="836">
        <v>0.57399999999999995</v>
      </c>
      <c r="F231" s="769">
        <v>5.7399999999999993</v>
      </c>
      <c r="G231" s="762" t="s">
        <v>2000</v>
      </c>
      <c r="H231" s="762" t="s">
        <v>2000</v>
      </c>
      <c r="I231" s="256" t="str">
        <f t="shared" si="12"/>
        <v>IT0005045270</v>
      </c>
      <c r="J231" s="256" t="str">
        <f t="shared" si="14"/>
        <v>IT0005045270</v>
      </c>
      <c r="K231" s="318" t="str">
        <f t="shared" si="13"/>
        <v>FBTPH8</v>
      </c>
      <c r="L231" s="318" t="str">
        <f t="shared" si="15"/>
        <v>FBTPH8</v>
      </c>
      <c r="M231" s="364" t="s">
        <v>2000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797" t="s">
        <v>1942</v>
      </c>
      <c r="B232" s="775">
        <v>45717</v>
      </c>
      <c r="C232" s="762" t="s">
        <v>553</v>
      </c>
      <c r="D232" s="760" t="s">
        <v>737</v>
      </c>
      <c r="E232" s="836">
        <v>0.64600000000000002</v>
      </c>
      <c r="F232" s="769">
        <v>6.46</v>
      </c>
      <c r="G232" s="762" t="s">
        <v>2000</v>
      </c>
      <c r="H232" s="762" t="s">
        <v>2000</v>
      </c>
      <c r="I232" s="256" t="str">
        <f t="shared" si="12"/>
        <v>IT0004513641</v>
      </c>
      <c r="J232" s="256" t="str">
        <f t="shared" si="14"/>
        <v>IT0004513641</v>
      </c>
      <c r="K232" s="318" t="str">
        <f t="shared" si="13"/>
        <v>FBTPH8</v>
      </c>
      <c r="L232" s="318" t="str">
        <f t="shared" si="15"/>
        <v>FBTPH8</v>
      </c>
      <c r="M232" s="364" t="s">
        <v>2000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797" t="s">
        <v>1943</v>
      </c>
      <c r="B233" s="775">
        <v>45809</v>
      </c>
      <c r="C233" s="770" t="s">
        <v>611</v>
      </c>
      <c r="D233" s="791" t="s">
        <v>612</v>
      </c>
      <c r="E233" s="836">
        <v>0.58499999999999996</v>
      </c>
      <c r="F233" s="769">
        <v>5.85</v>
      </c>
      <c r="G233" s="762" t="s">
        <v>2000</v>
      </c>
      <c r="H233" s="762" t="s">
        <v>2000</v>
      </c>
      <c r="I233" s="256" t="str">
        <f t="shared" si="12"/>
        <v>IT0005090318</v>
      </c>
      <c r="J233" s="256" t="str">
        <f t="shared" si="14"/>
        <v>IT0005090318</v>
      </c>
      <c r="K233" s="318" t="str">
        <f t="shared" si="13"/>
        <v>FBTPH8</v>
      </c>
      <c r="L233" s="318" t="str">
        <f t="shared" si="15"/>
        <v>FBTPH8</v>
      </c>
      <c r="M233" s="364" t="s">
        <v>2000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797" t="s">
        <v>1944</v>
      </c>
      <c r="B234" s="775">
        <v>45992</v>
      </c>
      <c r="C234" s="770" t="s">
        <v>794</v>
      </c>
      <c r="D234" s="791" t="s">
        <v>773</v>
      </c>
      <c r="E234" s="836">
        <v>0.628</v>
      </c>
      <c r="F234" s="769">
        <v>6.28</v>
      </c>
      <c r="G234" s="762" t="s">
        <v>2000</v>
      </c>
      <c r="H234" s="762" t="s">
        <v>2000</v>
      </c>
      <c r="I234" s="256" t="str">
        <f t="shared" si="12"/>
        <v>IT0005127086</v>
      </c>
      <c r="J234" s="256" t="str">
        <f t="shared" si="14"/>
        <v>IT0005127086</v>
      </c>
      <c r="K234" s="318" t="str">
        <f t="shared" si="13"/>
        <v>FBTPH8</v>
      </c>
      <c r="L234" s="318" t="str">
        <f t="shared" si="15"/>
        <v>FBTPH8</v>
      </c>
      <c r="M234" s="364" t="s">
        <v>2000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797" t="s">
        <v>1945</v>
      </c>
      <c r="B235" s="775">
        <v>46082</v>
      </c>
      <c r="C235" s="762" t="s">
        <v>554</v>
      </c>
      <c r="D235" s="760" t="s">
        <v>738</v>
      </c>
      <c r="E235" s="836">
        <v>0.71399999999999997</v>
      </c>
      <c r="F235" s="769">
        <v>7.14</v>
      </c>
      <c r="G235" s="762" t="s">
        <v>2000</v>
      </c>
      <c r="H235" s="762" t="s">
        <v>2000</v>
      </c>
      <c r="I235" s="256" t="str">
        <f t="shared" si="12"/>
        <v>IT0004644735</v>
      </c>
      <c r="J235" s="256" t="str">
        <f t="shared" si="14"/>
        <v>IT0004644735</v>
      </c>
      <c r="K235" s="318" t="str">
        <f t="shared" si="13"/>
        <v>FBTPH8</v>
      </c>
      <c r="L235" s="318" t="str">
        <f t="shared" si="15"/>
        <v>FBTPH8</v>
      </c>
      <c r="M235" s="364" t="s">
        <v>2000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797" t="s">
        <v>1946</v>
      </c>
      <c r="B236" s="775">
        <v>46174</v>
      </c>
      <c r="C236" s="770" t="s">
        <v>891</v>
      </c>
      <c r="D236" s="770" t="s">
        <v>824</v>
      </c>
      <c r="E236" s="836">
        <v>0.64900000000000002</v>
      </c>
      <c r="F236" s="769">
        <v>6.49</v>
      </c>
      <c r="G236" s="762" t="s">
        <v>2000</v>
      </c>
      <c r="H236" s="762" t="s">
        <v>2000</v>
      </c>
      <c r="I236" s="256" t="str">
        <f>LEFT(D236,12)</f>
        <v>IT0005170839</v>
      </c>
      <c r="J236" s="256" t="str">
        <f>I236</f>
        <v>IT0005170839</v>
      </c>
      <c r="K236" s="318" t="str">
        <f t="shared" si="13"/>
        <v>FBTPH8</v>
      </c>
      <c r="L236" s="318" t="str">
        <f>K236</f>
        <v>FBTPH8</v>
      </c>
      <c r="M236" s="364" t="s">
        <v>2000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797" t="s">
        <v>1947</v>
      </c>
      <c r="B237" s="775">
        <v>46327</v>
      </c>
      <c r="C237" s="762" t="s">
        <v>304</v>
      </c>
      <c r="D237" s="760" t="s">
        <v>739</v>
      </c>
      <c r="E237" s="836">
        <v>0.85499999999999998</v>
      </c>
      <c r="F237" s="769">
        <v>8.5500000000000007</v>
      </c>
      <c r="G237" s="762" t="s">
        <v>2000</v>
      </c>
      <c r="H237" s="762" t="s">
        <v>2000</v>
      </c>
      <c r="I237" s="256" t="str">
        <f t="shared" si="12"/>
        <v>IT0001086567</v>
      </c>
      <c r="J237" s="256" t="str">
        <f t="shared" si="14"/>
        <v>IT0001086567</v>
      </c>
      <c r="K237" s="318" t="str">
        <f t="shared" si="13"/>
        <v>FBTPH8</v>
      </c>
      <c r="L237" s="318" t="str">
        <f t="shared" si="15"/>
        <v>FBTPH8</v>
      </c>
      <c r="M237" s="364" t="s">
        <v>2000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797" t="s">
        <v>1948</v>
      </c>
      <c r="B238" s="775">
        <v>42705</v>
      </c>
      <c r="C238" s="770" t="s">
        <v>901</v>
      </c>
      <c r="D238" s="770" t="s">
        <v>897</v>
      </c>
      <c r="E238" s="837">
        <v>0.68575399999999997</v>
      </c>
      <c r="F238" s="847">
        <v>6.71</v>
      </c>
      <c r="G238" s="762" t="s">
        <v>2000</v>
      </c>
      <c r="H238" s="762" t="s">
        <v>2000</v>
      </c>
      <c r="I238" s="256" t="str">
        <f>LEFT(D238,12)</f>
        <v>IT0005210650</v>
      </c>
      <c r="J238" s="256" t="str">
        <f>I238</f>
        <v>IT0005210650</v>
      </c>
      <c r="K238" s="318" t="str">
        <f t="shared" si="13"/>
        <v>FBTPH8</v>
      </c>
      <c r="L238" s="318" t="str">
        <f>K238</f>
        <v>FBTPH8</v>
      </c>
      <c r="M238" s="364" t="s">
        <v>2000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797" t="s">
        <v>1949</v>
      </c>
      <c r="B239" s="775">
        <v>46539</v>
      </c>
      <c r="C239" s="776" t="s">
        <v>953</v>
      </c>
      <c r="D239" s="770" t="s">
        <v>925</v>
      </c>
      <c r="E239" s="837">
        <v>0.73890699999999998</v>
      </c>
      <c r="F239" s="847">
        <v>7.29</v>
      </c>
      <c r="G239" s="762" t="s">
        <v>2000</v>
      </c>
      <c r="H239" s="762" t="s">
        <v>2000</v>
      </c>
      <c r="I239" s="256" t="str">
        <f>LEFT(D239,12)</f>
        <v>IT0005240830</v>
      </c>
      <c r="J239" s="256" t="str">
        <f>I239</f>
        <v>IT0005240830</v>
      </c>
      <c r="K239" s="318" t="str">
        <f>LEFT(H239,6)</f>
        <v>FBTPH8</v>
      </c>
      <c r="L239" s="318" t="str">
        <f>K239</f>
        <v>FBTPH8</v>
      </c>
      <c r="M239" s="364" t="s">
        <v>2000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797" t="s">
        <v>1950</v>
      </c>
      <c r="B240" s="768">
        <v>46600</v>
      </c>
      <c r="C240" s="776" t="s">
        <v>1008</v>
      </c>
      <c r="D240" s="795" t="s">
        <v>1007</v>
      </c>
      <c r="E240" s="837">
        <v>0.724526</v>
      </c>
      <c r="F240" s="847">
        <v>7.32</v>
      </c>
      <c r="G240" s="762" t="s">
        <v>2000</v>
      </c>
      <c r="H240" s="762" t="s">
        <v>2000</v>
      </c>
      <c r="I240" s="256" t="str">
        <f t="shared" si="12"/>
        <v>IT0005274805</v>
      </c>
      <c r="J240" s="256" t="str">
        <f t="shared" si="14"/>
        <v>IT0005274805</v>
      </c>
      <c r="K240" s="318" t="str">
        <f t="shared" si="13"/>
        <v>FBTPH8</v>
      </c>
      <c r="L240" s="318" t="str">
        <f t="shared" si="15"/>
        <v>FBTPH8</v>
      </c>
      <c r="M240" s="364" t="s">
        <v>2000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797" t="s">
        <v>1951</v>
      </c>
      <c r="B241" s="775">
        <v>46692</v>
      </c>
      <c r="C241" s="762" t="s">
        <v>305</v>
      </c>
      <c r="D241" s="760" t="s">
        <v>740</v>
      </c>
      <c r="E241" s="837">
        <v>0.91900000000000004</v>
      </c>
      <c r="F241" s="847">
        <v>9.19</v>
      </c>
      <c r="G241" s="762" t="s">
        <v>2000</v>
      </c>
      <c r="H241" s="762" t="s">
        <v>2000</v>
      </c>
      <c r="I241" s="256" t="str">
        <f t="shared" si="12"/>
        <v>IT0001174611</v>
      </c>
      <c r="J241" s="256" t="str">
        <f t="shared" si="14"/>
        <v>IT0001174611</v>
      </c>
      <c r="K241" s="318" t="str">
        <f t="shared" si="13"/>
        <v>FBTPH8</v>
      </c>
      <c r="L241" s="318" t="str">
        <f t="shared" si="15"/>
        <v>FBTPH8</v>
      </c>
      <c r="M241" s="364" t="s">
        <v>2000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797" t="s">
        <v>2022</v>
      </c>
      <c r="B242" s="775">
        <v>46784</v>
      </c>
      <c r="C242" s="762" t="s">
        <v>2023</v>
      </c>
      <c r="D242" s="760" t="s">
        <v>2019</v>
      </c>
      <c r="E242" s="837">
        <v>0.71006199999999997</v>
      </c>
      <c r="F242" s="847">
        <v>7.1006200000000002</v>
      </c>
      <c r="G242" s="762" t="s">
        <v>2000</v>
      </c>
      <c r="H242" s="762" t="s">
        <v>2000</v>
      </c>
      <c r="I242" s="256" t="str">
        <f>LEFT(D242,12)</f>
        <v>IT0005323032</v>
      </c>
      <c r="J242" s="256" t="str">
        <f>I242</f>
        <v>IT0005323032</v>
      </c>
      <c r="K242" s="318" t="str">
        <f>LEFT(H242,6)</f>
        <v>FBTPH8</v>
      </c>
      <c r="L242" s="318" t="str">
        <f>K242</f>
        <v>FBTPH8</v>
      </c>
      <c r="M242" s="364" t="s">
        <v>2000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797" t="s">
        <v>1952</v>
      </c>
      <c r="B243" s="768">
        <v>46997</v>
      </c>
      <c r="C243" s="760" t="s">
        <v>555</v>
      </c>
      <c r="D243" s="760" t="s">
        <v>741</v>
      </c>
      <c r="E243" s="837">
        <v>0.91015599999999997</v>
      </c>
      <c r="F243" s="847">
        <v>9.1015599999999992</v>
      </c>
      <c r="G243" s="762" t="s">
        <v>2000</v>
      </c>
      <c r="H243" s="762" t="s">
        <v>2000</v>
      </c>
      <c r="I243" s="256" t="str">
        <f t="shared" si="12"/>
        <v>IT0004889033</v>
      </c>
      <c r="J243" s="256" t="str">
        <f t="shared" si="14"/>
        <v>IT0004889033</v>
      </c>
      <c r="K243" s="318" t="str">
        <f t="shared" si="13"/>
        <v>FBTPH8</v>
      </c>
      <c r="L243" s="318" t="str">
        <f t="shared" si="15"/>
        <v>FBTPH8</v>
      </c>
      <c r="M243" s="364" t="s">
        <v>2000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797" t="s">
        <v>1953</v>
      </c>
      <c r="B244" s="768">
        <v>47423</v>
      </c>
      <c r="C244" s="760" t="s">
        <v>306</v>
      </c>
      <c r="D244" s="760" t="s">
        <v>742</v>
      </c>
      <c r="E244" s="838">
        <v>1.026</v>
      </c>
      <c r="F244" s="769">
        <v>10.26</v>
      </c>
      <c r="G244" s="762" t="s">
        <v>2000</v>
      </c>
      <c r="H244" s="762" t="s">
        <v>2000</v>
      </c>
      <c r="I244" s="256" t="str">
        <f t="shared" si="12"/>
        <v>IT0001278511</v>
      </c>
      <c r="J244" s="256" t="str">
        <f t="shared" si="14"/>
        <v>IT0001278511</v>
      </c>
      <c r="K244" s="318" t="str">
        <f t="shared" si="13"/>
        <v>FBTPH8</v>
      </c>
      <c r="L244" s="318" t="str">
        <f t="shared" si="15"/>
        <v>FBTPH8</v>
      </c>
      <c r="M244" s="364" t="s">
        <v>2000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797" t="s">
        <v>1954</v>
      </c>
      <c r="B245" s="768">
        <v>47543</v>
      </c>
      <c r="C245" s="772" t="s">
        <v>556</v>
      </c>
      <c r="D245" s="772" t="s">
        <v>431</v>
      </c>
      <c r="E245" s="838">
        <v>0.95199999999999996</v>
      </c>
      <c r="F245" s="769">
        <v>9.52</v>
      </c>
      <c r="G245" s="762" t="s">
        <v>2000</v>
      </c>
      <c r="H245" s="762" t="s">
        <v>2000</v>
      </c>
      <c r="I245" s="256" t="str">
        <f t="shared" si="12"/>
        <v>IT0005024234</v>
      </c>
      <c r="J245" s="256" t="str">
        <f t="shared" si="14"/>
        <v>IT0005024234</v>
      </c>
      <c r="K245" s="318" t="str">
        <f t="shared" si="13"/>
        <v>FBTPH8</v>
      </c>
      <c r="L245" s="318" t="str">
        <f t="shared" si="15"/>
        <v>FBTPH8</v>
      </c>
      <c r="M245" s="364" t="s">
        <v>2000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797" t="s">
        <v>1955</v>
      </c>
      <c r="B246" s="768">
        <v>47969</v>
      </c>
      <c r="C246" s="760" t="s">
        <v>307</v>
      </c>
      <c r="D246" s="760" t="s">
        <v>743</v>
      </c>
      <c r="E246" s="839">
        <v>1.1859999999999999</v>
      </c>
      <c r="F246" s="769">
        <v>11.86</v>
      </c>
      <c r="G246" s="762" t="s">
        <v>2000</v>
      </c>
      <c r="H246" s="762" t="s">
        <v>2000</v>
      </c>
      <c r="I246" s="256" t="str">
        <f t="shared" si="12"/>
        <v>IT0001444378</v>
      </c>
      <c r="J246" s="256" t="str">
        <f t="shared" si="14"/>
        <v>IT0001444378</v>
      </c>
      <c r="K246" s="318" t="str">
        <f t="shared" si="13"/>
        <v>FBTPH8</v>
      </c>
      <c r="L246" s="318" t="str">
        <f t="shared" si="15"/>
        <v>FBTPH8</v>
      </c>
      <c r="M246" s="364" t="s">
        <v>2000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797" t="s">
        <v>1956</v>
      </c>
      <c r="B247" s="768">
        <v>48274</v>
      </c>
      <c r="C247" s="776" t="s">
        <v>999</v>
      </c>
      <c r="D247" s="793" t="s">
        <v>848</v>
      </c>
      <c r="E247" s="839">
        <v>0.95399999999999996</v>
      </c>
      <c r="F247" s="769">
        <v>9.5399999999999991</v>
      </c>
      <c r="G247" s="762" t="s">
        <v>2000</v>
      </c>
      <c r="H247" s="762" t="s">
        <v>2000</v>
      </c>
      <c r="I247" s="256" t="str">
        <f t="shared" si="12"/>
        <v>IT0005094088</v>
      </c>
      <c r="J247" s="256" t="str">
        <f t="shared" si="14"/>
        <v>IT0005094088</v>
      </c>
      <c r="K247" s="318" t="str">
        <f t="shared" si="13"/>
        <v>FBTPH8</v>
      </c>
      <c r="L247" s="318" t="str">
        <f t="shared" si="15"/>
        <v>FBTPH8</v>
      </c>
      <c r="M247" s="364" t="s">
        <v>2000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797" t="s">
        <v>1957</v>
      </c>
      <c r="B248" s="768">
        <v>48611</v>
      </c>
      <c r="C248" s="760" t="s">
        <v>308</v>
      </c>
      <c r="D248" s="760" t="s">
        <v>744</v>
      </c>
      <c r="E248" s="839">
        <v>1.2989999999999999</v>
      </c>
      <c r="F248" s="769">
        <v>12.989999999999998</v>
      </c>
      <c r="G248" s="762" t="s">
        <v>2000</v>
      </c>
      <c r="H248" s="762" t="s">
        <v>2000</v>
      </c>
      <c r="I248" s="256" t="str">
        <f t="shared" si="12"/>
        <v>IT0003256820</v>
      </c>
      <c r="J248" s="256" t="str">
        <f t="shared" si="14"/>
        <v>IT0003256820</v>
      </c>
      <c r="K248" s="318" t="str">
        <f t="shared" si="13"/>
        <v>FBTPH8</v>
      </c>
      <c r="L248" s="318" t="str">
        <f t="shared" si="15"/>
        <v>FBTPH8</v>
      </c>
      <c r="M248" s="364" t="s">
        <v>2000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797" t="s">
        <v>1958</v>
      </c>
      <c r="B249" s="768">
        <v>48823</v>
      </c>
      <c r="C249" s="776" t="s">
        <v>1000</v>
      </c>
      <c r="D249" s="793" t="s">
        <v>970</v>
      </c>
      <c r="E249" s="839">
        <v>1.073</v>
      </c>
      <c r="F249" s="769">
        <v>10.73</v>
      </c>
      <c r="G249" s="762" t="s">
        <v>2000</v>
      </c>
      <c r="H249" s="762" t="s">
        <v>2000</v>
      </c>
      <c r="I249" s="256" t="str">
        <f t="shared" si="12"/>
        <v>IT0005240350</v>
      </c>
      <c r="J249" s="256" t="str">
        <f t="shared" si="14"/>
        <v>IT0005240350</v>
      </c>
      <c r="K249" s="318" t="str">
        <f t="shared" si="13"/>
        <v>FBTPH8</v>
      </c>
      <c r="L249" s="318" t="str">
        <f t="shared" si="15"/>
        <v>FBTPH8</v>
      </c>
      <c r="M249" s="364" t="s">
        <v>2000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797" t="s">
        <v>1959</v>
      </c>
      <c r="B250" s="768">
        <v>49157</v>
      </c>
      <c r="C250" s="760" t="s">
        <v>613</v>
      </c>
      <c r="D250" s="760" t="s">
        <v>745</v>
      </c>
      <c r="E250" s="839">
        <v>1.3440000000000001</v>
      </c>
      <c r="F250" s="769">
        <v>13.440000000000001</v>
      </c>
      <c r="G250" s="762" t="s">
        <v>2000</v>
      </c>
      <c r="H250" s="762" t="s">
        <v>2000</v>
      </c>
      <c r="I250" s="256" t="str">
        <f t="shared" si="12"/>
        <v>IT0003535157</v>
      </c>
      <c r="J250" s="256" t="str">
        <f t="shared" si="14"/>
        <v>IT0003535157</v>
      </c>
      <c r="K250" s="318" t="str">
        <f t="shared" si="13"/>
        <v>FBTPH8</v>
      </c>
      <c r="L250" s="318" t="str">
        <f t="shared" si="15"/>
        <v>FBTPH8</v>
      </c>
      <c r="M250" s="364" t="s">
        <v>2000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797" t="s">
        <v>1960</v>
      </c>
      <c r="B251" s="768">
        <v>49919</v>
      </c>
      <c r="C251" s="770" t="s">
        <v>892</v>
      </c>
      <c r="D251" s="779" t="s">
        <v>893</v>
      </c>
      <c r="E251" s="839">
        <v>1.1830000000000001</v>
      </c>
      <c r="F251" s="769">
        <v>11.83</v>
      </c>
      <c r="G251" s="762" t="s">
        <v>2000</v>
      </c>
      <c r="H251" s="762" t="s">
        <v>2000</v>
      </c>
      <c r="I251" s="256" t="str">
        <f t="shared" si="12"/>
        <v>IT0005177909</v>
      </c>
      <c r="J251" s="256" t="str">
        <f t="shared" si="14"/>
        <v>IT0005177909</v>
      </c>
      <c r="K251" s="318" t="str">
        <f t="shared" si="13"/>
        <v>FBTPH8</v>
      </c>
      <c r="L251" s="318" t="str">
        <f t="shared" si="15"/>
        <v>FBTPH8</v>
      </c>
      <c r="M251" s="364" t="s">
        <v>2000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797" t="s">
        <v>1961</v>
      </c>
      <c r="B252" s="768">
        <v>50072</v>
      </c>
      <c r="C252" s="760" t="s">
        <v>309</v>
      </c>
      <c r="D252" s="760" t="s">
        <v>746</v>
      </c>
      <c r="E252" s="839">
        <v>1.389</v>
      </c>
      <c r="F252" s="769">
        <v>13.89</v>
      </c>
      <c r="G252" s="762" t="s">
        <v>2000</v>
      </c>
      <c r="H252" s="762" t="s">
        <v>2000</v>
      </c>
      <c r="I252" s="256" t="str">
        <f t="shared" si="12"/>
        <v>IT0003934657</v>
      </c>
      <c r="J252" s="256" t="str">
        <f t="shared" si="14"/>
        <v>IT0003934657</v>
      </c>
      <c r="K252" s="318" t="str">
        <f t="shared" si="13"/>
        <v>FBTPH8</v>
      </c>
      <c r="L252" s="318" t="str">
        <f t="shared" si="15"/>
        <v>FBTPH8</v>
      </c>
      <c r="M252" s="364" t="s">
        <v>2000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797" t="s">
        <v>1962</v>
      </c>
      <c r="B253" s="768">
        <v>50983</v>
      </c>
      <c r="C253" s="760" t="s">
        <v>557</v>
      </c>
      <c r="D253" s="760" t="s">
        <v>747</v>
      </c>
      <c r="E253" s="839">
        <v>1.6279999999999999</v>
      </c>
      <c r="F253" s="769">
        <v>16.279999999999998</v>
      </c>
      <c r="G253" s="762" t="s">
        <v>2000</v>
      </c>
      <c r="H253" s="762" t="s">
        <v>2000</v>
      </c>
      <c r="I253" s="256" t="str">
        <f t="shared" si="12"/>
        <v>IT0004286966</v>
      </c>
      <c r="J253" s="256" t="str">
        <f t="shared" si="14"/>
        <v>IT0004286966</v>
      </c>
      <c r="K253" s="318" t="str">
        <f t="shared" si="13"/>
        <v>FBTPH8</v>
      </c>
      <c r="L253" s="318" t="str">
        <f t="shared" si="15"/>
        <v>FBTPH8</v>
      </c>
      <c r="M253" s="364" t="s">
        <v>2000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797" t="s">
        <v>1963</v>
      </c>
      <c r="B254" s="768">
        <v>51380</v>
      </c>
      <c r="C254" s="760" t="s">
        <v>558</v>
      </c>
      <c r="D254" s="760" t="s">
        <v>748</v>
      </c>
      <c r="E254" s="839">
        <v>1.6619999999999999</v>
      </c>
      <c r="F254" s="769">
        <v>16.619999999999997</v>
      </c>
      <c r="G254" s="762" t="s">
        <v>2000</v>
      </c>
      <c r="H254" s="762" t="s">
        <v>2000</v>
      </c>
      <c r="I254" s="256" t="str">
        <f t="shared" si="12"/>
        <v>IT0004532559</v>
      </c>
      <c r="J254" s="256" t="str">
        <f t="shared" si="14"/>
        <v>IT0004532559</v>
      </c>
      <c r="K254" s="318" t="str">
        <f t="shared" si="13"/>
        <v>FBTPH8</v>
      </c>
      <c r="L254" s="318" t="str">
        <f t="shared" si="15"/>
        <v>FBTPH8</v>
      </c>
      <c r="M254" s="364" t="s">
        <v>2000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797" t="s">
        <v>1964</v>
      </c>
      <c r="B255" s="768">
        <v>52841</v>
      </c>
      <c r="C255" s="760" t="s">
        <v>559</v>
      </c>
      <c r="D255" s="760" t="s">
        <v>749</v>
      </c>
      <c r="E255" s="839">
        <v>1.8240000000000001</v>
      </c>
      <c r="F255" s="769">
        <v>18.240000000000002</v>
      </c>
      <c r="G255" s="762" t="s">
        <v>2000</v>
      </c>
      <c r="H255" s="762" t="s">
        <v>2000</v>
      </c>
      <c r="I255" s="256" t="str">
        <f t="shared" si="12"/>
        <v>IT0004923998</v>
      </c>
      <c r="J255" s="256" t="str">
        <f t="shared" si="14"/>
        <v>IT0004923998</v>
      </c>
      <c r="K255" s="318" t="str">
        <f t="shared" si="13"/>
        <v>FBTPH8</v>
      </c>
      <c r="L255" s="318" t="str">
        <f t="shared" si="15"/>
        <v>FBTPH8</v>
      </c>
      <c r="M255" s="364" t="s">
        <v>2000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797" t="s">
        <v>1965</v>
      </c>
      <c r="B256" s="768">
        <v>53571</v>
      </c>
      <c r="C256" s="760" t="s">
        <v>614</v>
      </c>
      <c r="D256" s="760" t="s">
        <v>615</v>
      </c>
      <c r="E256" s="839">
        <v>1.6359999999999999</v>
      </c>
      <c r="F256" s="769">
        <v>16.36</v>
      </c>
      <c r="G256" s="762" t="s">
        <v>2000</v>
      </c>
      <c r="H256" s="762" t="s">
        <v>2000</v>
      </c>
      <c r="I256" s="256" t="str">
        <f t="shared" si="12"/>
        <v>IT0005083057</v>
      </c>
      <c r="J256" s="256" t="str">
        <f t="shared" si="14"/>
        <v>IT0005083057</v>
      </c>
      <c r="K256" s="318" t="str">
        <f t="shared" si="13"/>
        <v>FBTPH8</v>
      </c>
      <c r="L256" s="318" t="str">
        <f t="shared" si="15"/>
        <v>FBTPH8</v>
      </c>
      <c r="M256" s="364" t="s">
        <v>2000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797" t="s">
        <v>1966</v>
      </c>
      <c r="B257" s="768">
        <v>53752</v>
      </c>
      <c r="C257" s="770" t="s">
        <v>821</v>
      </c>
      <c r="D257" s="792" t="s">
        <v>822</v>
      </c>
      <c r="E257" s="839">
        <v>1.5369999999999999</v>
      </c>
      <c r="F257" s="769">
        <v>15.37</v>
      </c>
      <c r="G257" s="762" t="s">
        <v>2000</v>
      </c>
      <c r="H257" s="762" t="s">
        <v>2000</v>
      </c>
      <c r="I257" s="256" t="str">
        <f t="shared" si="12"/>
        <v>IT0005162828</v>
      </c>
      <c r="J257" s="256" t="str">
        <f t="shared" si="14"/>
        <v>IT0005162828</v>
      </c>
      <c r="K257" s="318" t="str">
        <f t="shared" si="13"/>
        <v>FBTPH8</v>
      </c>
      <c r="L257" s="318" t="str">
        <f t="shared" si="15"/>
        <v>FBTPH8</v>
      </c>
      <c r="M257" s="364" t="s">
        <v>2000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797" t="s">
        <v>1967</v>
      </c>
      <c r="B258" s="768">
        <v>54118</v>
      </c>
      <c r="C258" s="770" t="s">
        <v>1968</v>
      </c>
      <c r="D258" s="792" t="s">
        <v>1657</v>
      </c>
      <c r="E258" s="839">
        <v>1.6870000000000001</v>
      </c>
      <c r="F258" s="769">
        <v>16.87</v>
      </c>
      <c r="G258" s="762" t="s">
        <v>2000</v>
      </c>
      <c r="H258" s="762" t="s">
        <v>2000</v>
      </c>
      <c r="I258" s="256" t="str">
        <f t="shared" si="12"/>
        <v>IT0005273013</v>
      </c>
      <c r="J258" s="256" t="str">
        <f t="shared" si="14"/>
        <v>IT0005273013</v>
      </c>
      <c r="K258" s="318" t="str">
        <f t="shared" si="13"/>
        <v>FBTPH8</v>
      </c>
      <c r="L258" s="318" t="str">
        <f t="shared" si="15"/>
        <v>FBTPH8</v>
      </c>
      <c r="M258" s="364" t="s">
        <v>2000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797" t="s">
        <v>1969</v>
      </c>
      <c r="B259" s="768">
        <v>61057</v>
      </c>
      <c r="C259" s="776" t="s">
        <v>1001</v>
      </c>
      <c r="D259" s="793" t="s">
        <v>1006</v>
      </c>
      <c r="E259" s="839">
        <v>1.86</v>
      </c>
      <c r="F259" s="769">
        <v>18.600000000000001</v>
      </c>
      <c r="G259" s="762" t="s">
        <v>2000</v>
      </c>
      <c r="H259" s="762" t="s">
        <v>2000</v>
      </c>
      <c r="I259" s="256" t="str">
        <f t="shared" si="12"/>
        <v>IT0005217390</v>
      </c>
      <c r="J259" s="256" t="str">
        <f t="shared" si="14"/>
        <v>IT0005217390</v>
      </c>
      <c r="K259" s="318" t="str">
        <f t="shared" si="13"/>
        <v>FBTPH8</v>
      </c>
      <c r="L259" s="318" t="str">
        <f t="shared" si="15"/>
        <v>FBTPH8</v>
      </c>
      <c r="M259" s="364" t="s">
        <v>2000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773" t="s">
        <v>616</v>
      </c>
      <c r="B260" s="768"/>
      <c r="C260" s="760"/>
      <c r="D260" s="760" t="s">
        <v>621</v>
      </c>
      <c r="E260" s="774"/>
      <c r="F260" s="769"/>
      <c r="G260" s="760" t="s">
        <v>621</v>
      </c>
      <c r="H260" s="760" t="s">
        <v>621</v>
      </c>
      <c r="I260" s="256" t="str">
        <f t="shared" si="12"/>
        <v/>
      </c>
      <c r="J260" s="256" t="str">
        <f t="shared" si="14"/>
        <v/>
      </c>
      <c r="K260" s="318" t="str">
        <f t="shared" si="13"/>
        <v/>
      </c>
      <c r="L260" s="318" t="str">
        <f t="shared" si="15"/>
        <v/>
      </c>
      <c r="M260" s="364" t="s">
        <v>621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797" t="s">
        <v>1970</v>
      </c>
      <c r="B261" s="768">
        <v>43205</v>
      </c>
      <c r="C261" s="760" t="s">
        <v>617</v>
      </c>
      <c r="D261" s="760" t="s">
        <v>618</v>
      </c>
      <c r="E261" s="840">
        <v>0.17100000000000001</v>
      </c>
      <c r="F261" s="769">
        <v>1.7100000000000002</v>
      </c>
      <c r="G261" s="762" t="s">
        <v>1995</v>
      </c>
      <c r="H261" s="762" t="s">
        <v>1995</v>
      </c>
      <c r="I261" s="256" t="str">
        <f t="shared" si="12"/>
        <v>NL0011005137</v>
      </c>
      <c r="J261" s="256" t="str">
        <f t="shared" si="14"/>
        <v>NL0011005137</v>
      </c>
      <c r="K261" s="318" t="str">
        <f t="shared" si="13"/>
        <v>FGBSH8</v>
      </c>
      <c r="L261" s="318" t="str">
        <f t="shared" si="15"/>
        <v>FGBSH8</v>
      </c>
      <c r="M261" s="364" t="s">
        <v>1995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797" t="s">
        <v>1971</v>
      </c>
      <c r="B262" s="768">
        <v>43296</v>
      </c>
      <c r="C262" s="760" t="s">
        <v>560</v>
      </c>
      <c r="D262" s="760" t="s">
        <v>750</v>
      </c>
      <c r="E262" s="840">
        <v>0.29099999999999998</v>
      </c>
      <c r="F262" s="769">
        <v>2.9099999999999997</v>
      </c>
      <c r="G262" s="762" t="s">
        <v>1995</v>
      </c>
      <c r="H262" s="762" t="s">
        <v>1995</v>
      </c>
      <c r="I262" s="256" t="str">
        <f t="shared" si="12"/>
        <v>NL0006227316</v>
      </c>
      <c r="J262" s="256" t="str">
        <f t="shared" si="14"/>
        <v>NL0006227316</v>
      </c>
      <c r="K262" s="318" t="str">
        <f t="shared" ref="K262:K277" si="16">LEFT(H262,6)</f>
        <v>FGBSH8</v>
      </c>
      <c r="L262" s="318" t="str">
        <f t="shared" si="15"/>
        <v>FGBSH8</v>
      </c>
      <c r="M262" s="364" t="s">
        <v>1995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797" t="s">
        <v>1972</v>
      </c>
      <c r="B263" s="768">
        <v>43480</v>
      </c>
      <c r="C263" s="760" t="s">
        <v>561</v>
      </c>
      <c r="D263" s="760" t="s">
        <v>751</v>
      </c>
      <c r="E263" s="840">
        <v>0.50900000000000001</v>
      </c>
      <c r="F263" s="769">
        <v>5.09</v>
      </c>
      <c r="G263" s="762" t="s">
        <v>1995</v>
      </c>
      <c r="H263" s="762" t="s">
        <v>1995</v>
      </c>
      <c r="I263" s="256" t="str">
        <f t="shared" si="12"/>
        <v>NL0010514246</v>
      </c>
      <c r="J263" s="256" t="str">
        <f t="shared" si="14"/>
        <v>NL0010514246</v>
      </c>
      <c r="K263" s="318" t="str">
        <f t="shared" si="16"/>
        <v>FGBSH8</v>
      </c>
      <c r="L263" s="318" t="str">
        <f t="shared" si="15"/>
        <v>FGBSH8</v>
      </c>
      <c r="M263" s="364" t="s">
        <v>1995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797" t="s">
        <v>1973</v>
      </c>
      <c r="B264" s="768">
        <v>43661</v>
      </c>
      <c r="C264" s="760" t="s">
        <v>562</v>
      </c>
      <c r="D264" s="760" t="s">
        <v>752</v>
      </c>
      <c r="E264" s="840">
        <v>0.76</v>
      </c>
      <c r="F264" s="769">
        <v>7.6</v>
      </c>
      <c r="G264" s="762" t="s">
        <v>1995</v>
      </c>
      <c r="H264" s="762" t="s">
        <v>1995</v>
      </c>
      <c r="I264" s="256" t="str">
        <f t="shared" si="12"/>
        <v>NL0009086115</v>
      </c>
      <c r="J264" s="256" t="str">
        <f t="shared" si="14"/>
        <v>NL0009086115</v>
      </c>
      <c r="K264" s="318" t="str">
        <f t="shared" si="16"/>
        <v>FGBSH8</v>
      </c>
      <c r="L264" s="318" t="str">
        <f t="shared" si="15"/>
        <v>FGBSH8</v>
      </c>
      <c r="M264" s="364" t="s">
        <v>1995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797" t="s">
        <v>1974</v>
      </c>
      <c r="B265" s="768">
        <v>43845</v>
      </c>
      <c r="C265" s="760" t="s">
        <v>563</v>
      </c>
      <c r="D265" s="760" t="s">
        <v>432</v>
      </c>
      <c r="E265" s="840">
        <v>0.94599999999999995</v>
      </c>
      <c r="F265" s="769">
        <v>9.4599999999999991</v>
      </c>
      <c r="G265" s="762" t="s">
        <v>1995</v>
      </c>
      <c r="H265" s="762" t="s">
        <v>1995</v>
      </c>
      <c r="I265" s="256" t="str">
        <f t="shared" si="12"/>
        <v>NL0010881827</v>
      </c>
      <c r="J265" s="256" t="str">
        <f t="shared" si="14"/>
        <v>NL0010881827</v>
      </c>
      <c r="K265" s="318" t="str">
        <f t="shared" si="16"/>
        <v>FGBSH8</v>
      </c>
      <c r="L265" s="318" t="str">
        <f t="shared" si="15"/>
        <v>FGBSH8</v>
      </c>
      <c r="M265" s="364" t="s">
        <v>1995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797" t="s">
        <v>1975</v>
      </c>
      <c r="B266" s="768">
        <v>44027</v>
      </c>
      <c r="C266" s="760" t="s">
        <v>564</v>
      </c>
      <c r="D266" s="760" t="s">
        <v>753</v>
      </c>
      <c r="E266" s="840">
        <v>1.238</v>
      </c>
      <c r="F266" s="769">
        <v>12.379999999999999</v>
      </c>
      <c r="G266" s="762" t="s">
        <v>1995</v>
      </c>
      <c r="H266" s="762" t="s">
        <v>1995</v>
      </c>
      <c r="I266" s="256" t="str">
        <f t="shared" ref="I266:I277" si="17">LEFT(D266,12)</f>
        <v>NL0009348242</v>
      </c>
      <c r="J266" s="256" t="str">
        <f t="shared" si="14"/>
        <v>NL0009348242</v>
      </c>
      <c r="K266" s="318" t="str">
        <f t="shared" si="16"/>
        <v>FGBSH8</v>
      </c>
      <c r="L266" s="318" t="str">
        <f t="shared" si="15"/>
        <v>FGBSH8</v>
      </c>
      <c r="M266" s="364" t="s">
        <v>1995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797" t="s">
        <v>1976</v>
      </c>
      <c r="B267" s="768">
        <v>44392</v>
      </c>
      <c r="C267" s="760" t="s">
        <v>565</v>
      </c>
      <c r="D267" s="760" t="s">
        <v>754</v>
      </c>
      <c r="E267" s="841">
        <v>0.61899999999999999</v>
      </c>
      <c r="F267" s="769">
        <v>6.1899999999999995</v>
      </c>
      <c r="G267" s="762" t="s">
        <v>1996</v>
      </c>
      <c r="H267" s="762" t="s">
        <v>1996</v>
      </c>
      <c r="I267" s="256" t="str">
        <f t="shared" si="17"/>
        <v>NL0009712470</v>
      </c>
      <c r="J267" s="256" t="str">
        <f t="shared" si="14"/>
        <v>NL0009712470</v>
      </c>
      <c r="K267" s="318" t="str">
        <f t="shared" si="16"/>
        <v>FGBMH8</v>
      </c>
      <c r="L267" s="318" t="str">
        <f t="shared" si="15"/>
        <v>FGBMH8</v>
      </c>
      <c r="M267" s="364" t="s">
        <v>1996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797" t="s">
        <v>1977</v>
      </c>
      <c r="B268" s="768">
        <v>44576</v>
      </c>
      <c r="C268" s="770" t="s">
        <v>902</v>
      </c>
      <c r="D268" s="770" t="s">
        <v>906</v>
      </c>
      <c r="E268" s="841">
        <v>0.65200000000000002</v>
      </c>
      <c r="F268" s="769">
        <v>6.5200000000000005</v>
      </c>
      <c r="G268" s="762" t="s">
        <v>1996</v>
      </c>
      <c r="H268" s="762" t="s">
        <v>1996</v>
      </c>
      <c r="I268" s="256" t="str">
        <f t="shared" si="17"/>
        <v>NL0011896857</v>
      </c>
      <c r="J268" s="256" t="str">
        <f t="shared" si="14"/>
        <v>NL0011896857</v>
      </c>
      <c r="K268" s="318" t="str">
        <f t="shared" si="16"/>
        <v>FGBMH8</v>
      </c>
      <c r="L268" s="318" t="str">
        <f t="shared" si="15"/>
        <v>FGBMH8</v>
      </c>
      <c r="M268" s="364" t="s">
        <v>1996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797" t="s">
        <v>1978</v>
      </c>
      <c r="B269" s="768">
        <v>44757</v>
      </c>
      <c r="C269" s="760" t="s">
        <v>566</v>
      </c>
      <c r="D269" s="760" t="s">
        <v>755</v>
      </c>
      <c r="E269" s="842">
        <v>0.77600000000000002</v>
      </c>
      <c r="F269" s="769">
        <v>7.76</v>
      </c>
      <c r="G269" s="762" t="s">
        <v>1996</v>
      </c>
      <c r="H269" s="762" t="s">
        <v>1996</v>
      </c>
      <c r="I269" s="256" t="str">
        <f t="shared" si="17"/>
        <v>NL0010060257</v>
      </c>
      <c r="J269" s="256" t="str">
        <f t="shared" si="14"/>
        <v>NL0010060257</v>
      </c>
      <c r="K269" s="318" t="str">
        <f t="shared" si="16"/>
        <v>FGBMH8</v>
      </c>
      <c r="L269" s="318" t="str">
        <f t="shared" si="15"/>
        <v>FGBMH8</v>
      </c>
      <c r="M269" s="364" t="s">
        <v>1996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797" t="s">
        <v>1979</v>
      </c>
      <c r="B270" s="768">
        <v>44941</v>
      </c>
      <c r="C270" s="760" t="s">
        <v>311</v>
      </c>
      <c r="D270" s="760" t="s">
        <v>756</v>
      </c>
      <c r="E270" s="842">
        <v>0.89900000000000002</v>
      </c>
      <c r="F270" s="769">
        <v>8.99</v>
      </c>
      <c r="G270" s="762" t="s">
        <v>1996</v>
      </c>
      <c r="H270" s="762" t="s">
        <v>1996</v>
      </c>
      <c r="I270" s="256" t="str">
        <f t="shared" si="17"/>
        <v>NL0000102275</v>
      </c>
      <c r="J270" s="256" t="str">
        <f t="shared" si="14"/>
        <v>NL0000102275</v>
      </c>
      <c r="K270" s="318" t="str">
        <f t="shared" si="16"/>
        <v>FGBMH8</v>
      </c>
      <c r="L270" s="318" t="str">
        <f t="shared" si="15"/>
        <v>FGBMH8</v>
      </c>
      <c r="M270" s="364" t="s">
        <v>1996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797" t="s">
        <v>1980</v>
      </c>
      <c r="B271" s="768">
        <v>44941</v>
      </c>
      <c r="C271" s="760" t="s">
        <v>310</v>
      </c>
      <c r="D271" s="760" t="s">
        <v>757</v>
      </c>
      <c r="E271" s="842">
        <v>0.99099999999999999</v>
      </c>
      <c r="F271" s="769">
        <v>9.91</v>
      </c>
      <c r="G271" s="762" t="s">
        <v>1996</v>
      </c>
      <c r="H271" s="762" t="s">
        <v>1996</v>
      </c>
      <c r="I271" s="256" t="str">
        <f t="shared" si="17"/>
        <v>NL0000102077</v>
      </c>
      <c r="J271" s="256" t="str">
        <f t="shared" si="14"/>
        <v>NL0000102077</v>
      </c>
      <c r="K271" s="318" t="str">
        <f t="shared" si="16"/>
        <v>FGBMH8</v>
      </c>
      <c r="L271" s="318" t="str">
        <f t="shared" si="15"/>
        <v>FGBMH8</v>
      </c>
      <c r="M271" s="364" t="s">
        <v>1996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797" t="s">
        <v>1981</v>
      </c>
      <c r="B272" s="768">
        <v>45122</v>
      </c>
      <c r="C272" s="760" t="s">
        <v>567</v>
      </c>
      <c r="D272" s="760" t="s">
        <v>758</v>
      </c>
      <c r="E272" s="842">
        <v>0.93</v>
      </c>
      <c r="F272" s="769">
        <v>9.3000000000000007</v>
      </c>
      <c r="G272" s="762" t="s">
        <v>1996</v>
      </c>
      <c r="H272" s="762" t="s">
        <v>1996</v>
      </c>
      <c r="I272" s="256" t="str">
        <f t="shared" si="17"/>
        <v>NL0010418810</v>
      </c>
      <c r="J272" s="256" t="str">
        <f t="shared" si="14"/>
        <v>NL0010418810</v>
      </c>
      <c r="K272" s="318" t="str">
        <f t="shared" si="16"/>
        <v>FGBMH8</v>
      </c>
      <c r="L272" s="318" t="str">
        <f t="shared" ref="L272:L277" si="18">K272</f>
        <v>FGBMH8</v>
      </c>
      <c r="M272" s="364" t="s">
        <v>1996</v>
      </c>
    </row>
    <row r="273" spans="1:13" ht="16.5" thickBot="1">
      <c r="A273" s="796" t="s">
        <v>1982</v>
      </c>
      <c r="B273" s="768">
        <v>45306</v>
      </c>
      <c r="C273" s="760" t="s">
        <v>1983</v>
      </c>
      <c r="D273" s="760" t="s">
        <v>1984</v>
      </c>
      <c r="E273" s="842">
        <v>0.95199999999999996</v>
      </c>
      <c r="F273" s="769">
        <v>9.52</v>
      </c>
      <c r="G273" s="762" t="s">
        <v>1996</v>
      </c>
      <c r="H273" s="762" t="s">
        <v>1996</v>
      </c>
      <c r="I273" s="256" t="str">
        <f t="shared" si="17"/>
        <v>NL0012650469</v>
      </c>
      <c r="J273" s="256" t="str">
        <f t="shared" ref="J273:J282" si="19">I273</f>
        <v>NL0012650469</v>
      </c>
      <c r="K273" s="318" t="str">
        <f t="shared" si="16"/>
        <v>FGBMH8</v>
      </c>
      <c r="L273" s="318" t="str">
        <f t="shared" si="18"/>
        <v>FGBMH8</v>
      </c>
      <c r="M273" s="364" t="s">
        <v>1996</v>
      </c>
    </row>
    <row r="274" spans="1:13" ht="16.5" thickBot="1">
      <c r="A274" s="797" t="s">
        <v>1985</v>
      </c>
      <c r="B274" s="768">
        <v>45488</v>
      </c>
      <c r="C274" s="760" t="s">
        <v>568</v>
      </c>
      <c r="D274" s="760" t="s">
        <v>433</v>
      </c>
      <c r="E274" s="842">
        <v>1.1020000000000001</v>
      </c>
      <c r="F274" s="769">
        <v>11.020000000000001</v>
      </c>
      <c r="G274" s="762" t="s">
        <v>1996</v>
      </c>
      <c r="H274" s="762" t="s">
        <v>1996</v>
      </c>
      <c r="I274" s="256" t="str">
        <f t="shared" si="17"/>
        <v>NL0010733424</v>
      </c>
      <c r="J274" s="256" t="str">
        <f t="shared" si="19"/>
        <v>NL0010733424</v>
      </c>
      <c r="K274" s="318" t="str">
        <f t="shared" si="16"/>
        <v>FGBMH8</v>
      </c>
      <c r="L274" s="318" t="str">
        <f t="shared" si="18"/>
        <v>FGBMH8</v>
      </c>
      <c r="M274" s="364" t="s">
        <v>1996</v>
      </c>
    </row>
    <row r="275" spans="1:13" ht="16.5" thickBot="1">
      <c r="A275" s="797" t="s">
        <v>1986</v>
      </c>
      <c r="B275" s="768">
        <v>45853</v>
      </c>
      <c r="C275" s="770" t="s">
        <v>619</v>
      </c>
      <c r="D275" s="760" t="s">
        <v>620</v>
      </c>
      <c r="E275" s="843">
        <v>0.51300000000000001</v>
      </c>
      <c r="F275" s="769">
        <v>5.13</v>
      </c>
      <c r="G275" s="762" t="s">
        <v>1997</v>
      </c>
      <c r="H275" s="762" t="s">
        <v>1997</v>
      </c>
      <c r="I275" s="256" t="str">
        <f t="shared" si="17"/>
        <v>NL0011220108</v>
      </c>
      <c r="J275" s="256" t="str">
        <f t="shared" si="19"/>
        <v>NL0011220108</v>
      </c>
      <c r="K275" s="318" t="str">
        <f t="shared" si="16"/>
        <v>FGBLH8</v>
      </c>
      <c r="L275" s="318" t="str">
        <f t="shared" si="18"/>
        <v>FGBLH8</v>
      </c>
      <c r="M275" s="364" t="s">
        <v>1997</v>
      </c>
    </row>
    <row r="276" spans="1:13" ht="16.5" thickBot="1">
      <c r="A276" s="797" t="s">
        <v>1987</v>
      </c>
      <c r="B276" s="768">
        <v>46218</v>
      </c>
      <c r="C276" s="770" t="s">
        <v>894</v>
      </c>
      <c r="D276" s="760" t="s">
        <v>895</v>
      </c>
      <c r="E276" s="843">
        <v>0.57899999999999996</v>
      </c>
      <c r="F276" s="769">
        <v>5.7899999999999991</v>
      </c>
      <c r="G276" s="762" t="s">
        <v>1997</v>
      </c>
      <c r="H276" s="762" t="s">
        <v>1997</v>
      </c>
      <c r="I276" s="256" t="str">
        <f t="shared" si="17"/>
        <v>NL0011819040</v>
      </c>
      <c r="J276" s="256" t="str">
        <f t="shared" si="19"/>
        <v>NL0011819040</v>
      </c>
      <c r="K276" s="318" t="str">
        <f t="shared" si="16"/>
        <v>FGBLH8</v>
      </c>
      <c r="L276" s="318" t="str">
        <f t="shared" si="18"/>
        <v>FGBLH8</v>
      </c>
      <c r="M276" s="364" t="s">
        <v>1997</v>
      </c>
    </row>
    <row r="277" spans="1:13" ht="16.5" thickBot="1">
      <c r="A277" s="797" t="s">
        <v>1988</v>
      </c>
      <c r="B277" s="768">
        <v>46583</v>
      </c>
      <c r="C277" s="770" t="s">
        <v>954</v>
      </c>
      <c r="D277" s="771" t="s">
        <v>955</v>
      </c>
      <c r="E277" s="843">
        <v>0.64300000000000002</v>
      </c>
      <c r="F277" s="769">
        <v>6.43</v>
      </c>
      <c r="G277" s="762" t="s">
        <v>1997</v>
      </c>
      <c r="H277" s="762" t="s">
        <v>1997</v>
      </c>
      <c r="I277" s="256" t="str">
        <f t="shared" si="17"/>
        <v>NL0012171458</v>
      </c>
      <c r="J277" s="256" t="str">
        <f t="shared" si="19"/>
        <v>NL0012171458</v>
      </c>
      <c r="K277" s="318" t="str">
        <f t="shared" si="16"/>
        <v>FGBLH8</v>
      </c>
      <c r="L277" s="318" t="str">
        <f t="shared" si="18"/>
        <v>FGBLH8</v>
      </c>
      <c r="M277" s="364" t="s">
        <v>1997</v>
      </c>
    </row>
    <row r="278" spans="1:13" ht="16.5" thickBot="1">
      <c r="A278" s="797" t="s">
        <v>1989</v>
      </c>
      <c r="B278" s="768">
        <v>46767</v>
      </c>
      <c r="C278" s="760" t="s">
        <v>312</v>
      </c>
      <c r="D278" s="760" t="s">
        <v>759</v>
      </c>
      <c r="E278" s="843">
        <v>0.85399999999999998</v>
      </c>
      <c r="F278" s="769">
        <v>8.5399999999999991</v>
      </c>
      <c r="G278" s="762" t="s">
        <v>1997</v>
      </c>
      <c r="H278" s="762" t="s">
        <v>1997</v>
      </c>
      <c r="I278" s="256" t="str">
        <f>LEFT(D278,12)</f>
        <v>NL0000102317</v>
      </c>
      <c r="J278" s="256" t="str">
        <f t="shared" si="19"/>
        <v>NL0000102317</v>
      </c>
      <c r="K278" s="318" t="str">
        <f>LEFT(H278,6)</f>
        <v>FGBLH8</v>
      </c>
      <c r="L278" s="318" t="str">
        <f>K278</f>
        <v>FGBLH8</v>
      </c>
      <c r="M278" s="364" t="s">
        <v>1997</v>
      </c>
    </row>
    <row r="279" spans="1:13" ht="16.5" thickBot="1">
      <c r="A279" s="797" t="s">
        <v>1990</v>
      </c>
      <c r="B279" s="768">
        <v>48594</v>
      </c>
      <c r="C279" s="760" t="s">
        <v>569</v>
      </c>
      <c r="D279" s="760" t="s">
        <v>760</v>
      </c>
      <c r="E279" s="843">
        <v>1.079</v>
      </c>
      <c r="F279" s="769">
        <v>10.79</v>
      </c>
      <c r="G279" s="762" t="s">
        <v>1997</v>
      </c>
      <c r="H279" s="762" t="s">
        <v>1997</v>
      </c>
      <c r="I279" s="256" t="str">
        <f>LEFT(D279,12)</f>
        <v>NL0010071189</v>
      </c>
      <c r="J279" s="256" t="str">
        <f t="shared" si="19"/>
        <v>NL0010071189</v>
      </c>
      <c r="K279" s="318" t="str">
        <f>LEFT(H279,6)</f>
        <v>FGBLH8</v>
      </c>
      <c r="L279" s="318" t="str">
        <f>K279</f>
        <v>FGBLH8</v>
      </c>
      <c r="M279" s="364" t="s">
        <v>1997</v>
      </c>
    </row>
    <row r="280" spans="1:13" ht="16.5" thickBot="1">
      <c r="A280" s="797" t="s">
        <v>1991</v>
      </c>
      <c r="B280" s="768">
        <v>50055</v>
      </c>
      <c r="C280" s="760" t="s">
        <v>313</v>
      </c>
      <c r="D280" s="760" t="s">
        <v>761</v>
      </c>
      <c r="E280" s="843">
        <v>1.52</v>
      </c>
      <c r="F280" s="769">
        <v>15.2</v>
      </c>
      <c r="G280" s="762" t="s">
        <v>1997</v>
      </c>
      <c r="H280" s="762" t="s">
        <v>1997</v>
      </c>
      <c r="I280" s="256" t="str">
        <f>LEFT(D280,12)</f>
        <v>NL0000102234</v>
      </c>
      <c r="J280" s="256" t="str">
        <f t="shared" si="19"/>
        <v>NL0000102234</v>
      </c>
      <c r="K280" s="318" t="str">
        <f>LEFT(H280,6)</f>
        <v>FGBLH8</v>
      </c>
      <c r="L280" s="318" t="str">
        <f>K280</f>
        <v>FGBLH8</v>
      </c>
      <c r="M280" s="364" t="s">
        <v>1997</v>
      </c>
    </row>
    <row r="281" spans="1:13" ht="16.5" thickBot="1">
      <c r="A281" s="797" t="s">
        <v>1992</v>
      </c>
      <c r="B281" s="768">
        <v>51881</v>
      </c>
      <c r="C281" s="760" t="s">
        <v>570</v>
      </c>
      <c r="D281" s="760" t="s">
        <v>762</v>
      </c>
      <c r="E281" s="843">
        <v>1.863</v>
      </c>
      <c r="F281" s="769">
        <v>18.63</v>
      </c>
      <c r="G281" s="762" t="s">
        <v>1997</v>
      </c>
      <c r="H281" s="762" t="s">
        <v>1997</v>
      </c>
      <c r="I281" s="256" t="str">
        <f>LEFT(D281,12)</f>
        <v>NL0009446418</v>
      </c>
      <c r="J281" s="256" t="str">
        <f t="shared" si="19"/>
        <v>NL0009446418</v>
      </c>
      <c r="K281" s="318" t="str">
        <f>LEFT(H281,6)</f>
        <v>FGBLH8</v>
      </c>
      <c r="L281" s="318" t="str">
        <f>K281</f>
        <v>FGBLH8</v>
      </c>
      <c r="M281" s="364" t="s">
        <v>1997</v>
      </c>
    </row>
    <row r="282" spans="1:13" ht="16.5" thickBot="1">
      <c r="A282" s="797" t="s">
        <v>1993</v>
      </c>
      <c r="B282" s="768">
        <v>53707</v>
      </c>
      <c r="C282" s="760" t="s">
        <v>571</v>
      </c>
      <c r="D282" s="760" t="s">
        <v>434</v>
      </c>
      <c r="E282" s="843">
        <v>1.9990000000000001</v>
      </c>
      <c r="F282" s="769">
        <v>19.990000000000002</v>
      </c>
      <c r="G282" s="762" t="s">
        <v>1997</v>
      </c>
      <c r="H282" s="762" t="s">
        <v>1997</v>
      </c>
      <c r="I282" s="256" t="str">
        <f>LEFT(D282,12)</f>
        <v>NL0010721999</v>
      </c>
      <c r="J282" s="256" t="str">
        <f t="shared" si="19"/>
        <v>NL0010721999</v>
      </c>
      <c r="K282" s="318" t="str">
        <f>LEFT(H282,6)</f>
        <v>FGBLH8</v>
      </c>
      <c r="L282" s="318" t="str">
        <f>K282</f>
        <v>FGBLH8</v>
      </c>
      <c r="M282" s="364" t="s">
        <v>1997</v>
      </c>
    </row>
    <row r="283" spans="1:13" ht="15">
      <c r="A283" s="325"/>
      <c r="B283" s="325"/>
      <c r="C283" s="325"/>
      <c r="D283" s="325"/>
      <c r="E283" s="365"/>
      <c r="F283" s="365"/>
      <c r="G283" s="325"/>
      <c r="H283" s="325"/>
      <c r="I283" s="325"/>
      <c r="J283" s="325"/>
      <c r="K283" s="325"/>
      <c r="L283" s="325"/>
      <c r="M283" s="325"/>
    </row>
    <row r="284" spans="1:13" ht="15">
      <c r="A284" s="325"/>
      <c r="B284" s="325"/>
      <c r="C284" s="325"/>
      <c r="D284" s="325"/>
      <c r="E284" s="365"/>
      <c r="F284" s="365"/>
      <c r="G284" s="325"/>
      <c r="H284" s="325"/>
      <c r="I284" s="325"/>
      <c r="J284" s="325"/>
      <c r="K284" s="325"/>
      <c r="L284" s="325"/>
      <c r="M284" s="325"/>
    </row>
    <row r="285" spans="1:13" ht="15">
      <c r="A285" s="325"/>
      <c r="B285" s="325"/>
      <c r="C285" s="325"/>
      <c r="D285" s="325"/>
      <c r="E285" s="365"/>
      <c r="F285" s="365"/>
      <c r="G285" s="325"/>
      <c r="H285" s="325"/>
      <c r="I285" s="325"/>
      <c r="J285" s="325"/>
      <c r="K285" s="325"/>
      <c r="L285" s="325"/>
      <c r="M285" s="325"/>
    </row>
    <row r="286" spans="1:13" ht="15">
      <c r="A286" s="325"/>
      <c r="B286" s="325"/>
      <c r="C286" s="325"/>
      <c r="D286" s="325"/>
      <c r="E286" s="365"/>
      <c r="F286" s="365"/>
      <c r="G286" s="325"/>
      <c r="H286" s="325"/>
      <c r="I286" s="325"/>
      <c r="J286" s="325"/>
      <c r="K286" s="325"/>
      <c r="L286" s="325"/>
      <c r="M286" s="325"/>
    </row>
    <row r="287" spans="1:13" ht="15">
      <c r="A287" s="325"/>
      <c r="B287" s="325"/>
      <c r="C287" s="325"/>
      <c r="D287" s="325"/>
      <c r="E287" s="365"/>
      <c r="F287" s="365"/>
      <c r="G287" s="325"/>
      <c r="H287" s="325"/>
      <c r="I287" s="325"/>
      <c r="J287" s="325"/>
      <c r="K287" s="325"/>
      <c r="L287" s="325"/>
      <c r="M287" s="325"/>
    </row>
    <row r="288" spans="1:13" ht="15">
      <c r="A288" s="325"/>
      <c r="B288" s="325"/>
      <c r="C288" s="325"/>
      <c r="D288" s="325"/>
      <c r="E288" s="365"/>
      <c r="F288" s="365"/>
      <c r="G288" s="325"/>
      <c r="H288" s="325"/>
      <c r="I288" s="325"/>
      <c r="J288" s="325"/>
      <c r="K288" s="325"/>
      <c r="L288" s="325"/>
      <c r="M288" s="325"/>
    </row>
    <row r="289" spans="1:13" ht="15">
      <c r="A289" s="325"/>
      <c r="B289" s="325"/>
      <c r="C289" s="325"/>
      <c r="D289" s="325"/>
      <c r="E289" s="365"/>
      <c r="F289" s="365"/>
      <c r="G289" s="325"/>
      <c r="H289" s="325"/>
      <c r="I289" s="325"/>
      <c r="J289" s="325"/>
      <c r="K289" s="325"/>
      <c r="L289" s="325"/>
      <c r="M289" s="325"/>
    </row>
    <row r="290" spans="1:13" ht="15">
      <c r="A290" s="325"/>
      <c r="B290" s="325"/>
      <c r="C290" s="325"/>
      <c r="D290" s="325"/>
      <c r="E290" s="365"/>
      <c r="F290" s="365"/>
      <c r="G290" s="325"/>
      <c r="H290" s="325"/>
      <c r="I290" s="325"/>
      <c r="J290" s="325"/>
      <c r="K290" s="325"/>
      <c r="L290" s="325"/>
      <c r="M290" s="325"/>
    </row>
    <row r="291" spans="1:13" ht="15">
      <c r="A291" s="325"/>
      <c r="B291" s="325"/>
      <c r="C291" s="325"/>
      <c r="D291" s="325"/>
      <c r="E291" s="365"/>
      <c r="F291" s="365"/>
      <c r="G291" s="325"/>
      <c r="H291" s="325"/>
      <c r="I291" s="325"/>
      <c r="J291" s="325"/>
      <c r="K291" s="325"/>
      <c r="L291" s="325"/>
      <c r="M291" s="325"/>
    </row>
    <row r="292" spans="1:13" ht="15">
      <c r="A292" s="325"/>
      <c r="B292" s="325"/>
      <c r="C292" s="325"/>
      <c r="D292" s="325"/>
      <c r="E292" s="365"/>
      <c r="F292" s="365"/>
      <c r="G292" s="325"/>
      <c r="H292" s="325"/>
      <c r="I292" s="325"/>
      <c r="J292" s="325"/>
      <c r="K292" s="325"/>
      <c r="L292" s="325"/>
      <c r="M292" s="325"/>
    </row>
    <row r="293" spans="1:13" ht="15">
      <c r="A293" s="325"/>
      <c r="B293" s="325"/>
      <c r="C293" s="325"/>
      <c r="D293" s="325"/>
      <c r="E293" s="365"/>
      <c r="F293" s="365"/>
      <c r="G293" s="325"/>
      <c r="H293" s="325"/>
      <c r="I293" s="325"/>
      <c r="J293" s="325"/>
      <c r="K293" s="325"/>
      <c r="L293" s="325"/>
      <c r="M293" s="325"/>
    </row>
    <row r="294" spans="1:13" ht="15">
      <c r="A294" s="325"/>
      <c r="B294" s="325"/>
      <c r="C294" s="325"/>
      <c r="D294" s="325"/>
      <c r="E294" s="365"/>
      <c r="F294" s="365"/>
      <c r="G294" s="325"/>
      <c r="H294" s="325"/>
      <c r="I294" s="325"/>
      <c r="J294" s="325"/>
      <c r="K294" s="325"/>
      <c r="L294" s="325"/>
      <c r="M294" s="325"/>
    </row>
    <row r="295" spans="1:13" ht="15">
      <c r="A295" s="325"/>
      <c r="B295" s="325"/>
      <c r="C295" s="325"/>
      <c r="D295" s="325"/>
      <c r="E295" s="365"/>
      <c r="F295" s="365"/>
      <c r="G295" s="325"/>
      <c r="H295" s="325"/>
      <c r="I295" s="325"/>
      <c r="J295" s="325"/>
      <c r="K295" s="325"/>
      <c r="L295" s="325"/>
      <c r="M295" s="325"/>
    </row>
    <row r="296" spans="1:13" ht="15">
      <c r="A296" s="325"/>
      <c r="B296" s="325"/>
      <c r="C296" s="325"/>
      <c r="D296" s="325"/>
      <c r="E296" s="365"/>
      <c r="F296" s="365"/>
      <c r="G296" s="325"/>
      <c r="H296" s="325"/>
      <c r="I296" s="325"/>
      <c r="J296" s="325"/>
      <c r="K296" s="325"/>
      <c r="L296" s="325"/>
      <c r="M296" s="325"/>
    </row>
    <row r="297" spans="1:13" ht="15">
      <c r="A297" s="325"/>
      <c r="B297" s="325"/>
      <c r="C297" s="325"/>
      <c r="D297" s="325"/>
      <c r="E297" s="365"/>
      <c r="F297" s="365"/>
      <c r="G297" s="325"/>
      <c r="H297" s="325"/>
      <c r="I297" s="325"/>
      <c r="J297" s="325"/>
      <c r="K297" s="325"/>
      <c r="L297" s="325"/>
      <c r="M297" s="325"/>
    </row>
    <row r="298" spans="1:13" ht="15">
      <c r="A298" s="325"/>
      <c r="B298" s="325"/>
      <c r="C298" s="325"/>
      <c r="D298" s="325"/>
      <c r="E298" s="365"/>
      <c r="F298" s="365"/>
      <c r="G298" s="325"/>
      <c r="H298" s="325"/>
      <c r="I298" s="325"/>
      <c r="J298" s="325"/>
      <c r="K298" s="325"/>
      <c r="L298" s="325"/>
      <c r="M298" s="325"/>
    </row>
    <row r="299" spans="1:13" ht="15">
      <c r="A299" s="325"/>
      <c r="B299" s="325"/>
      <c r="C299" s="325"/>
      <c r="D299" s="325"/>
      <c r="E299" s="365"/>
      <c r="F299" s="365"/>
      <c r="G299" s="325"/>
      <c r="H299" s="325"/>
      <c r="I299" s="325"/>
      <c r="J299" s="325"/>
      <c r="K299" s="325"/>
      <c r="L299" s="325"/>
      <c r="M299" s="325"/>
    </row>
    <row r="300" spans="1:13" ht="15">
      <c r="A300" s="234"/>
      <c r="B300" s="234"/>
      <c r="C300" s="234"/>
      <c r="D300" s="244"/>
      <c r="E300" s="244"/>
      <c r="F300" s="314"/>
      <c r="H300" s="234"/>
      <c r="I300" s="244"/>
    </row>
    <row r="301" spans="1:13" ht="15">
      <c r="A301" s="234"/>
      <c r="B301" s="234"/>
      <c r="C301" s="234"/>
      <c r="D301" s="244"/>
      <c r="E301" s="244"/>
      <c r="F301" s="314"/>
      <c r="H301" s="234"/>
      <c r="I301" s="244"/>
    </row>
    <row r="302" spans="1:13" ht="15">
      <c r="A302" s="234"/>
      <c r="B302" s="234"/>
      <c r="C302" s="234"/>
      <c r="D302" s="244"/>
      <c r="E302" s="244"/>
      <c r="F302" s="314"/>
      <c r="H302" s="234"/>
      <c r="I302" s="244"/>
    </row>
    <row r="303" spans="1:13" ht="15">
      <c r="A303" s="234"/>
      <c r="B303" s="234"/>
      <c r="C303" s="234"/>
      <c r="D303" s="244"/>
      <c r="E303" s="244"/>
      <c r="F303" s="314"/>
      <c r="H303" s="234"/>
      <c r="I303" s="244"/>
    </row>
    <row r="304" spans="1:13" ht="15">
      <c r="A304" s="234"/>
      <c r="B304" s="234"/>
      <c r="C304" s="234"/>
      <c r="D304" s="244"/>
      <c r="E304" s="244"/>
      <c r="F304" s="314"/>
      <c r="H304" s="234"/>
      <c r="I304" s="244"/>
    </row>
    <row r="305" spans="1:9" ht="15">
      <c r="A305" s="234"/>
      <c r="B305" s="234"/>
      <c r="C305" s="234"/>
      <c r="D305" s="244"/>
      <c r="E305" s="244"/>
      <c r="F305" s="314"/>
      <c r="H305" s="234"/>
      <c r="I305" s="244"/>
    </row>
    <row r="306" spans="1:9" ht="15">
      <c r="A306" s="234"/>
      <c r="B306" s="234"/>
      <c r="C306" s="234"/>
      <c r="D306" s="244"/>
      <c r="E306" s="244"/>
      <c r="F306" s="314"/>
      <c r="H306" s="234"/>
      <c r="I306" s="244"/>
    </row>
    <row r="307" spans="1:9" ht="15">
      <c r="A307" s="234"/>
      <c r="B307" s="234"/>
      <c r="C307" s="234"/>
      <c r="D307" s="244"/>
      <c r="E307" s="244"/>
      <c r="F307" s="314"/>
      <c r="H307" s="234"/>
      <c r="I307" s="244"/>
    </row>
    <row r="308" spans="1:9" ht="15">
      <c r="A308" s="234"/>
      <c r="B308" s="234"/>
      <c r="C308" s="234"/>
      <c r="D308" s="244"/>
      <c r="E308" s="244"/>
      <c r="F308" s="314"/>
      <c r="H308" s="234"/>
      <c r="I308" s="244"/>
    </row>
    <row r="309" spans="1:9" ht="15">
      <c r="A309" s="234"/>
      <c r="B309" s="234"/>
      <c r="C309" s="234"/>
      <c r="D309" s="244"/>
      <c r="E309" s="244"/>
      <c r="F309" s="314"/>
      <c r="H309" s="234"/>
      <c r="I309" s="244"/>
    </row>
    <row r="310" spans="1:9" ht="15">
      <c r="A310" s="234"/>
      <c r="B310" s="234"/>
      <c r="C310" s="234"/>
      <c r="D310" s="244"/>
      <c r="E310" s="244"/>
      <c r="F310" s="314"/>
      <c r="H310" s="234"/>
      <c r="I310" s="244"/>
    </row>
    <row r="311" spans="1:9" ht="15">
      <c r="A311" s="234"/>
      <c r="B311" s="234"/>
      <c r="C311" s="234"/>
      <c r="D311" s="244"/>
      <c r="E311" s="244"/>
      <c r="F311" s="314"/>
      <c r="H311" s="236"/>
      <c r="I311" s="244"/>
    </row>
    <row r="312" spans="1:9" ht="15">
      <c r="A312" s="234"/>
      <c r="B312" s="234"/>
      <c r="C312" s="234"/>
      <c r="D312" s="244"/>
      <c r="E312" s="244"/>
      <c r="F312" s="314"/>
      <c r="H312" s="236"/>
      <c r="I312" s="244"/>
    </row>
    <row r="313" spans="1:9" ht="15">
      <c r="A313" s="234"/>
      <c r="B313" s="234"/>
      <c r="C313" s="234"/>
      <c r="D313" s="244"/>
      <c r="E313" s="244"/>
      <c r="F313" s="314"/>
      <c r="H313" s="236"/>
      <c r="I313" s="244"/>
    </row>
    <row r="314" spans="1:9" ht="15">
      <c r="A314" s="234"/>
      <c r="B314" s="234"/>
      <c r="C314" s="234"/>
      <c r="D314" s="244"/>
      <c r="E314" s="244"/>
      <c r="F314" s="314"/>
      <c r="H314" s="236"/>
      <c r="I314" s="244"/>
    </row>
    <row r="315" spans="1:9" ht="15">
      <c r="A315" s="234"/>
      <c r="B315" s="234"/>
      <c r="C315" s="234"/>
      <c r="D315" s="244"/>
      <c r="E315" s="244"/>
      <c r="F315" s="314"/>
      <c r="H315" s="236"/>
      <c r="I315" s="244"/>
    </row>
    <row r="316" spans="1:9" ht="15">
      <c r="A316" s="234"/>
      <c r="B316" s="234"/>
      <c r="C316" s="234"/>
      <c r="D316" s="244"/>
      <c r="E316" s="244"/>
      <c r="F316" s="314"/>
      <c r="H316" s="236"/>
      <c r="I316" s="244"/>
    </row>
    <row r="317" spans="1:9" ht="15">
      <c r="A317" s="234"/>
      <c r="B317" s="234"/>
      <c r="C317" s="234"/>
      <c r="D317" s="244"/>
      <c r="E317" s="244"/>
      <c r="F317" s="314"/>
      <c r="H317" s="236"/>
      <c r="I317" s="244"/>
    </row>
    <row r="318" spans="1:9" ht="15">
      <c r="A318" s="234"/>
      <c r="B318" s="234"/>
      <c r="C318" s="234"/>
      <c r="D318" s="244"/>
      <c r="E318" s="244"/>
      <c r="F318" s="314"/>
      <c r="H318" s="236"/>
      <c r="I318" s="244"/>
    </row>
    <row r="319" spans="1:9" ht="15">
      <c r="A319" s="234"/>
      <c r="B319" s="234"/>
      <c r="C319" s="234"/>
      <c r="D319" s="244"/>
      <c r="E319" s="244"/>
      <c r="F319" s="314"/>
      <c r="H319" s="236"/>
      <c r="I319" s="244"/>
    </row>
    <row r="320" spans="1:9" ht="15">
      <c r="A320" s="234"/>
      <c r="B320" s="234"/>
      <c r="C320" s="234"/>
      <c r="D320" s="244"/>
      <c r="E320" s="244"/>
      <c r="F320" s="314"/>
      <c r="H320" s="236"/>
      <c r="I320" s="244"/>
    </row>
    <row r="321" spans="1:9" ht="15">
      <c r="A321" s="234"/>
      <c r="B321" s="234"/>
      <c r="C321" s="234"/>
      <c r="D321" s="244"/>
      <c r="E321" s="244"/>
      <c r="F321" s="314"/>
      <c r="H321" s="236"/>
      <c r="I321" s="244"/>
    </row>
    <row r="322" spans="1:9" ht="15">
      <c r="A322" s="234"/>
      <c r="B322" s="234"/>
      <c r="C322" s="234"/>
      <c r="D322" s="244"/>
      <c r="E322" s="244"/>
      <c r="F322" s="314"/>
      <c r="H322" s="236"/>
      <c r="I322" s="244"/>
    </row>
    <row r="323" spans="1:9" ht="15">
      <c r="A323" s="234"/>
      <c r="B323" s="234"/>
      <c r="C323" s="234"/>
      <c r="D323" s="244"/>
      <c r="E323" s="244"/>
      <c r="F323" s="314"/>
      <c r="H323" s="236"/>
      <c r="I323" s="244"/>
    </row>
    <row r="324" spans="1:9" ht="15">
      <c r="A324" s="234"/>
      <c r="B324" s="234"/>
      <c r="C324" s="234"/>
      <c r="D324" s="244"/>
      <c r="E324" s="244"/>
      <c r="F324" s="314"/>
      <c r="H324" s="236"/>
      <c r="I324" s="244"/>
    </row>
    <row r="325" spans="1:9" ht="15">
      <c r="A325" s="234"/>
      <c r="B325" s="234"/>
      <c r="C325" s="234"/>
      <c r="D325" s="244"/>
      <c r="E325" s="244"/>
      <c r="F325" s="314"/>
      <c r="H325" s="236"/>
      <c r="I325" s="244"/>
    </row>
    <row r="326" spans="1:9" ht="15">
      <c r="A326" s="234"/>
      <c r="B326" s="234"/>
      <c r="C326" s="234"/>
      <c r="D326" s="244"/>
      <c r="E326" s="244"/>
      <c r="F326" s="314"/>
      <c r="H326" s="236"/>
      <c r="I326" s="244"/>
    </row>
    <row r="327" spans="1:9" ht="15">
      <c r="A327" s="234"/>
      <c r="B327" s="234"/>
      <c r="C327" s="234"/>
      <c r="D327" s="244"/>
      <c r="E327" s="244"/>
      <c r="F327" s="314"/>
      <c r="H327" s="236"/>
      <c r="I327" s="244"/>
    </row>
    <row r="328" spans="1:9" ht="15">
      <c r="A328" s="234"/>
      <c r="B328" s="234"/>
      <c r="C328" s="234"/>
      <c r="D328" s="244"/>
      <c r="E328" s="234"/>
      <c r="F328" s="314"/>
      <c r="H328" s="236"/>
      <c r="I328" s="244"/>
    </row>
    <row r="329" spans="1:9" ht="15">
      <c r="A329" s="234"/>
      <c r="B329" s="234"/>
      <c r="C329" s="234"/>
      <c r="D329" s="244"/>
      <c r="E329" s="234"/>
      <c r="F329" s="314"/>
      <c r="H329" s="236"/>
      <c r="I329" s="244"/>
    </row>
    <row r="330" spans="1:9" ht="15">
      <c r="A330" s="234"/>
      <c r="B330" s="234"/>
      <c r="C330" s="234"/>
      <c r="D330" s="244"/>
      <c r="E330" s="234"/>
      <c r="F330" s="314"/>
      <c r="H330" s="236"/>
      <c r="I330" s="244"/>
    </row>
    <row r="331" spans="1:9" ht="15">
      <c r="A331" s="234"/>
      <c r="B331" s="234"/>
      <c r="C331" s="234"/>
      <c r="D331" s="244"/>
      <c r="E331" s="234"/>
      <c r="F331" s="314"/>
      <c r="H331" s="236"/>
      <c r="I331" s="244"/>
    </row>
    <row r="332" spans="1:9" ht="15">
      <c r="A332" s="234"/>
      <c r="B332" s="234"/>
      <c r="C332" s="234"/>
      <c r="D332" s="244"/>
      <c r="E332" s="234"/>
      <c r="F332" s="314"/>
      <c r="H332" s="236"/>
      <c r="I332" s="244"/>
    </row>
    <row r="333" spans="1:9" ht="15">
      <c r="A333" s="234"/>
      <c r="B333" s="234"/>
      <c r="C333" s="234"/>
      <c r="D333" s="244"/>
      <c r="E333" s="234"/>
      <c r="F333" s="314"/>
      <c r="H333" s="236"/>
      <c r="I333" s="244"/>
    </row>
    <row r="334" spans="1:9" ht="15">
      <c r="A334" s="234"/>
      <c r="B334" s="234"/>
      <c r="C334" s="234"/>
      <c r="D334" s="244"/>
      <c r="E334" s="234"/>
      <c r="F334" s="314"/>
      <c r="H334" s="236"/>
      <c r="I334" s="244"/>
    </row>
    <row r="335" spans="1:9" ht="15">
      <c r="A335" s="234"/>
      <c r="B335" s="234"/>
      <c r="C335" s="234"/>
      <c r="D335" s="244"/>
      <c r="E335" s="234"/>
      <c r="F335" s="314"/>
      <c r="H335" s="236"/>
      <c r="I335" s="244"/>
    </row>
    <row r="336" spans="1:9" ht="15">
      <c r="A336" s="234"/>
      <c r="B336" s="234"/>
      <c r="C336" s="234"/>
      <c r="D336" s="244"/>
      <c r="E336" s="234"/>
      <c r="F336" s="314"/>
      <c r="H336" s="236"/>
      <c r="I336" s="244"/>
    </row>
    <row r="337" spans="1:9" ht="15">
      <c r="A337" s="234"/>
      <c r="B337" s="234"/>
      <c r="C337" s="234"/>
      <c r="D337" s="244"/>
      <c r="E337" s="234"/>
      <c r="F337" s="314"/>
      <c r="H337" s="236"/>
      <c r="I337" s="244"/>
    </row>
    <row r="338" spans="1:9" ht="15">
      <c r="A338" s="234"/>
      <c r="B338" s="234"/>
      <c r="C338" s="234"/>
      <c r="D338" s="244"/>
      <c r="E338" s="234"/>
      <c r="F338" s="314"/>
      <c r="H338" s="236"/>
      <c r="I338" s="244"/>
    </row>
    <row r="339" spans="1:9" ht="15">
      <c r="A339" s="234"/>
      <c r="B339" s="234"/>
      <c r="C339" s="234"/>
      <c r="D339" s="244"/>
      <c r="E339" s="234"/>
      <c r="F339" s="314"/>
      <c r="H339" s="236"/>
      <c r="I339" s="244"/>
    </row>
    <row r="340" spans="1:9" ht="15">
      <c r="A340" s="234"/>
      <c r="B340" s="234"/>
      <c r="C340" s="234"/>
      <c r="D340" s="244"/>
      <c r="E340" s="234"/>
      <c r="F340" s="314"/>
      <c r="H340" s="236"/>
      <c r="I340" s="244"/>
    </row>
    <row r="341" spans="1:9" ht="15">
      <c r="A341" s="234"/>
      <c r="B341" s="234"/>
      <c r="C341" s="234"/>
      <c r="D341" s="244"/>
      <c r="E341" s="234"/>
      <c r="F341" s="314"/>
      <c r="H341" s="236"/>
      <c r="I341" s="244"/>
    </row>
    <row r="342" spans="1:9" ht="15">
      <c r="A342" s="234"/>
      <c r="B342" s="234"/>
      <c r="C342" s="234"/>
      <c r="D342" s="244"/>
      <c r="E342" s="234"/>
      <c r="F342" s="314"/>
      <c r="H342" s="236"/>
      <c r="I342" s="244"/>
    </row>
    <row r="343" spans="1:9" ht="15">
      <c r="A343" s="234"/>
      <c r="B343" s="234"/>
      <c r="C343" s="234"/>
      <c r="D343" s="244"/>
      <c r="E343" s="234"/>
      <c r="F343" s="314"/>
      <c r="H343" s="236"/>
      <c r="I343" s="244"/>
    </row>
    <row r="344" spans="1:9" ht="15">
      <c r="A344" s="234"/>
      <c r="B344" s="234"/>
      <c r="C344" s="234"/>
      <c r="D344" s="244"/>
      <c r="E344" s="234"/>
      <c r="F344" s="314"/>
      <c r="H344" s="236"/>
      <c r="I344" s="244"/>
    </row>
    <row r="345" spans="1:9" ht="15">
      <c r="A345" s="234"/>
      <c r="B345" s="234"/>
      <c r="C345" s="234"/>
      <c r="D345" s="244"/>
      <c r="E345" s="234"/>
      <c r="F345" s="314"/>
      <c r="H345" s="236"/>
      <c r="I345" s="244"/>
    </row>
    <row r="346" spans="1:9" ht="15">
      <c r="A346" s="234"/>
      <c r="B346" s="234"/>
      <c r="C346" s="234"/>
      <c r="D346" s="244"/>
      <c r="E346" s="234"/>
      <c r="F346" s="314"/>
      <c r="H346" s="236"/>
      <c r="I346" s="244"/>
    </row>
    <row r="347" spans="1:9" ht="15">
      <c r="A347" s="234"/>
      <c r="B347" s="234"/>
      <c r="C347" s="234"/>
      <c r="D347" s="244"/>
      <c r="E347" s="234"/>
      <c r="F347" s="314"/>
      <c r="H347" s="236"/>
      <c r="I347" s="244"/>
    </row>
    <row r="348" spans="1:9" ht="15">
      <c r="A348" s="234"/>
      <c r="B348" s="234"/>
      <c r="C348" s="234"/>
      <c r="D348" s="244"/>
      <c r="E348" s="234"/>
      <c r="F348" s="314"/>
      <c r="H348" s="236"/>
      <c r="I348" s="244"/>
    </row>
    <row r="349" spans="1:9" ht="15">
      <c r="A349" s="234"/>
      <c r="B349" s="234"/>
      <c r="C349" s="234"/>
      <c r="D349" s="244"/>
      <c r="E349" s="234"/>
      <c r="F349" s="314"/>
      <c r="H349" s="236"/>
      <c r="I349" s="244"/>
    </row>
    <row r="350" spans="1:9" ht="15">
      <c r="A350" s="234"/>
      <c r="B350" s="234"/>
      <c r="C350" s="234"/>
      <c r="D350" s="244"/>
      <c r="E350" s="234"/>
      <c r="F350" s="314"/>
      <c r="H350" s="236"/>
      <c r="I350" s="244"/>
    </row>
    <row r="351" spans="1:9" ht="15">
      <c r="A351" s="234"/>
      <c r="B351" s="234"/>
      <c r="C351" s="234"/>
      <c r="D351" s="244"/>
      <c r="E351" s="234"/>
      <c r="F351" s="314"/>
      <c r="H351" s="236"/>
      <c r="I351" s="244"/>
    </row>
    <row r="352" spans="1:9" ht="15">
      <c r="A352" s="234"/>
      <c r="B352" s="234"/>
      <c r="C352" s="234"/>
      <c r="D352" s="244"/>
      <c r="E352" s="234"/>
      <c r="F352" s="314"/>
      <c r="H352" s="236"/>
      <c r="I352" s="244"/>
    </row>
    <row r="353" spans="1:9" ht="15">
      <c r="A353" s="234"/>
      <c r="B353" s="234"/>
      <c r="C353" s="234"/>
      <c r="D353" s="244"/>
      <c r="E353" s="234"/>
      <c r="F353" s="314"/>
      <c r="H353" s="236"/>
      <c r="I353" s="244"/>
    </row>
    <row r="354" spans="1:9" ht="15">
      <c r="A354" s="234"/>
      <c r="B354" s="234"/>
      <c r="C354" s="234"/>
      <c r="D354" s="244"/>
      <c r="E354" s="234"/>
      <c r="F354" s="314"/>
      <c r="H354" s="236"/>
      <c r="I354" s="244"/>
    </row>
    <row r="355" spans="1:9" ht="15">
      <c r="A355" s="234"/>
      <c r="B355" s="234"/>
      <c r="C355" s="234"/>
      <c r="D355" s="244"/>
      <c r="E355" s="234"/>
      <c r="F355" s="314"/>
      <c r="H355" s="236"/>
      <c r="I355" s="244"/>
    </row>
    <row r="356" spans="1:9" ht="15">
      <c r="A356" s="234"/>
      <c r="B356" s="234"/>
      <c r="C356" s="234"/>
      <c r="D356" s="244"/>
      <c r="E356" s="234"/>
      <c r="F356" s="314"/>
      <c r="H356" s="236"/>
      <c r="I356" s="244"/>
    </row>
    <row r="357" spans="1:9" ht="15">
      <c r="A357" s="234"/>
      <c r="B357" s="234"/>
      <c r="C357" s="234"/>
      <c r="D357" s="244"/>
      <c r="E357" s="234"/>
      <c r="F357" s="314"/>
      <c r="H357" s="236"/>
      <c r="I357" s="244"/>
    </row>
    <row r="358" spans="1:9" ht="15">
      <c r="A358" s="234"/>
      <c r="B358" s="234"/>
      <c r="C358" s="234"/>
      <c r="D358" s="244"/>
      <c r="E358" s="234"/>
      <c r="F358" s="314"/>
      <c r="H358" s="236"/>
      <c r="I358" s="244"/>
    </row>
    <row r="359" spans="1:9" ht="15">
      <c r="A359" s="234"/>
      <c r="B359" s="234"/>
      <c r="C359" s="234"/>
      <c r="D359" s="244"/>
      <c r="E359" s="234"/>
      <c r="F359" s="314"/>
      <c r="H359" s="236"/>
      <c r="I359" s="244"/>
    </row>
    <row r="360" spans="1:9" ht="15">
      <c r="A360" s="234"/>
      <c r="B360" s="234"/>
      <c r="C360" s="234"/>
      <c r="D360" s="244"/>
      <c r="E360" s="234"/>
      <c r="F360" s="314"/>
      <c r="H360" s="236"/>
      <c r="I360" s="244"/>
    </row>
    <row r="361" spans="1:9" ht="15">
      <c r="A361" s="234"/>
      <c r="B361" s="234"/>
      <c r="C361" s="234"/>
      <c r="D361" s="244"/>
      <c r="E361" s="234"/>
      <c r="F361" s="314"/>
      <c r="H361" s="236"/>
      <c r="I361" s="244"/>
    </row>
    <row r="362" spans="1:9" ht="15">
      <c r="A362" s="234"/>
      <c r="B362" s="234"/>
      <c r="C362" s="234"/>
      <c r="D362" s="244"/>
      <c r="E362" s="234"/>
      <c r="F362" s="314"/>
      <c r="H362" s="236"/>
      <c r="I362" s="244"/>
    </row>
    <row r="363" spans="1:9" ht="15">
      <c r="A363" s="234"/>
      <c r="B363" s="234"/>
      <c r="C363" s="234"/>
      <c r="D363" s="244"/>
      <c r="E363" s="234"/>
      <c r="F363" s="314"/>
      <c r="H363" s="236"/>
      <c r="I363" s="244"/>
    </row>
    <row r="364" spans="1:9" ht="15">
      <c r="A364" s="234"/>
      <c r="B364" s="234"/>
      <c r="C364" s="234"/>
      <c r="D364" s="244"/>
      <c r="E364" s="234"/>
      <c r="F364" s="314"/>
      <c r="H364" s="236"/>
      <c r="I364" s="244"/>
    </row>
    <row r="365" spans="1:9" ht="15">
      <c r="A365" s="234"/>
      <c r="B365" s="234"/>
      <c r="C365" s="234"/>
      <c r="D365" s="244"/>
      <c r="E365" s="234"/>
      <c r="F365" s="314"/>
      <c r="H365" s="236"/>
      <c r="I365" s="244"/>
    </row>
    <row r="366" spans="1:9" ht="15">
      <c r="A366" s="234"/>
      <c r="B366" s="234"/>
      <c r="C366" s="234"/>
      <c r="D366" s="244"/>
      <c r="E366" s="234"/>
      <c r="F366" s="314"/>
      <c r="H366" s="236"/>
      <c r="I366" s="244"/>
    </row>
    <row r="367" spans="1:9" ht="15">
      <c r="A367" s="234"/>
      <c r="B367" s="234"/>
      <c r="C367" s="234"/>
      <c r="D367" s="244"/>
      <c r="E367" s="234"/>
      <c r="F367" s="314"/>
      <c r="H367" s="236"/>
      <c r="I367" s="244"/>
    </row>
    <row r="368" spans="1:9" ht="15">
      <c r="A368" s="234"/>
      <c r="B368" s="234"/>
      <c r="C368" s="234"/>
      <c r="D368" s="244"/>
      <c r="E368" s="234"/>
      <c r="F368" s="314"/>
      <c r="H368" s="236"/>
      <c r="I368" s="244"/>
    </row>
    <row r="369" spans="1:9" ht="15">
      <c r="A369" s="234"/>
      <c r="B369" s="234"/>
      <c r="C369" s="234"/>
      <c r="D369" s="244"/>
      <c r="E369" s="234"/>
      <c r="F369" s="314"/>
      <c r="H369" s="236"/>
      <c r="I369" s="244"/>
    </row>
    <row r="370" spans="1:9" ht="15">
      <c r="A370" s="234"/>
      <c r="B370" s="234"/>
      <c r="C370" s="234"/>
      <c r="D370" s="244"/>
      <c r="E370" s="234"/>
      <c r="F370" s="314"/>
      <c r="H370" s="236"/>
      <c r="I370" s="244"/>
    </row>
    <row r="371" spans="1:9" ht="15">
      <c r="A371" s="234"/>
      <c r="B371" s="234"/>
      <c r="C371" s="234"/>
      <c r="D371" s="244"/>
      <c r="E371" s="234"/>
      <c r="F371" s="314"/>
      <c r="H371" s="236"/>
      <c r="I371" s="244"/>
    </row>
    <row r="372" spans="1:9" ht="15">
      <c r="A372" s="234"/>
      <c r="B372" s="234"/>
      <c r="C372" s="234"/>
      <c r="D372" s="244"/>
      <c r="E372" s="234"/>
      <c r="F372" s="314"/>
      <c r="H372" s="236"/>
      <c r="I372" s="244"/>
    </row>
    <row r="373" spans="1:9" ht="15">
      <c r="A373" s="234"/>
      <c r="B373" s="234"/>
      <c r="C373" s="234"/>
      <c r="D373" s="244"/>
      <c r="E373" s="234"/>
      <c r="F373" s="314"/>
      <c r="H373" s="236"/>
      <c r="I373" s="244"/>
    </row>
    <row r="374" spans="1:9" ht="15">
      <c r="A374" s="234"/>
      <c r="B374" s="234"/>
      <c r="C374" s="234"/>
      <c r="D374" s="244"/>
      <c r="E374" s="234"/>
      <c r="F374" s="314"/>
      <c r="H374" s="236"/>
      <c r="I374" s="244"/>
    </row>
    <row r="375" spans="1:9" ht="15">
      <c r="A375" s="234"/>
      <c r="B375" s="234"/>
      <c r="C375" s="234"/>
      <c r="D375" s="244"/>
      <c r="E375" s="234"/>
      <c r="F375" s="314"/>
      <c r="H375" s="236"/>
      <c r="I375" s="244"/>
    </row>
    <row r="376" spans="1:9" ht="15">
      <c r="A376" s="234"/>
      <c r="B376" s="234"/>
      <c r="C376" s="234"/>
      <c r="D376" s="244"/>
      <c r="E376" s="234"/>
      <c r="F376" s="314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0"/>
  <sheetViews>
    <sheetView topLeftCell="A28" workbookViewId="0">
      <selection activeCell="C34" sqref="C34"/>
    </sheetView>
  </sheetViews>
  <sheetFormatPr defaultRowHeight="12.75"/>
  <cols>
    <col min="1" max="1" width="4.140625" style="375" customWidth="1"/>
    <col min="2" max="2" width="18" style="307" customWidth="1"/>
    <col min="3" max="3" width="20.28515625" style="308" customWidth="1"/>
    <col min="4" max="4" width="9.140625" style="375"/>
    <col min="5" max="5" width="18" style="307" customWidth="1"/>
    <col min="6" max="6" width="21.42578125" style="308" customWidth="1"/>
    <col min="7" max="7" width="8.140625" style="375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15" t="s">
        <v>868</v>
      </c>
      <c r="C1" s="1015"/>
      <c r="E1" s="1015" t="s">
        <v>795</v>
      </c>
      <c r="F1" s="1015"/>
      <c r="H1" s="1015" t="s">
        <v>961</v>
      </c>
      <c r="I1" s="1015"/>
      <c r="K1" s="1015" t="s">
        <v>962</v>
      </c>
      <c r="L1" s="1015"/>
    </row>
    <row r="3" spans="2:12">
      <c r="B3" s="307" t="s">
        <v>425</v>
      </c>
      <c r="C3" s="308" t="str">
        <f>_xll.BDP(B3&amp;" Corp","security des")</f>
        <v>BTPS 0 3/4 01/15/18</v>
      </c>
      <c r="E3" s="307" t="s">
        <v>833</v>
      </c>
      <c r="F3" s="308" t="str">
        <f>_xll.BDP(E3&amp;" Corp","security des")</f>
        <v>SPGB 3.3 07/30/16</v>
      </c>
      <c r="H3" s="307" t="s">
        <v>963</v>
      </c>
      <c r="I3" s="308" t="str">
        <f>_xll.BDP(H3&amp;" Corp","security des")</f>
        <v>BKO 0 03/10/17</v>
      </c>
      <c r="J3" s="308"/>
      <c r="K3" s="307" t="s">
        <v>693</v>
      </c>
      <c r="L3" s="308" t="str">
        <f>_xll.BDP(K3&amp;" Corp","security des")</f>
        <v>BTNS 1 07/25/17</v>
      </c>
    </row>
    <row r="4" spans="2:12">
      <c r="B4" s="307" t="s">
        <v>337</v>
      </c>
      <c r="C4" s="308" t="str">
        <f>_xll.BDP(B4&amp;" Corp","security des")</f>
        <v>BTPS 4 1/2 02/01/18</v>
      </c>
      <c r="E4" s="307" t="s">
        <v>831</v>
      </c>
      <c r="F4" s="308" t="str">
        <f>_xll.BDP(E4&amp;" Corp","security des")</f>
        <v>SPGB 4 1/4 10/31/16</v>
      </c>
      <c r="H4" s="307" t="s">
        <v>964</v>
      </c>
      <c r="I4" s="308" t="str">
        <f>_xll.BDP(H4&amp;" Corp","security des")</f>
        <v>OBL 0 1/2 04/07/17</v>
      </c>
      <c r="J4" s="308"/>
      <c r="K4" s="307" t="s">
        <v>694</v>
      </c>
      <c r="L4" s="308" t="str">
        <f>_xll.BDP(K4&amp;" Corp","security des")</f>
        <v>FRTR 4 1/4 10/25/17</v>
      </c>
    </row>
    <row r="5" spans="2:12">
      <c r="B5" s="307" t="s">
        <v>846</v>
      </c>
      <c r="C5" s="308" t="str">
        <f>_xll.BDP(B5&amp;" Corp","security des")</f>
        <v>ICTZ 0 03/28/18</v>
      </c>
      <c r="E5" s="307" t="s">
        <v>849</v>
      </c>
      <c r="F5" s="308" t="str">
        <f>_xll.BDP(E5&amp;" Corp","security des")</f>
        <v>SPGB 3.8 01/31/17</v>
      </c>
      <c r="H5" s="307" t="s">
        <v>585</v>
      </c>
      <c r="I5" s="308" t="str">
        <f>_xll.BDP(H5&amp;" Corp","security des")</f>
        <v>BKO 0 06/16/17</v>
      </c>
      <c r="J5" s="308"/>
      <c r="K5" s="307" t="s">
        <v>596</v>
      </c>
      <c r="L5" s="308" t="str">
        <f>_xll.BDP(K5&amp;" Corp","security des")</f>
        <v>FRTR 0 02/25/18</v>
      </c>
    </row>
    <row r="6" spans="2:12">
      <c r="B6" s="307" t="s">
        <v>603</v>
      </c>
      <c r="C6" s="308" t="str">
        <f>_xll.BDP(B6&amp;" Corp","security des")</f>
        <v>BTPS 0 1/4 05/15/18</v>
      </c>
      <c r="E6" s="307" t="s">
        <v>835</v>
      </c>
      <c r="F6" s="308" t="str">
        <f>_xll.BDP(E6&amp;" Corp","security des")</f>
        <v>SPGB 2.1 04/30/17</v>
      </c>
      <c r="H6" s="307" t="s">
        <v>651</v>
      </c>
      <c r="I6" s="308" t="str">
        <f>_xll.BDP(H6&amp;" Corp","security des")</f>
        <v>DBR 4 1/4 07/04/17</v>
      </c>
      <c r="J6" s="308"/>
      <c r="K6" s="307" t="s">
        <v>695</v>
      </c>
      <c r="L6" s="308" t="str">
        <f>_xll.BDP(K6&amp;" Corp","security des")</f>
        <v>FRTR 4 04/25/18</v>
      </c>
    </row>
    <row r="7" spans="2:12">
      <c r="B7" s="307" t="s">
        <v>426</v>
      </c>
      <c r="C7" s="308" t="str">
        <f>_xll.BDP(B7&amp;" Corp","security des")</f>
        <v>BTPS 3 1/2 06/01/18</v>
      </c>
      <c r="E7" s="307" t="s">
        <v>840</v>
      </c>
      <c r="F7" s="308" t="str">
        <f>_xll.BDP(E7&amp;" Corp","security des")</f>
        <v>SPGB 5 1/2 07/30/17</v>
      </c>
      <c r="H7" s="307" t="s">
        <v>769</v>
      </c>
      <c r="I7" s="308" t="str">
        <f>_xll.BDP(H7&amp;" Corp","security des")</f>
        <v>BKO 0 09/15/17</v>
      </c>
      <c r="J7" s="308"/>
      <c r="K7" s="307" t="s">
        <v>696</v>
      </c>
      <c r="L7" s="308" t="str">
        <f>_xll.BDP(K7&amp;" Corp","security des")</f>
        <v>FRTR 1 05/25/18</v>
      </c>
    </row>
    <row r="8" spans="2:12">
      <c r="B8" s="307" t="s">
        <v>721</v>
      </c>
      <c r="C8" s="308" t="str">
        <f>_xll.BDP(B8&amp;" Corp","security des")</f>
        <v>BTPS 4 1/2 08/01/18</v>
      </c>
      <c r="E8" s="307" t="s">
        <v>850</v>
      </c>
      <c r="F8" s="308" t="str">
        <f>_xll.BDP(E8&amp;" Corp","security des")</f>
        <v>SPGB 4 3/4 09/30/17</v>
      </c>
      <c r="H8" s="307" t="s">
        <v>652</v>
      </c>
      <c r="I8" s="308" t="str">
        <f>_xll.BDP(H8&amp;" Corp","security des")</f>
        <v>OBL 0 1/2 10/13/17</v>
      </c>
      <c r="J8" s="308"/>
      <c r="K8" s="307" t="s">
        <v>697</v>
      </c>
      <c r="L8" s="308" t="str">
        <f>_xll.BDP(K8&amp;" Corp","security des")</f>
        <v>FRTR 4 1/4 10/25/18</v>
      </c>
    </row>
    <row r="9" spans="2:12">
      <c r="B9" s="307" t="s">
        <v>776</v>
      </c>
      <c r="C9" s="308" t="str">
        <f>_xll.BDP(B9&amp;" Corp","security des")</f>
        <v>BTPS 0.3 10/15/18</v>
      </c>
      <c r="E9" s="307" t="s">
        <v>839</v>
      </c>
      <c r="F9" s="308" t="str">
        <f>_xll.BDP(E9&amp;" Corp","security des")</f>
        <v>SPGB 0 1/2 10/31/17</v>
      </c>
      <c r="H9" s="307" t="s">
        <v>784</v>
      </c>
      <c r="I9" s="308" t="str">
        <f>_xll.BDP(H9&amp;" Corp","security des")</f>
        <v>BKO 0 12/15/17</v>
      </c>
      <c r="J9" s="308"/>
      <c r="K9" s="307" t="s">
        <v>698</v>
      </c>
      <c r="L9" s="308" t="str">
        <f>_xll.BDP(K9&amp;" Corp","security des")</f>
        <v>FRTR 1 11/25/18</v>
      </c>
    </row>
    <row r="10" spans="2:12">
      <c r="B10" s="307" t="s">
        <v>427</v>
      </c>
      <c r="C10" s="308" t="str">
        <f>_xll.BDP(B10&amp;" Corp","security des")</f>
        <v>BTPS 3 1/2 12/01/18</v>
      </c>
      <c r="E10" s="307" t="s">
        <v>851</v>
      </c>
      <c r="F10" s="308" t="str">
        <f>_xll.BDP(E10&amp;" Corp","security des")</f>
        <v>SPGB 4 1/2 01/31/18</v>
      </c>
      <c r="H10" s="307" t="s">
        <v>653</v>
      </c>
      <c r="I10" s="308" t="str">
        <f>_xll.BDP(H10&amp;" Corp","security des")</f>
        <v>DBR 4 01/04/18</v>
      </c>
      <c r="J10" s="308"/>
      <c r="K10" s="307" t="s">
        <v>699</v>
      </c>
      <c r="L10" s="308" t="str">
        <f>_xll.BDP(K10&amp;" Corp","security des")</f>
        <v>FRTR 4 1/4 04/25/19</v>
      </c>
    </row>
    <row r="11" spans="2:12">
      <c r="B11" s="307" t="s">
        <v>575</v>
      </c>
      <c r="C11" s="308" t="str">
        <f>_xll.BDP(B11&amp;" Corp","security des")</f>
        <v>BTPS 4 1/4 02/01/19</v>
      </c>
      <c r="E11" s="307" t="s">
        <v>842</v>
      </c>
      <c r="F11" s="308" t="str">
        <f>_xll.BDP(E11&amp;" Corp","security des")</f>
        <v>SPGB 0 1/4 04/30/18</v>
      </c>
      <c r="H11" s="307" t="s">
        <v>654</v>
      </c>
      <c r="I11" s="308" t="str">
        <f>_xll.BDP(H11&amp;" Corp","security des")</f>
        <v>OBL 0 1/2 02/23/18</v>
      </c>
      <c r="J11" s="308"/>
      <c r="K11" s="307" t="s">
        <v>421</v>
      </c>
      <c r="L11" s="308" t="str">
        <f>_xll.BDP(K11&amp;" Corp","security des")</f>
        <v>FRTR 1 05/25/19</v>
      </c>
    </row>
    <row r="12" spans="2:12">
      <c r="B12" s="307" t="s">
        <v>722</v>
      </c>
      <c r="C12" s="308" t="str">
        <f>_xll.BDP(B12&amp;" Corp","security des")</f>
        <v>BTPS 4 1/2 03/01/19</v>
      </c>
      <c r="E12" s="307" t="s">
        <v>827</v>
      </c>
      <c r="F12" s="308" t="str">
        <f>_xll.BDP(E12&amp;" Corp","security des")</f>
        <v>SPGB 4.1 07/30/18</v>
      </c>
      <c r="H12" s="307" t="s">
        <v>655</v>
      </c>
      <c r="I12" s="308" t="str">
        <f>_xll.BDP(H12&amp;" Corp","security des")</f>
        <v>OBL 0 1/4 04/13/18</v>
      </c>
      <c r="J12" s="308"/>
      <c r="K12" s="307" t="s">
        <v>700</v>
      </c>
      <c r="L12" s="308" t="str">
        <f>_xll.BDP(K12&amp;" Corp","security des")</f>
        <v>FRTR 3 3/4 10/25/19</v>
      </c>
    </row>
    <row r="13" spans="2:12">
      <c r="B13" s="307" t="s">
        <v>723</v>
      </c>
      <c r="C13" s="308" t="str">
        <f>_xll.BDP(B13&amp;" Corp","security des")</f>
        <v>BTPS 2 1/2 05/01/19</v>
      </c>
      <c r="E13" s="307" t="s">
        <v>834</v>
      </c>
      <c r="F13" s="308" t="str">
        <f>_xll.BDP(E13&amp;" Corp","security des")</f>
        <v>SPGB 3 3/4 10/31/18</v>
      </c>
      <c r="H13" s="307" t="s">
        <v>876</v>
      </c>
      <c r="I13" s="308" t="str">
        <f>_xll.BDP(H13&amp;" Corp","security des")</f>
        <v>BKO 0 06/15/18</v>
      </c>
      <c r="J13" s="308"/>
      <c r="K13" s="307" t="s">
        <v>965</v>
      </c>
      <c r="L13" s="308" t="str">
        <f>_xll.BDP(K13&amp;" Corp","security des")</f>
        <v>FRTR 8 1/2 10/25/19</v>
      </c>
    </row>
    <row r="14" spans="2:12">
      <c r="B14" s="307" t="s">
        <v>604</v>
      </c>
      <c r="C14" s="308" t="str">
        <f>_xll.BDP(B14&amp;" Corp","security des")</f>
        <v>BTPS 1 1/2 08/01/19</v>
      </c>
      <c r="E14" s="307" t="s">
        <v>852</v>
      </c>
      <c r="F14" s="308" t="str">
        <f>_xll.BDP(E14&amp;" Corp","security des")</f>
        <v>SPGB 0 1/4 01/31/19</v>
      </c>
      <c r="H14" s="307" t="s">
        <v>656</v>
      </c>
      <c r="I14" s="308" t="str">
        <f>_xll.BDP(H14&amp;" Corp","security des")</f>
        <v>DBR 4 1/4 07/04/18</v>
      </c>
      <c r="J14" s="374" t="s">
        <v>1022</v>
      </c>
      <c r="K14" s="374" t="s">
        <v>422</v>
      </c>
      <c r="L14" s="374" t="str">
        <f>_xll.BDP(K14&amp;" Corp","security des")</f>
        <v>FRTR 0 1/2 11/25/19</v>
      </c>
    </row>
    <row r="15" spans="2:12">
      <c r="B15" s="307" t="s">
        <v>340</v>
      </c>
      <c r="C15" s="308" t="str">
        <f>_xll.BDP(B15&amp;" Corp","security des")</f>
        <v>BTPS 4 1/4 09/01/19</v>
      </c>
      <c r="E15" s="307" t="s">
        <v>836</v>
      </c>
      <c r="F15" s="308" t="str">
        <f>_xll.BDP(E15&amp;" Corp","security des")</f>
        <v>SPGB 2 3/4 04/30/19</v>
      </c>
      <c r="H15" s="307" t="s">
        <v>657</v>
      </c>
      <c r="I15" s="308" t="str">
        <f>_xll.BDP(H15&amp;" Corp","security des")</f>
        <v>OBL 1 10/12/18</v>
      </c>
      <c r="J15" s="308"/>
      <c r="K15" s="307" t="s">
        <v>701</v>
      </c>
      <c r="L15" s="308" t="str">
        <f>_xll.BDP(K15&amp;" Corp","security des")</f>
        <v>FRTR 3 1/2 04/25/20</v>
      </c>
    </row>
    <row r="16" spans="2:12">
      <c r="B16" s="307" t="s">
        <v>606</v>
      </c>
      <c r="C16" s="308" t="str">
        <f>_xll.BDP(B16&amp;" Corp","security des")</f>
        <v>BTPS 1.05 12/01/19</v>
      </c>
      <c r="E16" s="307" t="s">
        <v>853</v>
      </c>
      <c r="F16" s="308" t="str">
        <f>_xll.BDP(E16&amp;" Corp","security des")</f>
        <v>SPGB 4.6 07/30/19</v>
      </c>
      <c r="H16" s="307" t="s">
        <v>658</v>
      </c>
      <c r="I16" s="308" t="str">
        <f>_xll.BDP(H16&amp;" Corp","security des")</f>
        <v>DBR 3 3/4 01/04/19</v>
      </c>
      <c r="J16" s="308"/>
      <c r="K16" s="307" t="s">
        <v>598</v>
      </c>
      <c r="L16" s="308" t="str">
        <f>_xll.BDP(K16&amp;" Corp","security des")</f>
        <v>FRTR 0 05/25/20</v>
      </c>
    </row>
    <row r="17" spans="1:12">
      <c r="A17" s="374" t="s">
        <v>1022</v>
      </c>
      <c r="B17" s="374" t="s">
        <v>724</v>
      </c>
      <c r="C17" s="374" t="str">
        <f>_xll.BDP(B17&amp;" Corp","security des")</f>
        <v>BTPS 4 1/2 02/01/20</v>
      </c>
      <c r="E17" s="307" t="s">
        <v>828</v>
      </c>
      <c r="F17" s="308" t="str">
        <f>_xll.BDP(E17&amp;" Corp","security des")</f>
        <v>SPGB 4.3 10/31/19</v>
      </c>
      <c r="H17" s="307" t="s">
        <v>412</v>
      </c>
      <c r="I17" s="308" t="str">
        <f>_xll.BDP(H17&amp;" Corp","security des")</f>
        <v>OBL 1 02/22/19</v>
      </c>
      <c r="J17" s="308"/>
      <c r="K17" s="307" t="s">
        <v>702</v>
      </c>
      <c r="L17" s="308" t="str">
        <f>_xll.BDP(K17&amp;" Corp","security des")</f>
        <v>FRTR 2 1/2 10/25/20</v>
      </c>
    </row>
    <row r="18" spans="1:12">
      <c r="B18" s="307" t="s">
        <v>725</v>
      </c>
      <c r="C18" s="308" t="str">
        <f>_xll.BDP(B18&amp;" Corp","security des")</f>
        <v>BTPS 4 1/4 03/01/20</v>
      </c>
      <c r="D18" s="374" t="s">
        <v>1022</v>
      </c>
      <c r="E18" s="374" t="s">
        <v>838</v>
      </c>
      <c r="F18" s="374" t="str">
        <f>_xll.BDP(E18&amp;" Corp","security des")</f>
        <v>SPGB 1.4 01/31/20</v>
      </c>
      <c r="H18" s="307" t="s">
        <v>413</v>
      </c>
      <c r="I18" s="308" t="str">
        <f>_xll.BDP(H18&amp;" Corp","security des")</f>
        <v>OBL 0 1/2 04/12/19</v>
      </c>
      <c r="J18" s="308"/>
      <c r="K18" s="307" t="s">
        <v>703</v>
      </c>
      <c r="L18" s="308" t="str">
        <f>_xll.BDP(K18&amp;" Corp","security des")</f>
        <v>FRTR 3 3/4 04/25/21</v>
      </c>
    </row>
    <row r="19" spans="1:12">
      <c r="B19" s="307" t="s">
        <v>775</v>
      </c>
      <c r="C19" s="308" t="str">
        <f>_xll.BDP(B19&amp;" Corp","security des")</f>
        <v>BTPS 0.7 05/01/20</v>
      </c>
      <c r="E19" s="307" t="s">
        <v>829</v>
      </c>
      <c r="F19" s="308" t="str">
        <f>_xll.BDP(E19&amp;" Corp","security des")</f>
        <v>SPGB 4 04/30/20</v>
      </c>
      <c r="H19" s="307" t="s">
        <v>659</v>
      </c>
      <c r="I19" s="308" t="str">
        <f>_xll.BDP(H19&amp;" Corp","security des")</f>
        <v>DBR 3 1/2 07/04/19</v>
      </c>
      <c r="J19" s="308"/>
      <c r="K19" s="307" t="s">
        <v>704</v>
      </c>
      <c r="L19" s="308" t="str">
        <f>_xll.BDP(K19&amp;" Corp","security des")</f>
        <v>FRTR 3 1/4 10/25/21</v>
      </c>
    </row>
    <row r="20" spans="1:12">
      <c r="B20" s="307" t="s">
        <v>726</v>
      </c>
      <c r="C20" s="308" t="str">
        <f>_xll.BDP(B20&amp;" Corp","security des")</f>
        <v>BTPS 4 09/01/20</v>
      </c>
      <c r="E20" s="307" t="s">
        <v>843</v>
      </c>
      <c r="F20" s="308" t="str">
        <f>_xll.BDP(E20&amp;" Corp","security des")</f>
        <v>SPGB 1.15 07/30/20</v>
      </c>
      <c r="H20" s="307" t="s">
        <v>414</v>
      </c>
      <c r="I20" s="308" t="str">
        <f>_xll.BDP(H20&amp;" Corp","security des")</f>
        <v>OBL 0 1/4 10/11/19</v>
      </c>
      <c r="J20" s="308"/>
      <c r="K20" s="307" t="s">
        <v>966</v>
      </c>
      <c r="L20" s="308" t="str">
        <f>_xll.BDP(K20&amp;" Corp","security des")</f>
        <v>FRTR 8 1/4 04/25/22</v>
      </c>
    </row>
    <row r="21" spans="1:12">
      <c r="B21" s="307" t="s">
        <v>826</v>
      </c>
      <c r="C21" s="308" t="str">
        <f>_xll.BDP(B21&amp;" Corp","security des")</f>
        <v>BTPS 0.65 11/01/20</v>
      </c>
      <c r="E21" s="307" t="s">
        <v>854</v>
      </c>
      <c r="F21" s="308" t="str">
        <f>_xll.BDP(E21&amp;" Corp","security des")</f>
        <v>SPGB 4.85 10/31/20</v>
      </c>
      <c r="G21" s="374" t="s">
        <v>1022</v>
      </c>
      <c r="H21" s="374" t="s">
        <v>660</v>
      </c>
      <c r="I21" s="374" t="str">
        <f>_xll.BDP(H21&amp;" Corp","security des")</f>
        <v>DBR 3 1/4 01/04/20</v>
      </c>
      <c r="J21" s="308" t="s">
        <v>968</v>
      </c>
      <c r="K21" s="377" t="s">
        <v>705</v>
      </c>
      <c r="L21" s="376" t="str">
        <f>_xll.BDP(K21&amp;" Corp","security des")</f>
        <v>FRTR 3 04/25/22</v>
      </c>
    </row>
    <row r="22" spans="1:12">
      <c r="B22" s="307" t="s">
        <v>727</v>
      </c>
      <c r="C22" s="308" t="str">
        <f>_xll.BDP(B22&amp;" Corp","security des")</f>
        <v>BTPS 3 3/4 03/01/21</v>
      </c>
      <c r="E22" s="307" t="s">
        <v>830</v>
      </c>
      <c r="F22" s="308" t="str">
        <f>_xll.BDP(E22&amp;" Corp","security des")</f>
        <v>SPGB 5 1/2 04/30/21</v>
      </c>
      <c r="H22" s="307" t="s">
        <v>587</v>
      </c>
      <c r="I22" s="308" t="str">
        <f>_xll.BDP(H22&amp;" Corp","security des")</f>
        <v>OBL 0 04/17/20</v>
      </c>
      <c r="J22" s="308"/>
      <c r="K22" s="307" t="s">
        <v>706</v>
      </c>
      <c r="L22" s="308" t="str">
        <f>_xll.BDP(K22&amp;" Corp","security des")</f>
        <v>FRTR 2 1/4 10/25/22</v>
      </c>
    </row>
    <row r="23" spans="1:12">
      <c r="B23" s="307" t="s">
        <v>428</v>
      </c>
      <c r="C23" s="308" t="str">
        <f>_xll.BDP(B23&amp;" Corp","security des")</f>
        <v>BTPS 3 3/4 05/01/21</v>
      </c>
      <c r="E23" s="307" t="s">
        <v>855</v>
      </c>
      <c r="F23" s="308" t="str">
        <f>_xll.BDP(E23&amp;" Corp","security des")</f>
        <v>SPGB 0 3/4 07/30/21</v>
      </c>
      <c r="H23" s="307" t="s">
        <v>661</v>
      </c>
      <c r="I23" s="308" t="str">
        <f>_xll.BDP(H23&amp;" Corp","security des")</f>
        <v>DBR 3 07/04/20</v>
      </c>
      <c r="J23" s="308"/>
      <c r="K23" s="307" t="s">
        <v>967</v>
      </c>
      <c r="L23" s="308" t="str">
        <f>_xll.BDP(K23&amp;" Corp","security des")</f>
        <v>FRTR 8 1/2 04/25/23</v>
      </c>
    </row>
    <row r="24" spans="1:12">
      <c r="B24" s="307" t="s">
        <v>847</v>
      </c>
      <c r="C24" s="308" t="str">
        <f>_xll.BDP(B24&amp;" Corp","security des")</f>
        <v>BTPS 0.45 06/01/21</v>
      </c>
      <c r="E24" s="307" t="s">
        <v>832</v>
      </c>
      <c r="F24" s="308" t="str">
        <f>_xll.BDP(E24&amp;" Corp","security des")</f>
        <v>SPGB 5.85 01/31/22</v>
      </c>
      <c r="H24" s="307" t="s">
        <v>662</v>
      </c>
      <c r="I24" s="308" t="str">
        <f>_xll.BDP(H24&amp;" Corp","security des")</f>
        <v>DBR 2 1/4 09/04/20</v>
      </c>
      <c r="J24" s="308"/>
      <c r="K24" s="307" t="s">
        <v>707</v>
      </c>
      <c r="L24" s="308" t="str">
        <f>_xll.BDP(K24&amp;" Corp","security des")</f>
        <v>FRTR 1 3/4 05/25/23</v>
      </c>
    </row>
    <row r="25" spans="1:12">
      <c r="B25" s="307" t="s">
        <v>728</v>
      </c>
      <c r="C25" s="308" t="str">
        <f>_xll.BDP(B25&amp;" Corp","security des")</f>
        <v>BTPS 3 3/4 08/01/21</v>
      </c>
      <c r="D25" s="375" t="s">
        <v>968</v>
      </c>
      <c r="E25" s="377" t="s">
        <v>973</v>
      </c>
      <c r="F25" s="376" t="str">
        <f>_xll.BDP(E25&amp;" Corp","security des")</f>
        <v>SPGB 0.4 04/30/22</v>
      </c>
      <c r="H25" s="307" t="s">
        <v>763</v>
      </c>
      <c r="I25" s="308" t="str">
        <f>_xll.BDP(H25&amp;" Corp","security des")</f>
        <v>OBL 0 1/4 10/16/20</v>
      </c>
      <c r="J25" s="308"/>
      <c r="K25" s="307" t="s">
        <v>708</v>
      </c>
      <c r="L25" s="308" t="str">
        <f>_xll.BDP(K25&amp;" Corp","security des")</f>
        <v>FRTR 4 1/4 10/25/23</v>
      </c>
    </row>
    <row r="26" spans="1:12">
      <c r="B26" s="307" t="s">
        <v>729</v>
      </c>
      <c r="C26" s="308" t="str">
        <f>_xll.BDP(B26&amp;" Corp","security des")</f>
        <v>BTPS 4 3/4 09/01/21</v>
      </c>
      <c r="E26" s="377" t="s">
        <v>1659</v>
      </c>
      <c r="F26" s="376" t="str">
        <f>_xll.BDP(E26&amp;" Corp","security des")</f>
        <v>SPGB 0.45 10/31/22</v>
      </c>
      <c r="H26" s="307" t="s">
        <v>663</v>
      </c>
      <c r="I26" s="308" t="str">
        <f>_xll.BDP(H26&amp;" Corp","security des")</f>
        <v>DBR 2 1/2 01/04/21</v>
      </c>
      <c r="K26" s="307" t="s">
        <v>709</v>
      </c>
      <c r="L26" s="308" t="str">
        <f>_xll.BDP(K26&amp;" Corp","security des")</f>
        <v>FRTR 2 1/4 05/25/24</v>
      </c>
    </row>
    <row r="27" spans="1:12">
      <c r="B27" s="307" t="s">
        <v>908</v>
      </c>
      <c r="C27" s="308" t="str">
        <f>_xll.BDP(B27&amp;" Corp","security des")</f>
        <v>BTPS 0.35 11/01/21</v>
      </c>
      <c r="E27" s="307" t="s">
        <v>856</v>
      </c>
      <c r="F27" s="308" t="str">
        <f>_xll.BDP(E27&amp;" Corp","security des")</f>
        <v>SPGB 5.4 01/31/23</v>
      </c>
      <c r="H27" s="307" t="s">
        <v>664</v>
      </c>
      <c r="I27" s="308" t="str">
        <f>_xll.BDP(H27&amp;" Corp","security des")</f>
        <v>DBR 3 1/4 07/04/21</v>
      </c>
      <c r="J27" s="308" t="s">
        <v>969</v>
      </c>
      <c r="K27" s="377" t="s">
        <v>423</v>
      </c>
      <c r="L27" s="377" t="str">
        <f>_xll.BDP(K27&amp;" Corp","security des")</f>
        <v>FRTR 1 3/4 11/25/24</v>
      </c>
    </row>
    <row r="28" spans="1:12">
      <c r="B28" s="307" t="s">
        <v>608</v>
      </c>
      <c r="C28" s="308" t="str">
        <f>_xll.BDP(B28&amp;" Corp","security des")</f>
        <v>BTPS 2.15 12/15/21</v>
      </c>
      <c r="E28" s="307" t="s">
        <v>857</v>
      </c>
      <c r="F28" s="308" t="str">
        <f>_xll.BDP(E28&amp;" Corp","security des")</f>
        <v>SPGB 4.4 10/31/23</v>
      </c>
      <c r="H28" s="307" t="s">
        <v>665</v>
      </c>
      <c r="I28" s="308" t="str">
        <f>_xll.BDP(H28&amp;" Corp","security des")</f>
        <v>DBR 2 1/4 09/04/21</v>
      </c>
      <c r="J28" s="308"/>
      <c r="K28" s="307" t="s">
        <v>600</v>
      </c>
      <c r="L28" s="308" t="str">
        <f>_xll.BDP(K28&amp;" Corp","security des")</f>
        <v>FRTR 0 1/2 05/25/25</v>
      </c>
    </row>
    <row r="29" spans="1:12">
      <c r="B29" s="307" t="s">
        <v>730</v>
      </c>
      <c r="C29" s="308" t="str">
        <f>_xll.BDP(B29&amp;" Corp","security des")</f>
        <v>BTPS 5 03/01/22</v>
      </c>
      <c r="E29" s="307" t="s">
        <v>858</v>
      </c>
      <c r="F29" s="308" t="str">
        <f>_xll.BDP(E29&amp;" Corp","security des")</f>
        <v>SPGB 4.8 01/31/24</v>
      </c>
      <c r="G29" s="375" t="s">
        <v>968</v>
      </c>
      <c r="H29" s="377" t="s">
        <v>666</v>
      </c>
      <c r="I29" s="376" t="str">
        <f>_xll.BDP(H29&amp;" Corp","security des")</f>
        <v>DBR 2 01/04/22</v>
      </c>
      <c r="J29" s="308"/>
      <c r="K29" s="307" t="s">
        <v>710</v>
      </c>
      <c r="L29" s="308" t="str">
        <f>_xll.BDP(K29&amp;" Corp","security des")</f>
        <v>FRTR 6 10/25/25</v>
      </c>
    </row>
    <row r="30" spans="1:12">
      <c r="B30" s="374" t="s">
        <v>610</v>
      </c>
      <c r="C30" s="376" t="str">
        <f>_xll.BDP(B30&amp;" Corp","security des")</f>
        <v>BTPS 1.35 04/15/22</v>
      </c>
      <c r="D30" s="375" t="s">
        <v>969</v>
      </c>
      <c r="E30" s="307" t="s">
        <v>837</v>
      </c>
      <c r="F30" s="308" t="str">
        <f>_xll.BDP(E30&amp;" Corp","security des")</f>
        <v>SPGB 3.8 04/30/24</v>
      </c>
      <c r="H30" s="307" t="s">
        <v>667</v>
      </c>
      <c r="I30" s="308" t="str">
        <f>_xll.BDP(H30&amp;" Corp","security des")</f>
        <v>DBR 1 3/4 07/04/22</v>
      </c>
      <c r="J30" s="308"/>
      <c r="K30" s="307" t="s">
        <v>789</v>
      </c>
      <c r="L30" s="308" t="str">
        <f>_xll.BDP(K30&amp;" Corp","security des")</f>
        <v>FRTR 1 11/25/25</v>
      </c>
    </row>
    <row r="31" spans="1:12">
      <c r="B31" s="307" t="s">
        <v>731</v>
      </c>
      <c r="C31" s="308" t="str">
        <f>_xll.BDP(B31&amp;" Corp","security des")</f>
        <v>BTPS 5 1/2 09/01/22</v>
      </c>
      <c r="E31" s="377" t="s">
        <v>859</v>
      </c>
      <c r="F31" s="376" t="str">
        <f>_xll.BDP(E31&amp;" Corp","security des")</f>
        <v>SPGB 2 3/4 10/31/24</v>
      </c>
      <c r="H31" s="307" t="s">
        <v>668</v>
      </c>
      <c r="I31" s="308" t="str">
        <f>_xll.BDP(H31&amp;" Corp","security des")</f>
        <v>DBR 1 1/2 09/04/22</v>
      </c>
      <c r="J31" s="308"/>
      <c r="K31" s="307" t="s">
        <v>711</v>
      </c>
      <c r="L31" s="308" t="str">
        <f>_xll.BDP(K31&amp;" Corp","security des")</f>
        <v>FRTR 3 1/2 04/25/26</v>
      </c>
    </row>
    <row r="32" spans="1:12">
      <c r="A32" s="374" t="s">
        <v>968</v>
      </c>
      <c r="B32" s="307" t="s">
        <v>844</v>
      </c>
      <c r="C32" s="308" t="str">
        <f>_xll.BDP(B32&amp;" Corp","security des")</f>
        <v>BTPS 1.45 09/15/22</v>
      </c>
      <c r="E32" s="307" t="s">
        <v>796</v>
      </c>
      <c r="F32" s="308" t="str">
        <f>_xll.BDP(E32&amp;" Corp","security des")</f>
        <v>SPGB 1.6 04/30/25</v>
      </c>
      <c r="H32" s="307" t="s">
        <v>669</v>
      </c>
      <c r="I32" s="308" t="str">
        <f>_xll.BDP(H32&amp;" Corp","security des")</f>
        <v>DBR 1 1/2 02/15/23</v>
      </c>
      <c r="J32" s="308"/>
      <c r="K32" s="307" t="s">
        <v>883</v>
      </c>
      <c r="L32" s="308" t="str">
        <f>_xll.BDP(K32&amp;" Corp","security des")</f>
        <v>FRTR 0 1/2 05/25/26</v>
      </c>
    </row>
    <row r="33" spans="1:12">
      <c r="B33" s="307" t="s">
        <v>732</v>
      </c>
      <c r="C33" s="308" t="str">
        <f>_xll.BDP(B33&amp;" Corp","security des")</f>
        <v>BTPS 5 1/2 11/01/22</v>
      </c>
      <c r="E33" s="307" t="s">
        <v>797</v>
      </c>
      <c r="F33" s="308" t="str">
        <f>_xll.BDP(E33&amp;" Corp","security des")</f>
        <v>SPGB 4.65 07/30/25</v>
      </c>
      <c r="H33" s="307" t="s">
        <v>670</v>
      </c>
      <c r="I33" s="308" t="str">
        <f>_xll.BDP(H33&amp;" Corp","security des")</f>
        <v>DBR 1 1/2 05/15/23</v>
      </c>
      <c r="J33" s="308" t="s">
        <v>959</v>
      </c>
      <c r="K33" s="377" t="s">
        <v>960</v>
      </c>
      <c r="L33" s="376" t="str">
        <f>_xll.BDP(K33&amp;" Corp","security des")</f>
        <v>FRTR 1 05/25/27</v>
      </c>
    </row>
    <row r="34" spans="1:12">
      <c r="B34" s="307" t="s">
        <v>845</v>
      </c>
      <c r="C34" s="308" t="str">
        <f>_xll.BDP(B34&amp;" Corp","security des")</f>
        <v>BTPS 0.95 03/15/23</v>
      </c>
      <c r="E34" s="307" t="s">
        <v>798</v>
      </c>
      <c r="F34" s="308" t="str">
        <f>_xll.BDP(E34&amp;" Corp","security des")</f>
        <v>SPGB 2.15 10/31/25</v>
      </c>
      <c r="H34" s="307" t="s">
        <v>671</v>
      </c>
      <c r="I34" s="308" t="str">
        <f>_xll.BDP(H34&amp;" Corp","security des")</f>
        <v>DBR 2 08/15/23</v>
      </c>
      <c r="J34" s="308"/>
      <c r="K34" s="307" t="s">
        <v>918</v>
      </c>
      <c r="L34" s="308" t="str">
        <f>_xll.BDP(K34&amp;" Corp","security des")</f>
        <v>FRTR 0 1/4 11/25/26</v>
      </c>
    </row>
    <row r="35" spans="1:12">
      <c r="B35" s="307" t="s">
        <v>2049</v>
      </c>
      <c r="C35" s="308" t="str">
        <f>_xll.BDP(B35&amp;" Corp","security des")</f>
        <v>BTPS 0.95 03/01/23</v>
      </c>
      <c r="E35" s="307" t="s">
        <v>823</v>
      </c>
      <c r="F35" s="308" t="str">
        <f>_xll.BDP(E35&amp;" Corp","security des")</f>
        <v>SPGB 1.95 04/30/26</v>
      </c>
      <c r="H35" s="307" t="s">
        <v>672</v>
      </c>
      <c r="I35" s="308" t="str">
        <f>_xll.BDP(H35&amp;" Corp","security des")</f>
        <v>DBR 6 1/4 01/04/24</v>
      </c>
      <c r="J35" s="308"/>
      <c r="K35" s="307" t="s">
        <v>712</v>
      </c>
      <c r="L35" s="308" t="str">
        <f>_xll.BDP(K35&amp;" Corp","security des")</f>
        <v>FRTR 2 3/4 10/25/27</v>
      </c>
    </row>
    <row r="36" spans="1:12">
      <c r="B36" s="307" t="s">
        <v>733</v>
      </c>
      <c r="C36" s="308" t="str">
        <f>_xll.BDP(B36&amp;" Corp","security des")</f>
        <v>BTPS 4 1/2 05/01/23</v>
      </c>
      <c r="E36" s="307" t="s">
        <v>799</v>
      </c>
      <c r="F36" s="308" t="str">
        <f>_xll.BDP(E36&amp;" Corp","security des")</f>
        <v>SPGB 5.9 07/30/26</v>
      </c>
      <c r="H36" s="307" t="s">
        <v>415</v>
      </c>
      <c r="I36" s="307" t="str">
        <f>_xll.BDP(H36&amp;" Corp","security des")</f>
        <v>DBR 1 3/4 02/15/24</v>
      </c>
      <c r="J36" s="308"/>
      <c r="K36" s="307" t="s">
        <v>713</v>
      </c>
      <c r="L36" s="308" t="str">
        <f>_xll.BDP(K36&amp;" Corp","security des")</f>
        <v>FRTR 5 1/2 04/25/29</v>
      </c>
    </row>
    <row r="37" spans="1:12">
      <c r="B37" s="307" t="s">
        <v>734</v>
      </c>
      <c r="C37" s="308" t="str">
        <f>_xll.BDP(B37&amp;" Corp","security des")</f>
        <v>BTPS 4 3/4 08/01/23</v>
      </c>
      <c r="D37" s="375" t="s">
        <v>959</v>
      </c>
      <c r="E37" s="307" t="s">
        <v>896</v>
      </c>
      <c r="F37" s="308" t="str">
        <f>_xll.BDP(E37&amp;" Corp","security des")</f>
        <v>SPGB 1.3 10/31/26</v>
      </c>
      <c r="H37" s="307" t="s">
        <v>416</v>
      </c>
      <c r="I37" s="307" t="str">
        <f>_xll.BDP(H37&amp;" Corp","security des")</f>
        <v>DBR 1 1/2 05/15/24</v>
      </c>
      <c r="J37" s="308"/>
      <c r="K37" s="307" t="s">
        <v>424</v>
      </c>
      <c r="L37" s="308" t="str">
        <f>_xll.BDP(K37&amp;" Corp","security des")</f>
        <v>FRTR 2 1/2 05/25/30</v>
      </c>
    </row>
    <row r="38" spans="1:12">
      <c r="B38" s="307" t="s">
        <v>907</v>
      </c>
      <c r="C38" s="308" t="str">
        <f>_xll.BDP(B38&amp;" Corp","security des")</f>
        <v>BTPS 0.65 10/15/23</v>
      </c>
      <c r="E38" s="377" t="s">
        <v>956</v>
      </c>
      <c r="F38" s="376" t="str">
        <f>_xll.BDP(E38&amp;" Corp","security des")</f>
        <v>SPGB 1 1/2 04/30/27</v>
      </c>
      <c r="G38" s="375" t="s">
        <v>969</v>
      </c>
      <c r="H38" s="376" t="s">
        <v>417</v>
      </c>
      <c r="I38" s="376" t="str">
        <f>_xll.BDP(H38&amp;" Corp","security des")</f>
        <v>DBR 1 08/15/24</v>
      </c>
      <c r="J38" s="308"/>
      <c r="K38" s="307" t="s">
        <v>791</v>
      </c>
      <c r="L38" s="308" t="str">
        <f>_xll.BDP(K38&amp;" Corp","security des")</f>
        <v>FRTR 1 1/2 05/25/31</v>
      </c>
    </row>
    <row r="39" spans="1:12">
      <c r="B39" s="307" t="s">
        <v>735</v>
      </c>
      <c r="C39" s="308" t="str">
        <f>_xll.BDP(B39&amp;" Corp","security des")</f>
        <v>BTPS 9 11/01/23</v>
      </c>
      <c r="E39" s="377" t="s">
        <v>1020</v>
      </c>
      <c r="F39" s="376" t="str">
        <f>_xll.BDP(E39&amp;" Corp","security des")</f>
        <v>SPGB 1.45 10/31/27</v>
      </c>
      <c r="H39" s="307" t="s">
        <v>590</v>
      </c>
      <c r="I39" s="308" t="str">
        <f>_xll.BDP(H39&amp;" Corp","security des")</f>
        <v>DBR 0 1/2 02/15/25</v>
      </c>
      <c r="J39" s="308" t="s">
        <v>971</v>
      </c>
      <c r="K39" s="377" t="s">
        <v>714</v>
      </c>
      <c r="L39" s="376" t="str">
        <f>_xll.BDP(K39&amp;" Corp","security des")</f>
        <v>FRTR 5 3/4 10/25/32</v>
      </c>
    </row>
    <row r="40" spans="1:12">
      <c r="B40" s="307" t="s">
        <v>736</v>
      </c>
      <c r="C40" s="308" t="str">
        <f>_xll.BDP(B40&amp;" Corp","security des")</f>
        <v>BTPS 4 1/2 03/01/24</v>
      </c>
      <c r="E40" s="307" t="s">
        <v>860</v>
      </c>
      <c r="F40" s="308" t="str">
        <f>_xll.BDP(E40&amp;" Corp","security des")</f>
        <v>SPGB 5.15 10/31/28</v>
      </c>
      <c r="H40" s="307" t="s">
        <v>765</v>
      </c>
      <c r="I40" s="308" t="str">
        <f>_xll.BDP(H40&amp;" Corp","security des")</f>
        <v>DBR 1 08/15/25</v>
      </c>
      <c r="J40" s="308"/>
      <c r="K40" s="307" t="s">
        <v>715</v>
      </c>
      <c r="L40" s="308" t="str">
        <f>_xll.BDP(K40&amp;" Corp","security des")</f>
        <v>FRTR 4 3/4 04/25/35</v>
      </c>
    </row>
    <row r="41" spans="1:12">
      <c r="A41" s="374" t="s">
        <v>969</v>
      </c>
      <c r="B41" s="307" t="s">
        <v>957</v>
      </c>
      <c r="C41" s="308" t="str">
        <f>_xll.BDP(B41&amp;" Corp","security des")</f>
        <v>BTPS 1.85 05/15/24</v>
      </c>
      <c r="E41" s="307" t="s">
        <v>861</v>
      </c>
      <c r="F41" s="308" t="str">
        <f>_xll.BDP(E41&amp;" Corp","security des")</f>
        <v>SPGB 6 01/31/29</v>
      </c>
      <c r="H41" s="307" t="s">
        <v>818</v>
      </c>
      <c r="I41" s="308" t="str">
        <f>_xll.BDP(H41&amp;" Corp","security des")</f>
        <v>DBR 0 1/2 02/15/26</v>
      </c>
      <c r="J41" s="308"/>
      <c r="K41" s="307" t="s">
        <v>885</v>
      </c>
      <c r="L41" s="308" t="str">
        <f>_xll.BDP(K41&amp;" Corp","security des")</f>
        <v>FRTR 1 1/4 05/25/36</v>
      </c>
    </row>
    <row r="42" spans="1:12">
      <c r="B42" s="377" t="s">
        <v>429</v>
      </c>
      <c r="C42" s="376" t="str">
        <f>_xll.BDP(B42&amp;" Corp","security des")</f>
        <v>BTPS 3 3/4 09/01/24</v>
      </c>
      <c r="D42" s="375" t="s">
        <v>971</v>
      </c>
      <c r="E42" s="307" t="s">
        <v>841</v>
      </c>
      <c r="F42" s="308" t="str">
        <f>_xll.BDP(E42&amp;" Corp","security des")</f>
        <v>SPGB 1.95 07/30/30</v>
      </c>
      <c r="G42" s="375" t="s">
        <v>959</v>
      </c>
      <c r="H42" s="377" t="s">
        <v>673</v>
      </c>
      <c r="I42" s="376" t="str">
        <f>_xll.BDP(H42&amp;" Corp","security des")</f>
        <v>DBR 6 1/2 07/04/27</v>
      </c>
      <c r="J42" s="308"/>
      <c r="K42" s="307" t="s">
        <v>716</v>
      </c>
      <c r="L42" s="308" t="str">
        <f>_xll.BDP(K42&amp;" Corp","security des")</f>
        <v>FRTR 4 10/25/38</v>
      </c>
    </row>
    <row r="43" spans="1:12">
      <c r="B43" s="377" t="s">
        <v>1019</v>
      </c>
      <c r="C43" s="376" t="str">
        <f>_xll.BDP(B43&amp;" Corp","security des")</f>
        <v>BTPS 1.45 11/15/24</v>
      </c>
      <c r="E43" s="307" t="s">
        <v>862</v>
      </c>
      <c r="F43" s="308" t="str">
        <f>_xll.BDP(E43&amp;" Corp","security des")</f>
        <v>SPGB 5 3/4 07/30/32</v>
      </c>
      <c r="H43" s="307" t="s">
        <v>674</v>
      </c>
      <c r="I43" s="308" t="str">
        <f>_xll.BDP(H43&amp;" Corp","security des")</f>
        <v>DBR 5 5/8 01/04/28</v>
      </c>
      <c r="J43" s="308"/>
      <c r="K43" s="307" t="s">
        <v>717</v>
      </c>
      <c r="L43" s="308" t="str">
        <f>_xll.BDP(K43&amp;" Corp","security des")</f>
        <v>FRTR 4 1/2 04/25/41</v>
      </c>
    </row>
    <row r="44" spans="1:12">
      <c r="B44" s="307" t="s">
        <v>430</v>
      </c>
      <c r="C44" s="308" t="str">
        <f>_xll.BDP(B44&amp;" Corp","security des")</f>
        <v>BTPS 2 1/2 12/01/24</v>
      </c>
      <c r="E44" s="377" t="s">
        <v>974</v>
      </c>
      <c r="F44" s="376" t="str">
        <f>_xll.BDP(E44&amp;" Corp","security des")</f>
        <v>SPGB 2.35 07/30/33</v>
      </c>
      <c r="H44" s="307" t="s">
        <v>675</v>
      </c>
      <c r="I44" s="308" t="str">
        <f>_xll.BDP(H44&amp;" Corp","security des")</f>
        <v>DBR 4 3/4 07/04/28</v>
      </c>
      <c r="J44" s="308" t="s">
        <v>972</v>
      </c>
      <c r="K44" s="377" t="s">
        <v>718</v>
      </c>
      <c r="L44" s="376" t="str">
        <f>_xll.BDP(K44&amp;" Corp","security des")</f>
        <v>FRTR 3 1/4 05/25/45</v>
      </c>
    </row>
    <row r="45" spans="1:12">
      <c r="B45" s="307" t="s">
        <v>737</v>
      </c>
      <c r="C45" s="308" t="str">
        <f>_xll.BDP(B45&amp;" Corp","security des")</f>
        <v>BTPS 5 03/01/25</v>
      </c>
      <c r="E45" s="307" t="s">
        <v>863</v>
      </c>
      <c r="F45" s="308" t="str">
        <f>_xll.BDP(E45&amp;" Corp","security des")</f>
        <v>SPGB 4.2 01/31/37</v>
      </c>
      <c r="H45" s="307" t="s">
        <v>676</v>
      </c>
      <c r="I45" s="308" t="str">
        <f>_xll.BDP(H45&amp;" Corp","security des")</f>
        <v>DBR 6 1/4 01/04/30</v>
      </c>
      <c r="J45" s="308"/>
      <c r="K45" s="307" t="s">
        <v>719</v>
      </c>
      <c r="L45" s="308" t="str">
        <f>_xll.BDP(K45&amp;" Corp","security des")</f>
        <v>FRTR 4 04/25/55</v>
      </c>
    </row>
    <row r="46" spans="1:12">
      <c r="B46" s="307" t="s">
        <v>612</v>
      </c>
      <c r="C46" s="308" t="str">
        <f>_xll.BDP(B46&amp;" Corp","security des")</f>
        <v>BTPS 1 1/2 06/01/25</v>
      </c>
      <c r="E46" s="307" t="s">
        <v>864</v>
      </c>
      <c r="F46" s="308" t="str">
        <f>_xll.BDP(E46&amp;" Corp","security des")</f>
        <v>SPGB 4.9 07/30/40</v>
      </c>
      <c r="H46" s="307" t="s">
        <v>677</v>
      </c>
      <c r="I46" s="308" t="str">
        <f>_xll.BDP(H46&amp;" Corp","security des")</f>
        <v>DBR 5 1/2 01/04/31</v>
      </c>
      <c r="J46" s="308"/>
      <c r="K46" s="307" t="s">
        <v>720</v>
      </c>
      <c r="L46" s="308" t="str">
        <f>_xll.BDP(K46&amp;" Corp","security des")</f>
        <v>FRTR 4 04/25/60</v>
      </c>
    </row>
    <row r="47" spans="1:12">
      <c r="B47" s="307" t="s">
        <v>773</v>
      </c>
      <c r="C47" s="308" t="str">
        <f>_xll.BDP(B47&amp;" Corp","security des")</f>
        <v>BTPS 2 12/01/25</v>
      </c>
      <c r="D47" s="375" t="s">
        <v>972</v>
      </c>
      <c r="E47" s="307" t="s">
        <v>865</v>
      </c>
      <c r="F47" s="308" t="str">
        <f>_xll.BDP(E47&amp;" Corp","security des")</f>
        <v>SPGB 4.7 07/30/41</v>
      </c>
      <c r="G47" s="375" t="s">
        <v>971</v>
      </c>
      <c r="H47" s="377" t="s">
        <v>678</v>
      </c>
      <c r="I47" s="376" t="str">
        <f>_xll.BDP(H47&amp;" Corp","security des")</f>
        <v>DBR 4 3/4 07/04/34</v>
      </c>
      <c r="J47" s="308"/>
      <c r="K47" s="307" t="s">
        <v>887</v>
      </c>
      <c r="L47" s="308" t="str">
        <f>_xll.BDP(K47&amp;" Corp","security des")</f>
        <v>FRTR 1 3/4 05/25/66</v>
      </c>
    </row>
    <row r="48" spans="1:12">
      <c r="B48" s="307" t="s">
        <v>738</v>
      </c>
      <c r="C48" s="308" t="str">
        <f>_xll.BDP(B48&amp;" Corp","security des")</f>
        <v>BTPS 4 1/2 03/01/26</v>
      </c>
      <c r="E48" s="307" t="s">
        <v>866</v>
      </c>
      <c r="F48" s="308" t="str">
        <f>_xll.BDP(E48&amp;" Corp","security des")</f>
        <v>SPGB 5.15 10/31/44</v>
      </c>
      <c r="H48" s="307" t="s">
        <v>679</v>
      </c>
      <c r="I48" s="308" t="str">
        <f>_xll.BDP(H48&amp;" Corp","security des")</f>
        <v>DBR 4 01/04/37</v>
      </c>
      <c r="J48" s="308"/>
    </row>
    <row r="49" spans="1:10">
      <c r="B49" s="307" t="s">
        <v>824</v>
      </c>
      <c r="C49" s="308" t="str">
        <f>_xll.BDP(B49&amp;" Corp","security des")</f>
        <v>BTPS 1.6 06/01/26</v>
      </c>
      <c r="E49" s="377" t="s">
        <v>867</v>
      </c>
      <c r="F49" s="376" t="str">
        <f>_xll.BDP(E49&amp;" Corp","security des")</f>
        <v>SPGB 2.9 10/31/46</v>
      </c>
      <c r="H49" s="307" t="s">
        <v>680</v>
      </c>
      <c r="I49" s="308" t="str">
        <f>_xll.BDP(H49&amp;" Corp","security des")</f>
        <v>DBR 4 1/4 07/04/39</v>
      </c>
      <c r="J49" s="308"/>
    </row>
    <row r="50" spans="1:10">
      <c r="A50" s="374" t="s">
        <v>959</v>
      </c>
      <c r="B50" s="307" t="s">
        <v>739</v>
      </c>
      <c r="C50" s="308" t="str">
        <f>_xll.BDP(B50&amp;" Corp","security des")</f>
        <v>BTPS 7 1/4 11/01/26</v>
      </c>
      <c r="H50" s="307" t="s">
        <v>681</v>
      </c>
      <c r="I50" s="308" t="str">
        <f>_xll.BDP(H50&amp;" Corp","security des")</f>
        <v>DBR 4 3/4 07/04/40</v>
      </c>
      <c r="J50" s="308"/>
    </row>
    <row r="51" spans="1:10">
      <c r="B51" s="307" t="s">
        <v>897</v>
      </c>
      <c r="C51" s="308" t="str">
        <f>_xll.BDP(B51&amp;" Corp","security des")</f>
        <v>BTPS 1 1/4 12/01/26</v>
      </c>
      <c r="H51" s="307" t="s">
        <v>682</v>
      </c>
      <c r="I51" s="308" t="str">
        <f>_xll.BDP(H51&amp;" Corp","security des")</f>
        <v>DBR 3 1/4 07/04/42</v>
      </c>
      <c r="J51" s="308"/>
    </row>
    <row r="52" spans="1:10">
      <c r="B52" s="377" t="s">
        <v>925</v>
      </c>
      <c r="C52" s="376" t="str">
        <f>_xll.BDP(B52&amp;" Corp","security des")</f>
        <v>BTPS 2.2 06/01/27</v>
      </c>
      <c r="H52" s="307" t="s">
        <v>683</v>
      </c>
      <c r="I52" s="308" t="str">
        <f>_xll.BDP(H52&amp;" Corp","security des")</f>
        <v>DBR 2 1/2 07/04/44</v>
      </c>
      <c r="J52" s="308"/>
    </row>
    <row r="53" spans="1:10">
      <c r="B53" s="377" t="s">
        <v>1007</v>
      </c>
      <c r="C53" s="376" t="str">
        <f>_xll.BDP(B53&amp;" Corp","security des")</f>
        <v>BTPS 2.05 08/01/27</v>
      </c>
      <c r="G53" s="375" t="s">
        <v>972</v>
      </c>
      <c r="H53" s="377" t="s">
        <v>418</v>
      </c>
      <c r="I53" s="376" t="str">
        <f>_xll.BDP(H53&amp;" Corp","security des")</f>
        <v>DBR 2 1/2 08/15/46</v>
      </c>
      <c r="J53" s="308"/>
    </row>
    <row r="54" spans="1:10">
      <c r="B54" s="307" t="s">
        <v>740</v>
      </c>
      <c r="C54" s="308" t="str">
        <f>_xll.BDP(B54&amp;" Corp","security des")</f>
        <v>BTPS 6 1/2 11/01/27</v>
      </c>
      <c r="H54" s="307"/>
      <c r="I54" s="308"/>
      <c r="J54" s="308"/>
    </row>
    <row r="55" spans="1:10">
      <c r="B55" s="856" t="s">
        <v>2019</v>
      </c>
      <c r="C55" s="857" t="str">
        <f>_xll.BDP(B55&amp;" Corp","security des")</f>
        <v>BTPS 2 02/01/28</v>
      </c>
    </row>
    <row r="56" spans="1:10">
      <c r="B56" s="307" t="s">
        <v>741</v>
      </c>
      <c r="C56" s="308" t="str">
        <f>_xll.BDP(B56&amp;" Corp","security des")</f>
        <v>BTPS 4 3/4 09/01/28</v>
      </c>
    </row>
    <row r="57" spans="1:10">
      <c r="B57" s="307" t="s">
        <v>742</v>
      </c>
      <c r="C57" s="308" t="str">
        <f>_xll.BDP(B57&amp;" Corp","security des")</f>
        <v>BTPS 5 1/4 11/01/29</v>
      </c>
    </row>
    <row r="58" spans="1:10">
      <c r="A58" s="374" t="s">
        <v>971</v>
      </c>
      <c r="B58" s="307" t="s">
        <v>431</v>
      </c>
      <c r="C58" s="308" t="str">
        <f>_xll.BDP(B58&amp;" Corp","security des")</f>
        <v>BTPS 3 1/2 03/01/30</v>
      </c>
    </row>
    <row r="59" spans="1:10">
      <c r="B59" s="307" t="s">
        <v>743</v>
      </c>
      <c r="C59" s="308" t="str">
        <f>_xll.BDP(B59&amp;" Corp","security des")</f>
        <v>BTPS 6 05/01/31</v>
      </c>
    </row>
    <row r="60" spans="1:10">
      <c r="B60" s="307" t="s">
        <v>848</v>
      </c>
      <c r="C60" s="308" t="str">
        <f>_xll.BDP(B60&amp;" Corp","security des")</f>
        <v>BTPS 1.65 03/01/32</v>
      </c>
    </row>
    <row r="61" spans="1:10">
      <c r="B61" s="307" t="s">
        <v>744</v>
      </c>
      <c r="C61" s="308" t="str">
        <f>_xll.BDP(B61&amp;" Corp","security des")</f>
        <v>BTPS 5 3/4 02/01/33</v>
      </c>
    </row>
    <row r="62" spans="1:10">
      <c r="B62" s="377" t="s">
        <v>970</v>
      </c>
      <c r="C62" s="376" t="str">
        <f>_xll.BDP(B62&amp;" Corp","security des")</f>
        <v>BTPS 2.45 09/01/33</v>
      </c>
    </row>
    <row r="63" spans="1:10">
      <c r="B63" s="307" t="s">
        <v>745</v>
      </c>
      <c r="C63" s="308" t="str">
        <f>_xll.BDP(B63&amp;" Corp","security des")</f>
        <v>BTPS 5 08/01/34</v>
      </c>
    </row>
    <row r="64" spans="1:10">
      <c r="B64" s="307" t="s">
        <v>893</v>
      </c>
      <c r="C64" s="308" t="str">
        <f>_xll.BDP(B64&amp;" Corp","security des")</f>
        <v>BTPS 2 1/4 09/01/36</v>
      </c>
    </row>
    <row r="65" spans="1:3">
      <c r="B65" s="307" t="s">
        <v>746</v>
      </c>
      <c r="C65" s="308" t="str">
        <f>_xll.BDP(B65&amp;" Corp","security des")</f>
        <v>BTPS 4 02/01/37</v>
      </c>
    </row>
    <row r="66" spans="1:3">
      <c r="A66" s="374" t="s">
        <v>972</v>
      </c>
      <c r="B66" s="307" t="s">
        <v>747</v>
      </c>
      <c r="C66" s="308" t="str">
        <f>_xll.BDP(B66&amp;" Corp","security des")</f>
        <v>BTPS 5 08/01/39</v>
      </c>
    </row>
    <row r="67" spans="1:3">
      <c r="B67" s="307" t="s">
        <v>748</v>
      </c>
      <c r="C67" s="308" t="str">
        <f>_xll.BDP(B67&amp;" Corp","security des")</f>
        <v>BTPS 5 09/01/40</v>
      </c>
    </row>
    <row r="68" spans="1:3">
      <c r="B68" s="307" t="s">
        <v>749</v>
      </c>
      <c r="C68" s="308" t="str">
        <f>_xll.BDP(B68&amp;" Corp","security des")</f>
        <v>BTPS 4 3/4 09/01/44</v>
      </c>
    </row>
    <row r="69" spans="1:3">
      <c r="B69" s="307" t="s">
        <v>615</v>
      </c>
      <c r="C69" s="308" t="str">
        <f>_xll.BDP(B69&amp;" Corp","security des")</f>
        <v>BTPS 3 1/4 09/01/46</v>
      </c>
    </row>
    <row r="70" spans="1:3">
      <c r="B70" s="377" t="s">
        <v>822</v>
      </c>
      <c r="C70" s="376" t="str">
        <f>_xll.BDP(B70&amp;"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J29" sqref="J29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302"/>
      <c r="G2" s="302"/>
      <c r="P2" s="215"/>
      <c r="Q2" s="215"/>
      <c r="R2" s="215"/>
    </row>
    <row r="3" spans="1:18" ht="15.75" thickBot="1">
      <c r="B3" s="418" t="s">
        <v>975</v>
      </c>
      <c r="C3" s="419" t="s">
        <v>976</v>
      </c>
      <c r="D3" s="420" t="s">
        <v>977</v>
      </c>
      <c r="E3" s="421" t="s">
        <v>978</v>
      </c>
      <c r="J3" s="215"/>
      <c r="K3" s="215"/>
      <c r="O3" s="300"/>
      <c r="P3" s="301"/>
      <c r="Q3" s="301"/>
      <c r="R3" s="215"/>
    </row>
    <row r="4" spans="1:18" ht="18" customHeight="1">
      <c r="A4" s="422" t="s">
        <v>1021</v>
      </c>
      <c r="B4" s="413">
        <f>VLOOKUP(Isin!B30,Bonds!$E:$AD,COLUMN($AD:$AD)-4,FALSE)-VLOOKUP(Isin!B17,Bonds!$E:$AD,COLUMN($AD:$AD)-4,FALSE)</f>
        <v>7.4651350407810915E-3</v>
      </c>
      <c r="C4" s="413">
        <f>VLOOKUP(Isin!E25,Bonds!$E:$AD,COLUMN($AD:$AD)-4,FALSE)-VLOOKUP(Isin!E18,Bonds!$E:$AD,COLUMN($AD:$AD)-4,FALSE)</f>
        <v>4.9509068758150226E-3</v>
      </c>
      <c r="D4" s="413">
        <f>VLOOKUP(Isin!H29,Bonds!$E:$AD,COLUMN($AD:$AD)-4,FALSE)-VLOOKUP(Isin!H21,Bonds!$E:$AD,COLUMN($AD:$AD)-4,FALSE)</f>
        <v>3.819379503371783E-3</v>
      </c>
      <c r="E4" s="414">
        <f>VLOOKUP(Isin!K21,Bonds!$E:$AD,COLUMN($AD:$AD)-4,FALSE)-VLOOKUP(Isin!K14,Bonds!$E:$AD,COLUMN($AD:$AD)-4,FALSE)</f>
        <v>4.6479993833460709E-3</v>
      </c>
      <c r="F4" s="216"/>
      <c r="G4" s="173"/>
    </row>
    <row r="5" spans="1:18" ht="18" customHeight="1">
      <c r="A5" s="423" t="s">
        <v>979</v>
      </c>
      <c r="B5" s="378">
        <f>VLOOKUP(Isin!B42,Bonds!$E:$AD,COLUMN($AD:$AD)-4,FALSE)-VLOOKUP(Isin!B30,Bonds!$E:$AD,COLUMN($AD:$AD)-4,FALSE)</f>
        <v>7.3147517477633456E-3</v>
      </c>
      <c r="C5" s="378">
        <f>VLOOKUP(Isin!E31,Bonds!$E:$AD,COLUMN($AD:$AD)-4,FALSE)-VLOOKUP(Isin!E25,Bonds!$E:$AD,COLUMN($AD:$AD)-4,FALSE)</f>
        <v>5.8165828704666699E-3</v>
      </c>
      <c r="D5" s="378">
        <f>VLOOKUP(Isin!H37,Bonds!$E:$AD,COLUMN($AD:$AD)-4,FALSE)-VLOOKUP(Isin!H29,Bonds!$E:$AD,COLUMN($AD:$AD)-4,FALSE)</f>
        <v>4.2933105785635545E-3</v>
      </c>
      <c r="E5" s="415">
        <f>VLOOKUP(Isin!K26,Bonds!$E:$AD,COLUMN($AD:$AD)-4,FALSE)-VLOOKUP(Isin!K21,Bonds!$E:$AD,COLUMN($AD:$AD)-4,FALSE)</f>
        <v>3.9436060852002415E-3</v>
      </c>
      <c r="F5" s="216"/>
      <c r="G5" s="173"/>
    </row>
    <row r="6" spans="1:18" ht="18" customHeight="1">
      <c r="A6" s="423" t="s">
        <v>980</v>
      </c>
      <c r="B6" s="378">
        <f>VLOOKUP(Isin!B52,Bonds!$E:$AD,COLUMN($AD:$AD)-4,FALSE)-VLOOKUP(Isin!B30,Bonds!$E:$AD,COLUMN($AD:$AD)-4,FALSE)</f>
        <v>1.3193125297765822E-2</v>
      </c>
      <c r="C6" s="378">
        <f>VLOOKUP(Isin!E38,Bonds!$E:$AD,COLUMN($AD:$AD)-4,FALSE)-VLOOKUP(Isin!E25,Bonds!$E:$AD,COLUMN($AD:$AD)-4,FALSE)</f>
        <v>1.0874924705352501E-2</v>
      </c>
      <c r="D6" s="378">
        <f>VLOOKUP(Isin!H42,Bonds!$E:$AD,COLUMN($AD:$AD)-4,FALSE)-VLOOKUP(Isin!H37,Bonds!$E:$AD,COLUMN($AD:$AD)-4,FALSE)</f>
        <v>3.5272339624954231E-3</v>
      </c>
      <c r="E6" s="415">
        <f>VLOOKUP(Isin!K33,Bonds!$E:$AD,COLUMN($AD:$AD)-4,FALSE)-VLOOKUP(Isin!K21,Bonds!$E:$AD,COLUMN($AD:$AD)-4,FALSE)</f>
        <v>8.6452359984953032E-3</v>
      </c>
      <c r="F6" s="216"/>
      <c r="G6" s="173"/>
    </row>
    <row r="7" spans="1:18" ht="18" customHeight="1">
      <c r="A7" s="423" t="s">
        <v>981</v>
      </c>
      <c r="B7" s="378">
        <f>VLOOKUP(Isin!B52,Bonds!$E:$AD,COLUMN($AD:$AD)-4,FALSE)-VLOOKUP(Isin!B42,Bonds!$E:$AD,COLUMN($AD:$AD)-4,FALSE)</f>
        <v>5.8783735500024768E-3</v>
      </c>
      <c r="C7" s="378">
        <f>VLOOKUP(Isin!E38,Bonds!$E:$AD,COLUMN($AD:$AD)-4,FALSE)-VLOOKUP(Isin!E31,Bonds!$E:$AD,COLUMN($AD:$AD)-4,FALSE)</f>
        <v>5.0583418348858315E-3</v>
      </c>
      <c r="D7" s="378">
        <f>VLOOKUP(Isin!H42,Bonds!$E:$AD,COLUMN($AD:$AD)-4,FALSE)-VLOOKUP(Isin!H38,Bonds!$E:$AD,COLUMN($AD:$AD)-4,FALSE)</f>
        <v>3.163523544238548E-3</v>
      </c>
      <c r="E7" s="415">
        <f>VLOOKUP(Isin!K33,Bonds!$E:$AD,COLUMN($AD:$AD)-4,FALSE)-VLOOKUP(Isin!K27,Bonds!$E:$AD,COLUMN($AD:$AD)-4,FALSE)</f>
        <v>3.8552948713542114E-3</v>
      </c>
      <c r="G7" s="173"/>
    </row>
    <row r="8" spans="1:18" ht="18" customHeight="1">
      <c r="A8" s="423" t="s">
        <v>982</v>
      </c>
      <c r="B8" s="378">
        <f>VLOOKUP(Isin!B62,Bonds!$E:$AD,COLUMN($AD:$AD)-4,FALSE)-VLOOKUP(Isin!B52,Bonds!$E:$AD,COLUMN($AD:$AD)-4,FALSE)</f>
        <v>5.9938401462132467E-3</v>
      </c>
      <c r="C8" s="378">
        <f>VLOOKUP(Isin!E44,Bonds!$E:$AD,COLUMN($AD:$AD)-4,FALSE)-VLOOKUP(Isin!E38,Bonds!$E:$AD,COLUMN($AD:$AD)-4,FALSE)</f>
        <v>6.7418051400018678E-3</v>
      </c>
      <c r="D8" s="378">
        <f>VLOOKUP(Isin!H47,Bonds!$E:$AD,COLUMN($AD:$AD)-4,FALSE)-VLOOKUP(Isin!H42,Bonds!$E:$AD,COLUMN($AD:$AD)-4,FALSE)</f>
        <v>4.2643484875159107E-3</v>
      </c>
      <c r="E8" s="415">
        <f>VLOOKUP(Isin!K39,Bonds!$E:$AD,COLUMN($AD:$AD)-4,FALSE)-VLOOKUP(Isin!K33,Bonds!$E:$AD,COLUMN($AD:$AD)-4,FALSE)</f>
        <v>3.6032011269031845E-3</v>
      </c>
      <c r="G8" s="173"/>
    </row>
    <row r="9" spans="1:18" ht="18" customHeight="1">
      <c r="A9" s="423" t="s">
        <v>983</v>
      </c>
      <c r="B9" s="378">
        <f>VLOOKUP(Isin!B69,Bonds!$E:$AD,COLUMN($AD:$AD)-4,FALSE)-VLOOKUP(Isin!B53,Bonds!$E:$AD,COLUMN($AD:$AD)-4,FALSE)</f>
        <v>1.0098365147197384E-2</v>
      </c>
      <c r="C9" s="378">
        <f>VLOOKUP(Isin!E49,Bonds!$E:$AD,COLUMN($AD:$AD)-4,FALSE)-VLOOKUP(Isin!E39,Bonds!$E:$AD,COLUMN($AD:$AD)-4,FALSE)</f>
        <v>1.0954044718723787E-2</v>
      </c>
      <c r="D9" s="378">
        <f>VLOOKUP(Isin!H53,Bonds!$E:$AD,COLUMN($AD:$AD)-4,FALSE)-VLOOKUP(Isin!H42,Bonds!$E:$AD,COLUMN($AD:$AD)-4,FALSE)</f>
        <v>7.2554372610165348E-3</v>
      </c>
      <c r="E9" s="415">
        <f>VLOOKUP(Isin!K44,Bonds!$E:$AD,COLUMN($AD:$AD)-4,FALSE)-VLOOKUP(Isin!K33,Bonds!$E:$AD,COLUMN($AD:$AD)-4,FALSE)</f>
        <v>8.531135495172178E-3</v>
      </c>
      <c r="G9" s="173"/>
    </row>
    <row r="10" spans="1:18" ht="18" customHeight="1" thickBot="1">
      <c r="A10" s="424" t="s">
        <v>984</v>
      </c>
      <c r="B10" s="416">
        <f>VLOOKUP(Isin!B70,Bonds!$E:$AD,COLUMN($AD:$AD)-4,FALSE)-VLOOKUP(Isin!B62,Bonds!$E:$AD,COLUMN($AD:$AD)-4,FALSE)</f>
        <v>4.5273384665648723E-3</v>
      </c>
      <c r="C10" s="416">
        <f>VLOOKUP(Isin!E49,Bonds!$E:$AD,COLUMN($AD:$AD)-4,FALSE)-VLOOKUP(Isin!E44,Bonds!$E:$AD,COLUMN($AD:$AD)-4,FALSE)</f>
        <v>5.0937528088146472E-3</v>
      </c>
      <c r="D10" s="416">
        <f>VLOOKUP(Isin!H53,Bonds!$E:$AD,COLUMN($AD:$AD)-4,FALSE)-VLOOKUP(Isin!H47,Bonds!$E:$AD,COLUMN($AD:$AD)-4,FALSE)</f>
        <v>2.991088773500624E-3</v>
      </c>
      <c r="E10" s="417">
        <f>VLOOKUP(Isin!K44,Bonds!$E:$AD,COLUMN($AD:$AD)-4,FALSE)-VLOOKUP(Isin!K39,Bonds!$E:$AD,COLUMN($AD:$AD)-4,FALSE)</f>
        <v>4.9279343682689936E-3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5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L32" sqref="L32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16" t="s">
        <v>363</v>
      </c>
      <c r="C2" s="1016"/>
      <c r="D2" s="207"/>
      <c r="F2" s="212" t="s">
        <v>362</v>
      </c>
      <c r="G2" s="211" t="s">
        <v>361</v>
      </c>
      <c r="H2" s="211" t="s">
        <v>360</v>
      </c>
      <c r="I2" s="211" t="s">
        <v>359</v>
      </c>
      <c r="J2" s="211" t="s">
        <v>358</v>
      </c>
      <c r="K2" s="210" t="s">
        <v>357</v>
      </c>
      <c r="L2" s="209" t="s">
        <v>356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352</v>
      </c>
      <c r="C4" s="171" t="s">
        <v>351</v>
      </c>
      <c r="D4" s="174"/>
      <c r="F4" s="206" t="s">
        <v>2036</v>
      </c>
      <c r="G4" s="204">
        <f>3000*0.054</f>
        <v>162</v>
      </c>
      <c r="H4" s="203">
        <v>0</v>
      </c>
      <c r="I4" s="203">
        <f>G17</f>
        <v>0</v>
      </c>
      <c r="J4" s="202">
        <f>+H4+I4</f>
        <v>0</v>
      </c>
      <c r="K4" s="203">
        <v>0</v>
      </c>
      <c r="L4" s="860">
        <f>G4-H4-I4+K4</f>
        <v>162</v>
      </c>
      <c r="M4" s="850"/>
    </row>
    <row r="5" spans="1:15">
      <c r="A5" s="176"/>
      <c r="B5" s="175"/>
      <c r="C5" s="175"/>
      <c r="D5" s="174"/>
      <c r="F5" s="279" t="s">
        <v>780</v>
      </c>
      <c r="G5" s="205"/>
      <c r="H5" s="204"/>
      <c r="I5" s="204"/>
      <c r="J5" s="204"/>
      <c r="K5" s="175"/>
      <c r="L5" s="201"/>
      <c r="N5" s="850">
        <f>+L4+L6</f>
        <v>214.2</v>
      </c>
    </row>
    <row r="6" spans="1:15" ht="14.25">
      <c r="A6" s="176"/>
      <c r="B6" s="182">
        <v>300</v>
      </c>
      <c r="C6" s="181">
        <v>8.0000000000000002E-3</v>
      </c>
      <c r="D6" s="174"/>
      <c r="F6" s="349" t="s">
        <v>2004</v>
      </c>
      <c r="G6" s="204">
        <f>1000*0.054</f>
        <v>54</v>
      </c>
      <c r="H6" s="203">
        <v>1.8</v>
      </c>
      <c r="I6" s="203">
        <f>H17</f>
        <v>0</v>
      </c>
      <c r="J6" s="202">
        <f>+H6+I6</f>
        <v>1.8</v>
      </c>
      <c r="K6" s="171">
        <v>0</v>
      </c>
      <c r="L6" s="201">
        <f>G6-H6-I6+K6</f>
        <v>52.2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7"/>
      <c r="H9" s="317"/>
      <c r="J9" s="282" t="s">
        <v>781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80" t="s">
        <v>969</v>
      </c>
      <c r="H10" s="280" t="s">
        <v>2005</v>
      </c>
      <c r="J10" s="194" t="s">
        <v>355</v>
      </c>
      <c r="K10" s="193">
        <v>0</v>
      </c>
      <c r="L10" s="247">
        <f>L4</f>
        <v>162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354</v>
      </c>
      <c r="K11" s="191">
        <f>+-(K10/K9)*10</f>
        <v>0</v>
      </c>
      <c r="L11" s="326">
        <f>-(L10*L9)/10</f>
        <v>-142.88400000000001</v>
      </c>
    </row>
    <row r="12" spans="1:15" ht="15.75" thickBot="1">
      <c r="A12" s="172" t="s">
        <v>350</v>
      </c>
      <c r="B12" s="171">
        <f>SUM(B6:B10)</f>
        <v>650</v>
      </c>
      <c r="C12" s="170" t="s">
        <v>349</v>
      </c>
      <c r="D12" s="190">
        <f>(B6*C6+B7*C7+B8*C8+B9*C9+B10*C10)/B12</f>
        <v>1.2615384615384615E-2</v>
      </c>
      <c r="E12" s="327">
        <v>3</v>
      </c>
      <c r="F12" s="370" t="s">
        <v>2028</v>
      </c>
      <c r="G12" s="371">
        <v>0</v>
      </c>
      <c r="H12" s="371">
        <v>0</v>
      </c>
    </row>
    <row r="13" spans="1:15" ht="13.5" thickBot="1">
      <c r="E13" s="327">
        <v>0</v>
      </c>
      <c r="F13" s="296" t="s">
        <v>2026</v>
      </c>
      <c r="G13" s="351">
        <v>0</v>
      </c>
      <c r="H13" s="351">
        <v>0</v>
      </c>
      <c r="I13" s="328"/>
      <c r="J13" s="311" t="s">
        <v>576</v>
      </c>
      <c r="K13" s="312">
        <f>+L10+K11</f>
        <v>162</v>
      </c>
      <c r="M13" s="283" t="s">
        <v>782</v>
      </c>
      <c r="N13" s="281">
        <f>L11+L17</f>
        <v>-188.14140000000003</v>
      </c>
    </row>
    <row r="14" spans="1:15">
      <c r="F14" s="362" t="s">
        <v>930</v>
      </c>
      <c r="G14" s="280">
        <v>0</v>
      </c>
      <c r="H14" s="372">
        <v>0</v>
      </c>
      <c r="I14" s="183"/>
      <c r="L14" s="189"/>
    </row>
    <row r="15" spans="1:15">
      <c r="A15" s="188"/>
      <c r="B15" s="187"/>
      <c r="C15" s="187"/>
      <c r="D15" s="187"/>
      <c r="F15" s="248" t="s">
        <v>2027</v>
      </c>
      <c r="G15" s="280">
        <v>0</v>
      </c>
      <c r="H15" s="248"/>
      <c r="I15" s="173"/>
      <c r="J15" s="282" t="s">
        <v>931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2029</v>
      </c>
      <c r="G16" s="280">
        <v>0</v>
      </c>
      <c r="I16" s="267"/>
      <c r="J16" s="194" t="s">
        <v>355</v>
      </c>
      <c r="K16" s="193">
        <v>0</v>
      </c>
      <c r="L16" s="247">
        <f>L6</f>
        <v>52.2</v>
      </c>
      <c r="M16" s="167"/>
    </row>
    <row r="17" spans="1:13" ht="15.75">
      <c r="A17" s="184"/>
      <c r="B17" s="1016" t="s">
        <v>353</v>
      </c>
      <c r="C17" s="1016"/>
      <c r="D17" s="174"/>
      <c r="F17" s="248" t="s">
        <v>774</v>
      </c>
      <c r="G17" s="258">
        <f>SUM(G11:G16)</f>
        <v>0</v>
      </c>
      <c r="H17" s="258">
        <f>SUM(H11:H14)</f>
        <v>0</v>
      </c>
      <c r="I17" s="249"/>
      <c r="J17" s="192" t="s">
        <v>354</v>
      </c>
      <c r="K17" s="191">
        <f>+-(K16/K15)*10</f>
        <v>0</v>
      </c>
      <c r="L17" s="191">
        <f>-(L16*L15)/10</f>
        <v>-45.257400000000004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352</v>
      </c>
      <c r="C19" s="171" t="s">
        <v>351</v>
      </c>
      <c r="D19" s="174"/>
      <c r="I19" s="249"/>
      <c r="J19" s="216" t="s">
        <v>576</v>
      </c>
      <c r="K19" s="185">
        <f>+L16+K17</f>
        <v>52.2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927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9"/>
      <c r="J22" s="353" t="s">
        <v>928</v>
      </c>
      <c r="K22" s="354" t="s">
        <v>929</v>
      </c>
      <c r="L22" s="355" t="s">
        <v>921</v>
      </c>
      <c r="M22" s="343" t="s">
        <v>924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30" t="s">
        <v>926</v>
      </c>
      <c r="J23" s="331">
        <v>4000</v>
      </c>
      <c r="K23" s="332">
        <f>(J23*0.25)+(J23*J21)</f>
        <v>1200</v>
      </c>
      <c r="L23" s="356">
        <f>((J23*0.25)*0.054)+((J23*J21)*0.1208)</f>
        <v>78.16</v>
      </c>
      <c r="M23" s="358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33"/>
      <c r="J24" s="334"/>
      <c r="K24" s="335"/>
      <c r="L24" s="339"/>
      <c r="M24" s="359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7"/>
      <c r="I25" s="336" t="s">
        <v>922</v>
      </c>
      <c r="J25" s="337">
        <v>0</v>
      </c>
      <c r="K25" s="344">
        <f>J25*0.15</f>
        <v>0</v>
      </c>
      <c r="L25" s="352">
        <f>((J25*0.25)*0.053)+((J25*J23)*0.1208)</f>
        <v>0</v>
      </c>
      <c r="M25" s="360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33"/>
      <c r="J26" s="338"/>
      <c r="K26" s="339"/>
      <c r="L26" s="339"/>
      <c r="M26" s="359"/>
    </row>
    <row r="27" spans="1:13" ht="15.75" thickBot="1">
      <c r="A27" s="172" t="s">
        <v>350</v>
      </c>
      <c r="B27" s="171">
        <f>SUM(B21:B25)</f>
        <v>140</v>
      </c>
      <c r="C27" s="170" t="s">
        <v>349</v>
      </c>
      <c r="D27" s="169">
        <f>(B21*C21+B22*C22+B23*C23+B24*C24+B25*C25)/B27</f>
        <v>0.51800000000000002</v>
      </c>
      <c r="F27" s="248"/>
      <c r="G27" s="203"/>
      <c r="I27" s="340" t="s">
        <v>923</v>
      </c>
      <c r="J27" s="341">
        <v>0</v>
      </c>
      <c r="K27" s="342">
        <f>J27*0.15</f>
        <v>0</v>
      </c>
      <c r="L27" s="357">
        <f>((J27*0.25)*0.053)+((J27*J25)*0.1208)</f>
        <v>0</v>
      </c>
      <c r="M27" s="361">
        <f>(L27)*(L13/9.95)*10</f>
        <v>0</v>
      </c>
    </row>
    <row r="28" spans="1:13">
      <c r="F28" s="248"/>
      <c r="G28" s="203"/>
      <c r="M28" s="350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848"/>
    </row>
    <row r="31" spans="1:13">
      <c r="F31" s="248"/>
      <c r="G31" s="203"/>
      <c r="I31" s="407"/>
      <c r="J31" s="855"/>
      <c r="K31" s="215"/>
      <c r="L31" s="387">
        <f>50*0.015</f>
        <v>0.75</v>
      </c>
      <c r="M31" s="850"/>
    </row>
    <row r="32" spans="1:13">
      <c r="F32" s="248"/>
      <c r="I32" s="854"/>
      <c r="J32" s="855"/>
      <c r="K32" s="387"/>
    </row>
    <row r="33" spans="6:14">
      <c r="F33" s="248"/>
      <c r="I33" s="251"/>
      <c r="J33" s="251"/>
      <c r="K33" s="407"/>
    </row>
    <row r="34" spans="6:14">
      <c r="F34" s="248"/>
      <c r="I34" s="849" t="s">
        <v>2038</v>
      </c>
      <c r="J34" s="251" t="s">
        <v>2037</v>
      </c>
      <c r="L34" s="315"/>
    </row>
    <row r="35" spans="6:14">
      <c r="I35" s="759"/>
      <c r="J35" s="759"/>
      <c r="K35" s="387"/>
      <c r="L35" s="315"/>
    </row>
    <row r="36" spans="6:14">
      <c r="I36" s="215"/>
      <c r="J36" s="185"/>
    </row>
    <row r="37" spans="6:14">
      <c r="K37" s="407"/>
    </row>
    <row r="39" spans="6:14">
      <c r="I39" s="167"/>
    </row>
    <row r="40" spans="6:14">
      <c r="L40" s="249"/>
    </row>
    <row r="41" spans="6:14">
      <c r="H41" s="218">
        <v>101.248</v>
      </c>
      <c r="I41" s="285">
        <f>101.248-99.672</f>
        <v>1.5760000000000076</v>
      </c>
      <c r="J41" s="267">
        <f>28.5*I41*10</f>
        <v>449.16000000000219</v>
      </c>
      <c r="K41" s="293">
        <v>28.5</v>
      </c>
      <c r="L41" s="292" t="s">
        <v>804</v>
      </c>
      <c r="M41" s="294" t="s">
        <v>807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8">
        <v>7</v>
      </c>
      <c r="L42" s="249" t="s">
        <v>805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8">
        <v>10</v>
      </c>
      <c r="L43" s="249" t="s">
        <v>804</v>
      </c>
      <c r="M43" s="290">
        <f>+K42+K43+K44+K46</f>
        <v>33.5</v>
      </c>
      <c r="N43" s="216" t="s">
        <v>806</v>
      </c>
    </row>
    <row r="44" spans="6:14">
      <c r="H44" s="218">
        <v>101.05</v>
      </c>
      <c r="I44" s="284">
        <f>101.05-99.672</f>
        <v>1.3780000000000001</v>
      </c>
      <c r="J44" s="267">
        <f>5*I44*10</f>
        <v>68.900000000000006</v>
      </c>
      <c r="K44" s="287">
        <v>6.5</v>
      </c>
      <c r="L44" s="249" t="s">
        <v>803</v>
      </c>
      <c r="M44" s="167"/>
    </row>
    <row r="45" spans="6:14">
      <c r="H45" s="218">
        <v>100.97</v>
      </c>
      <c r="I45" s="173">
        <f>100.97-99.672</f>
        <v>1.2980000000000018</v>
      </c>
      <c r="J45" s="286">
        <f>8*I45*10</f>
        <v>103.84000000000015</v>
      </c>
      <c r="K45" s="291">
        <v>8</v>
      </c>
      <c r="L45" s="292" t="s">
        <v>802</v>
      </c>
      <c r="M45" s="294" t="s">
        <v>807</v>
      </c>
    </row>
    <row r="46" spans="6:14">
      <c r="H46" s="286">
        <v>100.37</v>
      </c>
      <c r="I46" s="173">
        <f>100.37-99.672</f>
        <v>0.6980000000000075</v>
      </c>
      <c r="J46" s="286">
        <f>10*I46*10</f>
        <v>69.80000000000075</v>
      </c>
      <c r="K46" s="289">
        <v>10</v>
      </c>
      <c r="L46" s="249" t="s">
        <v>801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6">
        <v>27.6</v>
      </c>
      <c r="J50" s="167"/>
      <c r="K50" s="167"/>
      <c r="L50" s="167"/>
      <c r="M50" s="167"/>
    </row>
    <row r="51" spans="8:13">
      <c r="H51" s="167"/>
      <c r="I51" s="286">
        <v>27.6</v>
      </c>
      <c r="J51" s="167"/>
      <c r="K51" s="167"/>
      <c r="L51" s="167"/>
      <c r="M51" s="167"/>
    </row>
    <row r="52" spans="8:13">
      <c r="H52" s="167"/>
      <c r="I52" s="286">
        <v>22.8</v>
      </c>
      <c r="J52" s="167"/>
      <c r="K52" s="167"/>
      <c r="L52" s="167"/>
      <c r="M52" s="167"/>
    </row>
    <row r="53" spans="8:13">
      <c r="I53" s="286">
        <v>15.8</v>
      </c>
    </row>
    <row r="54" spans="8:13">
      <c r="I54" s="286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L17" sqref="L17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879" customWidth="1"/>
    <col min="45" max="45" width="4.7109375" style="879" customWidth="1"/>
    <col min="46" max="46" width="6.7109375" style="879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880">
        <f>Bonds!$G$26</f>
        <v>43768</v>
      </c>
      <c r="Q1" s="880">
        <f>Bonds!$G$27</f>
        <v>43800</v>
      </c>
      <c r="R1" s="880">
        <f>Bonds!$G$28</f>
        <v>43862</v>
      </c>
      <c r="S1" s="880">
        <f>Bonds!$G$29</f>
        <v>43891</v>
      </c>
      <c r="T1" s="880">
        <f>Bonds!$G$30</f>
        <v>43952</v>
      </c>
      <c r="U1" s="880">
        <f>Bonds!$G$31</f>
        <v>43997</v>
      </c>
      <c r="V1" s="880">
        <f>Bonds!$G$32</f>
        <v>44075</v>
      </c>
      <c r="W1" s="880">
        <f>Bonds!$G$33</f>
        <v>44119</v>
      </c>
      <c r="X1" s="880">
        <f>Bonds!$G$34</f>
        <v>44136</v>
      </c>
      <c r="Y1" s="880">
        <f>Bonds!$G$35</f>
        <v>44256</v>
      </c>
      <c r="Z1" s="880">
        <f>Bonds!$G$36</f>
        <v>44317</v>
      </c>
      <c r="AA1" s="880">
        <f>Bonds!$G$37</f>
        <v>44348</v>
      </c>
      <c r="AB1" s="880">
        <f>Bonds!$G$38</f>
        <v>44409</v>
      </c>
      <c r="AC1" s="880">
        <f>Bonds!$G$39</f>
        <v>44440</v>
      </c>
      <c r="AD1" s="880">
        <f>Bonds!$G$40</f>
        <v>44501</v>
      </c>
      <c r="AE1" s="880">
        <f>Bonds!$G$41</f>
        <v>44545</v>
      </c>
      <c r="AF1" s="880">
        <f>Bonds!$G$42</f>
        <v>44621</v>
      </c>
      <c r="AG1" s="880">
        <f>Bonds!$G$43</f>
        <v>44652</v>
      </c>
      <c r="AH1" s="880">
        <f>Bonds!$G$44</f>
        <v>44666</v>
      </c>
      <c r="AI1" s="880">
        <f>Bonds!$G$45</f>
        <v>44774</v>
      </c>
      <c r="AJ1" s="880">
        <f>Bonds!$G$46</f>
        <v>44805</v>
      </c>
      <c r="AK1" s="880">
        <f>Bonds!$G$47</f>
        <v>44819</v>
      </c>
      <c r="AL1" s="880">
        <f>Bonds!$G$48</f>
        <v>44866</v>
      </c>
      <c r="AM1" s="880">
        <f>Bonds!$G$49</f>
        <v>44986</v>
      </c>
      <c r="AN1" s="880">
        <f>Bonds!$G$50</f>
        <v>45000</v>
      </c>
      <c r="AO1" s="880">
        <f>Bonds!$G$51</f>
        <v>45047</v>
      </c>
      <c r="AP1" s="880">
        <f>Bonds!$G$52</f>
        <v>45139</v>
      </c>
      <c r="AQ1" s="880">
        <f>Bonds!$G$53</f>
        <v>45214</v>
      </c>
      <c r="AR1" s="880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45809</v>
      </c>
      <c r="AZ1" s="142">
        <f>Bonds!$G$62</f>
        <v>45992</v>
      </c>
      <c r="BA1" s="142">
        <f>Bonds!$G$63</f>
        <v>46082</v>
      </c>
      <c r="BB1" s="142">
        <f>Bonds!$G$64</f>
        <v>46174</v>
      </c>
      <c r="BC1" s="142">
        <f>Bonds!$G$65</f>
        <v>46327</v>
      </c>
      <c r="BD1" s="142">
        <f>Bonds!$G$66</f>
        <v>46357</v>
      </c>
      <c r="BE1" s="142">
        <f>Bonds!$G$67</f>
        <v>46539</v>
      </c>
      <c r="BF1" s="142">
        <f>Bonds!$G$68</f>
        <v>46600</v>
      </c>
      <c r="BG1" s="142">
        <f>Bonds!$G$69</f>
        <v>46692</v>
      </c>
      <c r="BH1" s="142">
        <f>Bonds!$G$70</f>
        <v>46784</v>
      </c>
      <c r="BI1" s="142">
        <f>Bonds!$G$71</f>
        <v>46997</v>
      </c>
      <c r="BJ1" s="142">
        <f>Bonds!$G$72</f>
        <v>47423</v>
      </c>
      <c r="BK1" s="142">
        <f>Bonds!$G$73</f>
        <v>47543</v>
      </c>
      <c r="BL1" s="142">
        <f>Bonds!$G$74</f>
        <v>47969</v>
      </c>
      <c r="BM1" s="142">
        <f>Bonds!$G$75</f>
        <v>48274</v>
      </c>
      <c r="BN1" s="142">
        <f>Bonds!$G$76</f>
        <v>48611</v>
      </c>
      <c r="BO1" s="142">
        <f>Bonds!$G$77</f>
        <v>48823</v>
      </c>
      <c r="BP1" s="142">
        <f>Bonds!$G$78</f>
        <v>49157</v>
      </c>
      <c r="BQ1" s="142">
        <f>Bonds!$G$79</f>
        <v>49919</v>
      </c>
      <c r="BR1" s="142">
        <f>Bonds!$G$80</f>
        <v>50072</v>
      </c>
      <c r="BS1" s="142">
        <f>Bonds!$G$81</f>
        <v>50649</v>
      </c>
      <c r="BT1" s="142">
        <f>Bonds!$G$82</f>
        <v>50983</v>
      </c>
      <c r="BU1" s="142">
        <f>Bonds!$G$83</f>
        <v>51380</v>
      </c>
      <c r="BV1" s="142">
        <f>Bonds!$G$84</f>
        <v>52841</v>
      </c>
      <c r="BW1" s="142">
        <f>Bonds!$G$85</f>
        <v>53571</v>
      </c>
      <c r="BX1" s="142">
        <f>Bonds!$G$86</f>
        <v>53752</v>
      </c>
      <c r="BY1" s="142">
        <f>Bonds!$G$87</f>
        <v>54118</v>
      </c>
      <c r="BZ1" s="142">
        <f>Bonds!$G$88</f>
        <v>61057</v>
      </c>
      <c r="CA1" s="142">
        <f>Bonds!$G$89</f>
        <v>43220</v>
      </c>
      <c r="CB1" s="142">
        <f>Bonds!$G$90</f>
        <v>43311</v>
      </c>
      <c r="CC1" s="142">
        <f>Bonds!$G$91</f>
        <v>43404</v>
      </c>
      <c r="CD1" s="142">
        <f>Bonds!$G$92</f>
        <v>43496</v>
      </c>
      <c r="CE1" s="142">
        <f>Bonds!$G$93</f>
        <v>43585</v>
      </c>
      <c r="CF1" s="142">
        <f>Bonds!$G$94</f>
        <v>43676</v>
      </c>
      <c r="CG1" s="142">
        <f>Bonds!$G$95</f>
        <v>43769</v>
      </c>
      <c r="CH1" s="142">
        <f>Bonds!$G$96</f>
        <v>43861</v>
      </c>
      <c r="CI1" s="142">
        <f>Bonds!$G$97</f>
        <v>43951</v>
      </c>
      <c r="CJ1" s="142">
        <f>Bonds!$G$98</f>
        <v>44042</v>
      </c>
      <c r="CK1" s="142">
        <f>Bonds!$G$99</f>
        <v>44135</v>
      </c>
      <c r="CL1" s="142">
        <f>Bonds!$G$100</f>
        <v>44227</v>
      </c>
      <c r="CM1" s="142">
        <f>Bonds!$G$101</f>
        <v>44316</v>
      </c>
      <c r="CN1" s="142">
        <f>Bonds!$G$102</f>
        <v>44407</v>
      </c>
      <c r="CO1" s="142">
        <f>Bonds!$G$103</f>
        <v>44592</v>
      </c>
      <c r="CP1" s="142">
        <f>Bonds!$G$104</f>
        <v>44681</v>
      </c>
      <c r="CQ1" s="142">
        <f>Bonds!$G$105</f>
        <v>44865</v>
      </c>
      <c r="CR1" s="142">
        <f>Bonds!$G$106</f>
        <v>44957</v>
      </c>
      <c r="CS1" s="142">
        <f>Bonds!$G$107</f>
        <v>45230</v>
      </c>
      <c r="CT1" s="142">
        <f>Bonds!$G$108</f>
        <v>45322</v>
      </c>
      <c r="CU1" s="142">
        <f>Bonds!$G$109</f>
        <v>45412</v>
      </c>
      <c r="CV1" s="142">
        <f>Bonds!$G$110</f>
        <v>45596</v>
      </c>
      <c r="CW1" s="142">
        <f>Bonds!$G$111</f>
        <v>45777</v>
      </c>
      <c r="CX1" s="142">
        <f>Bonds!$G$112</f>
        <v>45868</v>
      </c>
      <c r="CY1" s="142">
        <f>Bonds!$G$113</f>
        <v>45961</v>
      </c>
      <c r="CZ1" s="142">
        <f>Bonds!$G$114</f>
        <v>46142</v>
      </c>
      <c r="DA1" s="142">
        <f>Bonds!$G$115</f>
        <v>46233</v>
      </c>
      <c r="DB1" s="142">
        <f>Bonds!$G$116</f>
        <v>46326</v>
      </c>
      <c r="DC1" s="142">
        <f>Bonds!$G$117</f>
        <v>46507</v>
      </c>
      <c r="DD1" s="142">
        <f>Bonds!$G$118</f>
        <v>46691</v>
      </c>
      <c r="DE1" s="142">
        <f>Bonds!$G$119</f>
        <v>46873</v>
      </c>
      <c r="DF1" s="142">
        <f>Bonds!$G$120</f>
        <v>47057</v>
      </c>
      <c r="DG1" s="142">
        <f>Bonds!$G$121</f>
        <v>47149</v>
      </c>
      <c r="DH1" s="142">
        <f>Bonds!$G$122</f>
        <v>47694</v>
      </c>
      <c r="DI1" s="142">
        <f>Bonds!$G$123</f>
        <v>48425</v>
      </c>
      <c r="DJ1" s="142">
        <f>Bonds!$G$124</f>
        <v>48790</v>
      </c>
      <c r="DK1" s="142">
        <f>Bonds!$G$125</f>
        <v>50071</v>
      </c>
      <c r="DL1" s="142">
        <f>Bonds!$G$126</f>
        <v>51347</v>
      </c>
      <c r="DM1" s="142">
        <f>Bonds!$G$127</f>
        <v>51712</v>
      </c>
      <c r="DN1" s="142">
        <f>Bonds!$G$128</f>
        <v>52901</v>
      </c>
      <c r="DO1" s="142">
        <f>Bonds!$G$129</f>
        <v>53631</v>
      </c>
      <c r="DP1" s="142">
        <f>Bonds!$G$130</f>
        <v>54362</v>
      </c>
      <c r="DQ1" s="142">
        <f>Bonds!$G$131</f>
        <v>60843</v>
      </c>
      <c r="DR1" s="142">
        <f>Bonds!$G$132</f>
        <v>43175</v>
      </c>
      <c r="DS1" s="142">
        <f>Bonds!$G$133</f>
        <v>43203</v>
      </c>
      <c r="DT1" s="142">
        <f>Bonds!$G$134</f>
        <v>43266</v>
      </c>
      <c r="DU1" s="142">
        <f>Bonds!$G$135</f>
        <v>43285</v>
      </c>
      <c r="DV1" s="142">
        <f>Bonds!$G$136</f>
        <v>43357</v>
      </c>
      <c r="DW1" s="142">
        <f>Bonds!$G$137</f>
        <v>43385</v>
      </c>
      <c r="DX1" s="142">
        <f>Bonds!$G$138</f>
        <v>43448</v>
      </c>
      <c r="DY1" s="142">
        <f>Bonds!$G$139</f>
        <v>43469</v>
      </c>
      <c r="DZ1" s="142">
        <f>Bonds!$G$140</f>
        <v>43518</v>
      </c>
      <c r="EA1" s="142">
        <f>Bonds!$G$141</f>
        <v>43539</v>
      </c>
      <c r="EB1" s="142">
        <f>Bonds!$G$142</f>
        <v>43567</v>
      </c>
      <c r="EC1" s="142">
        <f>Bonds!$G$143</f>
        <v>43630</v>
      </c>
      <c r="ED1" s="142">
        <f>Bonds!$G$144</f>
        <v>43650</v>
      </c>
      <c r="EE1" s="142">
        <f>Bonds!$G$145</f>
        <v>43721</v>
      </c>
      <c r="EF1" s="142">
        <f>Bonds!$G$146</f>
        <v>43749</v>
      </c>
      <c r="EG1" s="142">
        <f>Bonds!$G$147</f>
        <v>43812</v>
      </c>
      <c r="EH1" s="142">
        <f>Bonds!$G$148</f>
        <v>43834</v>
      </c>
      <c r="EI1" s="142">
        <f>Bonds!$G$149</f>
        <v>43903</v>
      </c>
      <c r="EJ1" s="142">
        <f>Bonds!$G$150</f>
        <v>43938</v>
      </c>
      <c r="EK1" s="142">
        <f>Bonds!$G$151</f>
        <v>44016</v>
      </c>
      <c r="EL1" s="142">
        <f>Bonds!$G$152</f>
        <v>44078</v>
      </c>
      <c r="EM1" s="142">
        <f>Bonds!$G$153</f>
        <v>44120</v>
      </c>
      <c r="EN1" s="142">
        <f>Bonds!$G$154</f>
        <v>44200</v>
      </c>
      <c r="EO1" s="142">
        <f>Bonds!$G$155</f>
        <v>44295</v>
      </c>
      <c r="EP1" s="142">
        <f>Bonds!$G$156</f>
        <v>44381</v>
      </c>
      <c r="EQ1" s="142">
        <f>Bonds!$G$157</f>
        <v>44443</v>
      </c>
      <c r="ER1" s="142">
        <f>Bonds!$G$158</f>
        <v>44477</v>
      </c>
      <c r="ES1" s="142">
        <f>Bonds!$G$159</f>
        <v>44565</v>
      </c>
      <c r="ET1" s="142">
        <f>Bonds!$G$160</f>
        <v>44659</v>
      </c>
      <c r="EU1" s="142">
        <f>Bonds!$G$161</f>
        <v>44746</v>
      </c>
      <c r="EV1" s="142">
        <f>Bonds!$G$162</f>
        <v>44808</v>
      </c>
      <c r="EW1" s="142">
        <f>Bonds!$G$163</f>
        <v>44841</v>
      </c>
      <c r="EX1" s="142">
        <f>Bonds!$G$164</f>
        <v>44972</v>
      </c>
      <c r="EY1" s="142">
        <f>Bonds!$G$165</f>
        <v>45030</v>
      </c>
      <c r="EZ1" s="142">
        <f>Bonds!$G$166</f>
        <v>45061</v>
      </c>
      <c r="FA1" s="142">
        <f>Bonds!$G$167</f>
        <v>45153</v>
      </c>
      <c r="FB1" s="142">
        <f>Bonds!$G$168</f>
        <v>45295</v>
      </c>
      <c r="FC1" s="142">
        <f>Bonds!$G$169</f>
        <v>45337</v>
      </c>
      <c r="FD1" s="142">
        <f>Bonds!$G$170</f>
        <v>45427</v>
      </c>
      <c r="FE1" s="142">
        <f>Bonds!$G$171</f>
        <v>45519</v>
      </c>
      <c r="FF1" s="142">
        <f>Bonds!$G$172</f>
        <v>45703</v>
      </c>
      <c r="FG1" s="142">
        <f>Bonds!$G$173</f>
        <v>45884</v>
      </c>
      <c r="FH1" s="142">
        <f>Bonds!$G$174</f>
        <v>46068</v>
      </c>
      <c r="FI1" s="142">
        <f>Bonds!$G$175</f>
        <v>46249</v>
      </c>
      <c r="FJ1" s="142">
        <f>Bonds!$G$176</f>
        <v>46433</v>
      </c>
      <c r="FK1" s="142">
        <f>Bonds!$G$177</f>
        <v>46572</v>
      </c>
      <c r="FL1" s="142">
        <f>Bonds!$G$178</f>
        <v>46614</v>
      </c>
      <c r="FM1" s="142">
        <f>Bonds!$G$179</f>
        <v>46756</v>
      </c>
      <c r="FN1" s="142">
        <f>Bonds!$G$180</f>
        <v>46798</v>
      </c>
      <c r="FO1" s="142">
        <f>Bonds!$G$181</f>
        <v>46938</v>
      </c>
      <c r="FP1" s="142">
        <f>Bonds!$G$182</f>
        <v>47487</v>
      </c>
      <c r="FQ1" s="142">
        <f>Bonds!$G$183</f>
        <v>47852</v>
      </c>
      <c r="FR1" s="142">
        <f>Bonds!$G$184</f>
        <v>49129</v>
      </c>
      <c r="FS1" s="142">
        <f>Bonds!$G$185</f>
        <v>50044</v>
      </c>
      <c r="FT1" s="142">
        <f>Bonds!$G$186</f>
        <v>50955</v>
      </c>
      <c r="FU1" s="142">
        <f>Bonds!$G$187</f>
        <v>51321</v>
      </c>
      <c r="FV1" s="142">
        <f>Bonds!$G$188</f>
        <v>52051</v>
      </c>
      <c r="FW1" s="142">
        <f>Bonds!$G$189</f>
        <v>52782</v>
      </c>
      <c r="FX1" s="142">
        <f>Bonds!$G$190</f>
        <v>53554</v>
      </c>
      <c r="FY1" s="142">
        <f>Bonds!$G$191</f>
        <v>54285</v>
      </c>
      <c r="FZ1" s="142">
        <f>Bonds!$G$192</f>
        <v>43215</v>
      </c>
      <c r="GA1" s="142">
        <f>Bonds!$G$193</f>
        <v>43245</v>
      </c>
      <c r="GB1" s="142">
        <f>Bonds!$G$194</f>
        <v>43398</v>
      </c>
      <c r="GC1" s="142">
        <f>Bonds!$G$195</f>
        <v>43429</v>
      </c>
      <c r="GD1" s="142">
        <f>Bonds!$G$196</f>
        <v>43521</v>
      </c>
      <c r="GE1" s="142">
        <f>Bonds!$G$197</f>
        <v>43580</v>
      </c>
      <c r="GF1" s="142">
        <f>Bonds!$G$198</f>
        <v>43610</v>
      </c>
      <c r="GG1" s="142">
        <f>Bonds!$G$199</f>
        <v>43763</v>
      </c>
      <c r="GH1" s="142">
        <f>Bonds!$G$200</f>
        <v>43763</v>
      </c>
      <c r="GI1" s="142">
        <f>Bonds!$G$201</f>
        <v>43794</v>
      </c>
      <c r="GJ1" s="142">
        <f>Bonds!$G$202</f>
        <v>43886</v>
      </c>
      <c r="GK1" s="142">
        <f>Bonds!$G$203</f>
        <v>43946</v>
      </c>
    </row>
    <row r="2" spans="1:193" s="145" customFormat="1" ht="12.75" hidden="1" customHeight="1" outlineLevel="1" thickBot="1">
      <c r="C2" s="145" t="s">
        <v>318</v>
      </c>
      <c r="D2" s="158" t="s">
        <v>321</v>
      </c>
      <c r="E2" s="158" t="s">
        <v>322</v>
      </c>
      <c r="H2" s="150" t="str">
        <f>INDEX(Bonds!$E$11:$E$144,MATCH($H$9,Bonds!$AU$11:$AU$144,0),1)</f>
        <v>IT0005086886</v>
      </c>
      <c r="I2" s="150" t="str">
        <f>INDEX(Bonds!$E$11:$E$144,MATCH($H$10,Bonds!$AU$11:$AU$144,0),1)</f>
        <v>IT0005107708</v>
      </c>
      <c r="J2" s="150" t="str">
        <f>INDEX(Bonds!$E$11:$E$144,MATCH($H$11,Bonds!$AU$11:$AU$144,0),1)</f>
        <v>IT0005246340</v>
      </c>
      <c r="K2" s="719">
        <f>VLOOKUP($H$2,Bonds!$E$11:$AU$143,20,0)</f>
        <v>0.52293999999999996</v>
      </c>
      <c r="L2" s="720">
        <f>VLOOKUP($H$2,Bonds!$E$11:$AU$143,21,0)</f>
        <v>4.0065315689882262</v>
      </c>
      <c r="M2" s="720">
        <f>VLOOKUP($H$2,Bonds!$E$11:$AU$143,22,0)</f>
        <v>-3.9818741576897483</v>
      </c>
      <c r="N2" s="720">
        <f>VLOOKUP($H$2,Bonds!$E$11:$AU$143,23,0)</f>
        <v>0.20378288127186067</v>
      </c>
      <c r="O2" s="720">
        <f>VLOOKUP($H$2,Bonds!$E$11:$AU$143,24,0)</f>
        <v>0.20128231623750417</v>
      </c>
      <c r="P2" s="881">
        <f>VLOOKUP($H$2,Bonds!$E$11:$AU$143,25,0)</f>
        <v>4.1205606849224807</v>
      </c>
      <c r="Q2" s="882">
        <f>VLOOKUP($H$2,Bonds!$E$11:$AU$143,26,0)</f>
        <v>6.1924069573444512E-3</v>
      </c>
      <c r="R2" s="867"/>
      <c r="S2" s="881">
        <f>VLOOKUP($I$2,Bonds!$E$11:$AU$143,20,0)</f>
        <v>0.23977999999999999</v>
      </c>
      <c r="T2" s="881">
        <f>VLOOKUP($I$2,Bonds!$E$11:$AU$143,21,0)</f>
        <v>2.1483311542465002</v>
      </c>
      <c r="U2" s="881">
        <f>VLOOKUP($H$2,Bonds!$E$11:$AU$143,22,0)</f>
        <v>-3.9818741576897483</v>
      </c>
      <c r="V2" s="881">
        <f>VLOOKUP($I$2,Bonds!$E$11:$AU$143,23,0)</f>
        <v>6.7893612453163985E-2</v>
      </c>
      <c r="W2" s="881">
        <f>VLOOKUP($I$2,Bonds!$E$11:$AU$143,24,0)</f>
        <v>6.7961804103255738E-2</v>
      </c>
      <c r="X2" s="881">
        <f>VLOOKUP($I$2,Bonds!$E$11:$AU$143,25,0)</f>
        <v>2.1893841064638764</v>
      </c>
      <c r="Y2" s="882">
        <f>VLOOKUP($I$2,Bonds!$E$11:$AU$143,26,0)</f>
        <v>-5.0181740055827134E-4</v>
      </c>
      <c r="Z2" s="867"/>
      <c r="AA2" s="881">
        <f>VLOOKUP($J$2,Bonds!$E$11:$AU$143,20,0)</f>
        <v>0.56215000000000004</v>
      </c>
      <c r="AB2" s="881">
        <f>VLOOKUP($J$2,Bonds!$E$11:$AU$143,21,0)</f>
        <v>5.8580429679536232</v>
      </c>
      <c r="AC2" s="881">
        <f>VLOOKUP($J$2,Bonds!$E$11:$AU$143,22,0)</f>
        <v>-5.7840192044190699</v>
      </c>
      <c r="AD2" s="881">
        <f>VLOOKUP($J$2,Bonds!$E$11:$AU$143,23,0)</f>
        <v>0.41478117936930431</v>
      </c>
      <c r="AE2" s="881">
        <f>VLOOKUP($J$2,Bonds!$E$11:$AU$143,24,0)</f>
        <v>0.40436484260223998</v>
      </c>
      <c r="AF2" s="881">
        <f>VLOOKUP($J$2,Bonds!$E$11:$AU$143,25,0)</f>
        <v>6.0137697402772972</v>
      </c>
      <c r="AG2" s="882">
        <f>VLOOKUP($J$2,Bonds!$E$11:$AU$143,26,0)</f>
        <v>1.2797972732069514E-2</v>
      </c>
      <c r="AH2" s="867"/>
      <c r="AI2" s="867"/>
      <c r="AJ2" s="867"/>
      <c r="AK2" s="867"/>
      <c r="AL2" s="867"/>
      <c r="AM2" s="867"/>
      <c r="AN2" s="867"/>
      <c r="AO2" s="867"/>
      <c r="AP2" s="867"/>
      <c r="AQ2" s="867"/>
      <c r="AR2" s="867"/>
    </row>
    <row r="3" spans="1:193" s="154" customFormat="1" ht="12.75" hidden="1" customHeight="1" outlineLevel="1">
      <c r="A3" s="145"/>
      <c r="B3" s="145"/>
      <c r="C3" s="151" t="s">
        <v>325</v>
      </c>
      <c r="K3" s="719"/>
      <c r="L3" s="720"/>
      <c r="M3" s="720"/>
      <c r="N3" s="720"/>
      <c r="O3" s="720"/>
      <c r="P3" s="881"/>
      <c r="Q3" s="881"/>
      <c r="R3" s="881"/>
      <c r="S3" s="881"/>
      <c r="T3" s="881"/>
      <c r="U3" s="881"/>
      <c r="V3" s="881"/>
      <c r="W3" s="881"/>
      <c r="X3" s="881"/>
      <c r="Y3" s="883"/>
      <c r="Z3" s="881"/>
      <c r="AA3" s="881"/>
      <c r="AB3" s="881"/>
      <c r="AC3" s="881"/>
      <c r="AD3" s="881"/>
      <c r="AE3" s="881"/>
      <c r="AF3" s="881"/>
      <c r="AG3" s="883"/>
      <c r="AH3" s="881"/>
      <c r="AI3" s="881"/>
      <c r="AJ3" s="881"/>
      <c r="AK3" s="881"/>
      <c r="AL3" s="881"/>
      <c r="AM3" s="881"/>
      <c r="AN3" s="881"/>
      <c r="AO3" s="881"/>
      <c r="AP3" s="881"/>
      <c r="AQ3" s="881"/>
      <c r="AR3" s="881"/>
    </row>
    <row r="4" spans="1:193" s="155" customFormat="1" ht="12.75" hidden="1" customHeight="1" outlineLevel="1">
      <c r="A4" s="145"/>
      <c r="B4" s="145"/>
      <c r="C4" s="152" t="s">
        <v>326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323</v>
      </c>
    </row>
    <row r="6" spans="1:193" s="157" customFormat="1" ht="12.75" hidden="1" customHeight="1" outlineLevel="1" thickBot="1">
      <c r="A6" s="145"/>
      <c r="B6" s="145"/>
      <c r="C6" s="153" t="s">
        <v>324</v>
      </c>
    </row>
    <row r="7" spans="1:193" s="867" customFormat="1" ht="12.75" customHeight="1" collapsed="1" thickBot="1"/>
    <row r="8" spans="1:193" ht="13.5" thickBot="1">
      <c r="E8" s="868" t="s">
        <v>320</v>
      </c>
      <c r="F8" s="908" t="s">
        <v>318</v>
      </c>
      <c r="J8" s="148" t="s">
        <v>328</v>
      </c>
    </row>
    <row r="9" spans="1:193" ht="13.5" thickBot="1">
      <c r="G9" s="146" t="s">
        <v>329</v>
      </c>
      <c r="H9" s="1019" t="s">
        <v>2084</v>
      </c>
      <c r="I9" s="1020"/>
      <c r="J9" s="149"/>
      <c r="N9" s="158"/>
    </row>
    <row r="10" spans="1:193" ht="13.5" thickBot="1">
      <c r="C10" s="143" t="s">
        <v>335</v>
      </c>
      <c r="D10" s="909">
        <v>44136</v>
      </c>
      <c r="G10" s="146" t="s">
        <v>330</v>
      </c>
      <c r="H10" s="1019" t="s">
        <v>2085</v>
      </c>
      <c r="I10" s="1020"/>
      <c r="J10" s="149"/>
      <c r="K10" s="147">
        <f>Q2-Y2</f>
        <v>6.6942243579027226E-3</v>
      </c>
      <c r="O10" s="148"/>
    </row>
    <row r="11" spans="1:193" ht="13.5" thickBot="1">
      <c r="C11" s="144" t="s">
        <v>336</v>
      </c>
      <c r="D11" s="910">
        <v>47543</v>
      </c>
      <c r="G11" s="146" t="s">
        <v>330</v>
      </c>
      <c r="H11" s="1019" t="s">
        <v>2083</v>
      </c>
      <c r="I11" s="1020"/>
      <c r="J11" s="149"/>
      <c r="K11" s="147">
        <f>(+Y2+AG2-(2*Q2))</f>
        <v>-8.8658583177660816E-5</v>
      </c>
    </row>
    <row r="13" spans="1:193" s="862" customFormat="1">
      <c r="E13" s="863"/>
      <c r="F13" s="863"/>
      <c r="G13" s="863"/>
      <c r="H13" s="863"/>
      <c r="I13" s="863"/>
      <c r="J13" s="863"/>
      <c r="K13" s="863"/>
      <c r="L13" s="863"/>
      <c r="M13" s="863"/>
      <c r="N13" s="863"/>
      <c r="O13" s="863"/>
      <c r="P13" s="863"/>
      <c r="Q13" s="863"/>
      <c r="R13" s="884"/>
      <c r="S13" s="884"/>
      <c r="T13" s="884"/>
      <c r="U13" s="884"/>
      <c r="V13" s="884"/>
      <c r="W13" s="884"/>
      <c r="X13" s="884"/>
      <c r="Y13" s="884"/>
      <c r="Z13" s="884"/>
      <c r="AA13" s="884"/>
      <c r="AB13" s="884"/>
      <c r="AC13" s="884"/>
      <c r="AD13" s="884"/>
      <c r="AE13" s="884"/>
      <c r="AF13" s="884"/>
      <c r="AG13" s="884"/>
      <c r="AH13" s="884"/>
      <c r="AI13" s="884"/>
      <c r="AJ13" s="884"/>
      <c r="AK13" s="884"/>
      <c r="AL13" s="884"/>
      <c r="AM13" s="884"/>
      <c r="AN13" s="884"/>
      <c r="AO13" s="884"/>
      <c r="AP13" s="884"/>
      <c r="AQ13" s="884"/>
      <c r="AR13" s="884"/>
      <c r="AS13" s="884"/>
      <c r="AT13" s="884"/>
      <c r="AU13" s="863"/>
      <c r="AV13" s="863"/>
      <c r="AW13" s="863"/>
      <c r="AX13" s="863"/>
      <c r="AY13" s="863"/>
      <c r="AZ13" s="863"/>
      <c r="BA13" s="863"/>
      <c r="BB13" s="863"/>
      <c r="BC13" s="863"/>
      <c r="BD13" s="863"/>
      <c r="BE13" s="863"/>
      <c r="BF13" s="863"/>
      <c r="BG13" s="863"/>
      <c r="BH13" s="863"/>
      <c r="BI13" s="863"/>
      <c r="BJ13" s="863"/>
      <c r="BK13" s="863"/>
      <c r="BL13" s="863"/>
      <c r="BM13" s="863"/>
      <c r="BN13" s="863"/>
      <c r="BO13" s="863"/>
      <c r="BP13" s="863"/>
      <c r="BQ13" s="863"/>
      <c r="BR13" s="863"/>
      <c r="BS13" s="863"/>
      <c r="BT13" s="863"/>
      <c r="BU13" s="863"/>
      <c r="BV13" s="863"/>
      <c r="BW13" s="863"/>
      <c r="BX13" s="863"/>
      <c r="BY13" s="863"/>
      <c r="BZ13" s="863"/>
      <c r="CA13" s="863"/>
      <c r="CB13" s="863"/>
      <c r="CC13" s="863"/>
      <c r="CD13" s="863"/>
      <c r="CE13" s="863"/>
    </row>
    <row r="14" spans="1:193" s="862" customFormat="1">
      <c r="E14" s="863"/>
      <c r="F14" s="863"/>
      <c r="G14" s="863"/>
      <c r="H14" s="863"/>
      <c r="I14" s="863"/>
      <c r="J14" s="863"/>
      <c r="K14" s="863"/>
      <c r="L14" s="863"/>
      <c r="M14" s="863"/>
      <c r="N14" s="863"/>
      <c r="O14" s="863"/>
      <c r="P14" s="863"/>
      <c r="Q14" s="863"/>
      <c r="R14" s="884"/>
      <c r="S14" s="884"/>
      <c r="T14" s="884"/>
      <c r="U14" s="884"/>
      <c r="V14" s="884"/>
      <c r="W14" s="884"/>
      <c r="X14" s="884"/>
      <c r="Y14" s="884"/>
      <c r="Z14" s="884"/>
      <c r="AA14" s="884"/>
      <c r="AB14" s="884"/>
      <c r="AC14" s="884"/>
      <c r="AD14" s="884"/>
      <c r="AE14" s="884"/>
      <c r="AF14" s="884"/>
      <c r="AG14" s="884"/>
      <c r="AH14" s="884"/>
      <c r="AI14" s="884"/>
      <c r="AJ14" s="884"/>
      <c r="AK14" s="884"/>
      <c r="AL14" s="884"/>
      <c r="AM14" s="884"/>
      <c r="AN14" s="884"/>
      <c r="AO14" s="884"/>
      <c r="AP14" s="884"/>
      <c r="AQ14" s="884"/>
      <c r="AR14" s="884"/>
      <c r="AS14" s="884"/>
      <c r="AT14" s="884"/>
      <c r="AU14" s="863"/>
      <c r="AV14" s="863"/>
      <c r="AW14" s="863"/>
      <c r="AX14" s="863"/>
      <c r="AY14" s="863"/>
      <c r="AZ14" s="863"/>
      <c r="BA14" s="863"/>
      <c r="BB14" s="863"/>
      <c r="BC14" s="863"/>
      <c r="BD14" s="863"/>
      <c r="BE14" s="863"/>
      <c r="BF14" s="863"/>
      <c r="BG14" s="863"/>
      <c r="BH14" s="863"/>
      <c r="BI14" s="863"/>
      <c r="BJ14" s="863"/>
      <c r="BK14" s="863"/>
      <c r="BL14" s="863"/>
      <c r="BM14" s="863"/>
      <c r="BN14" s="863"/>
      <c r="BO14" s="863"/>
      <c r="BP14" s="863"/>
      <c r="BQ14" s="863"/>
      <c r="BR14" s="863"/>
      <c r="BS14" s="863"/>
      <c r="BT14" s="863"/>
      <c r="BU14" s="863"/>
      <c r="BV14" s="863"/>
      <c r="BW14" s="863"/>
      <c r="BX14" s="863"/>
      <c r="BY14" s="863"/>
      <c r="BZ14" s="863"/>
      <c r="CA14" s="863"/>
      <c r="CB14" s="863"/>
      <c r="CC14" s="863"/>
      <c r="CD14" s="863"/>
      <c r="CE14" s="863"/>
    </row>
    <row r="15" spans="1:193" s="862" customFormat="1">
      <c r="C15" s="887"/>
      <c r="D15" s="919"/>
      <c r="E15" s="865"/>
      <c r="F15" s="922"/>
      <c r="G15" s="923"/>
      <c r="H15" s="865"/>
      <c r="I15" s="865"/>
      <c r="J15" s="865"/>
      <c r="K15" s="865"/>
      <c r="L15" s="865"/>
      <c r="M15" s="865"/>
      <c r="N15" s="865"/>
      <c r="O15" s="865"/>
      <c r="P15" s="865"/>
      <c r="Q15" s="865"/>
      <c r="R15" s="884"/>
      <c r="S15" s="884"/>
      <c r="T15" s="884"/>
      <c r="U15" s="884"/>
      <c r="V15" s="884"/>
      <c r="W15" s="884"/>
      <c r="X15" s="884"/>
      <c r="Y15" s="884"/>
      <c r="Z15" s="884"/>
      <c r="AA15" s="884"/>
      <c r="AB15" s="884"/>
      <c r="AC15" s="884"/>
      <c r="AD15" s="884"/>
      <c r="AE15" s="884"/>
      <c r="AF15" s="884"/>
      <c r="AG15" s="884"/>
      <c r="AH15" s="884"/>
      <c r="AI15" s="884"/>
      <c r="AJ15" s="884"/>
      <c r="AK15" s="884"/>
      <c r="AL15" s="884"/>
      <c r="AM15" s="884"/>
      <c r="AN15" s="884"/>
      <c r="AO15" s="884"/>
      <c r="AP15" s="884"/>
      <c r="AQ15" s="884"/>
      <c r="AR15" s="884"/>
      <c r="AS15" s="884"/>
      <c r="AT15" s="884"/>
      <c r="AU15" s="865"/>
      <c r="AV15" s="865"/>
      <c r="AW15" s="865"/>
      <c r="AX15" s="865"/>
      <c r="AY15" s="865"/>
      <c r="AZ15" s="865"/>
      <c r="BA15" s="865"/>
      <c r="BB15" s="865"/>
      <c r="BC15" s="865"/>
      <c r="BD15" s="865"/>
      <c r="BE15" s="865"/>
      <c r="BF15" s="865"/>
      <c r="BG15" s="865"/>
      <c r="BH15" s="865"/>
      <c r="BI15" s="865"/>
      <c r="BJ15" s="865"/>
      <c r="BK15" s="865"/>
      <c r="BL15" s="865"/>
      <c r="BM15" s="865"/>
      <c r="BN15" s="865"/>
      <c r="BO15" s="865"/>
      <c r="BP15" s="865"/>
      <c r="BQ15" s="865"/>
      <c r="BR15" s="865"/>
      <c r="BS15" s="865"/>
      <c r="BT15" s="865"/>
      <c r="BU15" s="865"/>
      <c r="BV15" s="865"/>
      <c r="BW15" s="865"/>
      <c r="BX15" s="865"/>
      <c r="BY15" s="865"/>
      <c r="BZ15" s="865"/>
      <c r="CA15" s="865"/>
      <c r="CB15" s="865"/>
      <c r="CC15" s="865"/>
      <c r="CD15" s="865"/>
      <c r="CE15" s="865"/>
    </row>
    <row r="16" spans="1:193" s="862" customFormat="1">
      <c r="C16" s="888"/>
      <c r="D16" s="920"/>
      <c r="E16" s="865"/>
      <c r="F16" s="924"/>
      <c r="G16" s="925"/>
      <c r="H16" s="865"/>
      <c r="I16" s="865"/>
      <c r="J16" s="865"/>
      <c r="K16" s="865"/>
      <c r="L16" s="865"/>
      <c r="M16" s="865"/>
      <c r="N16" s="865"/>
      <c r="O16" s="865"/>
      <c r="P16" s="865"/>
      <c r="Q16" s="865"/>
      <c r="R16" s="884"/>
      <c r="S16" s="884"/>
      <c r="T16" s="884"/>
      <c r="U16" s="884"/>
      <c r="V16" s="884"/>
      <c r="W16" s="884"/>
      <c r="X16" s="884"/>
      <c r="Y16" s="884"/>
      <c r="Z16" s="884"/>
      <c r="AA16" s="884"/>
      <c r="AB16" s="884"/>
      <c r="AC16" s="884"/>
      <c r="AD16" s="884"/>
      <c r="AE16" s="884"/>
      <c r="AF16" s="884"/>
      <c r="AG16" s="884"/>
      <c r="AH16" s="884"/>
      <c r="AI16" s="884"/>
      <c r="AJ16" s="884"/>
      <c r="AK16" s="884"/>
      <c r="AL16" s="884"/>
      <c r="AM16" s="884"/>
      <c r="AN16" s="884"/>
      <c r="AO16" s="884"/>
      <c r="AP16" s="884"/>
      <c r="AQ16" s="884"/>
      <c r="AR16" s="884"/>
      <c r="AS16" s="884"/>
      <c r="AT16" s="884"/>
      <c r="AU16" s="865"/>
      <c r="AV16" s="865"/>
      <c r="AW16" s="865"/>
      <c r="AX16" s="865"/>
      <c r="AY16" s="865"/>
      <c r="AZ16" s="865"/>
      <c r="BA16" s="865"/>
      <c r="BB16" s="865"/>
      <c r="BC16" s="865"/>
      <c r="BD16" s="865"/>
      <c r="BE16" s="865"/>
      <c r="BF16" s="865"/>
      <c r="BG16" s="865"/>
      <c r="BH16" s="865"/>
      <c r="BI16" s="865"/>
      <c r="BJ16" s="865"/>
      <c r="BK16" s="865"/>
      <c r="BL16" s="865"/>
      <c r="BM16" s="865"/>
      <c r="BN16" s="865"/>
      <c r="BO16" s="865"/>
      <c r="BP16" s="865"/>
      <c r="BQ16" s="865"/>
      <c r="BR16" s="865"/>
      <c r="BS16" s="865"/>
      <c r="BT16" s="865"/>
      <c r="BU16" s="865"/>
      <c r="BV16" s="865"/>
      <c r="BW16" s="865"/>
      <c r="BX16" s="865"/>
      <c r="BY16" s="865"/>
      <c r="BZ16" s="865"/>
      <c r="CA16" s="865"/>
      <c r="CB16" s="865"/>
      <c r="CC16" s="865"/>
      <c r="CD16" s="865"/>
      <c r="CE16" s="865"/>
    </row>
    <row r="17" spans="2:83" s="862" customFormat="1">
      <c r="C17" s="888"/>
      <c r="D17" s="920"/>
      <c r="E17" s="865"/>
      <c r="F17" s="924"/>
      <c r="G17" s="925"/>
      <c r="H17" s="865"/>
      <c r="I17" s="865"/>
      <c r="J17" s="865"/>
      <c r="K17" s="865"/>
      <c r="L17" s="865"/>
      <c r="M17" s="865"/>
      <c r="N17" s="865"/>
      <c r="O17" s="865"/>
      <c r="P17" s="865"/>
      <c r="Q17" s="865"/>
      <c r="R17" s="884"/>
      <c r="S17" s="884"/>
      <c r="T17" s="884"/>
      <c r="U17" s="884"/>
      <c r="V17" s="884"/>
      <c r="W17" s="884"/>
      <c r="X17" s="884"/>
      <c r="Y17" s="884"/>
      <c r="Z17" s="884"/>
      <c r="AA17" s="884"/>
      <c r="AB17" s="884"/>
      <c r="AC17" s="884"/>
      <c r="AD17" s="884"/>
      <c r="AE17" s="884"/>
      <c r="AF17" s="884"/>
      <c r="AG17" s="884"/>
      <c r="AH17" s="884"/>
      <c r="AI17" s="884"/>
      <c r="AJ17" s="884"/>
      <c r="AK17" s="884"/>
      <c r="AL17" s="884"/>
      <c r="AM17" s="884"/>
      <c r="AN17" s="884"/>
      <c r="AO17" s="884"/>
      <c r="AP17" s="884"/>
      <c r="AQ17" s="884"/>
      <c r="AR17" s="884"/>
      <c r="AS17" s="884"/>
      <c r="AT17" s="884"/>
      <c r="AU17" s="865"/>
      <c r="AV17" s="865"/>
      <c r="AW17" s="865"/>
      <c r="AX17" s="865"/>
      <c r="AY17" s="865"/>
      <c r="AZ17" s="865"/>
      <c r="BA17" s="865"/>
      <c r="BB17" s="865"/>
      <c r="BC17" s="865"/>
      <c r="BD17" s="865"/>
      <c r="BE17" s="865"/>
      <c r="BF17" s="865"/>
      <c r="BG17" s="865"/>
      <c r="BH17" s="865"/>
      <c r="BI17" s="865"/>
      <c r="BJ17" s="865"/>
      <c r="BK17" s="865"/>
      <c r="BL17" s="865"/>
      <c r="BM17" s="865"/>
      <c r="BN17" s="865"/>
      <c r="BO17" s="865"/>
      <c r="BP17" s="865"/>
      <c r="BQ17" s="865"/>
      <c r="BR17" s="865"/>
      <c r="BS17" s="865"/>
      <c r="BT17" s="865"/>
      <c r="BU17" s="865"/>
      <c r="BV17" s="865"/>
      <c r="BW17" s="865"/>
      <c r="BX17" s="865"/>
      <c r="BY17" s="865"/>
      <c r="BZ17" s="865"/>
      <c r="CA17" s="865"/>
      <c r="CB17" s="865"/>
      <c r="CC17" s="865"/>
      <c r="CD17" s="865"/>
      <c r="CE17" s="865"/>
    </row>
    <row r="18" spans="2:83" s="862" customFormat="1">
      <c r="C18" s="889"/>
      <c r="D18" s="921"/>
      <c r="E18" s="865"/>
      <c r="F18" s="926"/>
      <c r="G18" s="927"/>
      <c r="H18" s="864"/>
      <c r="I18" s="864"/>
      <c r="J18" s="864"/>
      <c r="K18" s="864"/>
      <c r="L18" s="864"/>
      <c r="M18" s="864"/>
      <c r="N18" s="864"/>
      <c r="O18" s="864"/>
      <c r="P18" s="864"/>
      <c r="Q18" s="864"/>
      <c r="R18" s="872"/>
      <c r="S18" s="872"/>
      <c r="T18" s="872"/>
      <c r="U18" s="872"/>
      <c r="V18" s="872"/>
      <c r="W18" s="872"/>
      <c r="X18" s="872"/>
      <c r="Y18" s="872"/>
      <c r="Z18" s="872"/>
      <c r="AA18" s="872"/>
      <c r="AB18" s="872"/>
      <c r="AC18" s="872"/>
      <c r="AD18" s="872"/>
      <c r="AE18" s="872"/>
      <c r="AF18" s="872"/>
      <c r="AG18" s="872"/>
      <c r="AH18" s="872"/>
      <c r="AI18" s="872"/>
      <c r="AJ18" s="872"/>
      <c r="AK18" s="872"/>
      <c r="AL18" s="872"/>
      <c r="AM18" s="872"/>
      <c r="AN18" s="872"/>
      <c r="AO18" s="872"/>
      <c r="AP18" s="872"/>
      <c r="AQ18" s="872"/>
      <c r="AR18" s="872"/>
      <c r="AS18" s="872"/>
      <c r="AT18" s="872"/>
      <c r="AU18" s="864"/>
      <c r="AV18" s="864"/>
      <c r="AW18" s="864"/>
      <c r="AX18" s="864"/>
      <c r="AY18" s="864"/>
      <c r="AZ18" s="864"/>
      <c r="BA18" s="864"/>
      <c r="BB18" s="864"/>
      <c r="BC18" s="864"/>
      <c r="BD18" s="864"/>
      <c r="BE18" s="864"/>
      <c r="BF18" s="864"/>
      <c r="BG18" s="864"/>
      <c r="BH18" s="864"/>
      <c r="BI18" s="864"/>
      <c r="BJ18" s="864"/>
      <c r="BK18" s="864"/>
      <c r="BL18" s="864"/>
      <c r="BM18" s="864"/>
      <c r="BN18" s="864"/>
      <c r="BO18" s="864"/>
      <c r="BP18" s="864"/>
      <c r="BQ18" s="864"/>
      <c r="BR18" s="864"/>
      <c r="BS18" s="864"/>
      <c r="BT18" s="864"/>
      <c r="BU18" s="864"/>
      <c r="BV18" s="864"/>
      <c r="BW18" s="864"/>
      <c r="BX18" s="864"/>
      <c r="BY18" s="864"/>
      <c r="BZ18" s="864"/>
      <c r="CA18" s="864"/>
      <c r="CB18" s="864"/>
      <c r="CC18" s="864"/>
      <c r="CD18" s="864"/>
      <c r="CE18" s="864"/>
    </row>
    <row r="19" spans="2:83" s="862" customFormat="1">
      <c r="E19" s="865"/>
      <c r="J19" s="870"/>
      <c r="K19" s="864"/>
      <c r="L19" s="864"/>
      <c r="M19" s="864"/>
      <c r="N19" s="864"/>
      <c r="P19" s="864"/>
      <c r="Q19" s="864"/>
      <c r="R19" s="872"/>
      <c r="S19" s="872"/>
      <c r="T19" s="872"/>
      <c r="U19" s="872"/>
      <c r="V19" s="872"/>
      <c r="W19" s="872"/>
      <c r="X19" s="872"/>
      <c r="Y19" s="872"/>
      <c r="Z19" s="872"/>
      <c r="AA19" s="872"/>
      <c r="AB19" s="872"/>
      <c r="AC19" s="872"/>
      <c r="AD19" s="872"/>
      <c r="AE19" s="872"/>
      <c r="AF19" s="872"/>
      <c r="AG19" s="872"/>
      <c r="AH19" s="872"/>
      <c r="AI19" s="872"/>
      <c r="AJ19" s="872"/>
      <c r="AK19" s="872"/>
      <c r="AL19" s="872"/>
      <c r="AM19" s="872"/>
      <c r="AN19" s="872"/>
      <c r="AO19" s="872"/>
      <c r="AP19" s="872"/>
      <c r="AQ19" s="872"/>
      <c r="AR19" s="872"/>
      <c r="AS19" s="872"/>
      <c r="AT19" s="872"/>
      <c r="AU19" s="864"/>
      <c r="AV19" s="864"/>
      <c r="AW19" s="864"/>
      <c r="AX19" s="864"/>
      <c r="AY19" s="864"/>
      <c r="AZ19" s="864"/>
      <c r="BA19" s="864"/>
      <c r="BB19" s="864"/>
      <c r="BC19" s="864"/>
      <c r="BD19" s="864"/>
      <c r="BE19" s="864"/>
      <c r="BF19" s="864"/>
      <c r="BG19" s="864"/>
      <c r="BH19" s="864"/>
      <c r="BI19" s="864"/>
      <c r="BJ19" s="864"/>
      <c r="BK19" s="864"/>
      <c r="BL19" s="864"/>
      <c r="BM19" s="864"/>
      <c r="BN19" s="864"/>
      <c r="BO19" s="864"/>
      <c r="BP19" s="864"/>
      <c r="BQ19" s="864"/>
      <c r="BR19" s="864"/>
      <c r="BS19" s="864"/>
      <c r="BT19" s="864"/>
      <c r="BU19" s="864"/>
      <c r="BV19" s="864"/>
      <c r="BW19" s="864"/>
      <c r="BX19" s="864"/>
      <c r="BY19" s="864"/>
      <c r="BZ19" s="864"/>
      <c r="CA19" s="864"/>
      <c r="CB19" s="864"/>
      <c r="CC19" s="864"/>
      <c r="CD19" s="864"/>
      <c r="CE19" s="864"/>
    </row>
    <row r="20" spans="2:83" s="862" customFormat="1" ht="13.5" thickBot="1">
      <c r="C20" s="877" t="s">
        <v>2047</v>
      </c>
      <c r="D20" s="878">
        <f>Today</f>
        <v>43160</v>
      </c>
      <c r="E20" s="915">
        <f>COUNT($M$23:$AP$23)</f>
        <v>1</v>
      </c>
      <c r="G20" s="915">
        <f>COUNT(YieldSpread)</f>
        <v>25</v>
      </c>
      <c r="H20" s="916" t="s">
        <v>2046</v>
      </c>
      <c r="J20" s="871" t="s">
        <v>2048</v>
      </c>
      <c r="K20" s="873"/>
      <c r="N20" s="864"/>
      <c r="AS20" s="872"/>
      <c r="AT20" s="872"/>
      <c r="AU20" s="864"/>
      <c r="AV20" s="864"/>
      <c r="AW20" s="864"/>
      <c r="AX20" s="864"/>
      <c r="AY20" s="864"/>
      <c r="AZ20" s="864"/>
      <c r="BA20" s="864"/>
      <c r="BB20" s="864"/>
      <c r="BC20" s="864"/>
      <c r="BD20" s="864"/>
      <c r="BE20" s="864"/>
      <c r="BF20" s="864"/>
      <c r="BG20" s="864"/>
      <c r="BH20" s="864"/>
      <c r="BI20" s="864"/>
      <c r="BJ20" s="864"/>
      <c r="BK20" s="864"/>
      <c r="BL20" s="864"/>
      <c r="BM20" s="864"/>
      <c r="BN20" s="864"/>
      <c r="BO20" s="864"/>
      <c r="BP20" s="864"/>
      <c r="BQ20" s="864"/>
      <c r="BR20" s="864"/>
      <c r="BS20" s="864"/>
      <c r="BT20" s="864"/>
      <c r="BU20" s="864"/>
      <c r="BV20" s="864"/>
      <c r="BW20" s="864"/>
      <c r="BX20" s="864"/>
      <c r="BY20" s="864"/>
      <c r="BZ20" s="864"/>
      <c r="CA20" s="864"/>
      <c r="CB20" s="864"/>
      <c r="CC20" s="864"/>
      <c r="CD20" s="864"/>
      <c r="CE20" s="864"/>
    </row>
    <row r="21" spans="2:83" s="862" customFormat="1" ht="12.75" customHeight="1" thickBot="1">
      <c r="C21" s="874" t="s">
        <v>2045</v>
      </c>
      <c r="D21" s="875" t="s">
        <v>741</v>
      </c>
      <c r="E21" s="875" t="str">
        <f>_xll.GenericSql("SELECT INSTRUMENT FROM FIN.BONDS_LIST WHERE ISIN='"&amp;D21&amp;"'",FALSE)</f>
        <v>BTP 01-sep-28 4.75%</v>
      </c>
      <c r="F21" s="876"/>
      <c r="G21" s="876"/>
      <c r="H21" s="917">
        <f>VLOOKUP($D21,Bonds!$E$11:$AM$347,26,FALSE)*100</f>
        <v>2.1266737679804191</v>
      </c>
      <c r="J21" s="918">
        <v>43154</v>
      </c>
      <c r="K21" s="864"/>
      <c r="L21" s="864"/>
      <c r="N21" s="864"/>
      <c r="O21" s="905"/>
      <c r="P21" s="906"/>
      <c r="Q21" s="906"/>
      <c r="R21" s="906"/>
      <c r="S21" s="906"/>
      <c r="T21" s="906"/>
      <c r="U21" s="906"/>
      <c r="V21" s="906"/>
      <c r="W21" s="906"/>
      <c r="X21" s="906"/>
      <c r="Y21" s="906"/>
      <c r="Z21" s="906"/>
      <c r="AA21" s="906"/>
      <c r="AB21" s="906"/>
      <c r="AC21" s="906"/>
      <c r="AD21" s="906"/>
      <c r="AE21" s="906"/>
      <c r="AF21" s="906"/>
      <c r="AG21" s="906"/>
      <c r="AH21" s="906"/>
      <c r="AI21" s="906"/>
      <c r="AJ21" s="906"/>
      <c r="AK21" s="906"/>
      <c r="AL21" s="906"/>
      <c r="AM21" s="906"/>
      <c r="AN21" s="906"/>
      <c r="AO21" s="906"/>
      <c r="AP21" s="906"/>
      <c r="AQ21" s="906"/>
      <c r="AR21" s="906"/>
      <c r="AS21" s="872"/>
      <c r="AT21" s="872"/>
      <c r="AU21" s="864"/>
      <c r="AV21" s="864"/>
      <c r="AW21" s="864"/>
      <c r="AX21" s="864"/>
      <c r="AY21" s="864"/>
      <c r="AZ21" s="864"/>
      <c r="BA21" s="864"/>
      <c r="BB21" s="864"/>
      <c r="BC21" s="864"/>
      <c r="BD21" s="864"/>
      <c r="BE21" s="864"/>
      <c r="BF21" s="864"/>
      <c r="BG21" s="864"/>
      <c r="BH21" s="864"/>
      <c r="BI21" s="864"/>
      <c r="BJ21" s="864"/>
      <c r="BK21" s="864"/>
      <c r="BL21" s="864"/>
      <c r="BM21" s="864"/>
      <c r="BN21" s="864"/>
      <c r="BO21" s="864"/>
      <c r="BP21" s="864"/>
      <c r="BQ21" s="864"/>
      <c r="BR21" s="864"/>
      <c r="BS21" s="864"/>
      <c r="BT21" s="864"/>
      <c r="BU21" s="864"/>
      <c r="BV21" s="864"/>
      <c r="BW21" s="864"/>
      <c r="BX21" s="864"/>
      <c r="BY21" s="864"/>
      <c r="BZ21" s="864"/>
      <c r="CA21" s="864"/>
      <c r="CB21" s="864"/>
      <c r="CC21" s="864"/>
      <c r="CD21" s="864"/>
      <c r="CE21" s="864"/>
    </row>
    <row r="22" spans="2:83" s="862" customFormat="1" ht="12.75" customHeight="1" thickBot="1">
      <c r="D22" s="865"/>
      <c r="E22" s="864"/>
      <c r="F22" s="864"/>
      <c r="G22" s="864"/>
      <c r="H22" s="864"/>
      <c r="J22" s="864"/>
      <c r="K22" s="864"/>
      <c r="L22" s="864"/>
      <c r="M22" s="886">
        <v>43159</v>
      </c>
      <c r="N22" s="886"/>
      <c r="O22" s="886"/>
      <c r="P22" s="886"/>
      <c r="Q22" s="886"/>
      <c r="R22" s="886"/>
      <c r="S22" s="886"/>
      <c r="T22" s="886"/>
      <c r="U22" s="886"/>
      <c r="V22" s="886"/>
      <c r="W22" s="886"/>
      <c r="X22" s="886"/>
      <c r="Y22" s="886"/>
      <c r="Z22" s="886"/>
      <c r="AA22" s="886"/>
      <c r="AB22" s="886"/>
      <c r="AC22" s="886"/>
      <c r="AD22" s="886"/>
      <c r="AE22" s="886"/>
      <c r="AF22" s="886"/>
      <c r="AG22" s="886"/>
      <c r="AH22" s="886"/>
      <c r="AI22" s="886"/>
      <c r="AJ22" s="886"/>
      <c r="AK22" s="886"/>
      <c r="AL22" s="886"/>
      <c r="AM22" s="886"/>
      <c r="AN22" s="886"/>
      <c r="AO22" s="886"/>
      <c r="AP22" s="886"/>
      <c r="AS22" s="872"/>
      <c r="AT22" s="872"/>
      <c r="AU22" s="864"/>
      <c r="AV22" s="864"/>
      <c r="AW22" s="864"/>
      <c r="AX22" s="864"/>
      <c r="AY22" s="864"/>
      <c r="AZ22" s="864"/>
      <c r="BA22" s="864"/>
      <c r="BB22" s="864"/>
      <c r="BC22" s="864"/>
      <c r="BD22" s="864"/>
      <c r="BE22" s="864"/>
      <c r="BF22" s="864"/>
      <c r="BG22" s="864"/>
      <c r="BH22" s="864"/>
      <c r="BI22" s="864"/>
      <c r="BJ22" s="864"/>
      <c r="BK22" s="864"/>
      <c r="BL22" s="864"/>
      <c r="BM22" s="864"/>
      <c r="BN22" s="864"/>
      <c r="BO22" s="864"/>
      <c r="BP22" s="864"/>
      <c r="BQ22" s="864"/>
      <c r="BR22" s="864"/>
      <c r="BS22" s="864"/>
      <c r="BT22" s="864"/>
      <c r="BU22" s="864"/>
      <c r="BV22" s="864"/>
      <c r="BW22" s="864"/>
      <c r="BX22" s="864"/>
      <c r="BY22" s="864"/>
      <c r="BZ22" s="864"/>
      <c r="CA22" s="864"/>
      <c r="CB22" s="864"/>
      <c r="CC22" s="864"/>
      <c r="CD22" s="864"/>
      <c r="CE22" s="864"/>
    </row>
    <row r="23" spans="2:83" s="862" customFormat="1">
      <c r="B23" s="912">
        <v>1</v>
      </c>
      <c r="D23" s="869" t="s">
        <v>429</v>
      </c>
      <c r="E23" s="1017" t="str">
        <f>_xll.GenericSql("SELECT INSTRUMENT FROM FIN.BONDS_LIST WHERE ISIN='"&amp;D23&amp;"'",FALSE)</f>
        <v>BTP 01-sep-24 3.75%</v>
      </c>
      <c r="F23" s="1017"/>
      <c r="G23" s="1017"/>
      <c r="H23" s="928">
        <f>IF(VLOOKUP($D23,Bonds!$E$11:$AM$347,26,FALSE)*100-$H$21&gt;0,VLOOKUP($D23,Bonds!$E$11:$AM$347,26,FALSE)*100-$H$21,$H$21-VLOOKUP($D23,Bonds!$E$11:$AM$347,26,FALSE)*100)</f>
        <v>0.7759578974696395</v>
      </c>
      <c r="J23" s="911" t="str">
        <f>IF(ISNUMBER(HLOOKUP($J$21,$M$23:$AR$47,$B23+1,FALSE)),$H23-HLOOKUP($J$21,$M$23:$AR$47,$B23+1,FALSE),"NO DATA")</f>
        <v>NO DATA</v>
      </c>
      <c r="M23" s="890">
        <v>0.77387498181252146</v>
      </c>
      <c r="N23" s="891"/>
      <c r="O23" s="891"/>
      <c r="P23" s="891"/>
      <c r="Q23" s="891"/>
      <c r="R23" s="891"/>
      <c r="S23" s="891"/>
      <c r="T23" s="891"/>
      <c r="U23" s="891"/>
      <c r="V23" s="891"/>
      <c r="W23" s="891"/>
      <c r="X23" s="891"/>
      <c r="Y23" s="891"/>
      <c r="Z23" s="891"/>
      <c r="AA23" s="891"/>
      <c r="AB23" s="891"/>
      <c r="AC23" s="891"/>
      <c r="AD23" s="891"/>
      <c r="AE23" s="891"/>
      <c r="AF23" s="891"/>
      <c r="AG23" s="891"/>
      <c r="AH23" s="891"/>
      <c r="AI23" s="891"/>
      <c r="AJ23" s="891"/>
      <c r="AK23" s="891"/>
      <c r="AL23" s="891"/>
      <c r="AM23" s="891"/>
      <c r="AN23" s="891"/>
      <c r="AO23" s="891"/>
      <c r="AP23" s="892"/>
      <c r="AU23" s="864"/>
      <c r="AV23" s="864"/>
      <c r="AW23" s="864"/>
      <c r="AX23" s="864"/>
      <c r="AY23" s="864"/>
      <c r="AZ23" s="864"/>
      <c r="BA23" s="864"/>
      <c r="BB23" s="864"/>
      <c r="BC23" s="864"/>
      <c r="BD23" s="864"/>
      <c r="BE23" s="864"/>
      <c r="BF23" s="864"/>
      <c r="BG23" s="864"/>
      <c r="BH23" s="864"/>
      <c r="BI23" s="864"/>
      <c r="BJ23" s="864"/>
      <c r="BK23" s="864"/>
      <c r="BL23" s="864"/>
      <c r="BM23" s="864"/>
      <c r="BN23" s="864"/>
      <c r="BO23" s="864"/>
      <c r="BP23" s="864"/>
      <c r="BQ23" s="864"/>
      <c r="BR23" s="864"/>
      <c r="BS23" s="864"/>
      <c r="BT23" s="864"/>
      <c r="BU23" s="864"/>
      <c r="BV23" s="864"/>
      <c r="BW23" s="864"/>
      <c r="BX23" s="864"/>
      <c r="BY23" s="864"/>
      <c r="BZ23" s="864"/>
      <c r="CA23" s="864"/>
      <c r="CB23" s="864"/>
      <c r="CC23" s="864"/>
      <c r="CD23" s="864"/>
      <c r="CE23" s="864"/>
    </row>
    <row r="24" spans="2:83" s="862" customFormat="1">
      <c r="B24" s="912">
        <f>B23+1</f>
        <v>2</v>
      </c>
      <c r="D24" s="869" t="s">
        <v>1019</v>
      </c>
      <c r="E24" s="1017" t="str">
        <f>_xll.GenericSql("SELECT INSTRUMENT FROM FIN.BONDS_LIST WHERE ISIN='"&amp;D24&amp;"'",FALSE)</f>
        <v>BTP 15-nov-24 1.45%</v>
      </c>
      <c r="F24" s="1017"/>
      <c r="G24" s="1017"/>
      <c r="H24" s="929">
        <f>IF(VLOOKUP($D24,Bonds!$E$11:$AM$347,26,FALSE)*100-$H$21&gt;0,VLOOKUP($D24,Bonds!$E$11:$AM$347,26,FALSE)*100-$H$21,$H$21-VLOOKUP($D24,Bonds!$E$11:$AM$347,26,FALSE)*100)</f>
        <v>0.70396128073874009</v>
      </c>
      <c r="J24" s="913" t="str">
        <f t="shared" ref="J24:J47" si="0">IF(ISNUMBER(HLOOKUP($J$21,$M$23:$AR$47,$B24+1,FALSE)),$H24-HLOOKUP($J$21,$M$23:$AR$47,$B24+1,FALSE),"NO DATA")</f>
        <v>NO DATA</v>
      </c>
      <c r="M24" s="893">
        <v>0.70051514925706204</v>
      </c>
      <c r="N24" s="894"/>
      <c r="O24" s="894"/>
      <c r="P24" s="894"/>
      <c r="Q24" s="894"/>
      <c r="R24" s="894"/>
      <c r="S24" s="894"/>
      <c r="T24" s="894"/>
      <c r="U24" s="894"/>
      <c r="V24" s="894"/>
      <c r="W24" s="894"/>
      <c r="X24" s="894"/>
      <c r="Y24" s="894"/>
      <c r="Z24" s="894"/>
      <c r="AA24" s="894"/>
      <c r="AB24" s="894"/>
      <c r="AC24" s="894"/>
      <c r="AD24" s="894"/>
      <c r="AE24" s="894"/>
      <c r="AF24" s="894"/>
      <c r="AG24" s="894"/>
      <c r="AH24" s="894"/>
      <c r="AI24" s="894"/>
      <c r="AJ24" s="894"/>
      <c r="AK24" s="894"/>
      <c r="AL24" s="894"/>
      <c r="AM24" s="894"/>
      <c r="AN24" s="894"/>
      <c r="AO24" s="894"/>
      <c r="AP24" s="895"/>
      <c r="AU24" s="864"/>
      <c r="AV24" s="864"/>
      <c r="AW24" s="864"/>
      <c r="AX24" s="864"/>
      <c r="AY24" s="864"/>
      <c r="AZ24" s="864"/>
      <c r="BA24" s="864"/>
      <c r="BB24" s="864"/>
      <c r="BC24" s="864"/>
      <c r="BD24" s="864"/>
      <c r="BE24" s="864"/>
      <c r="BF24" s="864"/>
      <c r="BG24" s="864"/>
      <c r="BH24" s="864"/>
      <c r="BI24" s="864"/>
      <c r="BJ24" s="864"/>
      <c r="BK24" s="864"/>
      <c r="BL24" s="864"/>
      <c r="BM24" s="864"/>
      <c r="BN24" s="864"/>
      <c r="BO24" s="864"/>
      <c r="BP24" s="864"/>
      <c r="BQ24" s="864"/>
      <c r="BR24" s="864"/>
      <c r="BS24" s="864"/>
      <c r="BT24" s="864"/>
      <c r="BU24" s="864"/>
      <c r="BV24" s="864"/>
      <c r="BW24" s="864"/>
      <c r="BX24" s="864"/>
      <c r="BY24" s="864"/>
      <c r="BZ24" s="864"/>
      <c r="CA24" s="864"/>
      <c r="CB24" s="864"/>
      <c r="CC24" s="864"/>
      <c r="CD24" s="864"/>
      <c r="CE24" s="864"/>
    </row>
    <row r="25" spans="2:83" s="862" customFormat="1">
      <c r="B25" s="912">
        <f t="shared" ref="B25:B47" si="1">B24+1</f>
        <v>3</v>
      </c>
      <c r="D25" s="869" t="s">
        <v>430</v>
      </c>
      <c r="E25" s="1017" t="str">
        <f>_xll.GenericSql("SELECT INSTRUMENT FROM FIN.BONDS_LIST WHERE ISIN='"&amp;D25&amp;"'",FALSE)</f>
        <v>BTP 01-dec-24 2.5%</v>
      </c>
      <c r="F25" s="1017"/>
      <c r="G25" s="1017"/>
      <c r="H25" s="929">
        <f>IF(VLOOKUP($D25,Bonds!$E$11:$AM$347,26,FALSE)*100-$H$21&gt;0,VLOOKUP($D25,Bonds!$E$11:$AM$347,26,FALSE)*100-$H$21,$H$21-VLOOKUP($D25,Bonds!$E$11:$AM$347,26,FALSE)*100)</f>
        <v>0.69557099301576475</v>
      </c>
      <c r="J25" s="913" t="str">
        <f t="shared" si="0"/>
        <v>NO DATA</v>
      </c>
      <c r="M25" s="893">
        <v>0.69420736522291371</v>
      </c>
      <c r="N25" s="894"/>
      <c r="O25" s="894"/>
      <c r="P25" s="894"/>
      <c r="Q25" s="894"/>
      <c r="R25" s="894"/>
      <c r="S25" s="894"/>
      <c r="T25" s="894"/>
      <c r="U25" s="894"/>
      <c r="V25" s="894"/>
      <c r="W25" s="894"/>
      <c r="X25" s="894"/>
      <c r="Y25" s="894"/>
      <c r="Z25" s="894"/>
      <c r="AA25" s="894"/>
      <c r="AB25" s="894"/>
      <c r="AC25" s="894"/>
      <c r="AD25" s="894"/>
      <c r="AE25" s="894"/>
      <c r="AF25" s="894"/>
      <c r="AG25" s="894"/>
      <c r="AH25" s="894"/>
      <c r="AI25" s="894"/>
      <c r="AJ25" s="894"/>
      <c r="AK25" s="894"/>
      <c r="AL25" s="894"/>
      <c r="AM25" s="894"/>
      <c r="AN25" s="894"/>
      <c r="AO25" s="894"/>
      <c r="AP25" s="895"/>
      <c r="AU25" s="864"/>
      <c r="AV25" s="864"/>
      <c r="AW25" s="864"/>
      <c r="AX25" s="864"/>
      <c r="AY25" s="864"/>
      <c r="AZ25" s="864"/>
      <c r="BA25" s="864"/>
      <c r="BB25" s="864"/>
      <c r="BC25" s="864"/>
      <c r="BD25" s="864"/>
      <c r="BE25" s="864"/>
      <c r="BF25" s="864"/>
      <c r="BG25" s="864"/>
      <c r="BH25" s="864"/>
      <c r="BI25" s="864"/>
      <c r="BJ25" s="864"/>
      <c r="BK25" s="864"/>
      <c r="BL25" s="864"/>
      <c r="BM25" s="864"/>
      <c r="BN25" s="864"/>
      <c r="BO25" s="864"/>
      <c r="BP25" s="864"/>
      <c r="BQ25" s="864"/>
      <c r="BR25" s="864"/>
      <c r="BS25" s="864"/>
      <c r="BT25" s="864"/>
      <c r="BU25" s="864"/>
      <c r="BV25" s="864"/>
      <c r="BW25" s="864"/>
      <c r="BX25" s="864"/>
      <c r="BY25" s="864"/>
      <c r="BZ25" s="864"/>
      <c r="CA25" s="864"/>
      <c r="CB25" s="864"/>
      <c r="CC25" s="864"/>
      <c r="CD25" s="864"/>
      <c r="CE25" s="864"/>
    </row>
    <row r="26" spans="2:83" s="862" customFormat="1">
      <c r="B26" s="912">
        <f>B25+1</f>
        <v>4</v>
      </c>
      <c r="D26" s="869" t="s">
        <v>737</v>
      </c>
      <c r="E26" s="1017" t="str">
        <f>_xll.GenericSql("SELECT INSTRUMENT FROM FIN.BONDS_LIST WHERE ISIN='"&amp;D26&amp;"'",FALSE)</f>
        <v>BTP 01-mar-25 5%</v>
      </c>
      <c r="F26" s="1017"/>
      <c r="G26" s="1017"/>
      <c r="H26" s="929">
        <f>IF(VLOOKUP($D26,Bonds!$E$11:$AM$347,26,FALSE)*100-$H$21&gt;0,VLOOKUP($D26,Bonds!$E$11:$AM$347,26,FALSE)*100-$H$21,$H$21-VLOOKUP($D26,Bonds!$E$11:$AM$347,26,FALSE)*100)</f>
        <v>0.65772506180720014</v>
      </c>
      <c r="J26" s="913" t="str">
        <f t="shared" si="0"/>
        <v>NO DATA</v>
      </c>
      <c r="M26" s="893">
        <v>0.6529698727380675</v>
      </c>
      <c r="N26" s="894"/>
      <c r="O26" s="894"/>
      <c r="P26" s="894"/>
      <c r="Q26" s="894"/>
      <c r="R26" s="894"/>
      <c r="S26" s="894"/>
      <c r="T26" s="894"/>
      <c r="U26" s="894"/>
      <c r="V26" s="894"/>
      <c r="W26" s="894"/>
      <c r="X26" s="894"/>
      <c r="Y26" s="894"/>
      <c r="Z26" s="894"/>
      <c r="AA26" s="894"/>
      <c r="AB26" s="894"/>
      <c r="AC26" s="894"/>
      <c r="AD26" s="894"/>
      <c r="AE26" s="894"/>
      <c r="AF26" s="894"/>
      <c r="AG26" s="894"/>
      <c r="AH26" s="894"/>
      <c r="AI26" s="894"/>
      <c r="AJ26" s="894"/>
      <c r="AK26" s="894"/>
      <c r="AL26" s="894"/>
      <c r="AM26" s="894"/>
      <c r="AN26" s="894"/>
      <c r="AO26" s="894"/>
      <c r="AP26" s="895"/>
      <c r="AU26" s="864"/>
      <c r="AV26" s="864"/>
      <c r="AW26" s="864"/>
      <c r="AX26" s="864"/>
      <c r="AY26" s="864"/>
      <c r="AZ26" s="864"/>
      <c r="BA26" s="864"/>
      <c r="BB26" s="864"/>
      <c r="BC26" s="864"/>
      <c r="BD26" s="864"/>
      <c r="BE26" s="864"/>
      <c r="BF26" s="864"/>
      <c r="BG26" s="864"/>
      <c r="BH26" s="864"/>
      <c r="BI26" s="864"/>
      <c r="BJ26" s="864"/>
      <c r="BK26" s="864"/>
      <c r="BL26" s="864"/>
      <c r="BM26" s="864"/>
      <c r="BN26" s="864"/>
      <c r="BO26" s="864"/>
      <c r="BP26" s="864"/>
      <c r="BQ26" s="864"/>
      <c r="BR26" s="864"/>
      <c r="BS26" s="864"/>
      <c r="BT26" s="864"/>
      <c r="BU26" s="864"/>
      <c r="BV26" s="864"/>
      <c r="BW26" s="864"/>
      <c r="BX26" s="864"/>
      <c r="BY26" s="864"/>
      <c r="BZ26" s="864"/>
      <c r="CA26" s="864"/>
      <c r="CB26" s="864"/>
      <c r="CC26" s="864"/>
      <c r="CD26" s="864"/>
      <c r="CE26" s="864"/>
    </row>
    <row r="27" spans="2:83" s="862" customFormat="1">
      <c r="B27" s="912">
        <f t="shared" si="1"/>
        <v>5</v>
      </c>
      <c r="D27" s="869" t="s">
        <v>612</v>
      </c>
      <c r="E27" s="1017" t="str">
        <f>_xll.GenericSql("SELECT INSTRUMENT FROM FIN.BONDS_LIST WHERE ISIN='"&amp;D27&amp;"'",FALSE)</f>
        <v>BTP 01-jun-25 1.5%</v>
      </c>
      <c r="F27" s="1017"/>
      <c r="G27" s="1017"/>
      <c r="H27" s="929">
        <f>IF(VLOOKUP($D27,Bonds!$E$11:$AM$347,26,FALSE)*100-$H$21&gt;0,VLOOKUP($D27,Bonds!$E$11:$AM$347,26,FALSE)*100-$H$21,$H$21-VLOOKUP($D27,Bonds!$E$11:$AM$347,26,FALSE)*100)</f>
        <v>0.5715577605337927</v>
      </c>
      <c r="J27" s="913" t="str">
        <f t="shared" si="0"/>
        <v>NO DATA</v>
      </c>
      <c r="M27" s="893">
        <v>0.56929528368202376</v>
      </c>
      <c r="N27" s="894"/>
      <c r="O27" s="894"/>
      <c r="P27" s="894"/>
      <c r="Q27" s="894"/>
      <c r="R27" s="894"/>
      <c r="S27" s="894"/>
      <c r="T27" s="894"/>
      <c r="U27" s="894"/>
      <c r="V27" s="894"/>
      <c r="W27" s="894"/>
      <c r="X27" s="894"/>
      <c r="Y27" s="894"/>
      <c r="Z27" s="894"/>
      <c r="AA27" s="894"/>
      <c r="AB27" s="894"/>
      <c r="AC27" s="894"/>
      <c r="AD27" s="894"/>
      <c r="AE27" s="894"/>
      <c r="AF27" s="894"/>
      <c r="AG27" s="894"/>
      <c r="AH27" s="894"/>
      <c r="AI27" s="894"/>
      <c r="AJ27" s="894"/>
      <c r="AK27" s="894"/>
      <c r="AL27" s="894"/>
      <c r="AM27" s="894"/>
      <c r="AN27" s="894"/>
      <c r="AO27" s="894"/>
      <c r="AP27" s="895"/>
      <c r="AU27" s="864"/>
      <c r="AV27" s="864"/>
      <c r="AW27" s="864"/>
      <c r="AX27" s="864"/>
      <c r="AY27" s="864"/>
      <c r="AZ27" s="864"/>
      <c r="BA27" s="864"/>
      <c r="BB27" s="864"/>
      <c r="BC27" s="864"/>
      <c r="BD27" s="864"/>
      <c r="BE27" s="864"/>
      <c r="BF27" s="864"/>
      <c r="BG27" s="864"/>
      <c r="BH27" s="864"/>
      <c r="BI27" s="864"/>
      <c r="BJ27" s="864"/>
      <c r="BK27" s="864"/>
      <c r="BL27" s="864"/>
      <c r="BM27" s="864"/>
      <c r="BN27" s="864"/>
      <c r="BO27" s="864"/>
      <c r="BP27" s="864"/>
      <c r="BQ27" s="864"/>
      <c r="BR27" s="864"/>
      <c r="BS27" s="864"/>
      <c r="BT27" s="864"/>
      <c r="BU27" s="864"/>
      <c r="BV27" s="864"/>
      <c r="BW27" s="864"/>
      <c r="BX27" s="864"/>
      <c r="BY27" s="864"/>
      <c r="BZ27" s="864"/>
      <c r="CA27" s="864"/>
      <c r="CB27" s="864"/>
      <c r="CC27" s="864"/>
      <c r="CD27" s="864"/>
      <c r="CE27" s="864"/>
    </row>
    <row r="28" spans="2:83" s="862" customFormat="1">
      <c r="B28" s="912">
        <f t="shared" si="1"/>
        <v>6</v>
      </c>
      <c r="D28" s="869" t="s">
        <v>773</v>
      </c>
      <c r="E28" s="1017" t="str">
        <f>_xll.GenericSql("SELECT INSTRUMENT FROM FIN.BONDS_LIST WHERE ISIN='"&amp;D28&amp;"'",FALSE)</f>
        <v>BTP 01-dec-25 2%</v>
      </c>
      <c r="F28" s="1017"/>
      <c r="G28" s="1017"/>
      <c r="H28" s="929">
        <f>IF(VLOOKUP($D28,Bonds!$E$11:$AM$347,26,FALSE)*100-$H$21&gt;0,VLOOKUP($D28,Bonds!$E$11:$AM$347,26,FALSE)*100-$H$21,$H$21-VLOOKUP($D28,Bonds!$E$11:$AM$347,26,FALSE)*100)</f>
        <v>0.44271451212223045</v>
      </c>
      <c r="J28" s="913" t="str">
        <f t="shared" si="0"/>
        <v>NO DATA</v>
      </c>
      <c r="M28" s="893">
        <v>0.44176006080322905</v>
      </c>
      <c r="N28" s="894"/>
      <c r="O28" s="894"/>
      <c r="P28" s="894"/>
      <c r="Q28" s="894"/>
      <c r="R28" s="894"/>
      <c r="S28" s="894"/>
      <c r="T28" s="894"/>
      <c r="U28" s="894"/>
      <c r="V28" s="894"/>
      <c r="W28" s="894"/>
      <c r="X28" s="894"/>
      <c r="Y28" s="894"/>
      <c r="Z28" s="894"/>
      <c r="AA28" s="894"/>
      <c r="AB28" s="894"/>
      <c r="AC28" s="894"/>
      <c r="AD28" s="894"/>
      <c r="AE28" s="894"/>
      <c r="AF28" s="894"/>
      <c r="AG28" s="894"/>
      <c r="AH28" s="894"/>
      <c r="AI28" s="894"/>
      <c r="AJ28" s="894"/>
      <c r="AK28" s="894"/>
      <c r="AL28" s="894"/>
      <c r="AM28" s="894"/>
      <c r="AN28" s="894"/>
      <c r="AO28" s="894"/>
      <c r="AP28" s="895"/>
      <c r="AU28" s="864"/>
      <c r="AV28" s="864"/>
      <c r="AW28" s="864"/>
      <c r="AX28" s="864"/>
      <c r="AY28" s="864"/>
      <c r="AZ28" s="864"/>
      <c r="BA28" s="864"/>
      <c r="BB28" s="864"/>
      <c r="BC28" s="864"/>
      <c r="BD28" s="864"/>
      <c r="BE28" s="864"/>
      <c r="BF28" s="864"/>
      <c r="BG28" s="864"/>
      <c r="BH28" s="864"/>
      <c r="BI28" s="864"/>
      <c r="BJ28" s="864"/>
      <c r="BK28" s="864"/>
      <c r="BL28" s="864"/>
      <c r="BM28" s="864"/>
      <c r="BN28" s="864"/>
      <c r="BO28" s="864"/>
      <c r="BP28" s="864"/>
      <c r="BQ28" s="864"/>
      <c r="BR28" s="864"/>
      <c r="BS28" s="864"/>
      <c r="BT28" s="864"/>
      <c r="BU28" s="864"/>
      <c r="BV28" s="864"/>
      <c r="BW28" s="864"/>
      <c r="BX28" s="864"/>
      <c r="BY28" s="864"/>
      <c r="BZ28" s="864"/>
      <c r="CA28" s="864"/>
      <c r="CB28" s="864"/>
      <c r="CC28" s="864"/>
      <c r="CD28" s="864"/>
      <c r="CE28" s="864"/>
    </row>
    <row r="29" spans="2:83" s="862" customFormat="1">
      <c r="B29" s="912">
        <f t="shared" si="1"/>
        <v>7</v>
      </c>
      <c r="D29" s="869" t="s">
        <v>738</v>
      </c>
      <c r="E29" s="1017" t="str">
        <f>_xll.GenericSql("SELECT INSTRUMENT FROM FIN.BONDS_LIST WHERE ISIN='"&amp;D29&amp;"'",FALSE)</f>
        <v>BTP 01-mar-26 4.5%</v>
      </c>
      <c r="F29" s="1017"/>
      <c r="G29" s="1017"/>
      <c r="H29" s="929">
        <f>IF(VLOOKUP($D29,Bonds!$E$11:$AM$347,26,FALSE)*100-$H$21&gt;0,VLOOKUP($D29,Bonds!$E$11:$AM$347,26,FALSE)*100-$H$21,$H$21-VLOOKUP($D29,Bonds!$E$11:$AM$347,26,FALSE)*100)</f>
        <v>0.44257426081954598</v>
      </c>
      <c r="J29" s="913" t="str">
        <f t="shared" si="0"/>
        <v>NO DATA</v>
      </c>
      <c r="M29" s="893">
        <v>0.43860854423618867</v>
      </c>
      <c r="N29" s="894"/>
      <c r="O29" s="894"/>
      <c r="P29" s="894"/>
      <c r="Q29" s="894"/>
      <c r="R29" s="894"/>
      <c r="S29" s="894"/>
      <c r="T29" s="894"/>
      <c r="U29" s="894"/>
      <c r="V29" s="894"/>
      <c r="W29" s="894"/>
      <c r="X29" s="894"/>
      <c r="Y29" s="894"/>
      <c r="Z29" s="894"/>
      <c r="AA29" s="894"/>
      <c r="AB29" s="894"/>
      <c r="AC29" s="894"/>
      <c r="AD29" s="894"/>
      <c r="AE29" s="894"/>
      <c r="AF29" s="894"/>
      <c r="AG29" s="894"/>
      <c r="AH29" s="894"/>
      <c r="AI29" s="894"/>
      <c r="AJ29" s="894"/>
      <c r="AK29" s="894"/>
      <c r="AL29" s="894"/>
      <c r="AM29" s="894"/>
      <c r="AN29" s="894"/>
      <c r="AO29" s="894"/>
      <c r="AP29" s="895"/>
      <c r="AU29" s="864"/>
      <c r="AV29" s="864"/>
      <c r="AW29" s="864"/>
      <c r="AX29" s="864"/>
      <c r="AY29" s="864"/>
      <c r="AZ29" s="864"/>
      <c r="BA29" s="864"/>
      <c r="BB29" s="864"/>
      <c r="BC29" s="864"/>
      <c r="BD29" s="864"/>
      <c r="BE29" s="864"/>
      <c r="BF29" s="864"/>
      <c r="BG29" s="864"/>
      <c r="BH29" s="864"/>
      <c r="BI29" s="864"/>
      <c r="BJ29" s="864"/>
      <c r="BK29" s="864"/>
      <c r="BL29" s="864"/>
      <c r="BM29" s="864"/>
      <c r="BN29" s="864"/>
      <c r="BO29" s="864"/>
      <c r="BP29" s="864"/>
      <c r="BQ29" s="864"/>
      <c r="BR29" s="864"/>
      <c r="BS29" s="864"/>
      <c r="BT29" s="864"/>
      <c r="BU29" s="864"/>
      <c r="BV29" s="864"/>
      <c r="BW29" s="864"/>
      <c r="BX29" s="864"/>
      <c r="BY29" s="864"/>
      <c r="BZ29" s="864"/>
      <c r="CA29" s="864"/>
      <c r="CB29" s="864"/>
      <c r="CC29" s="864"/>
      <c r="CD29" s="864"/>
      <c r="CE29" s="864"/>
    </row>
    <row r="30" spans="2:83" s="862" customFormat="1">
      <c r="B30" s="912">
        <f t="shared" si="1"/>
        <v>8</v>
      </c>
      <c r="D30" s="869" t="s">
        <v>824</v>
      </c>
      <c r="E30" s="1017" t="str">
        <f>_xll.GenericSql("SELECT INSTRUMENT FROM FIN.BONDS_LIST WHERE ISIN='"&amp;D30&amp;"'",FALSE)</f>
        <v>BTP 01-jun-26 1.6%</v>
      </c>
      <c r="F30" s="1017"/>
      <c r="G30" s="1017"/>
      <c r="H30" s="929">
        <f>IF(VLOOKUP($D30,Bonds!$E$11:$AM$347,26,FALSE)*100-$H$21&gt;0,VLOOKUP($D30,Bonds!$E$11:$AM$347,26,FALSE)*100-$H$21,$H$21-VLOOKUP($D30,Bonds!$E$11:$AM$347,26,FALSE)*100)</f>
        <v>0.34545889896158255</v>
      </c>
      <c r="J30" s="913" t="str">
        <f t="shared" si="0"/>
        <v>NO DATA</v>
      </c>
      <c r="M30" s="893">
        <v>0.34374843040718028</v>
      </c>
      <c r="N30" s="894"/>
      <c r="O30" s="894"/>
      <c r="P30" s="894"/>
      <c r="Q30" s="894"/>
      <c r="R30" s="894"/>
      <c r="S30" s="894"/>
      <c r="T30" s="894"/>
      <c r="U30" s="894"/>
      <c r="V30" s="894"/>
      <c r="W30" s="894"/>
      <c r="X30" s="894"/>
      <c r="Y30" s="894"/>
      <c r="Z30" s="894"/>
      <c r="AA30" s="894"/>
      <c r="AB30" s="894"/>
      <c r="AC30" s="894"/>
      <c r="AD30" s="894"/>
      <c r="AE30" s="894"/>
      <c r="AF30" s="894"/>
      <c r="AG30" s="894"/>
      <c r="AH30" s="894"/>
      <c r="AI30" s="894"/>
      <c r="AJ30" s="894"/>
      <c r="AK30" s="894"/>
      <c r="AL30" s="894"/>
      <c r="AM30" s="894"/>
      <c r="AN30" s="894"/>
      <c r="AO30" s="894"/>
      <c r="AP30" s="895"/>
      <c r="AU30" s="864"/>
      <c r="AV30" s="864"/>
      <c r="AW30" s="864"/>
      <c r="AX30" s="864"/>
      <c r="AY30" s="864"/>
      <c r="AZ30" s="864"/>
      <c r="BA30" s="864"/>
      <c r="BB30" s="864"/>
      <c r="BC30" s="864"/>
      <c r="BD30" s="864"/>
      <c r="BE30" s="864"/>
      <c r="BF30" s="864"/>
      <c r="BG30" s="864"/>
      <c r="BH30" s="864"/>
      <c r="BI30" s="864"/>
      <c r="BJ30" s="864"/>
      <c r="BK30" s="864"/>
      <c r="BL30" s="864"/>
      <c r="BM30" s="864"/>
      <c r="BN30" s="864"/>
      <c r="BO30" s="864"/>
      <c r="BP30" s="864"/>
      <c r="BQ30" s="864"/>
      <c r="BR30" s="864"/>
      <c r="BS30" s="864"/>
      <c r="BT30" s="864"/>
      <c r="BU30" s="864"/>
      <c r="BV30" s="864"/>
      <c r="BW30" s="864"/>
      <c r="BX30" s="864"/>
      <c r="BY30" s="864"/>
      <c r="BZ30" s="864"/>
      <c r="CA30" s="864"/>
      <c r="CB30" s="864"/>
      <c r="CC30" s="864"/>
      <c r="CD30" s="864"/>
      <c r="CE30" s="864"/>
    </row>
    <row r="31" spans="2:83" s="862" customFormat="1">
      <c r="B31" s="912">
        <f t="shared" si="1"/>
        <v>9</v>
      </c>
      <c r="D31" s="869" t="s">
        <v>739</v>
      </c>
      <c r="E31" s="1017" t="str">
        <f>_xll.GenericSql("SELECT INSTRUMENT FROM FIN.BONDS_LIST WHERE ISIN='"&amp;D31&amp;"'",FALSE)</f>
        <v>BTP 01-nov-2026 7.25%</v>
      </c>
      <c r="F31" s="1017"/>
      <c r="G31" s="1017"/>
      <c r="H31" s="929">
        <f>IF(VLOOKUP($D31,Bonds!$E$11:$AM$347,26,FALSE)*100-$H$21&gt;0,VLOOKUP($D31,Bonds!$E$11:$AM$347,26,FALSE)*100-$H$21,$H$21-VLOOKUP($D31,Bonds!$E$11:$AM$347,26,FALSE)*100)</f>
        <v>0.3294235297961583</v>
      </c>
      <c r="J31" s="913" t="str">
        <f t="shared" si="0"/>
        <v>NO DATA</v>
      </c>
      <c r="M31" s="893">
        <v>0.32813383046900713</v>
      </c>
      <c r="N31" s="894"/>
      <c r="O31" s="894"/>
      <c r="P31" s="894"/>
      <c r="Q31" s="894"/>
      <c r="R31" s="894"/>
      <c r="S31" s="894"/>
      <c r="T31" s="894"/>
      <c r="U31" s="894"/>
      <c r="V31" s="894"/>
      <c r="W31" s="894"/>
      <c r="X31" s="894"/>
      <c r="Y31" s="894"/>
      <c r="Z31" s="894"/>
      <c r="AA31" s="894"/>
      <c r="AB31" s="894"/>
      <c r="AC31" s="894"/>
      <c r="AD31" s="894"/>
      <c r="AE31" s="894"/>
      <c r="AF31" s="894"/>
      <c r="AG31" s="894"/>
      <c r="AH31" s="894"/>
      <c r="AI31" s="894"/>
      <c r="AJ31" s="894"/>
      <c r="AK31" s="894"/>
      <c r="AL31" s="894"/>
      <c r="AM31" s="894"/>
      <c r="AN31" s="894"/>
      <c r="AO31" s="894"/>
      <c r="AP31" s="895"/>
      <c r="AU31" s="864"/>
      <c r="AV31" s="864"/>
      <c r="AW31" s="864"/>
      <c r="AX31" s="864"/>
      <c r="AY31" s="864"/>
      <c r="AZ31" s="864"/>
      <c r="BA31" s="864"/>
      <c r="BB31" s="864"/>
      <c r="BC31" s="864"/>
      <c r="BD31" s="864"/>
      <c r="BE31" s="864"/>
      <c r="BF31" s="864"/>
      <c r="BG31" s="864"/>
      <c r="BH31" s="864"/>
      <c r="BI31" s="864"/>
      <c r="BJ31" s="864"/>
      <c r="BK31" s="864"/>
      <c r="BL31" s="864"/>
      <c r="BM31" s="864"/>
      <c r="BN31" s="864"/>
      <c r="BO31" s="864"/>
      <c r="BP31" s="864"/>
      <c r="BQ31" s="864"/>
      <c r="BR31" s="864"/>
      <c r="BS31" s="864"/>
      <c r="BT31" s="864"/>
      <c r="BU31" s="864"/>
      <c r="BV31" s="864"/>
      <c r="BW31" s="864"/>
      <c r="BX31" s="864"/>
      <c r="BY31" s="864"/>
      <c r="BZ31" s="864"/>
      <c r="CA31" s="864"/>
      <c r="CB31" s="864"/>
      <c r="CC31" s="864"/>
      <c r="CD31" s="864"/>
      <c r="CE31" s="864"/>
    </row>
    <row r="32" spans="2:83" s="862" customFormat="1">
      <c r="B32" s="912">
        <f t="shared" si="1"/>
        <v>10</v>
      </c>
      <c r="D32" s="869" t="s">
        <v>897</v>
      </c>
      <c r="E32" s="1017" t="str">
        <f>_xll.GenericSql("SELECT INSTRUMENT FROM FIN.BONDS_LIST WHERE ISIN='"&amp;D32&amp;"'",FALSE)</f>
        <v>BTP 01-dec-26 1.25%</v>
      </c>
      <c r="F32" s="1017"/>
      <c r="G32" s="1017"/>
      <c r="H32" s="929">
        <f>IF(VLOOKUP($D32,Bonds!$E$11:$AM$347,26,FALSE)*100-$H$21&gt;0,VLOOKUP($D32,Bonds!$E$11:$AM$347,26,FALSE)*100-$H$21,$H$21-VLOOKUP($D32,Bonds!$E$11:$AM$347,26,FALSE)*100)</f>
        <v>0.29560979368213358</v>
      </c>
      <c r="J32" s="913" t="str">
        <f t="shared" si="0"/>
        <v>NO DATA</v>
      </c>
      <c r="M32" s="893">
        <v>0.29309736264597053</v>
      </c>
      <c r="N32" s="894"/>
      <c r="O32" s="894"/>
      <c r="P32" s="894"/>
      <c r="Q32" s="894"/>
      <c r="R32" s="894"/>
      <c r="S32" s="894"/>
      <c r="T32" s="894"/>
      <c r="U32" s="894"/>
      <c r="V32" s="894"/>
      <c r="W32" s="894"/>
      <c r="X32" s="894"/>
      <c r="Y32" s="894"/>
      <c r="Z32" s="894"/>
      <c r="AA32" s="894"/>
      <c r="AB32" s="894"/>
      <c r="AC32" s="894"/>
      <c r="AD32" s="894"/>
      <c r="AE32" s="894"/>
      <c r="AF32" s="894"/>
      <c r="AG32" s="894"/>
      <c r="AH32" s="894"/>
      <c r="AI32" s="894"/>
      <c r="AJ32" s="894"/>
      <c r="AK32" s="894"/>
      <c r="AL32" s="894"/>
      <c r="AM32" s="894"/>
      <c r="AN32" s="894"/>
      <c r="AO32" s="894"/>
      <c r="AP32" s="895"/>
      <c r="AU32" s="864"/>
      <c r="AV32" s="864"/>
      <c r="AW32" s="864"/>
      <c r="AX32" s="864"/>
      <c r="AY32" s="864"/>
      <c r="AZ32" s="864"/>
      <c r="BA32" s="864"/>
      <c r="BB32" s="864"/>
      <c r="BC32" s="864"/>
      <c r="BD32" s="864"/>
      <c r="BE32" s="864"/>
      <c r="BF32" s="864"/>
      <c r="BG32" s="864"/>
      <c r="BH32" s="864"/>
      <c r="BI32" s="864"/>
      <c r="BJ32" s="864"/>
      <c r="BK32" s="864"/>
      <c r="BL32" s="864"/>
      <c r="BM32" s="864"/>
      <c r="BN32" s="864"/>
      <c r="BO32" s="864"/>
      <c r="BP32" s="864"/>
      <c r="BQ32" s="864"/>
      <c r="BR32" s="864"/>
      <c r="BS32" s="864"/>
      <c r="BT32" s="864"/>
      <c r="BU32" s="864"/>
      <c r="BV32" s="864"/>
      <c r="BW32" s="864"/>
      <c r="BX32" s="864"/>
      <c r="BY32" s="864"/>
      <c r="BZ32" s="864"/>
      <c r="CA32" s="864"/>
      <c r="CB32" s="864"/>
      <c r="CC32" s="864"/>
      <c r="CD32" s="864"/>
      <c r="CE32" s="864"/>
    </row>
    <row r="33" spans="1:16383" s="862" customFormat="1">
      <c r="B33" s="912">
        <f t="shared" si="1"/>
        <v>11</v>
      </c>
      <c r="D33" s="869" t="s">
        <v>925</v>
      </c>
      <c r="E33" s="1017" t="str">
        <f>_xll.GenericSql("SELECT INSTRUMENT FROM FIN.BONDS_LIST WHERE ISIN='"&amp;D33&amp;"'",FALSE)</f>
        <v>BTP 01-jun-27 2.2%</v>
      </c>
      <c r="F33" s="1017"/>
      <c r="G33" s="1017"/>
      <c r="H33" s="929">
        <f>IF(VLOOKUP($D33,Bonds!$E$11:$AM$347,26,FALSE)*100-$H$21&gt;0,VLOOKUP($D33,Bonds!$E$11:$AM$347,26,FALSE)*100-$H$21,$H$21-VLOOKUP($D33,Bonds!$E$11:$AM$347,26,FALSE)*100)</f>
        <v>0.18812054246939169</v>
      </c>
      <c r="J33" s="913" t="str">
        <f t="shared" si="0"/>
        <v>NO DATA</v>
      </c>
      <c r="M33" s="893">
        <v>0.18765269183292865</v>
      </c>
      <c r="N33" s="894"/>
      <c r="O33" s="894"/>
      <c r="P33" s="894"/>
      <c r="Q33" s="894"/>
      <c r="R33" s="894"/>
      <c r="S33" s="894"/>
      <c r="T33" s="894"/>
      <c r="U33" s="894"/>
      <c r="V33" s="894"/>
      <c r="W33" s="894"/>
      <c r="X33" s="894"/>
      <c r="Y33" s="894"/>
      <c r="Z33" s="894"/>
      <c r="AA33" s="894"/>
      <c r="AB33" s="894"/>
      <c r="AC33" s="894"/>
      <c r="AD33" s="894"/>
      <c r="AE33" s="894"/>
      <c r="AF33" s="894"/>
      <c r="AG33" s="894"/>
      <c r="AH33" s="894"/>
      <c r="AI33" s="894"/>
      <c r="AJ33" s="894"/>
      <c r="AK33" s="894"/>
      <c r="AL33" s="894"/>
      <c r="AM33" s="894"/>
      <c r="AN33" s="894"/>
      <c r="AO33" s="894"/>
      <c r="AP33" s="895"/>
      <c r="AU33" s="864"/>
      <c r="AV33" s="864"/>
      <c r="AW33" s="864"/>
      <c r="AX33" s="864"/>
      <c r="AY33" s="864"/>
      <c r="AZ33" s="864"/>
      <c r="BA33" s="864"/>
      <c r="BB33" s="864"/>
      <c r="BC33" s="864"/>
      <c r="BD33" s="864"/>
      <c r="BE33" s="864"/>
      <c r="BF33" s="864"/>
      <c r="BG33" s="864"/>
      <c r="BH33" s="864"/>
      <c r="BI33" s="864"/>
      <c r="BJ33" s="864"/>
      <c r="BK33" s="864"/>
      <c r="BL33" s="864"/>
      <c r="BM33" s="864"/>
      <c r="BN33" s="864"/>
      <c r="BO33" s="864"/>
      <c r="BP33" s="864"/>
      <c r="BQ33" s="864"/>
      <c r="BR33" s="864"/>
      <c r="BS33" s="864"/>
      <c r="BT33" s="864"/>
      <c r="BU33" s="864"/>
      <c r="BV33" s="864"/>
      <c r="BW33" s="864"/>
      <c r="BX33" s="864"/>
      <c r="BY33" s="864"/>
      <c r="BZ33" s="864"/>
      <c r="CA33" s="864"/>
      <c r="CB33" s="864"/>
      <c r="CC33" s="864"/>
      <c r="CD33" s="864"/>
      <c r="CE33" s="864"/>
    </row>
    <row r="34" spans="1:16383" s="862" customFormat="1">
      <c r="B34" s="912">
        <f t="shared" si="1"/>
        <v>12</v>
      </c>
      <c r="D34" s="869" t="s">
        <v>1007</v>
      </c>
      <c r="E34" s="1017" t="str">
        <f>_xll.GenericSql("SELECT INSTRUMENT FROM FIN.BONDS_LIST WHERE ISIN='"&amp;D34&amp;"'",FALSE)</f>
        <v>BTP 01-aug-27 2.05%</v>
      </c>
      <c r="F34" s="1017"/>
      <c r="G34" s="1017"/>
      <c r="H34" s="929">
        <f>IF(VLOOKUP($D34,Bonds!$E$11:$AM$347,26,FALSE)*100-$H$21&gt;0,VLOOKUP($D34,Bonds!$E$11:$AM$347,26,FALSE)*100-$H$21,$H$21-VLOOKUP($D34,Bonds!$E$11:$AM$347,26,FALSE)*100)</f>
        <v>0.15302837417329473</v>
      </c>
      <c r="J34" s="913" t="str">
        <f t="shared" si="0"/>
        <v>NO DATA</v>
      </c>
      <c r="M34" s="893">
        <v>0.15154446993871762</v>
      </c>
      <c r="N34" s="894"/>
      <c r="O34" s="894"/>
      <c r="P34" s="894"/>
      <c r="Q34" s="894"/>
      <c r="R34" s="894"/>
      <c r="S34" s="894"/>
      <c r="T34" s="894"/>
      <c r="U34" s="894"/>
      <c r="V34" s="894"/>
      <c r="W34" s="894"/>
      <c r="X34" s="894"/>
      <c r="Y34" s="894"/>
      <c r="Z34" s="894"/>
      <c r="AA34" s="894"/>
      <c r="AB34" s="894"/>
      <c r="AC34" s="894"/>
      <c r="AD34" s="894"/>
      <c r="AE34" s="894"/>
      <c r="AF34" s="894"/>
      <c r="AG34" s="894"/>
      <c r="AH34" s="894"/>
      <c r="AI34" s="894"/>
      <c r="AJ34" s="894"/>
      <c r="AK34" s="894"/>
      <c r="AL34" s="894"/>
      <c r="AM34" s="894"/>
      <c r="AN34" s="894"/>
      <c r="AO34" s="894"/>
      <c r="AP34" s="895"/>
      <c r="AU34" s="864"/>
      <c r="AV34" s="864"/>
      <c r="AW34" s="864"/>
      <c r="AX34" s="864"/>
      <c r="AY34" s="864"/>
      <c r="AZ34" s="864"/>
      <c r="BA34" s="864"/>
      <c r="BB34" s="864"/>
      <c r="BC34" s="864"/>
      <c r="BD34" s="864"/>
      <c r="BE34" s="864"/>
      <c r="BF34" s="864"/>
      <c r="BG34" s="864"/>
      <c r="BH34" s="864"/>
      <c r="BI34" s="864"/>
      <c r="BJ34" s="864"/>
      <c r="BK34" s="864"/>
      <c r="BL34" s="864"/>
      <c r="BM34" s="864"/>
      <c r="BN34" s="864"/>
      <c r="BO34" s="864"/>
      <c r="BP34" s="864"/>
      <c r="BQ34" s="864"/>
      <c r="BR34" s="864"/>
      <c r="BS34" s="864"/>
      <c r="BT34" s="864"/>
      <c r="BU34" s="864"/>
      <c r="BV34" s="864"/>
      <c r="BW34" s="864"/>
      <c r="BX34" s="864"/>
      <c r="BY34" s="864"/>
      <c r="BZ34" s="864"/>
      <c r="CA34" s="864"/>
      <c r="CB34" s="864"/>
      <c r="CC34" s="864"/>
      <c r="CD34" s="864"/>
      <c r="CE34" s="864"/>
    </row>
    <row r="35" spans="1:16383" s="862" customFormat="1">
      <c r="B35" s="912">
        <f t="shared" si="1"/>
        <v>13</v>
      </c>
      <c r="D35" s="869" t="s">
        <v>740</v>
      </c>
      <c r="E35" s="1017" t="str">
        <f>_xll.GenericSql("SELECT INSTRUMENT FROM FIN.BONDS_LIST WHERE ISIN='"&amp;D35&amp;"'",FALSE)</f>
        <v>BTP 01-nov-2027 6.50%</v>
      </c>
      <c r="F35" s="1017"/>
      <c r="G35" s="1017"/>
      <c r="H35" s="929">
        <f>IF(VLOOKUP($D35,Bonds!$E$11:$AM$347,26,FALSE)*100-$H$21&gt;0,VLOOKUP($D35,Bonds!$E$11:$AM$347,26,FALSE)*100-$H$21,$H$21-VLOOKUP($D35,Bonds!$E$11:$AM$347,26,FALSE)*100)</f>
        <v>0.1724484659767993</v>
      </c>
      <c r="J35" s="913" t="str">
        <f t="shared" si="0"/>
        <v>NO DATA</v>
      </c>
      <c r="M35" s="893">
        <v>0.16928544334074491</v>
      </c>
      <c r="N35" s="894"/>
      <c r="O35" s="894"/>
      <c r="P35" s="894"/>
      <c r="Q35" s="894"/>
      <c r="R35" s="894"/>
      <c r="S35" s="894"/>
      <c r="T35" s="894"/>
      <c r="U35" s="894"/>
      <c r="V35" s="894"/>
      <c r="W35" s="894"/>
      <c r="X35" s="894"/>
      <c r="Y35" s="894"/>
      <c r="Z35" s="894"/>
      <c r="AA35" s="894"/>
      <c r="AB35" s="894"/>
      <c r="AC35" s="894"/>
      <c r="AD35" s="894"/>
      <c r="AE35" s="894"/>
      <c r="AF35" s="894"/>
      <c r="AG35" s="894"/>
      <c r="AH35" s="894"/>
      <c r="AI35" s="894"/>
      <c r="AJ35" s="894"/>
      <c r="AK35" s="894"/>
      <c r="AL35" s="894"/>
      <c r="AM35" s="894"/>
      <c r="AN35" s="894"/>
      <c r="AO35" s="894"/>
      <c r="AP35" s="895"/>
      <c r="AU35" s="864"/>
      <c r="AV35" s="864"/>
      <c r="AW35" s="864"/>
      <c r="AX35" s="864"/>
      <c r="AY35" s="864"/>
      <c r="AZ35" s="864"/>
      <c r="BA35" s="864"/>
      <c r="BB35" s="864"/>
      <c r="BC35" s="864"/>
      <c r="BD35" s="864"/>
      <c r="BE35" s="864"/>
      <c r="BF35" s="864"/>
      <c r="BG35" s="864"/>
      <c r="BH35" s="864"/>
      <c r="BI35" s="864"/>
      <c r="BJ35" s="864"/>
      <c r="BK35" s="864"/>
      <c r="BL35" s="864"/>
      <c r="BM35" s="864"/>
      <c r="BN35" s="864"/>
      <c r="BO35" s="864"/>
      <c r="BP35" s="864"/>
      <c r="BQ35" s="864"/>
      <c r="BR35" s="864"/>
      <c r="BS35" s="864"/>
      <c r="BT35" s="864"/>
      <c r="BU35" s="864"/>
      <c r="BV35" s="864"/>
      <c r="BW35" s="864"/>
      <c r="BX35" s="864"/>
      <c r="BY35" s="864"/>
      <c r="BZ35" s="864"/>
      <c r="CA35" s="864"/>
      <c r="CB35" s="864"/>
      <c r="CC35" s="864"/>
      <c r="CD35" s="864"/>
      <c r="CE35" s="864"/>
    </row>
    <row r="36" spans="1:16383" s="862" customFormat="1">
      <c r="B36" s="912">
        <f t="shared" si="1"/>
        <v>14</v>
      </c>
      <c r="D36" s="869" t="s">
        <v>2019</v>
      </c>
      <c r="E36" s="1017" t="str">
        <f>_xll.GenericSql("SELECT INSTRUMENT FROM FIN.BONDS_LIST WHERE ISIN='"&amp;D36&amp;"'",FALSE)</f>
        <v>BTP 01-feb-28 2%</v>
      </c>
      <c r="F36" s="1017"/>
      <c r="G36" s="1017"/>
      <c r="H36" s="929">
        <f>IF(VLOOKUP($D36,Bonds!$E$11:$AM$347,26,FALSE)*100-$H$21&gt;0,VLOOKUP($D36,Bonds!$E$11:$AM$347,26,FALSE)*100-$H$21,$H$21-VLOOKUP($D36,Bonds!$E$11:$AM$347,26,FALSE)*100)</f>
        <v>6.0802262367108728E-2</v>
      </c>
      <c r="J36" s="913" t="str">
        <f t="shared" si="0"/>
        <v>NO DATA</v>
      </c>
      <c r="M36" s="893">
        <v>5.6713906380629897E-2</v>
      </c>
      <c r="N36" s="894"/>
      <c r="O36" s="894"/>
      <c r="P36" s="894"/>
      <c r="Q36" s="894"/>
      <c r="R36" s="894"/>
      <c r="S36" s="894"/>
      <c r="T36" s="894"/>
      <c r="U36" s="894"/>
      <c r="V36" s="894"/>
      <c r="W36" s="894"/>
      <c r="X36" s="894"/>
      <c r="Y36" s="894"/>
      <c r="Z36" s="894"/>
      <c r="AA36" s="894"/>
      <c r="AB36" s="894"/>
      <c r="AC36" s="894"/>
      <c r="AD36" s="894"/>
      <c r="AE36" s="894"/>
      <c r="AF36" s="894"/>
      <c r="AG36" s="894"/>
      <c r="AH36" s="894"/>
      <c r="AI36" s="894"/>
      <c r="AJ36" s="894"/>
      <c r="AK36" s="894"/>
      <c r="AL36" s="894"/>
      <c r="AM36" s="894"/>
      <c r="AN36" s="894"/>
      <c r="AO36" s="894"/>
      <c r="AP36" s="895"/>
      <c r="AU36" s="864"/>
      <c r="AV36" s="864"/>
      <c r="AW36" s="864"/>
      <c r="AX36" s="864"/>
      <c r="AY36" s="864"/>
      <c r="AZ36" s="864"/>
      <c r="BA36" s="864"/>
      <c r="BB36" s="864"/>
      <c r="BC36" s="864"/>
      <c r="BD36" s="864"/>
      <c r="BE36" s="864"/>
      <c r="BF36" s="864"/>
      <c r="BG36" s="864"/>
      <c r="BH36" s="864"/>
      <c r="BI36" s="864"/>
      <c r="BJ36" s="864"/>
      <c r="BK36" s="864"/>
      <c r="BL36" s="864"/>
      <c r="BM36" s="864"/>
      <c r="BN36" s="864"/>
      <c r="BO36" s="864"/>
      <c r="BP36" s="864"/>
      <c r="BQ36" s="864"/>
      <c r="BR36" s="864"/>
      <c r="BS36" s="864"/>
      <c r="BT36" s="864"/>
      <c r="BU36" s="864"/>
      <c r="BV36" s="864"/>
      <c r="BW36" s="864"/>
      <c r="BX36" s="864"/>
      <c r="BY36" s="864"/>
      <c r="BZ36" s="864"/>
      <c r="CA36" s="864"/>
      <c r="CB36" s="864"/>
      <c r="CC36" s="864"/>
      <c r="CD36" s="864"/>
      <c r="CE36" s="864"/>
    </row>
    <row r="37" spans="1:16383" s="901" customFormat="1">
      <c r="A37" s="862"/>
      <c r="B37" s="912">
        <f t="shared" si="1"/>
        <v>15</v>
      </c>
      <c r="C37" s="900" t="s">
        <v>2045</v>
      </c>
      <c r="D37" s="899" t="s">
        <v>741</v>
      </c>
      <c r="E37" s="1018" t="str">
        <f>_xll.GenericSql("SELECT INSTRUMENT FROM FIN.BONDS_LIST WHERE ISIN='"&amp;D37&amp;"'",FALSE)</f>
        <v>BTP 01-sep-28 4.75%</v>
      </c>
      <c r="F37" s="1018"/>
      <c r="G37" s="1018"/>
      <c r="H37" s="930">
        <f>IF(VLOOKUP($D37,Bonds!$E$11:$AM$347,26,FALSE)*100-$H$21&gt;0,VLOOKUP($D37,Bonds!$E$11:$AM$347,26,FALSE)*100-$H$21,$H$21-VLOOKUP($D37,Bonds!$E$11:$AM$347,26,FALSE)*100)</f>
        <v>0</v>
      </c>
      <c r="J37" s="913" t="str">
        <f t="shared" si="0"/>
        <v>NO DATA</v>
      </c>
      <c r="K37" s="862"/>
      <c r="L37" s="862"/>
      <c r="M37" s="902">
        <v>0</v>
      </c>
      <c r="N37" s="903"/>
      <c r="O37" s="903"/>
      <c r="P37" s="903"/>
      <c r="Q37" s="903"/>
      <c r="R37" s="903"/>
      <c r="S37" s="903"/>
      <c r="T37" s="903"/>
      <c r="U37" s="903"/>
      <c r="V37" s="903"/>
      <c r="W37" s="903"/>
      <c r="X37" s="903"/>
      <c r="Y37" s="903"/>
      <c r="Z37" s="903"/>
      <c r="AA37" s="903"/>
      <c r="AB37" s="903"/>
      <c r="AC37" s="903"/>
      <c r="AD37" s="903"/>
      <c r="AE37" s="903"/>
      <c r="AF37" s="903"/>
      <c r="AG37" s="903"/>
      <c r="AH37" s="903"/>
      <c r="AI37" s="903"/>
      <c r="AJ37" s="903"/>
      <c r="AK37" s="903"/>
      <c r="AL37" s="903"/>
      <c r="AM37" s="903"/>
      <c r="AN37" s="903"/>
      <c r="AO37" s="903"/>
      <c r="AP37" s="904"/>
      <c r="AQ37" s="862"/>
      <c r="AR37" s="862"/>
      <c r="AS37" s="862"/>
      <c r="AT37" s="862"/>
      <c r="AU37" s="864"/>
      <c r="AV37" s="864"/>
      <c r="AW37" s="864"/>
      <c r="AX37" s="864"/>
      <c r="AY37" s="864"/>
      <c r="AZ37" s="864"/>
      <c r="BA37" s="864"/>
      <c r="BB37" s="864"/>
      <c r="BC37" s="864"/>
      <c r="BD37" s="864"/>
      <c r="BE37" s="864"/>
      <c r="BF37" s="864"/>
      <c r="BG37" s="864"/>
      <c r="BH37" s="864"/>
      <c r="BI37" s="864"/>
      <c r="BJ37" s="864"/>
      <c r="BK37" s="864"/>
      <c r="BL37" s="864"/>
      <c r="BM37" s="864"/>
      <c r="BN37" s="864"/>
      <c r="BO37" s="864"/>
      <c r="BP37" s="864"/>
      <c r="BQ37" s="864"/>
      <c r="BR37" s="864"/>
      <c r="BS37" s="864"/>
      <c r="BT37" s="864"/>
      <c r="BU37" s="864"/>
      <c r="BV37" s="864"/>
      <c r="BW37" s="864"/>
      <c r="BX37" s="864"/>
      <c r="BY37" s="864"/>
      <c r="BZ37" s="864"/>
      <c r="CA37" s="864"/>
      <c r="CB37" s="864"/>
      <c r="CC37" s="864"/>
      <c r="CD37" s="864"/>
      <c r="CE37" s="864"/>
      <c r="CF37" s="862"/>
      <c r="CG37" s="862"/>
      <c r="CH37" s="862"/>
      <c r="CI37" s="862"/>
      <c r="CJ37" s="862"/>
      <c r="CK37" s="862"/>
      <c r="CL37" s="862"/>
      <c r="CM37" s="862"/>
      <c r="CN37" s="862"/>
      <c r="CO37" s="862"/>
      <c r="CP37" s="862"/>
      <c r="CQ37" s="862"/>
      <c r="CR37" s="862"/>
      <c r="CS37" s="862"/>
      <c r="CT37" s="862"/>
      <c r="CU37" s="862"/>
      <c r="CV37" s="862"/>
      <c r="CW37" s="862"/>
      <c r="CX37" s="862"/>
      <c r="CY37" s="862"/>
      <c r="CZ37" s="862"/>
      <c r="DA37" s="862"/>
      <c r="DB37" s="862"/>
      <c r="DC37" s="862"/>
      <c r="DD37" s="862"/>
      <c r="DE37" s="862"/>
      <c r="DF37" s="862"/>
      <c r="DG37" s="862"/>
      <c r="DH37" s="862"/>
      <c r="DI37" s="862"/>
      <c r="DJ37" s="862"/>
      <c r="DK37" s="862"/>
      <c r="DL37" s="862"/>
      <c r="DM37" s="862"/>
      <c r="DN37" s="862"/>
      <c r="DO37" s="862"/>
      <c r="DP37" s="862"/>
      <c r="DQ37" s="862"/>
      <c r="DR37" s="862"/>
      <c r="DS37" s="862"/>
      <c r="DT37" s="862"/>
      <c r="DU37" s="862"/>
      <c r="DV37" s="862"/>
      <c r="DW37" s="862"/>
      <c r="DX37" s="862"/>
      <c r="DY37" s="862"/>
      <c r="DZ37" s="862"/>
      <c r="EA37" s="862"/>
      <c r="EB37" s="862"/>
      <c r="EC37" s="862"/>
      <c r="ED37" s="862"/>
      <c r="EE37" s="862"/>
      <c r="EF37" s="862"/>
      <c r="EG37" s="862"/>
      <c r="EH37" s="862"/>
      <c r="EI37" s="862"/>
      <c r="EJ37" s="862"/>
      <c r="EK37" s="862"/>
      <c r="EL37" s="862"/>
      <c r="EM37" s="862"/>
      <c r="EN37" s="862"/>
      <c r="EO37" s="862"/>
      <c r="EP37" s="862"/>
      <c r="EQ37" s="862"/>
      <c r="ER37" s="862"/>
      <c r="ES37" s="862"/>
      <c r="ET37" s="862"/>
      <c r="EU37" s="862"/>
      <c r="EV37" s="862"/>
      <c r="EW37" s="862"/>
      <c r="EX37" s="862"/>
      <c r="EY37" s="862"/>
      <c r="EZ37" s="862"/>
      <c r="FA37" s="862"/>
      <c r="FB37" s="862"/>
      <c r="FC37" s="862"/>
      <c r="FD37" s="862"/>
      <c r="FE37" s="862"/>
      <c r="FF37" s="862"/>
      <c r="FG37" s="862"/>
      <c r="FH37" s="862"/>
      <c r="FI37" s="862"/>
      <c r="FJ37" s="862"/>
      <c r="FK37" s="862"/>
      <c r="FL37" s="862"/>
      <c r="FM37" s="862"/>
      <c r="FN37" s="862"/>
      <c r="FO37" s="862"/>
      <c r="FP37" s="862"/>
      <c r="FQ37" s="862"/>
      <c r="FR37" s="862"/>
      <c r="FS37" s="862"/>
      <c r="FT37" s="862"/>
      <c r="FU37" s="862"/>
      <c r="FV37" s="862"/>
      <c r="FW37" s="862"/>
      <c r="FX37" s="862"/>
      <c r="FY37" s="862"/>
      <c r="FZ37" s="862"/>
      <c r="GA37" s="862"/>
      <c r="GB37" s="862"/>
      <c r="GC37" s="862"/>
      <c r="GD37" s="862"/>
      <c r="GE37" s="862"/>
      <c r="GF37" s="862"/>
      <c r="GG37" s="862"/>
      <c r="GH37" s="862"/>
      <c r="GI37" s="862"/>
      <c r="GJ37" s="862"/>
      <c r="GK37" s="862"/>
      <c r="GL37" s="862"/>
      <c r="GM37" s="862"/>
      <c r="GN37" s="862"/>
      <c r="GO37" s="862"/>
      <c r="GP37" s="862"/>
      <c r="GQ37" s="862"/>
      <c r="GR37" s="862"/>
      <c r="GS37" s="862"/>
      <c r="GT37" s="862"/>
      <c r="GU37" s="862"/>
      <c r="GV37" s="862"/>
      <c r="GW37" s="862"/>
      <c r="GX37" s="862"/>
      <c r="GY37" s="862"/>
      <c r="GZ37" s="862"/>
      <c r="HA37" s="862"/>
      <c r="HB37" s="862"/>
      <c r="HC37" s="862"/>
      <c r="HD37" s="862"/>
      <c r="HE37" s="862"/>
      <c r="HF37" s="862"/>
      <c r="HG37" s="862"/>
      <c r="HH37" s="862"/>
      <c r="HI37" s="862"/>
      <c r="HJ37" s="862"/>
      <c r="HK37" s="862"/>
      <c r="HL37" s="862"/>
      <c r="HM37" s="862"/>
      <c r="HN37" s="862"/>
      <c r="HO37" s="862"/>
      <c r="HP37" s="862"/>
      <c r="HQ37" s="862"/>
      <c r="HR37" s="862"/>
      <c r="HS37" s="862"/>
      <c r="HT37" s="862"/>
      <c r="HU37" s="862"/>
      <c r="HV37" s="862"/>
      <c r="HW37" s="862"/>
      <c r="HX37" s="862"/>
      <c r="HY37" s="862"/>
      <c r="HZ37" s="862"/>
      <c r="IA37" s="862"/>
      <c r="IB37" s="862"/>
      <c r="IC37" s="862"/>
      <c r="ID37" s="862"/>
      <c r="IE37" s="862"/>
      <c r="IF37" s="862"/>
      <c r="IG37" s="862"/>
      <c r="IH37" s="862"/>
      <c r="II37" s="862"/>
      <c r="IJ37" s="862"/>
      <c r="IK37" s="862"/>
      <c r="IL37" s="862"/>
      <c r="IM37" s="862"/>
      <c r="IN37" s="862"/>
      <c r="IO37" s="862"/>
      <c r="IP37" s="862"/>
      <c r="IQ37" s="862"/>
      <c r="IR37" s="862"/>
      <c r="IS37" s="862"/>
      <c r="IT37" s="862"/>
      <c r="IU37" s="862"/>
      <c r="IV37" s="862"/>
      <c r="IW37" s="862"/>
      <c r="IX37" s="862"/>
      <c r="IY37" s="862"/>
      <c r="IZ37" s="862"/>
      <c r="JA37" s="862"/>
      <c r="JB37" s="862"/>
      <c r="JC37" s="862"/>
      <c r="JD37" s="862"/>
      <c r="JE37" s="862"/>
      <c r="JF37" s="862"/>
      <c r="JG37" s="862"/>
      <c r="JH37" s="862"/>
      <c r="JI37" s="862"/>
      <c r="JJ37" s="862"/>
      <c r="JK37" s="862"/>
      <c r="JL37" s="862"/>
      <c r="JM37" s="862"/>
      <c r="JN37" s="862"/>
      <c r="JO37" s="862"/>
      <c r="JP37" s="862"/>
      <c r="JQ37" s="862"/>
      <c r="JR37" s="862"/>
      <c r="JS37" s="862"/>
      <c r="JT37" s="862"/>
      <c r="JU37" s="862"/>
      <c r="JV37" s="862"/>
      <c r="JW37" s="862"/>
      <c r="JX37" s="862"/>
      <c r="JY37" s="862"/>
      <c r="JZ37" s="862"/>
      <c r="KA37" s="862"/>
      <c r="KB37" s="862"/>
      <c r="KC37" s="862"/>
      <c r="KD37" s="862"/>
      <c r="KE37" s="862"/>
      <c r="KF37" s="862"/>
      <c r="KG37" s="862"/>
      <c r="KH37" s="862"/>
      <c r="KI37" s="862"/>
      <c r="KJ37" s="862"/>
      <c r="KK37" s="862"/>
      <c r="KL37" s="862"/>
      <c r="KM37" s="862"/>
      <c r="KN37" s="862"/>
      <c r="KO37" s="862"/>
      <c r="KP37" s="862"/>
      <c r="KQ37" s="862"/>
      <c r="KR37" s="862"/>
      <c r="KS37" s="862"/>
      <c r="KT37" s="862"/>
      <c r="KU37" s="862"/>
      <c r="KV37" s="862"/>
      <c r="KW37" s="862"/>
      <c r="KX37" s="862"/>
      <c r="KY37" s="862"/>
      <c r="KZ37" s="862"/>
      <c r="LA37" s="862"/>
      <c r="LB37" s="862"/>
      <c r="LC37" s="862"/>
      <c r="LD37" s="862"/>
      <c r="LE37" s="862"/>
      <c r="LF37" s="862"/>
      <c r="LG37" s="862"/>
      <c r="LH37" s="862"/>
      <c r="LI37" s="862"/>
      <c r="LJ37" s="862"/>
      <c r="LK37" s="862"/>
      <c r="LL37" s="862"/>
      <c r="LM37" s="862"/>
      <c r="LN37" s="862"/>
      <c r="LO37" s="862"/>
      <c r="LP37" s="862"/>
      <c r="LQ37" s="862"/>
      <c r="LR37" s="862"/>
      <c r="LS37" s="862"/>
      <c r="LT37" s="862"/>
      <c r="LU37" s="862"/>
      <c r="LV37" s="862"/>
      <c r="LW37" s="862"/>
      <c r="LX37" s="862"/>
      <c r="LY37" s="862"/>
      <c r="LZ37" s="862"/>
      <c r="MA37" s="862"/>
      <c r="MB37" s="862"/>
      <c r="MC37" s="862"/>
      <c r="MD37" s="862"/>
      <c r="ME37" s="862"/>
      <c r="MF37" s="862"/>
      <c r="MG37" s="862"/>
      <c r="MH37" s="862"/>
      <c r="MI37" s="862"/>
      <c r="MJ37" s="862"/>
      <c r="MK37" s="862"/>
      <c r="ML37" s="862"/>
      <c r="MM37" s="862"/>
      <c r="MN37" s="862"/>
      <c r="MO37" s="862"/>
      <c r="MP37" s="862"/>
      <c r="MQ37" s="862"/>
      <c r="MR37" s="862"/>
      <c r="MS37" s="862"/>
      <c r="MT37" s="862"/>
      <c r="MU37" s="862"/>
      <c r="MV37" s="862"/>
      <c r="MW37" s="862"/>
      <c r="MX37" s="862"/>
      <c r="MY37" s="862"/>
      <c r="MZ37" s="862"/>
      <c r="NA37" s="862"/>
      <c r="NB37" s="862"/>
      <c r="NC37" s="862"/>
      <c r="ND37" s="862"/>
      <c r="NE37" s="862"/>
      <c r="NF37" s="862"/>
      <c r="NG37" s="862"/>
      <c r="NH37" s="862"/>
      <c r="NI37" s="862"/>
      <c r="NJ37" s="862"/>
      <c r="NK37" s="862"/>
      <c r="NL37" s="862"/>
      <c r="NM37" s="862"/>
      <c r="NN37" s="862"/>
      <c r="NO37" s="862"/>
      <c r="NP37" s="862"/>
      <c r="NQ37" s="862"/>
      <c r="NR37" s="862"/>
      <c r="NS37" s="862"/>
      <c r="NT37" s="862"/>
      <c r="NU37" s="862"/>
      <c r="NV37" s="862"/>
      <c r="NW37" s="862"/>
      <c r="NX37" s="862"/>
      <c r="NY37" s="862"/>
      <c r="NZ37" s="862"/>
      <c r="OA37" s="862"/>
      <c r="OB37" s="862"/>
      <c r="OC37" s="862"/>
      <c r="OD37" s="862"/>
      <c r="OE37" s="862"/>
      <c r="OF37" s="862"/>
      <c r="OG37" s="862"/>
      <c r="OH37" s="862"/>
      <c r="OI37" s="862"/>
      <c r="OJ37" s="862"/>
      <c r="OK37" s="862"/>
      <c r="OL37" s="862"/>
      <c r="OM37" s="862"/>
      <c r="ON37" s="862"/>
      <c r="OO37" s="862"/>
      <c r="OP37" s="862"/>
      <c r="OQ37" s="862"/>
      <c r="OR37" s="862"/>
      <c r="OS37" s="862"/>
      <c r="OT37" s="862"/>
      <c r="OU37" s="862"/>
      <c r="OV37" s="862"/>
      <c r="OW37" s="862"/>
      <c r="OX37" s="862"/>
      <c r="OY37" s="862"/>
      <c r="OZ37" s="862"/>
      <c r="PA37" s="862"/>
      <c r="PB37" s="862"/>
      <c r="PC37" s="862"/>
      <c r="PD37" s="862"/>
      <c r="PE37" s="862"/>
      <c r="PF37" s="862"/>
      <c r="PG37" s="862"/>
      <c r="PH37" s="862"/>
      <c r="PI37" s="862"/>
      <c r="PJ37" s="862"/>
      <c r="PK37" s="862"/>
      <c r="PL37" s="862"/>
      <c r="PM37" s="862"/>
      <c r="PN37" s="862"/>
      <c r="PO37" s="862"/>
      <c r="PP37" s="862"/>
      <c r="PQ37" s="862"/>
      <c r="PR37" s="862"/>
      <c r="PS37" s="862"/>
      <c r="PT37" s="862"/>
      <c r="PU37" s="862"/>
      <c r="PV37" s="862"/>
      <c r="PW37" s="862"/>
      <c r="PX37" s="862"/>
      <c r="PY37" s="862"/>
      <c r="PZ37" s="862"/>
      <c r="QA37" s="862"/>
      <c r="QB37" s="862"/>
      <c r="QC37" s="862"/>
      <c r="QD37" s="862"/>
      <c r="QE37" s="862"/>
      <c r="QF37" s="862"/>
      <c r="QG37" s="862"/>
      <c r="QH37" s="862"/>
      <c r="QI37" s="862"/>
      <c r="QJ37" s="862"/>
      <c r="QK37" s="862"/>
      <c r="QL37" s="862"/>
      <c r="QM37" s="862"/>
      <c r="QN37" s="862"/>
      <c r="QO37" s="862"/>
      <c r="QP37" s="862"/>
      <c r="QQ37" s="862"/>
      <c r="QR37" s="862"/>
      <c r="QS37" s="862"/>
      <c r="QT37" s="862"/>
      <c r="QU37" s="862"/>
      <c r="QV37" s="862"/>
      <c r="QW37" s="862"/>
      <c r="QX37" s="862"/>
      <c r="QY37" s="862"/>
      <c r="QZ37" s="862"/>
      <c r="RA37" s="862"/>
      <c r="RB37" s="862"/>
      <c r="RC37" s="862"/>
      <c r="RD37" s="862"/>
      <c r="RE37" s="862"/>
      <c r="RF37" s="862"/>
      <c r="RG37" s="862"/>
      <c r="RH37" s="862"/>
      <c r="RI37" s="862"/>
      <c r="RJ37" s="862"/>
      <c r="RK37" s="862"/>
      <c r="RL37" s="862"/>
      <c r="RM37" s="862"/>
      <c r="RN37" s="862"/>
      <c r="RO37" s="862"/>
      <c r="RP37" s="862"/>
      <c r="RQ37" s="862"/>
      <c r="RR37" s="862"/>
      <c r="RS37" s="862"/>
      <c r="RT37" s="862"/>
      <c r="RU37" s="862"/>
      <c r="RV37" s="862"/>
      <c r="RW37" s="862"/>
      <c r="RX37" s="862"/>
      <c r="RY37" s="862"/>
      <c r="RZ37" s="862"/>
      <c r="SA37" s="862"/>
      <c r="SB37" s="862"/>
      <c r="SC37" s="862"/>
      <c r="SD37" s="862"/>
      <c r="SE37" s="862"/>
      <c r="SF37" s="862"/>
      <c r="SG37" s="862"/>
      <c r="SH37" s="862"/>
      <c r="SI37" s="862"/>
      <c r="SJ37" s="862"/>
      <c r="SK37" s="862"/>
      <c r="SL37" s="862"/>
      <c r="SM37" s="862"/>
      <c r="SN37" s="862"/>
      <c r="SO37" s="862"/>
      <c r="SP37" s="862"/>
      <c r="SQ37" s="862"/>
      <c r="SR37" s="862"/>
      <c r="SS37" s="862"/>
      <c r="ST37" s="862"/>
      <c r="SU37" s="862"/>
      <c r="SV37" s="862"/>
      <c r="SW37" s="862"/>
      <c r="SX37" s="862"/>
      <c r="SY37" s="862"/>
      <c r="SZ37" s="862"/>
      <c r="TA37" s="862"/>
      <c r="TB37" s="862"/>
      <c r="TC37" s="862"/>
      <c r="TD37" s="862"/>
      <c r="TE37" s="862"/>
      <c r="TF37" s="862"/>
      <c r="TG37" s="862"/>
      <c r="TH37" s="862"/>
      <c r="TI37" s="862"/>
      <c r="TJ37" s="862"/>
      <c r="TK37" s="862"/>
      <c r="TL37" s="862"/>
      <c r="TM37" s="862"/>
      <c r="TN37" s="862"/>
      <c r="TO37" s="862"/>
      <c r="TP37" s="862"/>
      <c r="TQ37" s="862"/>
      <c r="TR37" s="862"/>
      <c r="TS37" s="862"/>
      <c r="TT37" s="862"/>
      <c r="TU37" s="862"/>
      <c r="TV37" s="862"/>
      <c r="TW37" s="862"/>
      <c r="TX37" s="862"/>
      <c r="TY37" s="862"/>
      <c r="TZ37" s="862"/>
      <c r="UA37" s="862"/>
      <c r="UB37" s="862"/>
      <c r="UC37" s="862"/>
      <c r="UD37" s="862"/>
      <c r="UE37" s="862"/>
      <c r="UF37" s="862"/>
      <c r="UG37" s="862"/>
      <c r="UH37" s="862"/>
      <c r="UI37" s="862"/>
      <c r="UJ37" s="862"/>
      <c r="UK37" s="862"/>
      <c r="UL37" s="862"/>
      <c r="UM37" s="862"/>
      <c r="UN37" s="862"/>
      <c r="UO37" s="862"/>
      <c r="UP37" s="862"/>
      <c r="UQ37" s="862"/>
      <c r="UR37" s="862"/>
      <c r="US37" s="862"/>
      <c r="UT37" s="862"/>
      <c r="UU37" s="862"/>
      <c r="UV37" s="862"/>
      <c r="UW37" s="862"/>
      <c r="UX37" s="862"/>
      <c r="UY37" s="862"/>
      <c r="UZ37" s="862"/>
      <c r="VA37" s="862"/>
      <c r="VB37" s="862"/>
      <c r="VC37" s="862"/>
      <c r="VD37" s="862"/>
      <c r="VE37" s="862"/>
      <c r="VF37" s="862"/>
      <c r="VG37" s="862"/>
      <c r="VH37" s="862"/>
      <c r="VI37" s="862"/>
      <c r="VJ37" s="862"/>
      <c r="VK37" s="862"/>
      <c r="VL37" s="862"/>
      <c r="VM37" s="862"/>
      <c r="VN37" s="862"/>
      <c r="VO37" s="862"/>
      <c r="VP37" s="862"/>
      <c r="VQ37" s="862"/>
      <c r="VR37" s="862"/>
      <c r="VS37" s="862"/>
      <c r="VT37" s="862"/>
      <c r="VU37" s="862"/>
      <c r="VV37" s="862"/>
      <c r="VW37" s="862"/>
      <c r="VX37" s="862"/>
      <c r="VY37" s="862"/>
      <c r="VZ37" s="862"/>
      <c r="WA37" s="862"/>
      <c r="WB37" s="862"/>
      <c r="WC37" s="862"/>
      <c r="WD37" s="862"/>
      <c r="WE37" s="862"/>
      <c r="WF37" s="862"/>
      <c r="WG37" s="862"/>
      <c r="WH37" s="862"/>
      <c r="WI37" s="862"/>
      <c r="WJ37" s="862"/>
      <c r="WK37" s="862"/>
      <c r="WL37" s="862"/>
      <c r="WM37" s="862"/>
      <c r="WN37" s="862"/>
      <c r="WO37" s="862"/>
      <c r="WP37" s="862"/>
      <c r="WQ37" s="862"/>
      <c r="WR37" s="862"/>
      <c r="WS37" s="862"/>
      <c r="WT37" s="862"/>
      <c r="WU37" s="862"/>
      <c r="WV37" s="862"/>
      <c r="WW37" s="862"/>
      <c r="WX37" s="862"/>
      <c r="WY37" s="862"/>
      <c r="WZ37" s="862"/>
      <c r="XA37" s="862"/>
      <c r="XB37" s="862"/>
      <c r="XC37" s="862"/>
      <c r="XD37" s="862"/>
      <c r="XE37" s="862"/>
      <c r="XF37" s="862"/>
      <c r="XG37" s="862"/>
      <c r="XH37" s="862"/>
      <c r="XI37" s="862"/>
      <c r="XJ37" s="862"/>
      <c r="XK37" s="862"/>
      <c r="XL37" s="862"/>
      <c r="XM37" s="862"/>
      <c r="XN37" s="862"/>
      <c r="XO37" s="862"/>
      <c r="XP37" s="862"/>
      <c r="XQ37" s="862"/>
      <c r="XR37" s="862"/>
      <c r="XS37" s="862"/>
      <c r="XT37" s="862"/>
      <c r="XU37" s="862"/>
      <c r="XV37" s="862"/>
      <c r="XW37" s="862"/>
      <c r="XX37" s="862"/>
      <c r="XY37" s="862"/>
      <c r="XZ37" s="862"/>
      <c r="YA37" s="862"/>
      <c r="YB37" s="862"/>
      <c r="YC37" s="862"/>
      <c r="YD37" s="862"/>
      <c r="YE37" s="862"/>
      <c r="YF37" s="862"/>
      <c r="YG37" s="862"/>
      <c r="YH37" s="862"/>
      <c r="YI37" s="862"/>
      <c r="YJ37" s="862"/>
      <c r="YK37" s="862"/>
      <c r="YL37" s="862"/>
      <c r="YM37" s="862"/>
      <c r="YN37" s="862"/>
      <c r="YO37" s="862"/>
      <c r="YP37" s="862"/>
      <c r="YQ37" s="862"/>
      <c r="YR37" s="862"/>
      <c r="YS37" s="862"/>
      <c r="YT37" s="862"/>
      <c r="YU37" s="862"/>
      <c r="YV37" s="862"/>
      <c r="YW37" s="862"/>
      <c r="YX37" s="862"/>
      <c r="YY37" s="862"/>
      <c r="YZ37" s="862"/>
      <c r="ZA37" s="862"/>
      <c r="ZB37" s="862"/>
      <c r="ZC37" s="862"/>
      <c r="ZD37" s="862"/>
      <c r="ZE37" s="862"/>
      <c r="ZF37" s="862"/>
      <c r="ZG37" s="862"/>
      <c r="ZH37" s="862"/>
      <c r="ZI37" s="862"/>
      <c r="ZJ37" s="862"/>
      <c r="ZK37" s="862"/>
      <c r="ZL37" s="862"/>
      <c r="ZM37" s="862"/>
      <c r="ZN37" s="862"/>
      <c r="ZO37" s="862"/>
      <c r="ZP37" s="862"/>
      <c r="ZQ37" s="862"/>
      <c r="ZR37" s="862"/>
      <c r="ZS37" s="862"/>
      <c r="ZT37" s="862"/>
      <c r="ZU37" s="862"/>
      <c r="ZV37" s="862"/>
      <c r="ZW37" s="862"/>
      <c r="ZX37" s="862"/>
      <c r="ZY37" s="862"/>
      <c r="ZZ37" s="862"/>
      <c r="AAA37" s="862"/>
      <c r="AAB37" s="862"/>
      <c r="AAC37" s="862"/>
      <c r="AAD37" s="862"/>
      <c r="AAE37" s="862"/>
      <c r="AAF37" s="862"/>
      <c r="AAG37" s="862"/>
      <c r="AAH37" s="862"/>
      <c r="AAI37" s="862"/>
      <c r="AAJ37" s="862"/>
      <c r="AAK37" s="862"/>
      <c r="AAL37" s="862"/>
      <c r="AAM37" s="862"/>
      <c r="AAN37" s="862"/>
      <c r="AAO37" s="862"/>
      <c r="AAP37" s="862"/>
      <c r="AAQ37" s="862"/>
      <c r="AAR37" s="862"/>
      <c r="AAS37" s="862"/>
      <c r="AAT37" s="862"/>
      <c r="AAU37" s="862"/>
      <c r="AAV37" s="862"/>
      <c r="AAW37" s="862"/>
      <c r="AAX37" s="862"/>
      <c r="AAY37" s="862"/>
      <c r="AAZ37" s="862"/>
      <c r="ABA37" s="862"/>
      <c r="ABB37" s="862"/>
      <c r="ABC37" s="862"/>
      <c r="ABD37" s="862"/>
      <c r="ABE37" s="862"/>
      <c r="ABF37" s="862"/>
      <c r="ABG37" s="862"/>
      <c r="ABH37" s="862"/>
      <c r="ABI37" s="862"/>
      <c r="ABJ37" s="862"/>
      <c r="ABK37" s="862"/>
      <c r="ABL37" s="862"/>
      <c r="ABM37" s="862"/>
      <c r="ABN37" s="862"/>
      <c r="ABO37" s="862"/>
      <c r="ABP37" s="862"/>
      <c r="ABQ37" s="862"/>
      <c r="ABR37" s="862"/>
      <c r="ABS37" s="862"/>
      <c r="ABT37" s="862"/>
      <c r="ABU37" s="862"/>
      <c r="ABV37" s="862"/>
      <c r="ABW37" s="862"/>
      <c r="ABX37" s="862"/>
      <c r="ABY37" s="862"/>
      <c r="ABZ37" s="862"/>
      <c r="ACA37" s="862"/>
      <c r="ACB37" s="862"/>
      <c r="ACC37" s="862"/>
      <c r="ACD37" s="862"/>
      <c r="ACE37" s="862"/>
      <c r="ACF37" s="862"/>
      <c r="ACG37" s="862"/>
      <c r="ACH37" s="862"/>
      <c r="ACI37" s="862"/>
      <c r="ACJ37" s="862"/>
      <c r="ACK37" s="862"/>
      <c r="ACL37" s="862"/>
      <c r="ACM37" s="862"/>
      <c r="ACN37" s="862"/>
      <c r="ACO37" s="862"/>
      <c r="ACP37" s="862"/>
      <c r="ACQ37" s="862"/>
      <c r="ACR37" s="862"/>
      <c r="ACS37" s="862"/>
      <c r="ACT37" s="862"/>
      <c r="ACU37" s="862"/>
      <c r="ACV37" s="862"/>
      <c r="ACW37" s="862"/>
      <c r="ACX37" s="862"/>
      <c r="ACY37" s="862"/>
      <c r="ACZ37" s="862"/>
      <c r="ADA37" s="862"/>
      <c r="ADB37" s="862"/>
      <c r="ADC37" s="862"/>
      <c r="ADD37" s="862"/>
      <c r="ADE37" s="862"/>
      <c r="ADF37" s="862"/>
      <c r="ADG37" s="862"/>
      <c r="ADH37" s="862"/>
      <c r="ADI37" s="862"/>
      <c r="ADJ37" s="862"/>
      <c r="ADK37" s="862"/>
      <c r="ADL37" s="862"/>
      <c r="ADM37" s="862"/>
      <c r="ADN37" s="862"/>
      <c r="ADO37" s="862"/>
      <c r="ADP37" s="862"/>
      <c r="ADQ37" s="862"/>
      <c r="ADR37" s="862"/>
      <c r="ADS37" s="862"/>
      <c r="ADT37" s="862"/>
      <c r="ADU37" s="862"/>
      <c r="ADV37" s="862"/>
      <c r="ADW37" s="862"/>
      <c r="ADX37" s="862"/>
      <c r="ADY37" s="862"/>
      <c r="ADZ37" s="862"/>
      <c r="AEA37" s="862"/>
      <c r="AEB37" s="862"/>
      <c r="AEC37" s="862"/>
      <c r="AED37" s="862"/>
      <c r="AEE37" s="862"/>
      <c r="AEF37" s="862"/>
      <c r="AEG37" s="862"/>
      <c r="AEH37" s="862"/>
      <c r="AEI37" s="862"/>
      <c r="AEJ37" s="862"/>
      <c r="AEK37" s="862"/>
      <c r="AEL37" s="862"/>
      <c r="AEM37" s="862"/>
      <c r="AEN37" s="862"/>
      <c r="AEO37" s="862"/>
      <c r="AEP37" s="862"/>
      <c r="AEQ37" s="862"/>
      <c r="AER37" s="862"/>
      <c r="AES37" s="862"/>
      <c r="AET37" s="862"/>
      <c r="AEU37" s="862"/>
      <c r="AEV37" s="862"/>
      <c r="AEW37" s="862"/>
      <c r="AEX37" s="862"/>
      <c r="AEY37" s="862"/>
      <c r="AEZ37" s="862"/>
      <c r="AFA37" s="862"/>
      <c r="AFB37" s="862"/>
      <c r="AFC37" s="862"/>
      <c r="AFD37" s="862"/>
      <c r="AFE37" s="862"/>
      <c r="AFF37" s="862"/>
      <c r="AFG37" s="862"/>
      <c r="AFH37" s="862"/>
      <c r="AFI37" s="862"/>
      <c r="AFJ37" s="862"/>
      <c r="AFK37" s="862"/>
      <c r="AFL37" s="862"/>
      <c r="AFM37" s="862"/>
      <c r="AFN37" s="862"/>
      <c r="AFO37" s="862"/>
      <c r="AFP37" s="862"/>
      <c r="AFQ37" s="862"/>
      <c r="AFR37" s="862"/>
      <c r="AFS37" s="862"/>
      <c r="AFT37" s="862"/>
      <c r="AFU37" s="862"/>
      <c r="AFV37" s="862"/>
      <c r="AFW37" s="862"/>
      <c r="AFX37" s="862"/>
      <c r="AFY37" s="862"/>
      <c r="AFZ37" s="862"/>
      <c r="AGA37" s="862"/>
      <c r="AGB37" s="862"/>
      <c r="AGC37" s="862"/>
      <c r="AGD37" s="862"/>
      <c r="AGE37" s="862"/>
      <c r="AGF37" s="862"/>
      <c r="AGG37" s="862"/>
      <c r="AGH37" s="862"/>
      <c r="AGI37" s="862"/>
      <c r="AGJ37" s="862"/>
      <c r="AGK37" s="862"/>
      <c r="AGL37" s="862"/>
      <c r="AGM37" s="862"/>
      <c r="AGN37" s="862"/>
      <c r="AGO37" s="862"/>
      <c r="AGP37" s="862"/>
      <c r="AGQ37" s="862"/>
      <c r="AGR37" s="862"/>
      <c r="AGS37" s="862"/>
      <c r="AGT37" s="862"/>
      <c r="AGU37" s="862"/>
      <c r="AGV37" s="862"/>
      <c r="AGW37" s="862"/>
      <c r="AGX37" s="862"/>
      <c r="AGY37" s="862"/>
      <c r="AGZ37" s="862"/>
      <c r="AHA37" s="862"/>
      <c r="AHB37" s="862"/>
      <c r="AHC37" s="862"/>
      <c r="AHD37" s="862"/>
      <c r="AHE37" s="862"/>
      <c r="AHF37" s="862"/>
      <c r="AHG37" s="862"/>
      <c r="AHH37" s="862"/>
      <c r="AHI37" s="862"/>
      <c r="AHJ37" s="862"/>
      <c r="AHK37" s="862"/>
      <c r="AHL37" s="862"/>
      <c r="AHM37" s="862"/>
      <c r="AHN37" s="862"/>
      <c r="AHO37" s="862"/>
      <c r="AHP37" s="862"/>
      <c r="AHQ37" s="862"/>
      <c r="AHR37" s="862"/>
      <c r="AHS37" s="862"/>
      <c r="AHT37" s="862"/>
      <c r="AHU37" s="862"/>
      <c r="AHV37" s="862"/>
      <c r="AHW37" s="862"/>
      <c r="AHX37" s="862"/>
      <c r="AHY37" s="862"/>
      <c r="AHZ37" s="862"/>
      <c r="AIA37" s="862"/>
      <c r="AIB37" s="862"/>
      <c r="AIC37" s="862"/>
      <c r="AID37" s="862"/>
      <c r="AIE37" s="862"/>
      <c r="AIF37" s="862"/>
      <c r="AIG37" s="862"/>
      <c r="AIH37" s="862"/>
      <c r="AII37" s="862"/>
      <c r="AIJ37" s="862"/>
      <c r="AIK37" s="862"/>
      <c r="AIL37" s="862"/>
      <c r="AIM37" s="862"/>
      <c r="AIN37" s="862"/>
      <c r="AIO37" s="862"/>
      <c r="AIP37" s="862"/>
      <c r="AIQ37" s="862"/>
      <c r="AIR37" s="862"/>
      <c r="AIS37" s="862"/>
      <c r="AIT37" s="862"/>
      <c r="AIU37" s="862"/>
      <c r="AIV37" s="862"/>
      <c r="AIW37" s="862"/>
      <c r="AIX37" s="862"/>
      <c r="AIY37" s="862"/>
      <c r="AIZ37" s="862"/>
      <c r="AJA37" s="862"/>
      <c r="AJB37" s="862"/>
      <c r="AJC37" s="862"/>
      <c r="AJD37" s="862"/>
      <c r="AJE37" s="862"/>
      <c r="AJF37" s="862"/>
      <c r="AJG37" s="862"/>
      <c r="AJH37" s="862"/>
      <c r="AJI37" s="862"/>
      <c r="AJJ37" s="862"/>
      <c r="AJK37" s="862"/>
      <c r="AJL37" s="862"/>
      <c r="AJM37" s="862"/>
      <c r="AJN37" s="862"/>
      <c r="AJO37" s="862"/>
      <c r="AJP37" s="862"/>
      <c r="AJQ37" s="862"/>
      <c r="AJR37" s="862"/>
      <c r="AJS37" s="862"/>
      <c r="AJT37" s="862"/>
      <c r="AJU37" s="862"/>
      <c r="AJV37" s="862"/>
      <c r="AJW37" s="862"/>
      <c r="AJX37" s="862"/>
      <c r="AJY37" s="862"/>
      <c r="AJZ37" s="862"/>
      <c r="AKA37" s="862"/>
      <c r="AKB37" s="862"/>
      <c r="AKC37" s="862"/>
      <c r="AKD37" s="862"/>
      <c r="AKE37" s="862"/>
      <c r="AKF37" s="862"/>
      <c r="AKG37" s="862"/>
      <c r="AKH37" s="862"/>
      <c r="AKI37" s="862"/>
      <c r="AKJ37" s="862"/>
      <c r="AKK37" s="862"/>
      <c r="AKL37" s="862"/>
      <c r="AKM37" s="862"/>
      <c r="AKN37" s="862"/>
      <c r="AKO37" s="862"/>
      <c r="AKP37" s="862"/>
      <c r="AKQ37" s="862"/>
      <c r="AKR37" s="862"/>
      <c r="AKS37" s="862"/>
      <c r="AKT37" s="862"/>
      <c r="AKU37" s="862"/>
      <c r="AKV37" s="862"/>
      <c r="AKW37" s="862"/>
      <c r="AKX37" s="862"/>
      <c r="AKY37" s="862"/>
      <c r="AKZ37" s="862"/>
      <c r="ALA37" s="862"/>
      <c r="ALB37" s="862"/>
      <c r="ALC37" s="862"/>
      <c r="ALD37" s="862"/>
      <c r="ALE37" s="862"/>
      <c r="ALF37" s="862"/>
      <c r="ALG37" s="862"/>
      <c r="ALH37" s="862"/>
      <c r="ALI37" s="862"/>
      <c r="ALJ37" s="862"/>
      <c r="ALK37" s="862"/>
      <c r="ALL37" s="862"/>
      <c r="ALM37" s="862"/>
      <c r="ALN37" s="862"/>
      <c r="ALO37" s="862"/>
      <c r="ALP37" s="862"/>
      <c r="ALQ37" s="862"/>
      <c r="ALR37" s="862"/>
      <c r="ALS37" s="862"/>
      <c r="ALT37" s="862"/>
      <c r="ALU37" s="862"/>
      <c r="ALV37" s="862"/>
      <c r="ALW37" s="862"/>
      <c r="ALX37" s="862"/>
      <c r="ALY37" s="862"/>
      <c r="ALZ37" s="862"/>
      <c r="AMA37" s="862"/>
      <c r="AMB37" s="862"/>
      <c r="AMC37" s="862"/>
      <c r="AMD37" s="862"/>
      <c r="AME37" s="862"/>
      <c r="AMF37" s="862"/>
      <c r="AMG37" s="862"/>
      <c r="AMH37" s="862"/>
      <c r="AMI37" s="862"/>
      <c r="AMJ37" s="862"/>
      <c r="AMK37" s="862"/>
      <c r="AML37" s="862"/>
      <c r="AMM37" s="862"/>
      <c r="AMN37" s="862"/>
      <c r="AMO37" s="862"/>
      <c r="AMP37" s="862"/>
      <c r="AMQ37" s="862"/>
      <c r="AMR37" s="862"/>
      <c r="AMS37" s="862"/>
      <c r="AMT37" s="862"/>
      <c r="AMU37" s="862"/>
      <c r="AMV37" s="862"/>
      <c r="AMW37" s="862"/>
      <c r="AMX37" s="862"/>
      <c r="AMY37" s="862"/>
      <c r="AMZ37" s="862"/>
      <c r="ANA37" s="862"/>
      <c r="ANB37" s="862"/>
      <c r="ANC37" s="862"/>
      <c r="AND37" s="862"/>
      <c r="ANE37" s="862"/>
      <c r="ANF37" s="862"/>
      <c r="ANG37" s="862"/>
      <c r="ANH37" s="862"/>
      <c r="ANI37" s="862"/>
      <c r="ANJ37" s="862"/>
      <c r="ANK37" s="862"/>
      <c r="ANL37" s="862"/>
      <c r="ANM37" s="862"/>
      <c r="ANN37" s="862"/>
      <c r="ANO37" s="862"/>
      <c r="ANP37" s="862"/>
      <c r="ANQ37" s="862"/>
      <c r="ANR37" s="862"/>
      <c r="ANS37" s="862"/>
      <c r="ANT37" s="862"/>
      <c r="ANU37" s="862"/>
      <c r="ANV37" s="862"/>
      <c r="ANW37" s="862"/>
      <c r="ANX37" s="862"/>
      <c r="ANY37" s="862"/>
      <c r="ANZ37" s="862"/>
      <c r="AOA37" s="862"/>
      <c r="AOB37" s="862"/>
      <c r="AOC37" s="862"/>
      <c r="AOD37" s="862"/>
      <c r="AOE37" s="862"/>
      <c r="AOF37" s="862"/>
      <c r="AOG37" s="862"/>
      <c r="AOH37" s="862"/>
      <c r="AOI37" s="862"/>
      <c r="AOJ37" s="862"/>
      <c r="AOK37" s="862"/>
      <c r="AOL37" s="862"/>
      <c r="AOM37" s="862"/>
      <c r="AON37" s="862"/>
      <c r="AOO37" s="862"/>
      <c r="AOP37" s="862"/>
      <c r="AOQ37" s="862"/>
      <c r="AOR37" s="862"/>
      <c r="AOS37" s="862"/>
      <c r="AOT37" s="862"/>
      <c r="AOU37" s="862"/>
      <c r="AOV37" s="862"/>
      <c r="AOW37" s="862"/>
      <c r="AOX37" s="862"/>
      <c r="AOY37" s="862"/>
      <c r="AOZ37" s="862"/>
      <c r="APA37" s="862"/>
      <c r="APB37" s="862"/>
      <c r="APC37" s="862"/>
      <c r="APD37" s="862"/>
      <c r="APE37" s="862"/>
      <c r="APF37" s="862"/>
      <c r="APG37" s="862"/>
      <c r="APH37" s="862"/>
      <c r="API37" s="862"/>
      <c r="APJ37" s="862"/>
      <c r="APK37" s="862"/>
      <c r="APL37" s="862"/>
      <c r="APM37" s="862"/>
      <c r="APN37" s="862"/>
      <c r="APO37" s="862"/>
      <c r="APP37" s="862"/>
      <c r="APQ37" s="862"/>
      <c r="APR37" s="862"/>
      <c r="APS37" s="862"/>
      <c r="APT37" s="862"/>
      <c r="APU37" s="862"/>
      <c r="APV37" s="862"/>
      <c r="APW37" s="862"/>
      <c r="APX37" s="862"/>
      <c r="APY37" s="862"/>
      <c r="APZ37" s="862"/>
      <c r="AQA37" s="862"/>
      <c r="AQB37" s="862"/>
      <c r="AQC37" s="862"/>
      <c r="AQD37" s="862"/>
      <c r="AQE37" s="862"/>
      <c r="AQF37" s="862"/>
      <c r="AQG37" s="862"/>
      <c r="AQH37" s="862"/>
      <c r="AQI37" s="862"/>
      <c r="AQJ37" s="862"/>
      <c r="AQK37" s="862"/>
      <c r="AQL37" s="862"/>
      <c r="AQM37" s="862"/>
      <c r="AQN37" s="862"/>
      <c r="AQO37" s="862"/>
      <c r="AQP37" s="862"/>
      <c r="AQQ37" s="862"/>
      <c r="AQR37" s="862"/>
      <c r="AQS37" s="862"/>
      <c r="AQT37" s="862"/>
      <c r="AQU37" s="862"/>
      <c r="AQV37" s="862"/>
      <c r="AQW37" s="862"/>
      <c r="AQX37" s="862"/>
      <c r="AQY37" s="862"/>
      <c r="AQZ37" s="862"/>
      <c r="ARA37" s="862"/>
      <c r="ARB37" s="862"/>
      <c r="ARC37" s="862"/>
      <c r="ARD37" s="862"/>
      <c r="ARE37" s="862"/>
      <c r="ARF37" s="862"/>
      <c r="ARG37" s="862"/>
      <c r="ARH37" s="862"/>
      <c r="ARI37" s="862"/>
      <c r="ARJ37" s="862"/>
      <c r="ARK37" s="862"/>
      <c r="ARL37" s="862"/>
      <c r="ARM37" s="862"/>
      <c r="ARN37" s="862"/>
      <c r="ARO37" s="862"/>
      <c r="ARP37" s="862"/>
      <c r="ARQ37" s="862"/>
      <c r="ARR37" s="862"/>
      <c r="ARS37" s="862"/>
      <c r="ART37" s="862"/>
      <c r="ARU37" s="862"/>
      <c r="ARV37" s="862"/>
      <c r="ARW37" s="862"/>
      <c r="ARX37" s="862"/>
      <c r="ARY37" s="862"/>
      <c r="ARZ37" s="862"/>
      <c r="ASA37" s="862"/>
      <c r="ASB37" s="862"/>
      <c r="ASC37" s="862"/>
      <c r="ASD37" s="862"/>
      <c r="ASE37" s="862"/>
      <c r="ASF37" s="862"/>
      <c r="ASG37" s="862"/>
      <c r="ASH37" s="862"/>
      <c r="ASI37" s="862"/>
      <c r="ASJ37" s="862"/>
      <c r="ASK37" s="862"/>
      <c r="ASL37" s="862"/>
      <c r="ASM37" s="862"/>
      <c r="ASN37" s="862"/>
      <c r="ASO37" s="862"/>
      <c r="ASP37" s="862"/>
      <c r="ASQ37" s="862"/>
      <c r="ASR37" s="862"/>
      <c r="ASS37" s="862"/>
      <c r="AST37" s="862"/>
      <c r="ASU37" s="862"/>
      <c r="ASV37" s="862"/>
      <c r="ASW37" s="862"/>
      <c r="ASX37" s="862"/>
      <c r="ASY37" s="862"/>
      <c r="ASZ37" s="862"/>
      <c r="ATA37" s="862"/>
      <c r="ATB37" s="862"/>
      <c r="ATC37" s="862"/>
      <c r="ATD37" s="862"/>
      <c r="ATE37" s="862"/>
      <c r="ATF37" s="862"/>
      <c r="ATG37" s="862"/>
      <c r="ATH37" s="862"/>
      <c r="ATI37" s="862"/>
      <c r="ATJ37" s="862"/>
      <c r="ATK37" s="862"/>
      <c r="ATL37" s="862"/>
      <c r="ATM37" s="862"/>
      <c r="ATN37" s="862"/>
      <c r="ATO37" s="862"/>
      <c r="ATP37" s="862"/>
      <c r="ATQ37" s="862"/>
      <c r="ATR37" s="862"/>
      <c r="ATS37" s="862"/>
      <c r="ATT37" s="862"/>
      <c r="ATU37" s="862"/>
      <c r="ATV37" s="862"/>
      <c r="ATW37" s="862"/>
      <c r="ATX37" s="862"/>
      <c r="ATY37" s="862"/>
      <c r="ATZ37" s="862"/>
      <c r="AUA37" s="862"/>
      <c r="AUB37" s="862"/>
      <c r="AUC37" s="862"/>
      <c r="AUD37" s="862"/>
      <c r="AUE37" s="862"/>
      <c r="AUF37" s="862"/>
      <c r="AUG37" s="862"/>
      <c r="AUH37" s="862"/>
      <c r="AUI37" s="862"/>
      <c r="AUJ37" s="862"/>
      <c r="AUK37" s="862"/>
      <c r="AUL37" s="862"/>
      <c r="AUM37" s="862"/>
      <c r="AUN37" s="862"/>
      <c r="AUO37" s="862"/>
      <c r="AUP37" s="862"/>
      <c r="AUQ37" s="862"/>
      <c r="AUR37" s="862"/>
      <c r="AUS37" s="862"/>
      <c r="AUT37" s="862"/>
      <c r="AUU37" s="862"/>
      <c r="AUV37" s="862"/>
      <c r="AUW37" s="862"/>
      <c r="AUX37" s="862"/>
      <c r="AUY37" s="862"/>
      <c r="AUZ37" s="862"/>
      <c r="AVA37" s="862"/>
      <c r="AVB37" s="862"/>
      <c r="AVC37" s="862"/>
      <c r="AVD37" s="862"/>
      <c r="AVE37" s="862"/>
      <c r="AVF37" s="862"/>
      <c r="AVG37" s="862"/>
      <c r="AVH37" s="862"/>
      <c r="AVI37" s="862"/>
      <c r="AVJ37" s="862"/>
      <c r="AVK37" s="862"/>
      <c r="AVL37" s="862"/>
      <c r="AVM37" s="862"/>
      <c r="AVN37" s="862"/>
      <c r="AVO37" s="862"/>
      <c r="AVP37" s="862"/>
      <c r="AVQ37" s="862"/>
      <c r="AVR37" s="862"/>
      <c r="AVS37" s="862"/>
      <c r="AVT37" s="862"/>
      <c r="AVU37" s="862"/>
      <c r="AVV37" s="862"/>
      <c r="AVW37" s="862"/>
      <c r="AVX37" s="862"/>
      <c r="AVY37" s="862"/>
      <c r="AVZ37" s="862"/>
      <c r="AWA37" s="862"/>
      <c r="AWB37" s="862"/>
      <c r="AWC37" s="862"/>
      <c r="AWD37" s="862"/>
      <c r="AWE37" s="862"/>
      <c r="AWF37" s="862"/>
      <c r="AWG37" s="862"/>
      <c r="AWH37" s="862"/>
      <c r="AWI37" s="862"/>
      <c r="AWJ37" s="862"/>
      <c r="AWK37" s="862"/>
      <c r="AWL37" s="862"/>
      <c r="AWM37" s="862"/>
      <c r="AWN37" s="862"/>
      <c r="AWO37" s="862"/>
      <c r="AWP37" s="862"/>
      <c r="AWQ37" s="862"/>
      <c r="AWR37" s="862"/>
      <c r="AWS37" s="862"/>
      <c r="AWT37" s="862"/>
      <c r="AWU37" s="862"/>
      <c r="AWV37" s="862"/>
      <c r="AWW37" s="862"/>
      <c r="AWX37" s="862"/>
      <c r="AWY37" s="862"/>
      <c r="AWZ37" s="862"/>
      <c r="AXA37" s="862"/>
      <c r="AXB37" s="862"/>
      <c r="AXC37" s="862"/>
      <c r="AXD37" s="862"/>
      <c r="AXE37" s="862"/>
      <c r="AXF37" s="862"/>
      <c r="AXG37" s="862"/>
      <c r="AXH37" s="862"/>
      <c r="AXI37" s="862"/>
      <c r="AXJ37" s="862"/>
      <c r="AXK37" s="862"/>
      <c r="AXL37" s="862"/>
      <c r="AXM37" s="862"/>
      <c r="AXN37" s="862"/>
      <c r="AXO37" s="862"/>
      <c r="AXP37" s="862"/>
      <c r="AXQ37" s="862"/>
      <c r="AXR37" s="862"/>
      <c r="AXS37" s="862"/>
      <c r="AXT37" s="862"/>
      <c r="AXU37" s="862"/>
      <c r="AXV37" s="862"/>
      <c r="AXW37" s="862"/>
      <c r="AXX37" s="862"/>
      <c r="AXY37" s="862"/>
      <c r="AXZ37" s="862"/>
      <c r="AYA37" s="862"/>
      <c r="AYB37" s="862"/>
      <c r="AYC37" s="862"/>
      <c r="AYD37" s="862"/>
      <c r="AYE37" s="862"/>
      <c r="AYF37" s="862"/>
      <c r="AYG37" s="862"/>
      <c r="AYH37" s="862"/>
      <c r="AYI37" s="862"/>
      <c r="AYJ37" s="862"/>
      <c r="AYK37" s="862"/>
      <c r="AYL37" s="862"/>
      <c r="AYM37" s="862"/>
      <c r="AYN37" s="862"/>
      <c r="AYO37" s="862"/>
      <c r="AYP37" s="862"/>
      <c r="AYQ37" s="862"/>
      <c r="AYR37" s="862"/>
      <c r="AYS37" s="862"/>
      <c r="AYT37" s="862"/>
      <c r="AYU37" s="862"/>
      <c r="AYV37" s="862"/>
      <c r="AYW37" s="862"/>
      <c r="AYX37" s="862"/>
      <c r="AYY37" s="862"/>
      <c r="AYZ37" s="862"/>
      <c r="AZA37" s="862"/>
      <c r="AZB37" s="862"/>
      <c r="AZC37" s="862"/>
      <c r="AZD37" s="862"/>
      <c r="AZE37" s="862"/>
      <c r="AZF37" s="862"/>
      <c r="AZG37" s="862"/>
      <c r="AZH37" s="862"/>
      <c r="AZI37" s="862"/>
      <c r="AZJ37" s="862"/>
      <c r="AZK37" s="862"/>
      <c r="AZL37" s="862"/>
      <c r="AZM37" s="862"/>
      <c r="AZN37" s="862"/>
      <c r="AZO37" s="862"/>
      <c r="AZP37" s="862"/>
      <c r="AZQ37" s="862"/>
      <c r="AZR37" s="862"/>
      <c r="AZS37" s="862"/>
      <c r="AZT37" s="862"/>
      <c r="AZU37" s="862"/>
      <c r="AZV37" s="862"/>
      <c r="AZW37" s="862"/>
      <c r="AZX37" s="862"/>
      <c r="AZY37" s="862"/>
      <c r="AZZ37" s="862"/>
      <c r="BAA37" s="862"/>
      <c r="BAB37" s="862"/>
      <c r="BAC37" s="862"/>
      <c r="BAD37" s="862"/>
      <c r="BAE37" s="862"/>
      <c r="BAF37" s="862"/>
      <c r="BAG37" s="862"/>
      <c r="BAH37" s="862"/>
      <c r="BAI37" s="862"/>
      <c r="BAJ37" s="862"/>
      <c r="BAK37" s="862"/>
      <c r="BAL37" s="862"/>
      <c r="BAM37" s="862"/>
      <c r="BAN37" s="862"/>
      <c r="BAO37" s="862"/>
      <c r="BAP37" s="862"/>
      <c r="BAQ37" s="862"/>
      <c r="BAR37" s="862"/>
      <c r="BAS37" s="862"/>
      <c r="BAT37" s="862"/>
      <c r="BAU37" s="862"/>
      <c r="BAV37" s="862"/>
      <c r="BAW37" s="862"/>
      <c r="BAX37" s="862"/>
      <c r="BAY37" s="862"/>
      <c r="BAZ37" s="862"/>
      <c r="BBA37" s="862"/>
      <c r="BBB37" s="862"/>
      <c r="BBC37" s="862"/>
      <c r="BBD37" s="862"/>
      <c r="BBE37" s="862"/>
      <c r="BBF37" s="862"/>
      <c r="BBG37" s="862"/>
      <c r="BBH37" s="862"/>
      <c r="BBI37" s="862"/>
      <c r="BBJ37" s="862"/>
      <c r="BBK37" s="862"/>
      <c r="BBL37" s="862"/>
      <c r="BBM37" s="862"/>
      <c r="BBN37" s="862"/>
      <c r="BBO37" s="862"/>
      <c r="BBP37" s="862"/>
      <c r="BBQ37" s="862"/>
      <c r="BBR37" s="862"/>
      <c r="BBS37" s="862"/>
      <c r="BBT37" s="862"/>
      <c r="BBU37" s="862"/>
      <c r="BBV37" s="862"/>
      <c r="BBW37" s="862"/>
      <c r="BBX37" s="862"/>
      <c r="BBY37" s="862"/>
      <c r="BBZ37" s="862"/>
      <c r="BCA37" s="862"/>
      <c r="BCB37" s="862"/>
      <c r="BCC37" s="862"/>
      <c r="BCD37" s="862"/>
      <c r="BCE37" s="862"/>
      <c r="BCF37" s="862"/>
      <c r="BCG37" s="862"/>
      <c r="BCH37" s="862"/>
      <c r="BCI37" s="862"/>
      <c r="BCJ37" s="862"/>
      <c r="BCK37" s="862"/>
      <c r="BCL37" s="862"/>
      <c r="BCM37" s="862"/>
      <c r="BCN37" s="862"/>
      <c r="BCO37" s="862"/>
      <c r="BCP37" s="862"/>
      <c r="BCQ37" s="862"/>
      <c r="BCR37" s="862"/>
      <c r="BCS37" s="862"/>
      <c r="BCT37" s="862"/>
      <c r="BCU37" s="862"/>
      <c r="BCV37" s="862"/>
      <c r="BCW37" s="862"/>
      <c r="BCX37" s="862"/>
      <c r="BCY37" s="862"/>
      <c r="BCZ37" s="862"/>
      <c r="BDA37" s="862"/>
      <c r="BDB37" s="862"/>
      <c r="BDC37" s="862"/>
      <c r="BDD37" s="862"/>
      <c r="BDE37" s="862"/>
      <c r="BDF37" s="862"/>
      <c r="BDG37" s="862"/>
      <c r="BDH37" s="862"/>
      <c r="BDI37" s="862"/>
      <c r="BDJ37" s="862"/>
      <c r="BDK37" s="862"/>
      <c r="BDL37" s="862"/>
      <c r="BDM37" s="862"/>
      <c r="BDN37" s="862"/>
      <c r="BDO37" s="862"/>
      <c r="BDP37" s="862"/>
      <c r="BDQ37" s="862"/>
      <c r="BDR37" s="862"/>
      <c r="BDS37" s="862"/>
      <c r="BDT37" s="862"/>
      <c r="BDU37" s="862"/>
      <c r="BDV37" s="862"/>
      <c r="BDW37" s="862"/>
      <c r="BDX37" s="862"/>
      <c r="BDY37" s="862"/>
      <c r="BDZ37" s="862"/>
      <c r="BEA37" s="862"/>
      <c r="BEB37" s="862"/>
      <c r="BEC37" s="862"/>
      <c r="BED37" s="862"/>
      <c r="BEE37" s="862"/>
      <c r="BEF37" s="862"/>
      <c r="BEG37" s="862"/>
      <c r="BEH37" s="862"/>
      <c r="BEI37" s="862"/>
      <c r="BEJ37" s="862"/>
      <c r="BEK37" s="862"/>
      <c r="BEL37" s="862"/>
      <c r="BEM37" s="862"/>
      <c r="BEN37" s="862"/>
      <c r="BEO37" s="862"/>
      <c r="BEP37" s="862"/>
      <c r="BEQ37" s="862"/>
      <c r="BER37" s="862"/>
      <c r="BES37" s="862"/>
      <c r="BET37" s="862"/>
      <c r="BEU37" s="862"/>
      <c r="BEV37" s="862"/>
      <c r="BEW37" s="862"/>
      <c r="BEX37" s="862"/>
      <c r="BEY37" s="862"/>
      <c r="BEZ37" s="862"/>
      <c r="BFA37" s="862"/>
      <c r="BFB37" s="862"/>
      <c r="BFC37" s="862"/>
      <c r="BFD37" s="862"/>
      <c r="BFE37" s="862"/>
      <c r="BFF37" s="862"/>
      <c r="BFG37" s="862"/>
      <c r="BFH37" s="862"/>
      <c r="BFI37" s="862"/>
      <c r="BFJ37" s="862"/>
      <c r="BFK37" s="862"/>
      <c r="BFL37" s="862"/>
      <c r="BFM37" s="862"/>
      <c r="BFN37" s="862"/>
      <c r="BFO37" s="862"/>
      <c r="BFP37" s="862"/>
      <c r="BFQ37" s="862"/>
      <c r="BFR37" s="862"/>
      <c r="BFS37" s="862"/>
      <c r="BFT37" s="862"/>
      <c r="BFU37" s="862"/>
      <c r="BFV37" s="862"/>
      <c r="BFW37" s="862"/>
      <c r="BFX37" s="862"/>
      <c r="BFY37" s="862"/>
      <c r="BFZ37" s="862"/>
      <c r="BGA37" s="862"/>
      <c r="BGB37" s="862"/>
      <c r="BGC37" s="862"/>
      <c r="BGD37" s="862"/>
      <c r="BGE37" s="862"/>
      <c r="BGF37" s="862"/>
      <c r="BGG37" s="862"/>
      <c r="BGH37" s="862"/>
      <c r="BGI37" s="862"/>
      <c r="BGJ37" s="862"/>
      <c r="BGK37" s="862"/>
      <c r="BGL37" s="862"/>
      <c r="BGM37" s="862"/>
      <c r="BGN37" s="862"/>
      <c r="BGO37" s="862"/>
      <c r="BGP37" s="862"/>
      <c r="BGQ37" s="862"/>
      <c r="BGR37" s="862"/>
      <c r="BGS37" s="862"/>
      <c r="BGT37" s="862"/>
      <c r="BGU37" s="862"/>
      <c r="BGV37" s="862"/>
      <c r="BGW37" s="862"/>
      <c r="BGX37" s="862"/>
      <c r="BGY37" s="862"/>
      <c r="BGZ37" s="862"/>
      <c r="BHA37" s="862"/>
      <c r="BHB37" s="862"/>
      <c r="BHC37" s="862"/>
      <c r="BHD37" s="862"/>
      <c r="BHE37" s="862"/>
      <c r="BHF37" s="862"/>
      <c r="BHG37" s="862"/>
      <c r="BHH37" s="862"/>
      <c r="BHI37" s="862"/>
      <c r="BHJ37" s="862"/>
      <c r="BHK37" s="862"/>
      <c r="BHL37" s="862"/>
      <c r="BHM37" s="862"/>
      <c r="BHN37" s="862"/>
      <c r="BHO37" s="862"/>
      <c r="BHP37" s="862"/>
      <c r="BHQ37" s="862"/>
      <c r="BHR37" s="862"/>
      <c r="BHS37" s="862"/>
      <c r="BHT37" s="862"/>
      <c r="BHU37" s="862"/>
      <c r="BHV37" s="862"/>
      <c r="BHW37" s="862"/>
      <c r="BHX37" s="862"/>
      <c r="BHY37" s="862"/>
      <c r="BHZ37" s="862"/>
      <c r="BIA37" s="862"/>
      <c r="BIB37" s="862"/>
      <c r="BIC37" s="862"/>
      <c r="BID37" s="862"/>
      <c r="BIE37" s="862"/>
      <c r="BIF37" s="862"/>
      <c r="BIG37" s="862"/>
      <c r="BIH37" s="862"/>
      <c r="BII37" s="862"/>
      <c r="BIJ37" s="862"/>
      <c r="BIK37" s="862"/>
      <c r="BIL37" s="862"/>
      <c r="BIM37" s="862"/>
      <c r="BIN37" s="862"/>
      <c r="BIO37" s="862"/>
      <c r="BIP37" s="862"/>
      <c r="BIQ37" s="862"/>
      <c r="BIR37" s="862"/>
      <c r="BIS37" s="862"/>
      <c r="BIT37" s="862"/>
      <c r="BIU37" s="862"/>
      <c r="BIV37" s="862"/>
      <c r="BIW37" s="862"/>
      <c r="BIX37" s="862"/>
      <c r="BIY37" s="862"/>
      <c r="BIZ37" s="862"/>
      <c r="BJA37" s="862"/>
      <c r="BJB37" s="862"/>
      <c r="BJC37" s="862"/>
      <c r="BJD37" s="862"/>
      <c r="BJE37" s="862"/>
      <c r="BJF37" s="862"/>
      <c r="BJG37" s="862"/>
      <c r="BJH37" s="862"/>
      <c r="BJI37" s="862"/>
      <c r="BJJ37" s="862"/>
      <c r="BJK37" s="862"/>
      <c r="BJL37" s="862"/>
      <c r="BJM37" s="862"/>
      <c r="BJN37" s="862"/>
      <c r="BJO37" s="862"/>
      <c r="BJP37" s="862"/>
      <c r="BJQ37" s="862"/>
      <c r="BJR37" s="862"/>
      <c r="BJS37" s="862"/>
      <c r="BJT37" s="862"/>
      <c r="BJU37" s="862"/>
      <c r="BJV37" s="862"/>
      <c r="BJW37" s="862"/>
      <c r="BJX37" s="862"/>
      <c r="BJY37" s="862"/>
      <c r="BJZ37" s="862"/>
      <c r="BKA37" s="862"/>
      <c r="BKB37" s="862"/>
      <c r="BKC37" s="862"/>
      <c r="BKD37" s="862"/>
      <c r="BKE37" s="862"/>
      <c r="BKF37" s="862"/>
      <c r="BKG37" s="862"/>
      <c r="BKH37" s="862"/>
      <c r="BKI37" s="862"/>
      <c r="BKJ37" s="862"/>
      <c r="BKK37" s="862"/>
      <c r="BKL37" s="862"/>
      <c r="BKM37" s="862"/>
      <c r="BKN37" s="862"/>
      <c r="BKO37" s="862"/>
      <c r="BKP37" s="862"/>
      <c r="BKQ37" s="862"/>
      <c r="BKR37" s="862"/>
      <c r="BKS37" s="862"/>
      <c r="BKT37" s="862"/>
      <c r="BKU37" s="862"/>
      <c r="BKV37" s="862"/>
      <c r="BKW37" s="862"/>
      <c r="BKX37" s="862"/>
      <c r="BKY37" s="862"/>
      <c r="BKZ37" s="862"/>
      <c r="BLA37" s="862"/>
      <c r="BLB37" s="862"/>
      <c r="BLC37" s="862"/>
      <c r="BLD37" s="862"/>
      <c r="BLE37" s="862"/>
      <c r="BLF37" s="862"/>
      <c r="BLG37" s="862"/>
      <c r="BLH37" s="862"/>
      <c r="BLI37" s="862"/>
      <c r="BLJ37" s="862"/>
      <c r="BLK37" s="862"/>
      <c r="BLL37" s="862"/>
      <c r="BLM37" s="862"/>
      <c r="BLN37" s="862"/>
      <c r="BLO37" s="862"/>
      <c r="BLP37" s="862"/>
      <c r="BLQ37" s="862"/>
      <c r="BLR37" s="862"/>
      <c r="BLS37" s="862"/>
      <c r="BLT37" s="862"/>
      <c r="BLU37" s="862"/>
      <c r="BLV37" s="862"/>
      <c r="BLW37" s="862"/>
      <c r="BLX37" s="862"/>
      <c r="BLY37" s="862"/>
      <c r="BLZ37" s="862"/>
      <c r="BMA37" s="862"/>
      <c r="BMB37" s="862"/>
      <c r="BMC37" s="862"/>
      <c r="BMD37" s="862"/>
      <c r="BME37" s="862"/>
      <c r="BMF37" s="862"/>
      <c r="BMG37" s="862"/>
      <c r="BMH37" s="862"/>
      <c r="BMI37" s="862"/>
      <c r="BMJ37" s="862"/>
      <c r="BMK37" s="862"/>
      <c r="BML37" s="862"/>
      <c r="BMM37" s="862"/>
      <c r="BMN37" s="862"/>
      <c r="BMO37" s="862"/>
      <c r="BMP37" s="862"/>
      <c r="BMQ37" s="862"/>
      <c r="BMR37" s="862"/>
      <c r="BMS37" s="862"/>
      <c r="BMT37" s="862"/>
      <c r="BMU37" s="862"/>
      <c r="BMV37" s="862"/>
      <c r="BMW37" s="862"/>
      <c r="BMX37" s="862"/>
      <c r="BMY37" s="862"/>
      <c r="BMZ37" s="862"/>
      <c r="BNA37" s="862"/>
      <c r="BNB37" s="862"/>
      <c r="BNC37" s="862"/>
      <c r="BND37" s="862"/>
      <c r="BNE37" s="862"/>
      <c r="BNF37" s="862"/>
      <c r="BNG37" s="862"/>
      <c r="BNH37" s="862"/>
      <c r="BNI37" s="862"/>
      <c r="BNJ37" s="862"/>
      <c r="BNK37" s="862"/>
      <c r="BNL37" s="862"/>
      <c r="BNM37" s="862"/>
      <c r="BNN37" s="862"/>
      <c r="BNO37" s="862"/>
      <c r="BNP37" s="862"/>
      <c r="BNQ37" s="862"/>
      <c r="BNR37" s="862"/>
      <c r="BNS37" s="862"/>
      <c r="BNT37" s="862"/>
      <c r="BNU37" s="862"/>
      <c r="BNV37" s="862"/>
      <c r="BNW37" s="862"/>
      <c r="BNX37" s="862"/>
      <c r="BNY37" s="862"/>
      <c r="BNZ37" s="862"/>
      <c r="BOA37" s="862"/>
      <c r="BOB37" s="862"/>
      <c r="BOC37" s="862"/>
      <c r="BOD37" s="862"/>
      <c r="BOE37" s="862"/>
      <c r="BOF37" s="862"/>
      <c r="BOG37" s="862"/>
      <c r="BOH37" s="862"/>
      <c r="BOI37" s="862"/>
      <c r="BOJ37" s="862"/>
      <c r="BOK37" s="862"/>
      <c r="BOL37" s="862"/>
      <c r="BOM37" s="862"/>
      <c r="BON37" s="862"/>
      <c r="BOO37" s="862"/>
      <c r="BOP37" s="862"/>
      <c r="BOQ37" s="862"/>
      <c r="BOR37" s="862"/>
      <c r="BOS37" s="862"/>
      <c r="BOT37" s="862"/>
      <c r="BOU37" s="862"/>
      <c r="BOV37" s="862"/>
      <c r="BOW37" s="862"/>
      <c r="BOX37" s="862"/>
      <c r="BOY37" s="862"/>
      <c r="BOZ37" s="862"/>
      <c r="BPA37" s="862"/>
      <c r="BPB37" s="862"/>
      <c r="BPC37" s="862"/>
      <c r="BPD37" s="862"/>
      <c r="BPE37" s="862"/>
      <c r="BPF37" s="862"/>
      <c r="BPG37" s="862"/>
      <c r="BPH37" s="862"/>
      <c r="BPI37" s="862"/>
      <c r="BPJ37" s="862"/>
      <c r="BPK37" s="862"/>
      <c r="BPL37" s="862"/>
      <c r="BPM37" s="862"/>
      <c r="BPN37" s="862"/>
      <c r="BPO37" s="862"/>
      <c r="BPP37" s="862"/>
      <c r="BPQ37" s="862"/>
      <c r="BPR37" s="862"/>
      <c r="BPS37" s="862"/>
      <c r="BPT37" s="862"/>
      <c r="BPU37" s="862"/>
      <c r="BPV37" s="862"/>
      <c r="BPW37" s="862"/>
      <c r="BPX37" s="862"/>
      <c r="BPY37" s="862"/>
      <c r="BPZ37" s="862"/>
      <c r="BQA37" s="862"/>
      <c r="BQB37" s="862"/>
      <c r="BQC37" s="862"/>
      <c r="BQD37" s="862"/>
      <c r="BQE37" s="862"/>
      <c r="BQF37" s="862"/>
      <c r="BQG37" s="862"/>
      <c r="BQH37" s="862"/>
      <c r="BQI37" s="862"/>
      <c r="BQJ37" s="862"/>
      <c r="BQK37" s="862"/>
      <c r="BQL37" s="862"/>
      <c r="BQM37" s="862"/>
      <c r="BQN37" s="862"/>
      <c r="BQO37" s="862"/>
      <c r="BQP37" s="862"/>
      <c r="BQQ37" s="862"/>
      <c r="BQR37" s="862"/>
      <c r="BQS37" s="862"/>
      <c r="BQT37" s="862"/>
      <c r="BQU37" s="862"/>
      <c r="BQV37" s="862"/>
      <c r="BQW37" s="862"/>
      <c r="BQX37" s="862"/>
      <c r="BQY37" s="862"/>
      <c r="BQZ37" s="862"/>
      <c r="BRA37" s="862"/>
      <c r="BRB37" s="862"/>
      <c r="BRC37" s="862"/>
      <c r="BRD37" s="862"/>
      <c r="BRE37" s="862"/>
      <c r="BRF37" s="862"/>
      <c r="BRG37" s="862"/>
      <c r="BRH37" s="862"/>
      <c r="BRI37" s="862"/>
      <c r="BRJ37" s="862"/>
      <c r="BRK37" s="862"/>
      <c r="BRL37" s="862"/>
      <c r="BRM37" s="862"/>
      <c r="BRN37" s="862"/>
      <c r="BRO37" s="862"/>
      <c r="BRP37" s="862"/>
      <c r="BRQ37" s="862"/>
      <c r="BRR37" s="862"/>
      <c r="BRS37" s="862"/>
      <c r="BRT37" s="862"/>
      <c r="BRU37" s="862"/>
      <c r="BRV37" s="862"/>
      <c r="BRW37" s="862"/>
      <c r="BRX37" s="862"/>
      <c r="BRY37" s="862"/>
      <c r="BRZ37" s="862"/>
      <c r="BSA37" s="862"/>
      <c r="BSB37" s="862"/>
      <c r="BSC37" s="862"/>
      <c r="BSD37" s="862"/>
      <c r="BSE37" s="862"/>
      <c r="BSF37" s="862"/>
      <c r="BSG37" s="862"/>
      <c r="BSH37" s="862"/>
      <c r="BSI37" s="862"/>
      <c r="BSJ37" s="862"/>
      <c r="BSK37" s="862"/>
      <c r="BSL37" s="862"/>
      <c r="BSM37" s="862"/>
      <c r="BSN37" s="862"/>
      <c r="BSO37" s="862"/>
      <c r="BSP37" s="862"/>
      <c r="BSQ37" s="862"/>
      <c r="BSR37" s="862"/>
      <c r="BSS37" s="862"/>
      <c r="BST37" s="862"/>
      <c r="BSU37" s="862"/>
      <c r="BSV37" s="862"/>
      <c r="BSW37" s="862"/>
      <c r="BSX37" s="862"/>
      <c r="BSY37" s="862"/>
      <c r="BSZ37" s="862"/>
      <c r="BTA37" s="862"/>
      <c r="BTB37" s="862"/>
      <c r="BTC37" s="862"/>
      <c r="BTD37" s="862"/>
      <c r="BTE37" s="862"/>
      <c r="BTF37" s="862"/>
      <c r="BTG37" s="862"/>
      <c r="BTH37" s="862"/>
      <c r="BTI37" s="862"/>
      <c r="BTJ37" s="862"/>
      <c r="BTK37" s="862"/>
      <c r="BTL37" s="862"/>
      <c r="BTM37" s="862"/>
      <c r="BTN37" s="862"/>
      <c r="BTO37" s="862"/>
      <c r="BTP37" s="862"/>
      <c r="BTQ37" s="862"/>
      <c r="BTR37" s="862"/>
      <c r="BTS37" s="862"/>
      <c r="BTT37" s="862"/>
      <c r="BTU37" s="862"/>
      <c r="BTV37" s="862"/>
      <c r="BTW37" s="862"/>
      <c r="BTX37" s="862"/>
      <c r="BTY37" s="862"/>
      <c r="BTZ37" s="862"/>
      <c r="BUA37" s="862"/>
      <c r="BUB37" s="862"/>
      <c r="BUC37" s="862"/>
      <c r="BUD37" s="862"/>
      <c r="BUE37" s="862"/>
      <c r="BUF37" s="862"/>
      <c r="BUG37" s="862"/>
      <c r="BUH37" s="862"/>
      <c r="BUI37" s="862"/>
      <c r="BUJ37" s="862"/>
      <c r="BUK37" s="862"/>
      <c r="BUL37" s="862"/>
      <c r="BUM37" s="862"/>
      <c r="BUN37" s="862"/>
      <c r="BUO37" s="862"/>
      <c r="BUP37" s="862"/>
      <c r="BUQ37" s="862"/>
      <c r="BUR37" s="862"/>
      <c r="BUS37" s="862"/>
      <c r="BUT37" s="862"/>
      <c r="BUU37" s="862"/>
      <c r="BUV37" s="862"/>
      <c r="BUW37" s="862"/>
      <c r="BUX37" s="862"/>
      <c r="BUY37" s="862"/>
      <c r="BUZ37" s="862"/>
      <c r="BVA37" s="862"/>
      <c r="BVB37" s="862"/>
      <c r="BVC37" s="862"/>
      <c r="BVD37" s="862"/>
      <c r="BVE37" s="862"/>
      <c r="BVF37" s="862"/>
      <c r="BVG37" s="862"/>
      <c r="BVH37" s="862"/>
      <c r="BVI37" s="862"/>
      <c r="BVJ37" s="862"/>
      <c r="BVK37" s="862"/>
      <c r="BVL37" s="862"/>
      <c r="BVM37" s="862"/>
      <c r="BVN37" s="862"/>
      <c r="BVO37" s="862"/>
      <c r="BVP37" s="862"/>
      <c r="BVQ37" s="862"/>
      <c r="BVR37" s="862"/>
      <c r="BVS37" s="862"/>
      <c r="BVT37" s="862"/>
      <c r="BVU37" s="862"/>
      <c r="BVV37" s="862"/>
      <c r="BVW37" s="862"/>
      <c r="BVX37" s="862"/>
      <c r="BVY37" s="862"/>
      <c r="BVZ37" s="862"/>
      <c r="BWA37" s="862"/>
      <c r="BWB37" s="862"/>
      <c r="BWC37" s="862"/>
      <c r="BWD37" s="862"/>
      <c r="BWE37" s="862"/>
      <c r="BWF37" s="862"/>
      <c r="BWG37" s="862"/>
      <c r="BWH37" s="862"/>
      <c r="BWI37" s="862"/>
      <c r="BWJ37" s="862"/>
      <c r="BWK37" s="862"/>
      <c r="BWL37" s="862"/>
      <c r="BWM37" s="862"/>
      <c r="BWN37" s="862"/>
      <c r="BWO37" s="862"/>
      <c r="BWP37" s="862"/>
      <c r="BWQ37" s="862"/>
      <c r="BWR37" s="862"/>
      <c r="BWS37" s="862"/>
      <c r="BWT37" s="862"/>
      <c r="BWU37" s="862"/>
      <c r="BWV37" s="862"/>
      <c r="BWW37" s="862"/>
      <c r="BWX37" s="862"/>
      <c r="BWY37" s="862"/>
      <c r="BWZ37" s="862"/>
      <c r="BXA37" s="862"/>
      <c r="BXB37" s="862"/>
      <c r="BXC37" s="862"/>
      <c r="BXD37" s="862"/>
      <c r="BXE37" s="862"/>
      <c r="BXF37" s="862"/>
      <c r="BXG37" s="862"/>
      <c r="BXH37" s="862"/>
      <c r="BXI37" s="862"/>
      <c r="BXJ37" s="862"/>
      <c r="BXK37" s="862"/>
      <c r="BXL37" s="862"/>
      <c r="BXM37" s="862"/>
      <c r="BXN37" s="862"/>
      <c r="BXO37" s="862"/>
      <c r="BXP37" s="862"/>
      <c r="BXQ37" s="862"/>
      <c r="BXR37" s="862"/>
      <c r="BXS37" s="862"/>
      <c r="BXT37" s="862"/>
      <c r="BXU37" s="862"/>
      <c r="BXV37" s="862"/>
      <c r="BXW37" s="862"/>
      <c r="BXX37" s="862"/>
      <c r="BXY37" s="862"/>
      <c r="BXZ37" s="862"/>
      <c r="BYA37" s="862"/>
      <c r="BYB37" s="862"/>
      <c r="BYC37" s="862"/>
      <c r="BYD37" s="862"/>
      <c r="BYE37" s="862"/>
      <c r="BYF37" s="862"/>
      <c r="BYG37" s="862"/>
      <c r="BYH37" s="862"/>
      <c r="BYI37" s="862"/>
      <c r="BYJ37" s="862"/>
      <c r="BYK37" s="862"/>
      <c r="BYL37" s="862"/>
      <c r="BYM37" s="862"/>
      <c r="BYN37" s="862"/>
      <c r="BYO37" s="862"/>
      <c r="BYP37" s="862"/>
      <c r="BYQ37" s="862"/>
      <c r="BYR37" s="862"/>
      <c r="BYS37" s="862"/>
      <c r="BYT37" s="862"/>
      <c r="BYU37" s="862"/>
      <c r="BYV37" s="862"/>
      <c r="BYW37" s="862"/>
      <c r="BYX37" s="862"/>
      <c r="BYY37" s="862"/>
      <c r="BYZ37" s="862"/>
      <c r="BZA37" s="862"/>
      <c r="BZB37" s="862"/>
      <c r="BZC37" s="862"/>
      <c r="BZD37" s="862"/>
      <c r="BZE37" s="862"/>
      <c r="BZF37" s="862"/>
      <c r="BZG37" s="862"/>
      <c r="BZH37" s="862"/>
      <c r="BZI37" s="862"/>
      <c r="BZJ37" s="862"/>
      <c r="BZK37" s="862"/>
      <c r="BZL37" s="862"/>
      <c r="BZM37" s="862"/>
      <c r="BZN37" s="862"/>
      <c r="BZO37" s="862"/>
      <c r="BZP37" s="862"/>
      <c r="BZQ37" s="862"/>
      <c r="BZR37" s="862"/>
      <c r="BZS37" s="862"/>
      <c r="BZT37" s="862"/>
      <c r="BZU37" s="862"/>
      <c r="BZV37" s="862"/>
      <c r="BZW37" s="862"/>
      <c r="BZX37" s="862"/>
      <c r="BZY37" s="862"/>
      <c r="BZZ37" s="862"/>
      <c r="CAA37" s="862"/>
      <c r="CAB37" s="862"/>
      <c r="CAC37" s="862"/>
      <c r="CAD37" s="862"/>
      <c r="CAE37" s="862"/>
      <c r="CAF37" s="862"/>
      <c r="CAG37" s="862"/>
      <c r="CAH37" s="862"/>
      <c r="CAI37" s="862"/>
      <c r="CAJ37" s="862"/>
      <c r="CAK37" s="862"/>
      <c r="CAL37" s="862"/>
      <c r="CAM37" s="862"/>
      <c r="CAN37" s="862"/>
      <c r="CAO37" s="862"/>
      <c r="CAP37" s="862"/>
      <c r="CAQ37" s="862"/>
      <c r="CAR37" s="862"/>
      <c r="CAS37" s="862"/>
      <c r="CAT37" s="862"/>
      <c r="CAU37" s="862"/>
      <c r="CAV37" s="862"/>
      <c r="CAW37" s="862"/>
      <c r="CAX37" s="862"/>
      <c r="CAY37" s="862"/>
      <c r="CAZ37" s="862"/>
      <c r="CBA37" s="862"/>
      <c r="CBB37" s="862"/>
      <c r="CBC37" s="862"/>
      <c r="CBD37" s="862"/>
      <c r="CBE37" s="862"/>
      <c r="CBF37" s="862"/>
      <c r="CBG37" s="862"/>
      <c r="CBH37" s="862"/>
      <c r="CBI37" s="862"/>
      <c r="CBJ37" s="862"/>
      <c r="CBK37" s="862"/>
      <c r="CBL37" s="862"/>
      <c r="CBM37" s="862"/>
      <c r="CBN37" s="862"/>
      <c r="CBO37" s="862"/>
      <c r="CBP37" s="862"/>
      <c r="CBQ37" s="862"/>
      <c r="CBR37" s="862"/>
      <c r="CBS37" s="862"/>
      <c r="CBT37" s="862"/>
      <c r="CBU37" s="862"/>
      <c r="CBV37" s="862"/>
      <c r="CBW37" s="862"/>
      <c r="CBX37" s="862"/>
      <c r="CBY37" s="862"/>
      <c r="CBZ37" s="862"/>
      <c r="CCA37" s="862"/>
      <c r="CCB37" s="862"/>
      <c r="CCC37" s="862"/>
      <c r="CCD37" s="862"/>
      <c r="CCE37" s="862"/>
      <c r="CCF37" s="862"/>
      <c r="CCG37" s="862"/>
      <c r="CCH37" s="862"/>
      <c r="CCI37" s="862"/>
      <c r="CCJ37" s="862"/>
      <c r="CCK37" s="862"/>
      <c r="CCL37" s="862"/>
      <c r="CCM37" s="862"/>
      <c r="CCN37" s="862"/>
      <c r="CCO37" s="862"/>
      <c r="CCP37" s="862"/>
      <c r="CCQ37" s="862"/>
      <c r="CCR37" s="862"/>
      <c r="CCS37" s="862"/>
      <c r="CCT37" s="862"/>
      <c r="CCU37" s="862"/>
      <c r="CCV37" s="862"/>
      <c r="CCW37" s="862"/>
      <c r="CCX37" s="862"/>
      <c r="CCY37" s="862"/>
      <c r="CCZ37" s="862"/>
      <c r="CDA37" s="862"/>
      <c r="CDB37" s="862"/>
      <c r="CDC37" s="862"/>
      <c r="CDD37" s="862"/>
      <c r="CDE37" s="862"/>
      <c r="CDF37" s="862"/>
      <c r="CDG37" s="862"/>
      <c r="CDH37" s="862"/>
      <c r="CDI37" s="862"/>
      <c r="CDJ37" s="862"/>
      <c r="CDK37" s="862"/>
      <c r="CDL37" s="862"/>
      <c r="CDM37" s="862"/>
      <c r="CDN37" s="862"/>
      <c r="CDO37" s="862"/>
      <c r="CDP37" s="862"/>
      <c r="CDQ37" s="862"/>
      <c r="CDR37" s="862"/>
      <c r="CDS37" s="862"/>
      <c r="CDT37" s="862"/>
      <c r="CDU37" s="862"/>
      <c r="CDV37" s="862"/>
      <c r="CDW37" s="862"/>
      <c r="CDX37" s="862"/>
      <c r="CDY37" s="862"/>
      <c r="CDZ37" s="862"/>
      <c r="CEA37" s="862"/>
      <c r="CEB37" s="862"/>
      <c r="CEC37" s="862"/>
      <c r="CED37" s="862"/>
      <c r="CEE37" s="862"/>
      <c r="CEF37" s="862"/>
      <c r="CEG37" s="862"/>
      <c r="CEH37" s="862"/>
      <c r="CEI37" s="862"/>
      <c r="CEJ37" s="862"/>
      <c r="CEK37" s="862"/>
      <c r="CEL37" s="862"/>
      <c r="CEM37" s="862"/>
      <c r="CEN37" s="862"/>
      <c r="CEO37" s="862"/>
      <c r="CEP37" s="862"/>
      <c r="CEQ37" s="862"/>
      <c r="CER37" s="862"/>
      <c r="CES37" s="862"/>
      <c r="CET37" s="862"/>
      <c r="CEU37" s="862"/>
      <c r="CEV37" s="862"/>
      <c r="CEW37" s="862"/>
      <c r="CEX37" s="862"/>
      <c r="CEY37" s="862"/>
      <c r="CEZ37" s="862"/>
      <c r="CFA37" s="862"/>
      <c r="CFB37" s="862"/>
      <c r="CFC37" s="862"/>
      <c r="CFD37" s="862"/>
      <c r="CFE37" s="862"/>
      <c r="CFF37" s="862"/>
      <c r="CFG37" s="862"/>
      <c r="CFH37" s="862"/>
      <c r="CFI37" s="862"/>
      <c r="CFJ37" s="862"/>
      <c r="CFK37" s="862"/>
      <c r="CFL37" s="862"/>
      <c r="CFM37" s="862"/>
      <c r="CFN37" s="862"/>
      <c r="CFO37" s="862"/>
      <c r="CFP37" s="862"/>
      <c r="CFQ37" s="862"/>
      <c r="CFR37" s="862"/>
      <c r="CFS37" s="862"/>
      <c r="CFT37" s="862"/>
      <c r="CFU37" s="862"/>
      <c r="CFV37" s="862"/>
      <c r="CFW37" s="862"/>
      <c r="CFX37" s="862"/>
      <c r="CFY37" s="862"/>
      <c r="CFZ37" s="862"/>
      <c r="CGA37" s="862"/>
      <c r="CGB37" s="862"/>
      <c r="CGC37" s="862"/>
      <c r="CGD37" s="862"/>
      <c r="CGE37" s="862"/>
      <c r="CGF37" s="862"/>
      <c r="CGG37" s="862"/>
      <c r="CGH37" s="862"/>
      <c r="CGI37" s="862"/>
      <c r="CGJ37" s="862"/>
      <c r="CGK37" s="862"/>
      <c r="CGL37" s="862"/>
      <c r="CGM37" s="862"/>
      <c r="CGN37" s="862"/>
      <c r="CGO37" s="862"/>
      <c r="CGP37" s="862"/>
      <c r="CGQ37" s="862"/>
      <c r="CGR37" s="862"/>
      <c r="CGS37" s="862"/>
      <c r="CGT37" s="862"/>
      <c r="CGU37" s="862"/>
      <c r="CGV37" s="862"/>
      <c r="CGW37" s="862"/>
      <c r="CGX37" s="862"/>
      <c r="CGY37" s="862"/>
      <c r="CGZ37" s="862"/>
      <c r="CHA37" s="862"/>
      <c r="CHB37" s="862"/>
      <c r="CHC37" s="862"/>
      <c r="CHD37" s="862"/>
      <c r="CHE37" s="862"/>
      <c r="CHF37" s="862"/>
      <c r="CHG37" s="862"/>
      <c r="CHH37" s="862"/>
      <c r="CHI37" s="862"/>
      <c r="CHJ37" s="862"/>
      <c r="CHK37" s="862"/>
      <c r="CHL37" s="862"/>
      <c r="CHM37" s="862"/>
      <c r="CHN37" s="862"/>
      <c r="CHO37" s="862"/>
      <c r="CHP37" s="862"/>
      <c r="CHQ37" s="862"/>
      <c r="CHR37" s="862"/>
      <c r="CHS37" s="862"/>
      <c r="CHT37" s="862"/>
      <c r="CHU37" s="862"/>
      <c r="CHV37" s="862"/>
      <c r="CHW37" s="862"/>
      <c r="CHX37" s="862"/>
      <c r="CHY37" s="862"/>
      <c r="CHZ37" s="862"/>
      <c r="CIA37" s="862"/>
      <c r="CIB37" s="862"/>
      <c r="CIC37" s="862"/>
      <c r="CID37" s="862"/>
      <c r="CIE37" s="862"/>
      <c r="CIF37" s="862"/>
      <c r="CIG37" s="862"/>
      <c r="CIH37" s="862"/>
      <c r="CII37" s="862"/>
      <c r="CIJ37" s="862"/>
      <c r="CIK37" s="862"/>
      <c r="CIL37" s="862"/>
      <c r="CIM37" s="862"/>
      <c r="CIN37" s="862"/>
      <c r="CIO37" s="862"/>
      <c r="CIP37" s="862"/>
      <c r="CIQ37" s="862"/>
      <c r="CIR37" s="862"/>
      <c r="CIS37" s="862"/>
      <c r="CIT37" s="862"/>
      <c r="CIU37" s="862"/>
      <c r="CIV37" s="862"/>
      <c r="CIW37" s="862"/>
      <c r="CIX37" s="862"/>
      <c r="CIY37" s="862"/>
      <c r="CIZ37" s="862"/>
      <c r="CJA37" s="862"/>
      <c r="CJB37" s="862"/>
      <c r="CJC37" s="862"/>
      <c r="CJD37" s="862"/>
      <c r="CJE37" s="862"/>
      <c r="CJF37" s="862"/>
      <c r="CJG37" s="862"/>
      <c r="CJH37" s="862"/>
      <c r="CJI37" s="862"/>
      <c r="CJJ37" s="862"/>
      <c r="CJK37" s="862"/>
      <c r="CJL37" s="862"/>
      <c r="CJM37" s="862"/>
      <c r="CJN37" s="862"/>
      <c r="CJO37" s="862"/>
      <c r="CJP37" s="862"/>
      <c r="CJQ37" s="862"/>
      <c r="CJR37" s="862"/>
      <c r="CJS37" s="862"/>
      <c r="CJT37" s="862"/>
      <c r="CJU37" s="862"/>
      <c r="CJV37" s="862"/>
      <c r="CJW37" s="862"/>
      <c r="CJX37" s="862"/>
      <c r="CJY37" s="862"/>
      <c r="CJZ37" s="862"/>
      <c r="CKA37" s="862"/>
      <c r="CKB37" s="862"/>
      <c r="CKC37" s="862"/>
      <c r="CKD37" s="862"/>
      <c r="CKE37" s="862"/>
      <c r="CKF37" s="862"/>
      <c r="CKG37" s="862"/>
      <c r="CKH37" s="862"/>
      <c r="CKI37" s="862"/>
      <c r="CKJ37" s="862"/>
      <c r="CKK37" s="862"/>
      <c r="CKL37" s="862"/>
      <c r="CKM37" s="862"/>
      <c r="CKN37" s="862"/>
      <c r="CKO37" s="862"/>
      <c r="CKP37" s="862"/>
      <c r="CKQ37" s="862"/>
      <c r="CKR37" s="862"/>
      <c r="CKS37" s="862"/>
      <c r="CKT37" s="862"/>
      <c r="CKU37" s="862"/>
      <c r="CKV37" s="862"/>
      <c r="CKW37" s="862"/>
      <c r="CKX37" s="862"/>
      <c r="CKY37" s="862"/>
      <c r="CKZ37" s="862"/>
      <c r="CLA37" s="862"/>
      <c r="CLB37" s="862"/>
      <c r="CLC37" s="862"/>
      <c r="CLD37" s="862"/>
      <c r="CLE37" s="862"/>
      <c r="CLF37" s="862"/>
      <c r="CLG37" s="862"/>
      <c r="CLH37" s="862"/>
      <c r="CLI37" s="862"/>
      <c r="CLJ37" s="862"/>
      <c r="CLK37" s="862"/>
      <c r="CLL37" s="862"/>
      <c r="CLM37" s="862"/>
      <c r="CLN37" s="862"/>
      <c r="CLO37" s="862"/>
      <c r="CLP37" s="862"/>
      <c r="CLQ37" s="862"/>
      <c r="CLR37" s="862"/>
      <c r="CLS37" s="862"/>
      <c r="CLT37" s="862"/>
      <c r="CLU37" s="862"/>
      <c r="CLV37" s="862"/>
      <c r="CLW37" s="862"/>
      <c r="CLX37" s="862"/>
      <c r="CLY37" s="862"/>
      <c r="CLZ37" s="862"/>
      <c r="CMA37" s="862"/>
      <c r="CMB37" s="862"/>
      <c r="CMC37" s="862"/>
      <c r="CMD37" s="862"/>
      <c r="CME37" s="862"/>
      <c r="CMF37" s="862"/>
      <c r="CMG37" s="862"/>
      <c r="CMH37" s="862"/>
      <c r="CMI37" s="862"/>
      <c r="CMJ37" s="862"/>
      <c r="CMK37" s="862"/>
      <c r="CML37" s="862"/>
      <c r="CMM37" s="862"/>
      <c r="CMN37" s="862"/>
      <c r="CMO37" s="862"/>
      <c r="CMP37" s="862"/>
      <c r="CMQ37" s="862"/>
      <c r="CMR37" s="862"/>
      <c r="CMS37" s="862"/>
      <c r="CMT37" s="862"/>
      <c r="CMU37" s="862"/>
      <c r="CMV37" s="862"/>
      <c r="CMW37" s="862"/>
      <c r="CMX37" s="862"/>
      <c r="CMY37" s="862"/>
      <c r="CMZ37" s="862"/>
      <c r="CNA37" s="862"/>
      <c r="CNB37" s="862"/>
      <c r="CNC37" s="862"/>
      <c r="CND37" s="862"/>
      <c r="CNE37" s="862"/>
      <c r="CNF37" s="862"/>
      <c r="CNG37" s="862"/>
      <c r="CNH37" s="862"/>
      <c r="CNI37" s="862"/>
      <c r="CNJ37" s="862"/>
      <c r="CNK37" s="862"/>
      <c r="CNL37" s="862"/>
      <c r="CNM37" s="862"/>
      <c r="CNN37" s="862"/>
      <c r="CNO37" s="862"/>
      <c r="CNP37" s="862"/>
      <c r="CNQ37" s="862"/>
      <c r="CNR37" s="862"/>
      <c r="CNS37" s="862"/>
      <c r="CNT37" s="862"/>
      <c r="CNU37" s="862"/>
      <c r="CNV37" s="862"/>
      <c r="CNW37" s="862"/>
      <c r="CNX37" s="862"/>
      <c r="CNY37" s="862"/>
      <c r="CNZ37" s="862"/>
      <c r="COA37" s="862"/>
      <c r="COB37" s="862"/>
      <c r="COC37" s="862"/>
      <c r="COD37" s="862"/>
      <c r="COE37" s="862"/>
      <c r="COF37" s="862"/>
      <c r="COG37" s="862"/>
      <c r="COH37" s="862"/>
      <c r="COI37" s="862"/>
      <c r="COJ37" s="862"/>
      <c r="COK37" s="862"/>
      <c r="COL37" s="862"/>
      <c r="COM37" s="862"/>
      <c r="CON37" s="862"/>
      <c r="COO37" s="862"/>
      <c r="COP37" s="862"/>
      <c r="COQ37" s="862"/>
      <c r="COR37" s="862"/>
      <c r="COS37" s="862"/>
      <c r="COT37" s="862"/>
      <c r="COU37" s="862"/>
      <c r="COV37" s="862"/>
      <c r="COW37" s="862"/>
      <c r="COX37" s="862"/>
      <c r="COY37" s="862"/>
      <c r="COZ37" s="862"/>
      <c r="CPA37" s="862"/>
      <c r="CPB37" s="862"/>
      <c r="CPC37" s="862"/>
      <c r="CPD37" s="862"/>
      <c r="CPE37" s="862"/>
      <c r="CPF37" s="862"/>
      <c r="CPG37" s="862"/>
      <c r="CPH37" s="862"/>
      <c r="CPI37" s="862"/>
      <c r="CPJ37" s="862"/>
      <c r="CPK37" s="862"/>
      <c r="CPL37" s="862"/>
      <c r="CPM37" s="862"/>
      <c r="CPN37" s="862"/>
      <c r="CPO37" s="862"/>
      <c r="CPP37" s="862"/>
      <c r="CPQ37" s="862"/>
      <c r="CPR37" s="862"/>
      <c r="CPS37" s="862"/>
      <c r="CPT37" s="862"/>
      <c r="CPU37" s="862"/>
      <c r="CPV37" s="862"/>
      <c r="CPW37" s="862"/>
      <c r="CPX37" s="862"/>
      <c r="CPY37" s="862"/>
      <c r="CPZ37" s="862"/>
      <c r="CQA37" s="862"/>
      <c r="CQB37" s="862"/>
      <c r="CQC37" s="862"/>
      <c r="CQD37" s="862"/>
      <c r="CQE37" s="862"/>
      <c r="CQF37" s="862"/>
      <c r="CQG37" s="862"/>
      <c r="CQH37" s="862"/>
      <c r="CQI37" s="862"/>
      <c r="CQJ37" s="862"/>
      <c r="CQK37" s="862"/>
      <c r="CQL37" s="862"/>
      <c r="CQM37" s="862"/>
      <c r="CQN37" s="862"/>
      <c r="CQO37" s="862"/>
      <c r="CQP37" s="862"/>
      <c r="CQQ37" s="862"/>
      <c r="CQR37" s="862"/>
      <c r="CQS37" s="862"/>
      <c r="CQT37" s="862"/>
      <c r="CQU37" s="862"/>
      <c r="CQV37" s="862"/>
      <c r="CQW37" s="862"/>
      <c r="CQX37" s="862"/>
      <c r="CQY37" s="862"/>
      <c r="CQZ37" s="862"/>
      <c r="CRA37" s="862"/>
      <c r="CRB37" s="862"/>
      <c r="CRC37" s="862"/>
      <c r="CRD37" s="862"/>
      <c r="CRE37" s="862"/>
      <c r="CRF37" s="862"/>
      <c r="CRG37" s="862"/>
      <c r="CRH37" s="862"/>
      <c r="CRI37" s="862"/>
      <c r="CRJ37" s="862"/>
      <c r="CRK37" s="862"/>
      <c r="CRL37" s="862"/>
      <c r="CRM37" s="862"/>
      <c r="CRN37" s="862"/>
      <c r="CRO37" s="862"/>
      <c r="CRP37" s="862"/>
      <c r="CRQ37" s="862"/>
      <c r="CRR37" s="862"/>
      <c r="CRS37" s="862"/>
      <c r="CRT37" s="862"/>
      <c r="CRU37" s="862"/>
      <c r="CRV37" s="862"/>
      <c r="CRW37" s="862"/>
      <c r="CRX37" s="862"/>
      <c r="CRY37" s="862"/>
      <c r="CRZ37" s="862"/>
      <c r="CSA37" s="862"/>
      <c r="CSB37" s="862"/>
      <c r="CSC37" s="862"/>
      <c r="CSD37" s="862"/>
      <c r="CSE37" s="862"/>
      <c r="CSF37" s="862"/>
      <c r="CSG37" s="862"/>
      <c r="CSH37" s="862"/>
      <c r="CSI37" s="862"/>
      <c r="CSJ37" s="862"/>
      <c r="CSK37" s="862"/>
      <c r="CSL37" s="862"/>
      <c r="CSM37" s="862"/>
      <c r="CSN37" s="862"/>
      <c r="CSO37" s="862"/>
      <c r="CSP37" s="862"/>
      <c r="CSQ37" s="862"/>
      <c r="CSR37" s="862"/>
      <c r="CSS37" s="862"/>
      <c r="CST37" s="862"/>
      <c r="CSU37" s="862"/>
      <c r="CSV37" s="862"/>
      <c r="CSW37" s="862"/>
      <c r="CSX37" s="862"/>
      <c r="CSY37" s="862"/>
      <c r="CSZ37" s="862"/>
      <c r="CTA37" s="862"/>
      <c r="CTB37" s="862"/>
      <c r="CTC37" s="862"/>
      <c r="CTD37" s="862"/>
      <c r="CTE37" s="862"/>
      <c r="CTF37" s="862"/>
      <c r="CTG37" s="862"/>
      <c r="CTH37" s="862"/>
      <c r="CTI37" s="862"/>
      <c r="CTJ37" s="862"/>
      <c r="CTK37" s="862"/>
      <c r="CTL37" s="862"/>
      <c r="CTM37" s="862"/>
      <c r="CTN37" s="862"/>
      <c r="CTO37" s="862"/>
      <c r="CTP37" s="862"/>
      <c r="CTQ37" s="862"/>
      <c r="CTR37" s="862"/>
      <c r="CTS37" s="862"/>
      <c r="CTT37" s="862"/>
      <c r="CTU37" s="862"/>
      <c r="CTV37" s="862"/>
      <c r="CTW37" s="862"/>
      <c r="CTX37" s="862"/>
      <c r="CTY37" s="862"/>
      <c r="CTZ37" s="862"/>
      <c r="CUA37" s="862"/>
      <c r="CUB37" s="862"/>
      <c r="CUC37" s="862"/>
      <c r="CUD37" s="862"/>
      <c r="CUE37" s="862"/>
      <c r="CUF37" s="862"/>
      <c r="CUG37" s="862"/>
      <c r="CUH37" s="862"/>
      <c r="CUI37" s="862"/>
      <c r="CUJ37" s="862"/>
      <c r="CUK37" s="862"/>
      <c r="CUL37" s="862"/>
      <c r="CUM37" s="862"/>
      <c r="CUN37" s="862"/>
      <c r="CUO37" s="862"/>
      <c r="CUP37" s="862"/>
      <c r="CUQ37" s="862"/>
      <c r="CUR37" s="862"/>
      <c r="CUS37" s="862"/>
      <c r="CUT37" s="862"/>
      <c r="CUU37" s="862"/>
      <c r="CUV37" s="862"/>
      <c r="CUW37" s="862"/>
      <c r="CUX37" s="862"/>
      <c r="CUY37" s="862"/>
      <c r="CUZ37" s="862"/>
      <c r="CVA37" s="862"/>
      <c r="CVB37" s="862"/>
      <c r="CVC37" s="862"/>
      <c r="CVD37" s="862"/>
      <c r="CVE37" s="862"/>
      <c r="CVF37" s="862"/>
      <c r="CVG37" s="862"/>
      <c r="CVH37" s="862"/>
      <c r="CVI37" s="862"/>
      <c r="CVJ37" s="862"/>
      <c r="CVK37" s="862"/>
      <c r="CVL37" s="862"/>
      <c r="CVM37" s="862"/>
      <c r="CVN37" s="862"/>
      <c r="CVO37" s="862"/>
      <c r="CVP37" s="862"/>
      <c r="CVQ37" s="862"/>
      <c r="CVR37" s="862"/>
      <c r="CVS37" s="862"/>
      <c r="CVT37" s="862"/>
      <c r="CVU37" s="862"/>
      <c r="CVV37" s="862"/>
      <c r="CVW37" s="862"/>
      <c r="CVX37" s="862"/>
      <c r="CVY37" s="862"/>
      <c r="CVZ37" s="862"/>
      <c r="CWA37" s="862"/>
      <c r="CWB37" s="862"/>
      <c r="CWC37" s="862"/>
      <c r="CWD37" s="862"/>
      <c r="CWE37" s="862"/>
      <c r="CWF37" s="862"/>
      <c r="CWG37" s="862"/>
      <c r="CWH37" s="862"/>
      <c r="CWI37" s="862"/>
      <c r="CWJ37" s="862"/>
      <c r="CWK37" s="862"/>
      <c r="CWL37" s="862"/>
      <c r="CWM37" s="862"/>
      <c r="CWN37" s="862"/>
      <c r="CWO37" s="862"/>
      <c r="CWP37" s="862"/>
      <c r="CWQ37" s="862"/>
      <c r="CWR37" s="862"/>
      <c r="CWS37" s="862"/>
      <c r="CWT37" s="862"/>
      <c r="CWU37" s="862"/>
      <c r="CWV37" s="862"/>
      <c r="CWW37" s="862"/>
      <c r="CWX37" s="862"/>
      <c r="CWY37" s="862"/>
      <c r="CWZ37" s="862"/>
      <c r="CXA37" s="862"/>
      <c r="CXB37" s="862"/>
      <c r="CXC37" s="862"/>
      <c r="CXD37" s="862"/>
      <c r="CXE37" s="862"/>
      <c r="CXF37" s="862"/>
      <c r="CXG37" s="862"/>
      <c r="CXH37" s="862"/>
      <c r="CXI37" s="862"/>
      <c r="CXJ37" s="862"/>
      <c r="CXK37" s="862"/>
      <c r="CXL37" s="862"/>
      <c r="CXM37" s="862"/>
      <c r="CXN37" s="862"/>
      <c r="CXO37" s="862"/>
      <c r="CXP37" s="862"/>
      <c r="CXQ37" s="862"/>
      <c r="CXR37" s="862"/>
      <c r="CXS37" s="862"/>
      <c r="CXT37" s="862"/>
      <c r="CXU37" s="862"/>
      <c r="CXV37" s="862"/>
      <c r="CXW37" s="862"/>
      <c r="CXX37" s="862"/>
      <c r="CXY37" s="862"/>
      <c r="CXZ37" s="862"/>
      <c r="CYA37" s="862"/>
      <c r="CYB37" s="862"/>
      <c r="CYC37" s="862"/>
      <c r="CYD37" s="862"/>
      <c r="CYE37" s="862"/>
      <c r="CYF37" s="862"/>
      <c r="CYG37" s="862"/>
      <c r="CYH37" s="862"/>
      <c r="CYI37" s="862"/>
      <c r="CYJ37" s="862"/>
      <c r="CYK37" s="862"/>
      <c r="CYL37" s="862"/>
      <c r="CYM37" s="862"/>
      <c r="CYN37" s="862"/>
      <c r="CYO37" s="862"/>
      <c r="CYP37" s="862"/>
      <c r="CYQ37" s="862"/>
      <c r="CYR37" s="862"/>
      <c r="CYS37" s="862"/>
      <c r="CYT37" s="862"/>
      <c r="CYU37" s="862"/>
      <c r="CYV37" s="862"/>
      <c r="CYW37" s="862"/>
      <c r="CYX37" s="862"/>
      <c r="CYY37" s="862"/>
      <c r="CYZ37" s="862"/>
      <c r="CZA37" s="862"/>
      <c r="CZB37" s="862"/>
      <c r="CZC37" s="862"/>
      <c r="CZD37" s="862"/>
      <c r="CZE37" s="862"/>
      <c r="CZF37" s="862"/>
      <c r="CZG37" s="862"/>
      <c r="CZH37" s="862"/>
      <c r="CZI37" s="862"/>
      <c r="CZJ37" s="862"/>
      <c r="CZK37" s="862"/>
      <c r="CZL37" s="862"/>
      <c r="CZM37" s="862"/>
      <c r="CZN37" s="862"/>
      <c r="CZO37" s="862"/>
      <c r="CZP37" s="862"/>
      <c r="CZQ37" s="862"/>
      <c r="CZR37" s="862"/>
      <c r="CZS37" s="862"/>
      <c r="CZT37" s="862"/>
      <c r="CZU37" s="862"/>
      <c r="CZV37" s="862"/>
      <c r="CZW37" s="862"/>
      <c r="CZX37" s="862"/>
      <c r="CZY37" s="862"/>
      <c r="CZZ37" s="862"/>
      <c r="DAA37" s="862"/>
      <c r="DAB37" s="862"/>
      <c r="DAC37" s="862"/>
      <c r="DAD37" s="862"/>
      <c r="DAE37" s="862"/>
      <c r="DAF37" s="862"/>
      <c r="DAG37" s="862"/>
      <c r="DAH37" s="862"/>
      <c r="DAI37" s="862"/>
      <c r="DAJ37" s="862"/>
      <c r="DAK37" s="862"/>
      <c r="DAL37" s="862"/>
      <c r="DAM37" s="862"/>
      <c r="DAN37" s="862"/>
      <c r="DAO37" s="862"/>
      <c r="DAP37" s="862"/>
      <c r="DAQ37" s="862"/>
      <c r="DAR37" s="862"/>
      <c r="DAS37" s="862"/>
      <c r="DAT37" s="862"/>
      <c r="DAU37" s="862"/>
      <c r="DAV37" s="862"/>
      <c r="DAW37" s="862"/>
      <c r="DAX37" s="862"/>
      <c r="DAY37" s="862"/>
      <c r="DAZ37" s="862"/>
      <c r="DBA37" s="862"/>
      <c r="DBB37" s="862"/>
      <c r="DBC37" s="862"/>
      <c r="DBD37" s="862"/>
      <c r="DBE37" s="862"/>
      <c r="DBF37" s="862"/>
      <c r="DBG37" s="862"/>
      <c r="DBH37" s="862"/>
      <c r="DBI37" s="862"/>
      <c r="DBJ37" s="862"/>
      <c r="DBK37" s="862"/>
      <c r="DBL37" s="862"/>
      <c r="DBM37" s="862"/>
      <c r="DBN37" s="862"/>
      <c r="DBO37" s="862"/>
      <c r="DBP37" s="862"/>
      <c r="DBQ37" s="862"/>
      <c r="DBR37" s="862"/>
      <c r="DBS37" s="862"/>
      <c r="DBT37" s="862"/>
      <c r="DBU37" s="862"/>
      <c r="DBV37" s="862"/>
      <c r="DBW37" s="862"/>
      <c r="DBX37" s="862"/>
      <c r="DBY37" s="862"/>
      <c r="DBZ37" s="862"/>
      <c r="DCA37" s="862"/>
      <c r="DCB37" s="862"/>
      <c r="DCC37" s="862"/>
      <c r="DCD37" s="862"/>
      <c r="DCE37" s="862"/>
      <c r="DCF37" s="862"/>
      <c r="DCG37" s="862"/>
      <c r="DCH37" s="862"/>
      <c r="DCI37" s="862"/>
      <c r="DCJ37" s="862"/>
      <c r="DCK37" s="862"/>
      <c r="DCL37" s="862"/>
      <c r="DCM37" s="862"/>
      <c r="DCN37" s="862"/>
      <c r="DCO37" s="862"/>
      <c r="DCP37" s="862"/>
      <c r="DCQ37" s="862"/>
      <c r="DCR37" s="862"/>
      <c r="DCS37" s="862"/>
      <c r="DCT37" s="862"/>
      <c r="DCU37" s="862"/>
      <c r="DCV37" s="862"/>
      <c r="DCW37" s="862"/>
      <c r="DCX37" s="862"/>
      <c r="DCY37" s="862"/>
      <c r="DCZ37" s="862"/>
      <c r="DDA37" s="862"/>
      <c r="DDB37" s="862"/>
      <c r="DDC37" s="862"/>
      <c r="DDD37" s="862"/>
      <c r="DDE37" s="862"/>
      <c r="DDF37" s="862"/>
      <c r="DDG37" s="862"/>
      <c r="DDH37" s="862"/>
      <c r="DDI37" s="862"/>
      <c r="DDJ37" s="862"/>
      <c r="DDK37" s="862"/>
      <c r="DDL37" s="862"/>
      <c r="DDM37" s="862"/>
      <c r="DDN37" s="862"/>
      <c r="DDO37" s="862"/>
      <c r="DDP37" s="862"/>
      <c r="DDQ37" s="862"/>
      <c r="DDR37" s="862"/>
      <c r="DDS37" s="862"/>
      <c r="DDT37" s="862"/>
      <c r="DDU37" s="862"/>
      <c r="DDV37" s="862"/>
      <c r="DDW37" s="862"/>
      <c r="DDX37" s="862"/>
      <c r="DDY37" s="862"/>
      <c r="DDZ37" s="862"/>
      <c r="DEA37" s="862"/>
      <c r="DEB37" s="862"/>
      <c r="DEC37" s="862"/>
      <c r="DED37" s="862"/>
      <c r="DEE37" s="862"/>
      <c r="DEF37" s="862"/>
      <c r="DEG37" s="862"/>
      <c r="DEH37" s="862"/>
      <c r="DEI37" s="862"/>
      <c r="DEJ37" s="862"/>
      <c r="DEK37" s="862"/>
      <c r="DEL37" s="862"/>
      <c r="DEM37" s="862"/>
      <c r="DEN37" s="862"/>
      <c r="DEO37" s="862"/>
      <c r="DEP37" s="862"/>
      <c r="DEQ37" s="862"/>
      <c r="DER37" s="862"/>
      <c r="DES37" s="862"/>
      <c r="DET37" s="862"/>
      <c r="DEU37" s="862"/>
      <c r="DEV37" s="862"/>
      <c r="DEW37" s="862"/>
      <c r="DEX37" s="862"/>
      <c r="DEY37" s="862"/>
      <c r="DEZ37" s="862"/>
      <c r="DFA37" s="862"/>
      <c r="DFB37" s="862"/>
      <c r="DFC37" s="862"/>
      <c r="DFD37" s="862"/>
      <c r="DFE37" s="862"/>
      <c r="DFF37" s="862"/>
      <c r="DFG37" s="862"/>
      <c r="DFH37" s="862"/>
      <c r="DFI37" s="862"/>
      <c r="DFJ37" s="862"/>
      <c r="DFK37" s="862"/>
      <c r="DFL37" s="862"/>
      <c r="DFM37" s="862"/>
      <c r="DFN37" s="862"/>
      <c r="DFO37" s="862"/>
      <c r="DFP37" s="862"/>
      <c r="DFQ37" s="862"/>
      <c r="DFR37" s="862"/>
      <c r="DFS37" s="862"/>
      <c r="DFT37" s="862"/>
      <c r="DFU37" s="862"/>
      <c r="DFV37" s="862"/>
      <c r="DFW37" s="862"/>
      <c r="DFX37" s="862"/>
      <c r="DFY37" s="862"/>
      <c r="DFZ37" s="862"/>
      <c r="DGA37" s="862"/>
      <c r="DGB37" s="862"/>
      <c r="DGC37" s="862"/>
      <c r="DGD37" s="862"/>
      <c r="DGE37" s="862"/>
      <c r="DGF37" s="862"/>
      <c r="DGG37" s="862"/>
      <c r="DGH37" s="862"/>
      <c r="DGI37" s="862"/>
      <c r="DGJ37" s="862"/>
      <c r="DGK37" s="862"/>
      <c r="DGL37" s="862"/>
      <c r="DGM37" s="862"/>
      <c r="DGN37" s="862"/>
      <c r="DGO37" s="862"/>
      <c r="DGP37" s="862"/>
      <c r="DGQ37" s="862"/>
      <c r="DGR37" s="862"/>
      <c r="DGS37" s="862"/>
      <c r="DGT37" s="862"/>
      <c r="DGU37" s="862"/>
      <c r="DGV37" s="862"/>
      <c r="DGW37" s="862"/>
      <c r="DGX37" s="862"/>
      <c r="DGY37" s="862"/>
      <c r="DGZ37" s="862"/>
      <c r="DHA37" s="862"/>
      <c r="DHB37" s="862"/>
      <c r="DHC37" s="862"/>
      <c r="DHD37" s="862"/>
      <c r="DHE37" s="862"/>
      <c r="DHF37" s="862"/>
      <c r="DHG37" s="862"/>
      <c r="DHH37" s="862"/>
      <c r="DHI37" s="862"/>
      <c r="DHJ37" s="862"/>
      <c r="DHK37" s="862"/>
      <c r="DHL37" s="862"/>
      <c r="DHM37" s="862"/>
      <c r="DHN37" s="862"/>
      <c r="DHO37" s="862"/>
      <c r="DHP37" s="862"/>
      <c r="DHQ37" s="862"/>
      <c r="DHR37" s="862"/>
      <c r="DHS37" s="862"/>
      <c r="DHT37" s="862"/>
      <c r="DHU37" s="862"/>
      <c r="DHV37" s="862"/>
      <c r="DHW37" s="862"/>
      <c r="DHX37" s="862"/>
      <c r="DHY37" s="862"/>
      <c r="DHZ37" s="862"/>
      <c r="DIA37" s="862"/>
      <c r="DIB37" s="862"/>
      <c r="DIC37" s="862"/>
      <c r="DID37" s="862"/>
      <c r="DIE37" s="862"/>
      <c r="DIF37" s="862"/>
      <c r="DIG37" s="862"/>
      <c r="DIH37" s="862"/>
      <c r="DII37" s="862"/>
      <c r="DIJ37" s="862"/>
      <c r="DIK37" s="862"/>
      <c r="DIL37" s="862"/>
      <c r="DIM37" s="862"/>
      <c r="DIN37" s="862"/>
      <c r="DIO37" s="862"/>
      <c r="DIP37" s="862"/>
      <c r="DIQ37" s="862"/>
      <c r="DIR37" s="862"/>
      <c r="DIS37" s="862"/>
      <c r="DIT37" s="862"/>
      <c r="DIU37" s="862"/>
      <c r="DIV37" s="862"/>
      <c r="DIW37" s="862"/>
      <c r="DIX37" s="862"/>
      <c r="DIY37" s="862"/>
      <c r="DIZ37" s="862"/>
      <c r="DJA37" s="862"/>
      <c r="DJB37" s="862"/>
      <c r="DJC37" s="862"/>
      <c r="DJD37" s="862"/>
      <c r="DJE37" s="862"/>
      <c r="DJF37" s="862"/>
      <c r="DJG37" s="862"/>
      <c r="DJH37" s="862"/>
      <c r="DJI37" s="862"/>
      <c r="DJJ37" s="862"/>
      <c r="DJK37" s="862"/>
      <c r="DJL37" s="862"/>
      <c r="DJM37" s="862"/>
      <c r="DJN37" s="862"/>
      <c r="DJO37" s="862"/>
      <c r="DJP37" s="862"/>
      <c r="DJQ37" s="862"/>
      <c r="DJR37" s="862"/>
      <c r="DJS37" s="862"/>
      <c r="DJT37" s="862"/>
      <c r="DJU37" s="862"/>
      <c r="DJV37" s="862"/>
      <c r="DJW37" s="862"/>
      <c r="DJX37" s="862"/>
      <c r="DJY37" s="862"/>
      <c r="DJZ37" s="862"/>
      <c r="DKA37" s="862"/>
      <c r="DKB37" s="862"/>
      <c r="DKC37" s="862"/>
      <c r="DKD37" s="862"/>
      <c r="DKE37" s="862"/>
      <c r="DKF37" s="862"/>
      <c r="DKG37" s="862"/>
      <c r="DKH37" s="862"/>
      <c r="DKI37" s="862"/>
      <c r="DKJ37" s="862"/>
      <c r="DKK37" s="862"/>
      <c r="DKL37" s="862"/>
      <c r="DKM37" s="862"/>
      <c r="DKN37" s="862"/>
      <c r="DKO37" s="862"/>
      <c r="DKP37" s="862"/>
      <c r="DKQ37" s="862"/>
      <c r="DKR37" s="862"/>
      <c r="DKS37" s="862"/>
      <c r="DKT37" s="862"/>
      <c r="DKU37" s="862"/>
      <c r="DKV37" s="862"/>
      <c r="DKW37" s="862"/>
      <c r="DKX37" s="862"/>
      <c r="DKY37" s="862"/>
      <c r="DKZ37" s="862"/>
      <c r="DLA37" s="862"/>
      <c r="DLB37" s="862"/>
      <c r="DLC37" s="862"/>
      <c r="DLD37" s="862"/>
      <c r="DLE37" s="862"/>
      <c r="DLF37" s="862"/>
      <c r="DLG37" s="862"/>
      <c r="DLH37" s="862"/>
      <c r="DLI37" s="862"/>
      <c r="DLJ37" s="862"/>
      <c r="DLK37" s="862"/>
      <c r="DLL37" s="862"/>
      <c r="DLM37" s="862"/>
      <c r="DLN37" s="862"/>
      <c r="DLO37" s="862"/>
      <c r="DLP37" s="862"/>
      <c r="DLQ37" s="862"/>
      <c r="DLR37" s="862"/>
      <c r="DLS37" s="862"/>
      <c r="DLT37" s="862"/>
      <c r="DLU37" s="862"/>
      <c r="DLV37" s="862"/>
      <c r="DLW37" s="862"/>
      <c r="DLX37" s="862"/>
      <c r="DLY37" s="862"/>
      <c r="DLZ37" s="862"/>
      <c r="DMA37" s="862"/>
      <c r="DMB37" s="862"/>
      <c r="DMC37" s="862"/>
      <c r="DMD37" s="862"/>
      <c r="DME37" s="862"/>
      <c r="DMF37" s="862"/>
      <c r="DMG37" s="862"/>
      <c r="DMH37" s="862"/>
      <c r="DMI37" s="862"/>
      <c r="DMJ37" s="862"/>
      <c r="DMK37" s="862"/>
      <c r="DML37" s="862"/>
      <c r="DMM37" s="862"/>
      <c r="DMN37" s="862"/>
      <c r="DMO37" s="862"/>
      <c r="DMP37" s="862"/>
      <c r="DMQ37" s="862"/>
      <c r="DMR37" s="862"/>
      <c r="DMS37" s="862"/>
      <c r="DMT37" s="862"/>
      <c r="DMU37" s="862"/>
      <c r="DMV37" s="862"/>
      <c r="DMW37" s="862"/>
      <c r="DMX37" s="862"/>
      <c r="DMY37" s="862"/>
      <c r="DMZ37" s="862"/>
      <c r="DNA37" s="862"/>
      <c r="DNB37" s="862"/>
      <c r="DNC37" s="862"/>
      <c r="DND37" s="862"/>
      <c r="DNE37" s="862"/>
      <c r="DNF37" s="862"/>
      <c r="DNG37" s="862"/>
      <c r="DNH37" s="862"/>
      <c r="DNI37" s="862"/>
      <c r="DNJ37" s="862"/>
      <c r="DNK37" s="862"/>
      <c r="DNL37" s="862"/>
      <c r="DNM37" s="862"/>
      <c r="DNN37" s="862"/>
      <c r="DNO37" s="862"/>
      <c r="DNP37" s="862"/>
      <c r="DNQ37" s="862"/>
      <c r="DNR37" s="862"/>
      <c r="DNS37" s="862"/>
      <c r="DNT37" s="862"/>
      <c r="DNU37" s="862"/>
      <c r="DNV37" s="862"/>
      <c r="DNW37" s="862"/>
      <c r="DNX37" s="862"/>
      <c r="DNY37" s="862"/>
      <c r="DNZ37" s="862"/>
      <c r="DOA37" s="862"/>
      <c r="DOB37" s="862"/>
      <c r="DOC37" s="862"/>
      <c r="DOD37" s="862"/>
      <c r="DOE37" s="862"/>
      <c r="DOF37" s="862"/>
      <c r="DOG37" s="862"/>
      <c r="DOH37" s="862"/>
      <c r="DOI37" s="862"/>
      <c r="DOJ37" s="862"/>
      <c r="DOK37" s="862"/>
      <c r="DOL37" s="862"/>
      <c r="DOM37" s="862"/>
      <c r="DON37" s="862"/>
      <c r="DOO37" s="862"/>
      <c r="DOP37" s="862"/>
      <c r="DOQ37" s="862"/>
      <c r="DOR37" s="862"/>
      <c r="DOS37" s="862"/>
      <c r="DOT37" s="862"/>
      <c r="DOU37" s="862"/>
      <c r="DOV37" s="862"/>
      <c r="DOW37" s="862"/>
      <c r="DOX37" s="862"/>
      <c r="DOY37" s="862"/>
      <c r="DOZ37" s="862"/>
      <c r="DPA37" s="862"/>
      <c r="DPB37" s="862"/>
      <c r="DPC37" s="862"/>
      <c r="DPD37" s="862"/>
      <c r="DPE37" s="862"/>
      <c r="DPF37" s="862"/>
      <c r="DPG37" s="862"/>
      <c r="DPH37" s="862"/>
      <c r="DPI37" s="862"/>
      <c r="DPJ37" s="862"/>
      <c r="DPK37" s="862"/>
      <c r="DPL37" s="862"/>
      <c r="DPM37" s="862"/>
      <c r="DPN37" s="862"/>
      <c r="DPO37" s="862"/>
      <c r="DPP37" s="862"/>
      <c r="DPQ37" s="862"/>
      <c r="DPR37" s="862"/>
      <c r="DPS37" s="862"/>
      <c r="DPT37" s="862"/>
      <c r="DPU37" s="862"/>
      <c r="DPV37" s="862"/>
      <c r="DPW37" s="862"/>
      <c r="DPX37" s="862"/>
      <c r="DPY37" s="862"/>
      <c r="DPZ37" s="862"/>
      <c r="DQA37" s="862"/>
      <c r="DQB37" s="862"/>
      <c r="DQC37" s="862"/>
      <c r="DQD37" s="862"/>
      <c r="DQE37" s="862"/>
      <c r="DQF37" s="862"/>
      <c r="DQG37" s="862"/>
      <c r="DQH37" s="862"/>
      <c r="DQI37" s="862"/>
      <c r="DQJ37" s="862"/>
      <c r="DQK37" s="862"/>
      <c r="DQL37" s="862"/>
      <c r="DQM37" s="862"/>
      <c r="DQN37" s="862"/>
      <c r="DQO37" s="862"/>
      <c r="DQP37" s="862"/>
      <c r="DQQ37" s="862"/>
      <c r="DQR37" s="862"/>
      <c r="DQS37" s="862"/>
      <c r="DQT37" s="862"/>
      <c r="DQU37" s="862"/>
      <c r="DQV37" s="862"/>
      <c r="DQW37" s="862"/>
      <c r="DQX37" s="862"/>
      <c r="DQY37" s="862"/>
      <c r="DQZ37" s="862"/>
      <c r="DRA37" s="862"/>
      <c r="DRB37" s="862"/>
      <c r="DRC37" s="862"/>
      <c r="DRD37" s="862"/>
      <c r="DRE37" s="862"/>
      <c r="DRF37" s="862"/>
      <c r="DRG37" s="862"/>
      <c r="DRH37" s="862"/>
      <c r="DRI37" s="862"/>
      <c r="DRJ37" s="862"/>
      <c r="DRK37" s="862"/>
      <c r="DRL37" s="862"/>
      <c r="DRM37" s="862"/>
      <c r="DRN37" s="862"/>
      <c r="DRO37" s="862"/>
      <c r="DRP37" s="862"/>
      <c r="DRQ37" s="862"/>
      <c r="DRR37" s="862"/>
      <c r="DRS37" s="862"/>
      <c r="DRT37" s="862"/>
      <c r="DRU37" s="862"/>
      <c r="DRV37" s="862"/>
      <c r="DRW37" s="862"/>
      <c r="DRX37" s="862"/>
      <c r="DRY37" s="862"/>
      <c r="DRZ37" s="862"/>
      <c r="DSA37" s="862"/>
      <c r="DSB37" s="862"/>
      <c r="DSC37" s="862"/>
      <c r="DSD37" s="862"/>
      <c r="DSE37" s="862"/>
      <c r="DSF37" s="862"/>
      <c r="DSG37" s="862"/>
      <c r="DSH37" s="862"/>
      <c r="DSI37" s="862"/>
      <c r="DSJ37" s="862"/>
      <c r="DSK37" s="862"/>
      <c r="DSL37" s="862"/>
      <c r="DSM37" s="862"/>
      <c r="DSN37" s="862"/>
      <c r="DSO37" s="862"/>
      <c r="DSP37" s="862"/>
      <c r="DSQ37" s="862"/>
      <c r="DSR37" s="862"/>
      <c r="DSS37" s="862"/>
      <c r="DST37" s="862"/>
      <c r="DSU37" s="862"/>
      <c r="DSV37" s="862"/>
      <c r="DSW37" s="862"/>
      <c r="DSX37" s="862"/>
      <c r="DSY37" s="862"/>
      <c r="DSZ37" s="862"/>
      <c r="DTA37" s="862"/>
      <c r="DTB37" s="862"/>
      <c r="DTC37" s="862"/>
      <c r="DTD37" s="862"/>
      <c r="DTE37" s="862"/>
      <c r="DTF37" s="862"/>
      <c r="DTG37" s="862"/>
      <c r="DTH37" s="862"/>
      <c r="DTI37" s="862"/>
      <c r="DTJ37" s="862"/>
      <c r="DTK37" s="862"/>
      <c r="DTL37" s="862"/>
      <c r="DTM37" s="862"/>
      <c r="DTN37" s="862"/>
      <c r="DTO37" s="862"/>
      <c r="DTP37" s="862"/>
      <c r="DTQ37" s="862"/>
      <c r="DTR37" s="862"/>
      <c r="DTS37" s="862"/>
      <c r="DTT37" s="862"/>
      <c r="DTU37" s="862"/>
      <c r="DTV37" s="862"/>
      <c r="DTW37" s="862"/>
      <c r="DTX37" s="862"/>
      <c r="DTY37" s="862"/>
      <c r="DTZ37" s="862"/>
      <c r="DUA37" s="862"/>
      <c r="DUB37" s="862"/>
      <c r="DUC37" s="862"/>
      <c r="DUD37" s="862"/>
      <c r="DUE37" s="862"/>
      <c r="DUF37" s="862"/>
      <c r="DUG37" s="862"/>
      <c r="DUH37" s="862"/>
      <c r="DUI37" s="862"/>
      <c r="DUJ37" s="862"/>
      <c r="DUK37" s="862"/>
      <c r="DUL37" s="862"/>
      <c r="DUM37" s="862"/>
      <c r="DUN37" s="862"/>
      <c r="DUO37" s="862"/>
      <c r="DUP37" s="862"/>
      <c r="DUQ37" s="862"/>
      <c r="DUR37" s="862"/>
      <c r="DUS37" s="862"/>
      <c r="DUT37" s="862"/>
      <c r="DUU37" s="862"/>
      <c r="DUV37" s="862"/>
      <c r="DUW37" s="862"/>
      <c r="DUX37" s="862"/>
      <c r="DUY37" s="862"/>
      <c r="DUZ37" s="862"/>
      <c r="DVA37" s="862"/>
      <c r="DVB37" s="862"/>
      <c r="DVC37" s="862"/>
      <c r="DVD37" s="862"/>
      <c r="DVE37" s="862"/>
      <c r="DVF37" s="862"/>
      <c r="DVG37" s="862"/>
      <c r="DVH37" s="862"/>
      <c r="DVI37" s="862"/>
      <c r="DVJ37" s="862"/>
      <c r="DVK37" s="862"/>
      <c r="DVL37" s="862"/>
      <c r="DVM37" s="862"/>
      <c r="DVN37" s="862"/>
      <c r="DVO37" s="862"/>
      <c r="DVP37" s="862"/>
      <c r="DVQ37" s="862"/>
      <c r="DVR37" s="862"/>
      <c r="DVS37" s="862"/>
      <c r="DVT37" s="862"/>
      <c r="DVU37" s="862"/>
      <c r="DVV37" s="862"/>
      <c r="DVW37" s="862"/>
      <c r="DVX37" s="862"/>
      <c r="DVY37" s="862"/>
      <c r="DVZ37" s="862"/>
      <c r="DWA37" s="862"/>
      <c r="DWB37" s="862"/>
      <c r="DWC37" s="862"/>
      <c r="DWD37" s="862"/>
      <c r="DWE37" s="862"/>
      <c r="DWF37" s="862"/>
      <c r="DWG37" s="862"/>
      <c r="DWH37" s="862"/>
      <c r="DWI37" s="862"/>
      <c r="DWJ37" s="862"/>
      <c r="DWK37" s="862"/>
      <c r="DWL37" s="862"/>
      <c r="DWM37" s="862"/>
      <c r="DWN37" s="862"/>
      <c r="DWO37" s="862"/>
      <c r="DWP37" s="862"/>
      <c r="DWQ37" s="862"/>
      <c r="DWR37" s="862"/>
      <c r="DWS37" s="862"/>
      <c r="DWT37" s="862"/>
      <c r="DWU37" s="862"/>
      <c r="DWV37" s="862"/>
      <c r="DWW37" s="862"/>
      <c r="DWX37" s="862"/>
      <c r="DWY37" s="862"/>
      <c r="DWZ37" s="862"/>
      <c r="DXA37" s="862"/>
      <c r="DXB37" s="862"/>
      <c r="DXC37" s="862"/>
      <c r="DXD37" s="862"/>
      <c r="DXE37" s="862"/>
      <c r="DXF37" s="862"/>
      <c r="DXG37" s="862"/>
      <c r="DXH37" s="862"/>
      <c r="DXI37" s="862"/>
      <c r="DXJ37" s="862"/>
      <c r="DXK37" s="862"/>
      <c r="DXL37" s="862"/>
      <c r="DXM37" s="862"/>
      <c r="DXN37" s="862"/>
      <c r="DXO37" s="862"/>
      <c r="DXP37" s="862"/>
      <c r="DXQ37" s="862"/>
      <c r="DXR37" s="862"/>
      <c r="DXS37" s="862"/>
      <c r="DXT37" s="862"/>
      <c r="DXU37" s="862"/>
      <c r="DXV37" s="862"/>
      <c r="DXW37" s="862"/>
      <c r="DXX37" s="862"/>
      <c r="DXY37" s="862"/>
      <c r="DXZ37" s="862"/>
      <c r="DYA37" s="862"/>
      <c r="DYB37" s="862"/>
      <c r="DYC37" s="862"/>
      <c r="DYD37" s="862"/>
      <c r="DYE37" s="862"/>
      <c r="DYF37" s="862"/>
      <c r="DYG37" s="862"/>
      <c r="DYH37" s="862"/>
      <c r="DYI37" s="862"/>
      <c r="DYJ37" s="862"/>
      <c r="DYK37" s="862"/>
      <c r="DYL37" s="862"/>
      <c r="DYM37" s="862"/>
      <c r="DYN37" s="862"/>
      <c r="DYO37" s="862"/>
      <c r="DYP37" s="862"/>
      <c r="DYQ37" s="862"/>
      <c r="DYR37" s="862"/>
      <c r="DYS37" s="862"/>
      <c r="DYT37" s="862"/>
      <c r="DYU37" s="862"/>
      <c r="DYV37" s="862"/>
      <c r="DYW37" s="862"/>
      <c r="DYX37" s="862"/>
      <c r="DYY37" s="862"/>
      <c r="DYZ37" s="862"/>
      <c r="DZA37" s="862"/>
      <c r="DZB37" s="862"/>
      <c r="DZC37" s="862"/>
      <c r="DZD37" s="862"/>
      <c r="DZE37" s="862"/>
      <c r="DZF37" s="862"/>
      <c r="DZG37" s="862"/>
      <c r="DZH37" s="862"/>
      <c r="DZI37" s="862"/>
      <c r="DZJ37" s="862"/>
      <c r="DZK37" s="862"/>
      <c r="DZL37" s="862"/>
      <c r="DZM37" s="862"/>
      <c r="DZN37" s="862"/>
      <c r="DZO37" s="862"/>
      <c r="DZP37" s="862"/>
      <c r="DZQ37" s="862"/>
      <c r="DZR37" s="862"/>
      <c r="DZS37" s="862"/>
      <c r="DZT37" s="862"/>
      <c r="DZU37" s="862"/>
      <c r="DZV37" s="862"/>
      <c r="DZW37" s="862"/>
      <c r="DZX37" s="862"/>
      <c r="DZY37" s="862"/>
      <c r="DZZ37" s="862"/>
      <c r="EAA37" s="862"/>
      <c r="EAB37" s="862"/>
      <c r="EAC37" s="862"/>
      <c r="EAD37" s="862"/>
      <c r="EAE37" s="862"/>
      <c r="EAF37" s="862"/>
      <c r="EAG37" s="862"/>
      <c r="EAH37" s="862"/>
      <c r="EAI37" s="862"/>
      <c r="EAJ37" s="862"/>
      <c r="EAK37" s="862"/>
      <c r="EAL37" s="862"/>
      <c r="EAM37" s="862"/>
      <c r="EAN37" s="862"/>
      <c r="EAO37" s="862"/>
      <c r="EAP37" s="862"/>
      <c r="EAQ37" s="862"/>
      <c r="EAR37" s="862"/>
      <c r="EAS37" s="862"/>
      <c r="EAT37" s="862"/>
      <c r="EAU37" s="862"/>
      <c r="EAV37" s="862"/>
      <c r="EAW37" s="862"/>
      <c r="EAX37" s="862"/>
      <c r="EAY37" s="862"/>
      <c r="EAZ37" s="862"/>
      <c r="EBA37" s="862"/>
      <c r="EBB37" s="862"/>
      <c r="EBC37" s="862"/>
      <c r="EBD37" s="862"/>
      <c r="EBE37" s="862"/>
      <c r="EBF37" s="862"/>
      <c r="EBG37" s="862"/>
      <c r="EBH37" s="862"/>
      <c r="EBI37" s="862"/>
      <c r="EBJ37" s="862"/>
      <c r="EBK37" s="862"/>
      <c r="EBL37" s="862"/>
      <c r="EBM37" s="862"/>
      <c r="EBN37" s="862"/>
      <c r="EBO37" s="862"/>
      <c r="EBP37" s="862"/>
      <c r="EBQ37" s="862"/>
      <c r="EBR37" s="862"/>
      <c r="EBS37" s="862"/>
      <c r="EBT37" s="862"/>
      <c r="EBU37" s="862"/>
      <c r="EBV37" s="862"/>
      <c r="EBW37" s="862"/>
      <c r="EBX37" s="862"/>
      <c r="EBY37" s="862"/>
      <c r="EBZ37" s="862"/>
      <c r="ECA37" s="862"/>
      <c r="ECB37" s="862"/>
      <c r="ECC37" s="862"/>
      <c r="ECD37" s="862"/>
      <c r="ECE37" s="862"/>
      <c r="ECF37" s="862"/>
      <c r="ECG37" s="862"/>
      <c r="ECH37" s="862"/>
      <c r="ECI37" s="862"/>
      <c r="ECJ37" s="862"/>
      <c r="ECK37" s="862"/>
      <c r="ECL37" s="862"/>
      <c r="ECM37" s="862"/>
      <c r="ECN37" s="862"/>
      <c r="ECO37" s="862"/>
      <c r="ECP37" s="862"/>
      <c r="ECQ37" s="862"/>
      <c r="ECR37" s="862"/>
      <c r="ECS37" s="862"/>
      <c r="ECT37" s="862"/>
      <c r="ECU37" s="862"/>
      <c r="ECV37" s="862"/>
      <c r="ECW37" s="862"/>
      <c r="ECX37" s="862"/>
      <c r="ECY37" s="862"/>
      <c r="ECZ37" s="862"/>
      <c r="EDA37" s="862"/>
      <c r="EDB37" s="862"/>
      <c r="EDC37" s="862"/>
      <c r="EDD37" s="862"/>
      <c r="EDE37" s="862"/>
      <c r="EDF37" s="862"/>
      <c r="EDG37" s="862"/>
      <c r="EDH37" s="862"/>
      <c r="EDI37" s="862"/>
      <c r="EDJ37" s="862"/>
      <c r="EDK37" s="862"/>
      <c r="EDL37" s="862"/>
      <c r="EDM37" s="862"/>
      <c r="EDN37" s="862"/>
      <c r="EDO37" s="862"/>
      <c r="EDP37" s="862"/>
      <c r="EDQ37" s="862"/>
      <c r="EDR37" s="862"/>
      <c r="EDS37" s="862"/>
      <c r="EDT37" s="862"/>
      <c r="EDU37" s="862"/>
      <c r="EDV37" s="862"/>
      <c r="EDW37" s="862"/>
      <c r="EDX37" s="862"/>
      <c r="EDY37" s="862"/>
      <c r="EDZ37" s="862"/>
      <c r="EEA37" s="862"/>
      <c r="EEB37" s="862"/>
      <c r="EEC37" s="862"/>
      <c r="EED37" s="862"/>
      <c r="EEE37" s="862"/>
      <c r="EEF37" s="862"/>
      <c r="EEG37" s="862"/>
      <c r="EEH37" s="862"/>
      <c r="EEI37" s="862"/>
      <c r="EEJ37" s="862"/>
      <c r="EEK37" s="862"/>
      <c r="EEL37" s="862"/>
      <c r="EEM37" s="862"/>
      <c r="EEN37" s="862"/>
      <c r="EEO37" s="862"/>
      <c r="EEP37" s="862"/>
      <c r="EEQ37" s="862"/>
      <c r="EER37" s="862"/>
      <c r="EES37" s="862"/>
      <c r="EET37" s="862"/>
      <c r="EEU37" s="862"/>
      <c r="EEV37" s="862"/>
      <c r="EEW37" s="862"/>
      <c r="EEX37" s="862"/>
      <c r="EEY37" s="862"/>
      <c r="EEZ37" s="862"/>
      <c r="EFA37" s="862"/>
      <c r="EFB37" s="862"/>
      <c r="EFC37" s="862"/>
      <c r="EFD37" s="862"/>
      <c r="EFE37" s="862"/>
      <c r="EFF37" s="862"/>
      <c r="EFG37" s="862"/>
      <c r="EFH37" s="862"/>
      <c r="EFI37" s="862"/>
      <c r="EFJ37" s="862"/>
      <c r="EFK37" s="862"/>
      <c r="EFL37" s="862"/>
      <c r="EFM37" s="862"/>
      <c r="EFN37" s="862"/>
      <c r="EFO37" s="862"/>
      <c r="EFP37" s="862"/>
      <c r="EFQ37" s="862"/>
      <c r="EFR37" s="862"/>
      <c r="EFS37" s="862"/>
      <c r="EFT37" s="862"/>
      <c r="EFU37" s="862"/>
      <c r="EFV37" s="862"/>
      <c r="EFW37" s="862"/>
      <c r="EFX37" s="862"/>
      <c r="EFY37" s="862"/>
      <c r="EFZ37" s="862"/>
      <c r="EGA37" s="862"/>
      <c r="EGB37" s="862"/>
      <c r="EGC37" s="862"/>
      <c r="EGD37" s="862"/>
      <c r="EGE37" s="862"/>
      <c r="EGF37" s="862"/>
      <c r="EGG37" s="862"/>
      <c r="EGH37" s="862"/>
      <c r="EGI37" s="862"/>
      <c r="EGJ37" s="862"/>
      <c r="EGK37" s="862"/>
      <c r="EGL37" s="862"/>
      <c r="EGM37" s="862"/>
      <c r="EGN37" s="862"/>
      <c r="EGO37" s="862"/>
      <c r="EGP37" s="862"/>
      <c r="EGQ37" s="862"/>
      <c r="EGR37" s="862"/>
      <c r="EGS37" s="862"/>
      <c r="EGT37" s="862"/>
      <c r="EGU37" s="862"/>
      <c r="EGV37" s="862"/>
      <c r="EGW37" s="862"/>
      <c r="EGX37" s="862"/>
      <c r="EGY37" s="862"/>
      <c r="EGZ37" s="862"/>
      <c r="EHA37" s="862"/>
      <c r="EHB37" s="862"/>
      <c r="EHC37" s="862"/>
      <c r="EHD37" s="862"/>
      <c r="EHE37" s="862"/>
      <c r="EHF37" s="862"/>
      <c r="EHG37" s="862"/>
      <c r="EHH37" s="862"/>
      <c r="EHI37" s="862"/>
      <c r="EHJ37" s="862"/>
      <c r="EHK37" s="862"/>
      <c r="EHL37" s="862"/>
      <c r="EHM37" s="862"/>
      <c r="EHN37" s="862"/>
      <c r="EHO37" s="862"/>
      <c r="EHP37" s="862"/>
      <c r="EHQ37" s="862"/>
      <c r="EHR37" s="862"/>
      <c r="EHS37" s="862"/>
      <c r="EHT37" s="862"/>
      <c r="EHU37" s="862"/>
      <c r="EHV37" s="862"/>
      <c r="EHW37" s="862"/>
      <c r="EHX37" s="862"/>
      <c r="EHY37" s="862"/>
      <c r="EHZ37" s="862"/>
      <c r="EIA37" s="862"/>
      <c r="EIB37" s="862"/>
      <c r="EIC37" s="862"/>
      <c r="EID37" s="862"/>
      <c r="EIE37" s="862"/>
      <c r="EIF37" s="862"/>
      <c r="EIG37" s="862"/>
      <c r="EIH37" s="862"/>
      <c r="EII37" s="862"/>
      <c r="EIJ37" s="862"/>
      <c r="EIK37" s="862"/>
      <c r="EIL37" s="862"/>
      <c r="EIM37" s="862"/>
      <c r="EIN37" s="862"/>
      <c r="EIO37" s="862"/>
      <c r="EIP37" s="862"/>
      <c r="EIQ37" s="862"/>
      <c r="EIR37" s="862"/>
      <c r="EIS37" s="862"/>
      <c r="EIT37" s="862"/>
      <c r="EIU37" s="862"/>
      <c r="EIV37" s="862"/>
      <c r="EIW37" s="862"/>
      <c r="EIX37" s="862"/>
      <c r="EIY37" s="862"/>
      <c r="EIZ37" s="862"/>
      <c r="EJA37" s="862"/>
      <c r="EJB37" s="862"/>
      <c r="EJC37" s="862"/>
      <c r="EJD37" s="862"/>
      <c r="EJE37" s="862"/>
      <c r="EJF37" s="862"/>
      <c r="EJG37" s="862"/>
      <c r="EJH37" s="862"/>
      <c r="EJI37" s="862"/>
      <c r="EJJ37" s="862"/>
      <c r="EJK37" s="862"/>
      <c r="EJL37" s="862"/>
      <c r="EJM37" s="862"/>
      <c r="EJN37" s="862"/>
      <c r="EJO37" s="862"/>
      <c r="EJP37" s="862"/>
      <c r="EJQ37" s="862"/>
      <c r="EJR37" s="862"/>
      <c r="EJS37" s="862"/>
      <c r="EJT37" s="862"/>
      <c r="EJU37" s="862"/>
      <c r="EJV37" s="862"/>
      <c r="EJW37" s="862"/>
      <c r="EJX37" s="862"/>
      <c r="EJY37" s="862"/>
      <c r="EJZ37" s="862"/>
      <c r="EKA37" s="862"/>
      <c r="EKB37" s="862"/>
      <c r="EKC37" s="862"/>
      <c r="EKD37" s="862"/>
      <c r="EKE37" s="862"/>
      <c r="EKF37" s="862"/>
      <c r="EKG37" s="862"/>
      <c r="EKH37" s="862"/>
      <c r="EKI37" s="862"/>
      <c r="EKJ37" s="862"/>
      <c r="EKK37" s="862"/>
      <c r="EKL37" s="862"/>
      <c r="EKM37" s="862"/>
      <c r="EKN37" s="862"/>
      <c r="EKO37" s="862"/>
      <c r="EKP37" s="862"/>
      <c r="EKQ37" s="862"/>
      <c r="EKR37" s="862"/>
      <c r="EKS37" s="862"/>
      <c r="EKT37" s="862"/>
      <c r="EKU37" s="862"/>
      <c r="EKV37" s="862"/>
      <c r="EKW37" s="862"/>
      <c r="EKX37" s="862"/>
      <c r="EKY37" s="862"/>
      <c r="EKZ37" s="862"/>
      <c r="ELA37" s="862"/>
      <c r="ELB37" s="862"/>
      <c r="ELC37" s="862"/>
      <c r="ELD37" s="862"/>
      <c r="ELE37" s="862"/>
      <c r="ELF37" s="862"/>
      <c r="ELG37" s="862"/>
      <c r="ELH37" s="862"/>
      <c r="ELI37" s="862"/>
      <c r="ELJ37" s="862"/>
      <c r="ELK37" s="862"/>
      <c r="ELL37" s="862"/>
      <c r="ELM37" s="862"/>
      <c r="ELN37" s="862"/>
      <c r="ELO37" s="862"/>
      <c r="ELP37" s="862"/>
      <c r="ELQ37" s="862"/>
      <c r="ELR37" s="862"/>
      <c r="ELS37" s="862"/>
      <c r="ELT37" s="862"/>
      <c r="ELU37" s="862"/>
      <c r="ELV37" s="862"/>
      <c r="ELW37" s="862"/>
      <c r="ELX37" s="862"/>
      <c r="ELY37" s="862"/>
      <c r="ELZ37" s="862"/>
      <c r="EMA37" s="862"/>
      <c r="EMB37" s="862"/>
      <c r="EMC37" s="862"/>
      <c r="EMD37" s="862"/>
      <c r="EME37" s="862"/>
      <c r="EMF37" s="862"/>
      <c r="EMG37" s="862"/>
      <c r="EMH37" s="862"/>
      <c r="EMI37" s="862"/>
      <c r="EMJ37" s="862"/>
      <c r="EMK37" s="862"/>
      <c r="EML37" s="862"/>
      <c r="EMM37" s="862"/>
      <c r="EMN37" s="862"/>
      <c r="EMO37" s="862"/>
      <c r="EMP37" s="862"/>
      <c r="EMQ37" s="862"/>
      <c r="EMR37" s="862"/>
      <c r="EMS37" s="862"/>
      <c r="EMT37" s="862"/>
      <c r="EMU37" s="862"/>
      <c r="EMV37" s="862"/>
      <c r="EMW37" s="862"/>
      <c r="EMX37" s="862"/>
      <c r="EMY37" s="862"/>
      <c r="EMZ37" s="862"/>
      <c r="ENA37" s="862"/>
      <c r="ENB37" s="862"/>
      <c r="ENC37" s="862"/>
      <c r="END37" s="862"/>
      <c r="ENE37" s="862"/>
      <c r="ENF37" s="862"/>
      <c r="ENG37" s="862"/>
      <c r="ENH37" s="862"/>
      <c r="ENI37" s="862"/>
      <c r="ENJ37" s="862"/>
      <c r="ENK37" s="862"/>
      <c r="ENL37" s="862"/>
      <c r="ENM37" s="862"/>
      <c r="ENN37" s="862"/>
      <c r="ENO37" s="862"/>
      <c r="ENP37" s="862"/>
      <c r="ENQ37" s="862"/>
      <c r="ENR37" s="862"/>
      <c r="ENS37" s="862"/>
      <c r="ENT37" s="862"/>
      <c r="ENU37" s="862"/>
      <c r="ENV37" s="862"/>
      <c r="ENW37" s="862"/>
      <c r="ENX37" s="862"/>
      <c r="ENY37" s="862"/>
      <c r="ENZ37" s="862"/>
      <c r="EOA37" s="862"/>
      <c r="EOB37" s="862"/>
      <c r="EOC37" s="862"/>
      <c r="EOD37" s="862"/>
      <c r="EOE37" s="862"/>
      <c r="EOF37" s="862"/>
      <c r="EOG37" s="862"/>
      <c r="EOH37" s="862"/>
      <c r="EOI37" s="862"/>
      <c r="EOJ37" s="862"/>
      <c r="EOK37" s="862"/>
      <c r="EOL37" s="862"/>
      <c r="EOM37" s="862"/>
      <c r="EON37" s="862"/>
      <c r="EOO37" s="862"/>
      <c r="EOP37" s="862"/>
      <c r="EOQ37" s="862"/>
      <c r="EOR37" s="862"/>
      <c r="EOS37" s="862"/>
      <c r="EOT37" s="862"/>
      <c r="EOU37" s="862"/>
      <c r="EOV37" s="862"/>
      <c r="EOW37" s="862"/>
      <c r="EOX37" s="862"/>
      <c r="EOY37" s="862"/>
      <c r="EOZ37" s="862"/>
      <c r="EPA37" s="862"/>
      <c r="EPB37" s="862"/>
      <c r="EPC37" s="862"/>
      <c r="EPD37" s="862"/>
      <c r="EPE37" s="862"/>
      <c r="EPF37" s="862"/>
      <c r="EPG37" s="862"/>
      <c r="EPH37" s="862"/>
      <c r="EPI37" s="862"/>
      <c r="EPJ37" s="862"/>
      <c r="EPK37" s="862"/>
      <c r="EPL37" s="862"/>
      <c r="EPM37" s="862"/>
      <c r="EPN37" s="862"/>
      <c r="EPO37" s="862"/>
      <c r="EPP37" s="862"/>
      <c r="EPQ37" s="862"/>
      <c r="EPR37" s="862"/>
      <c r="EPS37" s="862"/>
      <c r="EPT37" s="862"/>
      <c r="EPU37" s="862"/>
      <c r="EPV37" s="862"/>
      <c r="EPW37" s="862"/>
      <c r="EPX37" s="862"/>
      <c r="EPY37" s="862"/>
      <c r="EPZ37" s="862"/>
      <c r="EQA37" s="862"/>
      <c r="EQB37" s="862"/>
      <c r="EQC37" s="862"/>
      <c r="EQD37" s="862"/>
      <c r="EQE37" s="862"/>
      <c r="EQF37" s="862"/>
      <c r="EQG37" s="862"/>
      <c r="EQH37" s="862"/>
      <c r="EQI37" s="862"/>
      <c r="EQJ37" s="862"/>
      <c r="EQK37" s="862"/>
      <c r="EQL37" s="862"/>
      <c r="EQM37" s="862"/>
      <c r="EQN37" s="862"/>
      <c r="EQO37" s="862"/>
      <c r="EQP37" s="862"/>
      <c r="EQQ37" s="862"/>
      <c r="EQR37" s="862"/>
      <c r="EQS37" s="862"/>
      <c r="EQT37" s="862"/>
      <c r="EQU37" s="862"/>
      <c r="EQV37" s="862"/>
      <c r="EQW37" s="862"/>
      <c r="EQX37" s="862"/>
      <c r="EQY37" s="862"/>
      <c r="EQZ37" s="862"/>
      <c r="ERA37" s="862"/>
      <c r="ERB37" s="862"/>
      <c r="ERC37" s="862"/>
      <c r="ERD37" s="862"/>
      <c r="ERE37" s="862"/>
      <c r="ERF37" s="862"/>
      <c r="ERG37" s="862"/>
      <c r="ERH37" s="862"/>
      <c r="ERI37" s="862"/>
      <c r="ERJ37" s="862"/>
      <c r="ERK37" s="862"/>
      <c r="ERL37" s="862"/>
      <c r="ERM37" s="862"/>
      <c r="ERN37" s="862"/>
      <c r="ERO37" s="862"/>
      <c r="ERP37" s="862"/>
      <c r="ERQ37" s="862"/>
      <c r="ERR37" s="862"/>
      <c r="ERS37" s="862"/>
      <c r="ERT37" s="862"/>
      <c r="ERU37" s="862"/>
      <c r="ERV37" s="862"/>
      <c r="ERW37" s="862"/>
      <c r="ERX37" s="862"/>
      <c r="ERY37" s="862"/>
      <c r="ERZ37" s="862"/>
      <c r="ESA37" s="862"/>
      <c r="ESB37" s="862"/>
      <c r="ESC37" s="862"/>
      <c r="ESD37" s="862"/>
      <c r="ESE37" s="862"/>
      <c r="ESF37" s="862"/>
      <c r="ESG37" s="862"/>
      <c r="ESH37" s="862"/>
      <c r="ESI37" s="862"/>
      <c r="ESJ37" s="862"/>
      <c r="ESK37" s="862"/>
      <c r="ESL37" s="862"/>
      <c r="ESM37" s="862"/>
      <c r="ESN37" s="862"/>
      <c r="ESO37" s="862"/>
      <c r="ESP37" s="862"/>
      <c r="ESQ37" s="862"/>
      <c r="ESR37" s="862"/>
      <c r="ESS37" s="862"/>
      <c r="EST37" s="862"/>
      <c r="ESU37" s="862"/>
      <c r="ESV37" s="862"/>
      <c r="ESW37" s="862"/>
      <c r="ESX37" s="862"/>
      <c r="ESY37" s="862"/>
      <c r="ESZ37" s="862"/>
      <c r="ETA37" s="862"/>
      <c r="ETB37" s="862"/>
      <c r="ETC37" s="862"/>
      <c r="ETD37" s="862"/>
      <c r="ETE37" s="862"/>
      <c r="ETF37" s="862"/>
      <c r="ETG37" s="862"/>
      <c r="ETH37" s="862"/>
      <c r="ETI37" s="862"/>
      <c r="ETJ37" s="862"/>
      <c r="ETK37" s="862"/>
      <c r="ETL37" s="862"/>
      <c r="ETM37" s="862"/>
      <c r="ETN37" s="862"/>
      <c r="ETO37" s="862"/>
      <c r="ETP37" s="862"/>
      <c r="ETQ37" s="862"/>
      <c r="ETR37" s="862"/>
      <c r="ETS37" s="862"/>
      <c r="ETT37" s="862"/>
      <c r="ETU37" s="862"/>
      <c r="ETV37" s="862"/>
      <c r="ETW37" s="862"/>
      <c r="ETX37" s="862"/>
      <c r="ETY37" s="862"/>
      <c r="ETZ37" s="862"/>
      <c r="EUA37" s="862"/>
      <c r="EUB37" s="862"/>
      <c r="EUC37" s="862"/>
      <c r="EUD37" s="862"/>
      <c r="EUE37" s="862"/>
      <c r="EUF37" s="862"/>
      <c r="EUG37" s="862"/>
      <c r="EUH37" s="862"/>
      <c r="EUI37" s="862"/>
      <c r="EUJ37" s="862"/>
      <c r="EUK37" s="862"/>
      <c r="EUL37" s="862"/>
      <c r="EUM37" s="862"/>
      <c r="EUN37" s="862"/>
      <c r="EUO37" s="862"/>
      <c r="EUP37" s="862"/>
      <c r="EUQ37" s="862"/>
      <c r="EUR37" s="862"/>
      <c r="EUS37" s="862"/>
      <c r="EUT37" s="862"/>
      <c r="EUU37" s="862"/>
      <c r="EUV37" s="862"/>
      <c r="EUW37" s="862"/>
      <c r="EUX37" s="862"/>
      <c r="EUY37" s="862"/>
      <c r="EUZ37" s="862"/>
      <c r="EVA37" s="862"/>
      <c r="EVB37" s="862"/>
      <c r="EVC37" s="862"/>
      <c r="EVD37" s="862"/>
      <c r="EVE37" s="862"/>
      <c r="EVF37" s="862"/>
      <c r="EVG37" s="862"/>
      <c r="EVH37" s="862"/>
      <c r="EVI37" s="862"/>
      <c r="EVJ37" s="862"/>
      <c r="EVK37" s="862"/>
      <c r="EVL37" s="862"/>
      <c r="EVM37" s="862"/>
      <c r="EVN37" s="862"/>
      <c r="EVO37" s="862"/>
      <c r="EVP37" s="862"/>
      <c r="EVQ37" s="862"/>
      <c r="EVR37" s="862"/>
      <c r="EVS37" s="862"/>
      <c r="EVT37" s="862"/>
      <c r="EVU37" s="862"/>
      <c r="EVV37" s="862"/>
      <c r="EVW37" s="862"/>
      <c r="EVX37" s="862"/>
      <c r="EVY37" s="862"/>
      <c r="EVZ37" s="862"/>
      <c r="EWA37" s="862"/>
      <c r="EWB37" s="862"/>
      <c r="EWC37" s="862"/>
      <c r="EWD37" s="862"/>
      <c r="EWE37" s="862"/>
      <c r="EWF37" s="862"/>
      <c r="EWG37" s="862"/>
      <c r="EWH37" s="862"/>
      <c r="EWI37" s="862"/>
      <c r="EWJ37" s="862"/>
      <c r="EWK37" s="862"/>
      <c r="EWL37" s="862"/>
      <c r="EWM37" s="862"/>
      <c r="EWN37" s="862"/>
      <c r="EWO37" s="862"/>
      <c r="EWP37" s="862"/>
      <c r="EWQ37" s="862"/>
      <c r="EWR37" s="862"/>
      <c r="EWS37" s="862"/>
      <c r="EWT37" s="862"/>
      <c r="EWU37" s="862"/>
      <c r="EWV37" s="862"/>
      <c r="EWW37" s="862"/>
      <c r="EWX37" s="862"/>
      <c r="EWY37" s="862"/>
      <c r="EWZ37" s="862"/>
      <c r="EXA37" s="862"/>
      <c r="EXB37" s="862"/>
      <c r="EXC37" s="862"/>
      <c r="EXD37" s="862"/>
      <c r="EXE37" s="862"/>
      <c r="EXF37" s="862"/>
      <c r="EXG37" s="862"/>
      <c r="EXH37" s="862"/>
      <c r="EXI37" s="862"/>
      <c r="EXJ37" s="862"/>
      <c r="EXK37" s="862"/>
      <c r="EXL37" s="862"/>
      <c r="EXM37" s="862"/>
      <c r="EXN37" s="862"/>
      <c r="EXO37" s="862"/>
      <c r="EXP37" s="862"/>
      <c r="EXQ37" s="862"/>
      <c r="EXR37" s="862"/>
      <c r="EXS37" s="862"/>
      <c r="EXT37" s="862"/>
      <c r="EXU37" s="862"/>
      <c r="EXV37" s="862"/>
      <c r="EXW37" s="862"/>
      <c r="EXX37" s="862"/>
      <c r="EXY37" s="862"/>
      <c r="EXZ37" s="862"/>
      <c r="EYA37" s="862"/>
      <c r="EYB37" s="862"/>
      <c r="EYC37" s="862"/>
      <c r="EYD37" s="862"/>
      <c r="EYE37" s="862"/>
      <c r="EYF37" s="862"/>
      <c r="EYG37" s="862"/>
      <c r="EYH37" s="862"/>
      <c r="EYI37" s="862"/>
      <c r="EYJ37" s="862"/>
      <c r="EYK37" s="862"/>
      <c r="EYL37" s="862"/>
      <c r="EYM37" s="862"/>
      <c r="EYN37" s="862"/>
      <c r="EYO37" s="862"/>
      <c r="EYP37" s="862"/>
      <c r="EYQ37" s="862"/>
      <c r="EYR37" s="862"/>
      <c r="EYS37" s="862"/>
      <c r="EYT37" s="862"/>
      <c r="EYU37" s="862"/>
      <c r="EYV37" s="862"/>
      <c r="EYW37" s="862"/>
      <c r="EYX37" s="862"/>
      <c r="EYY37" s="862"/>
      <c r="EYZ37" s="862"/>
      <c r="EZA37" s="862"/>
      <c r="EZB37" s="862"/>
      <c r="EZC37" s="862"/>
      <c r="EZD37" s="862"/>
      <c r="EZE37" s="862"/>
      <c r="EZF37" s="862"/>
      <c r="EZG37" s="862"/>
      <c r="EZH37" s="862"/>
      <c r="EZI37" s="862"/>
      <c r="EZJ37" s="862"/>
      <c r="EZK37" s="862"/>
      <c r="EZL37" s="862"/>
      <c r="EZM37" s="862"/>
      <c r="EZN37" s="862"/>
      <c r="EZO37" s="862"/>
      <c r="EZP37" s="862"/>
      <c r="EZQ37" s="862"/>
      <c r="EZR37" s="862"/>
      <c r="EZS37" s="862"/>
      <c r="EZT37" s="862"/>
      <c r="EZU37" s="862"/>
      <c r="EZV37" s="862"/>
      <c r="EZW37" s="862"/>
      <c r="EZX37" s="862"/>
      <c r="EZY37" s="862"/>
      <c r="EZZ37" s="862"/>
      <c r="FAA37" s="862"/>
      <c r="FAB37" s="862"/>
      <c r="FAC37" s="862"/>
      <c r="FAD37" s="862"/>
      <c r="FAE37" s="862"/>
      <c r="FAF37" s="862"/>
      <c r="FAG37" s="862"/>
      <c r="FAH37" s="862"/>
      <c r="FAI37" s="862"/>
      <c r="FAJ37" s="862"/>
      <c r="FAK37" s="862"/>
      <c r="FAL37" s="862"/>
      <c r="FAM37" s="862"/>
      <c r="FAN37" s="862"/>
      <c r="FAO37" s="862"/>
      <c r="FAP37" s="862"/>
      <c r="FAQ37" s="862"/>
      <c r="FAR37" s="862"/>
      <c r="FAS37" s="862"/>
      <c r="FAT37" s="862"/>
      <c r="FAU37" s="862"/>
      <c r="FAV37" s="862"/>
      <c r="FAW37" s="862"/>
      <c r="FAX37" s="862"/>
      <c r="FAY37" s="862"/>
      <c r="FAZ37" s="862"/>
      <c r="FBA37" s="862"/>
      <c r="FBB37" s="862"/>
      <c r="FBC37" s="862"/>
      <c r="FBD37" s="862"/>
      <c r="FBE37" s="862"/>
      <c r="FBF37" s="862"/>
      <c r="FBG37" s="862"/>
      <c r="FBH37" s="862"/>
      <c r="FBI37" s="862"/>
      <c r="FBJ37" s="862"/>
      <c r="FBK37" s="862"/>
      <c r="FBL37" s="862"/>
      <c r="FBM37" s="862"/>
      <c r="FBN37" s="862"/>
      <c r="FBO37" s="862"/>
      <c r="FBP37" s="862"/>
      <c r="FBQ37" s="862"/>
      <c r="FBR37" s="862"/>
      <c r="FBS37" s="862"/>
      <c r="FBT37" s="862"/>
      <c r="FBU37" s="862"/>
      <c r="FBV37" s="862"/>
      <c r="FBW37" s="862"/>
      <c r="FBX37" s="862"/>
      <c r="FBY37" s="862"/>
      <c r="FBZ37" s="862"/>
      <c r="FCA37" s="862"/>
      <c r="FCB37" s="862"/>
      <c r="FCC37" s="862"/>
      <c r="FCD37" s="862"/>
      <c r="FCE37" s="862"/>
      <c r="FCF37" s="862"/>
      <c r="FCG37" s="862"/>
      <c r="FCH37" s="862"/>
      <c r="FCI37" s="862"/>
      <c r="FCJ37" s="862"/>
      <c r="FCK37" s="862"/>
      <c r="FCL37" s="862"/>
      <c r="FCM37" s="862"/>
      <c r="FCN37" s="862"/>
      <c r="FCO37" s="862"/>
      <c r="FCP37" s="862"/>
      <c r="FCQ37" s="862"/>
      <c r="FCR37" s="862"/>
      <c r="FCS37" s="862"/>
      <c r="FCT37" s="862"/>
      <c r="FCU37" s="862"/>
      <c r="FCV37" s="862"/>
      <c r="FCW37" s="862"/>
      <c r="FCX37" s="862"/>
      <c r="FCY37" s="862"/>
      <c r="FCZ37" s="862"/>
      <c r="FDA37" s="862"/>
      <c r="FDB37" s="862"/>
      <c r="FDC37" s="862"/>
      <c r="FDD37" s="862"/>
      <c r="FDE37" s="862"/>
      <c r="FDF37" s="862"/>
      <c r="FDG37" s="862"/>
      <c r="FDH37" s="862"/>
      <c r="FDI37" s="862"/>
      <c r="FDJ37" s="862"/>
      <c r="FDK37" s="862"/>
      <c r="FDL37" s="862"/>
      <c r="FDM37" s="862"/>
      <c r="FDN37" s="862"/>
      <c r="FDO37" s="862"/>
      <c r="FDP37" s="862"/>
      <c r="FDQ37" s="862"/>
      <c r="FDR37" s="862"/>
      <c r="FDS37" s="862"/>
      <c r="FDT37" s="862"/>
      <c r="FDU37" s="862"/>
      <c r="FDV37" s="862"/>
      <c r="FDW37" s="862"/>
      <c r="FDX37" s="862"/>
      <c r="FDY37" s="862"/>
      <c r="FDZ37" s="862"/>
      <c r="FEA37" s="862"/>
      <c r="FEB37" s="862"/>
      <c r="FEC37" s="862"/>
      <c r="FED37" s="862"/>
      <c r="FEE37" s="862"/>
      <c r="FEF37" s="862"/>
      <c r="FEG37" s="862"/>
      <c r="FEH37" s="862"/>
      <c r="FEI37" s="862"/>
      <c r="FEJ37" s="862"/>
      <c r="FEK37" s="862"/>
      <c r="FEL37" s="862"/>
      <c r="FEM37" s="862"/>
      <c r="FEN37" s="862"/>
      <c r="FEO37" s="862"/>
      <c r="FEP37" s="862"/>
      <c r="FEQ37" s="862"/>
      <c r="FER37" s="862"/>
      <c r="FES37" s="862"/>
      <c r="FET37" s="862"/>
      <c r="FEU37" s="862"/>
      <c r="FEV37" s="862"/>
      <c r="FEW37" s="862"/>
      <c r="FEX37" s="862"/>
      <c r="FEY37" s="862"/>
      <c r="FEZ37" s="862"/>
      <c r="FFA37" s="862"/>
      <c r="FFB37" s="862"/>
      <c r="FFC37" s="862"/>
      <c r="FFD37" s="862"/>
      <c r="FFE37" s="862"/>
      <c r="FFF37" s="862"/>
      <c r="FFG37" s="862"/>
      <c r="FFH37" s="862"/>
      <c r="FFI37" s="862"/>
      <c r="FFJ37" s="862"/>
      <c r="FFK37" s="862"/>
      <c r="FFL37" s="862"/>
      <c r="FFM37" s="862"/>
      <c r="FFN37" s="862"/>
      <c r="FFO37" s="862"/>
      <c r="FFP37" s="862"/>
      <c r="FFQ37" s="862"/>
      <c r="FFR37" s="862"/>
      <c r="FFS37" s="862"/>
      <c r="FFT37" s="862"/>
      <c r="FFU37" s="862"/>
      <c r="FFV37" s="862"/>
      <c r="FFW37" s="862"/>
      <c r="FFX37" s="862"/>
      <c r="FFY37" s="862"/>
      <c r="FFZ37" s="862"/>
      <c r="FGA37" s="862"/>
      <c r="FGB37" s="862"/>
      <c r="FGC37" s="862"/>
      <c r="FGD37" s="862"/>
      <c r="FGE37" s="862"/>
      <c r="FGF37" s="862"/>
      <c r="FGG37" s="862"/>
      <c r="FGH37" s="862"/>
      <c r="FGI37" s="862"/>
      <c r="FGJ37" s="862"/>
      <c r="FGK37" s="862"/>
      <c r="FGL37" s="862"/>
      <c r="FGM37" s="862"/>
      <c r="FGN37" s="862"/>
      <c r="FGO37" s="862"/>
      <c r="FGP37" s="862"/>
      <c r="FGQ37" s="862"/>
      <c r="FGR37" s="862"/>
      <c r="FGS37" s="862"/>
      <c r="FGT37" s="862"/>
      <c r="FGU37" s="862"/>
      <c r="FGV37" s="862"/>
      <c r="FGW37" s="862"/>
      <c r="FGX37" s="862"/>
      <c r="FGY37" s="862"/>
      <c r="FGZ37" s="862"/>
      <c r="FHA37" s="862"/>
      <c r="FHB37" s="862"/>
      <c r="FHC37" s="862"/>
      <c r="FHD37" s="862"/>
      <c r="FHE37" s="862"/>
      <c r="FHF37" s="862"/>
      <c r="FHG37" s="862"/>
      <c r="FHH37" s="862"/>
      <c r="FHI37" s="862"/>
      <c r="FHJ37" s="862"/>
      <c r="FHK37" s="862"/>
      <c r="FHL37" s="862"/>
      <c r="FHM37" s="862"/>
      <c r="FHN37" s="862"/>
      <c r="FHO37" s="862"/>
      <c r="FHP37" s="862"/>
      <c r="FHQ37" s="862"/>
      <c r="FHR37" s="862"/>
      <c r="FHS37" s="862"/>
      <c r="FHT37" s="862"/>
      <c r="FHU37" s="862"/>
      <c r="FHV37" s="862"/>
      <c r="FHW37" s="862"/>
      <c r="FHX37" s="862"/>
      <c r="FHY37" s="862"/>
      <c r="FHZ37" s="862"/>
      <c r="FIA37" s="862"/>
      <c r="FIB37" s="862"/>
      <c r="FIC37" s="862"/>
      <c r="FID37" s="862"/>
      <c r="FIE37" s="862"/>
      <c r="FIF37" s="862"/>
      <c r="FIG37" s="862"/>
      <c r="FIH37" s="862"/>
      <c r="FII37" s="862"/>
      <c r="FIJ37" s="862"/>
      <c r="FIK37" s="862"/>
      <c r="FIL37" s="862"/>
      <c r="FIM37" s="862"/>
      <c r="FIN37" s="862"/>
      <c r="FIO37" s="862"/>
      <c r="FIP37" s="862"/>
      <c r="FIQ37" s="862"/>
      <c r="FIR37" s="862"/>
      <c r="FIS37" s="862"/>
      <c r="FIT37" s="862"/>
      <c r="FIU37" s="862"/>
      <c r="FIV37" s="862"/>
      <c r="FIW37" s="862"/>
      <c r="FIX37" s="862"/>
      <c r="FIY37" s="862"/>
      <c r="FIZ37" s="862"/>
      <c r="FJA37" s="862"/>
      <c r="FJB37" s="862"/>
      <c r="FJC37" s="862"/>
      <c r="FJD37" s="862"/>
      <c r="FJE37" s="862"/>
      <c r="FJF37" s="862"/>
      <c r="FJG37" s="862"/>
      <c r="FJH37" s="862"/>
      <c r="FJI37" s="862"/>
      <c r="FJJ37" s="862"/>
      <c r="FJK37" s="862"/>
      <c r="FJL37" s="862"/>
      <c r="FJM37" s="862"/>
      <c r="FJN37" s="862"/>
      <c r="FJO37" s="862"/>
      <c r="FJP37" s="862"/>
      <c r="FJQ37" s="862"/>
      <c r="FJR37" s="862"/>
      <c r="FJS37" s="862"/>
      <c r="FJT37" s="862"/>
      <c r="FJU37" s="862"/>
      <c r="FJV37" s="862"/>
      <c r="FJW37" s="862"/>
      <c r="FJX37" s="862"/>
      <c r="FJY37" s="862"/>
      <c r="FJZ37" s="862"/>
      <c r="FKA37" s="862"/>
      <c r="FKB37" s="862"/>
      <c r="FKC37" s="862"/>
      <c r="FKD37" s="862"/>
      <c r="FKE37" s="862"/>
      <c r="FKF37" s="862"/>
      <c r="FKG37" s="862"/>
      <c r="FKH37" s="862"/>
      <c r="FKI37" s="862"/>
      <c r="FKJ37" s="862"/>
      <c r="FKK37" s="862"/>
      <c r="FKL37" s="862"/>
      <c r="FKM37" s="862"/>
      <c r="FKN37" s="862"/>
      <c r="FKO37" s="862"/>
      <c r="FKP37" s="862"/>
      <c r="FKQ37" s="862"/>
      <c r="FKR37" s="862"/>
      <c r="FKS37" s="862"/>
      <c r="FKT37" s="862"/>
      <c r="FKU37" s="862"/>
      <c r="FKV37" s="862"/>
      <c r="FKW37" s="862"/>
      <c r="FKX37" s="862"/>
      <c r="FKY37" s="862"/>
      <c r="FKZ37" s="862"/>
      <c r="FLA37" s="862"/>
      <c r="FLB37" s="862"/>
      <c r="FLC37" s="862"/>
      <c r="FLD37" s="862"/>
      <c r="FLE37" s="862"/>
      <c r="FLF37" s="862"/>
      <c r="FLG37" s="862"/>
      <c r="FLH37" s="862"/>
      <c r="FLI37" s="862"/>
      <c r="FLJ37" s="862"/>
      <c r="FLK37" s="862"/>
      <c r="FLL37" s="862"/>
      <c r="FLM37" s="862"/>
      <c r="FLN37" s="862"/>
      <c r="FLO37" s="862"/>
      <c r="FLP37" s="862"/>
      <c r="FLQ37" s="862"/>
      <c r="FLR37" s="862"/>
      <c r="FLS37" s="862"/>
      <c r="FLT37" s="862"/>
      <c r="FLU37" s="862"/>
      <c r="FLV37" s="862"/>
      <c r="FLW37" s="862"/>
      <c r="FLX37" s="862"/>
      <c r="FLY37" s="862"/>
      <c r="FLZ37" s="862"/>
      <c r="FMA37" s="862"/>
      <c r="FMB37" s="862"/>
      <c r="FMC37" s="862"/>
      <c r="FMD37" s="862"/>
      <c r="FME37" s="862"/>
      <c r="FMF37" s="862"/>
      <c r="FMG37" s="862"/>
      <c r="FMH37" s="862"/>
      <c r="FMI37" s="862"/>
      <c r="FMJ37" s="862"/>
      <c r="FMK37" s="862"/>
      <c r="FML37" s="862"/>
      <c r="FMM37" s="862"/>
      <c r="FMN37" s="862"/>
      <c r="FMO37" s="862"/>
      <c r="FMP37" s="862"/>
      <c r="FMQ37" s="862"/>
      <c r="FMR37" s="862"/>
      <c r="FMS37" s="862"/>
      <c r="FMT37" s="862"/>
      <c r="FMU37" s="862"/>
      <c r="FMV37" s="862"/>
      <c r="FMW37" s="862"/>
      <c r="FMX37" s="862"/>
      <c r="FMY37" s="862"/>
      <c r="FMZ37" s="862"/>
      <c r="FNA37" s="862"/>
      <c r="FNB37" s="862"/>
      <c r="FNC37" s="862"/>
      <c r="FND37" s="862"/>
      <c r="FNE37" s="862"/>
      <c r="FNF37" s="862"/>
      <c r="FNG37" s="862"/>
      <c r="FNH37" s="862"/>
      <c r="FNI37" s="862"/>
      <c r="FNJ37" s="862"/>
      <c r="FNK37" s="862"/>
      <c r="FNL37" s="862"/>
      <c r="FNM37" s="862"/>
      <c r="FNN37" s="862"/>
      <c r="FNO37" s="862"/>
      <c r="FNP37" s="862"/>
      <c r="FNQ37" s="862"/>
      <c r="FNR37" s="862"/>
      <c r="FNS37" s="862"/>
      <c r="FNT37" s="862"/>
      <c r="FNU37" s="862"/>
      <c r="FNV37" s="862"/>
      <c r="FNW37" s="862"/>
      <c r="FNX37" s="862"/>
      <c r="FNY37" s="862"/>
      <c r="FNZ37" s="862"/>
      <c r="FOA37" s="862"/>
      <c r="FOB37" s="862"/>
      <c r="FOC37" s="862"/>
      <c r="FOD37" s="862"/>
      <c r="FOE37" s="862"/>
      <c r="FOF37" s="862"/>
      <c r="FOG37" s="862"/>
      <c r="FOH37" s="862"/>
      <c r="FOI37" s="862"/>
      <c r="FOJ37" s="862"/>
      <c r="FOK37" s="862"/>
      <c r="FOL37" s="862"/>
      <c r="FOM37" s="862"/>
      <c r="FON37" s="862"/>
      <c r="FOO37" s="862"/>
      <c r="FOP37" s="862"/>
      <c r="FOQ37" s="862"/>
      <c r="FOR37" s="862"/>
      <c r="FOS37" s="862"/>
      <c r="FOT37" s="862"/>
      <c r="FOU37" s="862"/>
      <c r="FOV37" s="862"/>
      <c r="FOW37" s="862"/>
      <c r="FOX37" s="862"/>
      <c r="FOY37" s="862"/>
      <c r="FOZ37" s="862"/>
      <c r="FPA37" s="862"/>
      <c r="FPB37" s="862"/>
      <c r="FPC37" s="862"/>
      <c r="FPD37" s="862"/>
      <c r="FPE37" s="862"/>
      <c r="FPF37" s="862"/>
      <c r="FPG37" s="862"/>
      <c r="FPH37" s="862"/>
      <c r="FPI37" s="862"/>
      <c r="FPJ37" s="862"/>
      <c r="FPK37" s="862"/>
      <c r="FPL37" s="862"/>
      <c r="FPM37" s="862"/>
      <c r="FPN37" s="862"/>
      <c r="FPO37" s="862"/>
      <c r="FPP37" s="862"/>
      <c r="FPQ37" s="862"/>
      <c r="FPR37" s="862"/>
      <c r="FPS37" s="862"/>
      <c r="FPT37" s="862"/>
      <c r="FPU37" s="862"/>
      <c r="FPV37" s="862"/>
      <c r="FPW37" s="862"/>
      <c r="FPX37" s="862"/>
      <c r="FPY37" s="862"/>
      <c r="FPZ37" s="862"/>
      <c r="FQA37" s="862"/>
      <c r="FQB37" s="862"/>
      <c r="FQC37" s="862"/>
      <c r="FQD37" s="862"/>
      <c r="FQE37" s="862"/>
      <c r="FQF37" s="862"/>
      <c r="FQG37" s="862"/>
      <c r="FQH37" s="862"/>
      <c r="FQI37" s="862"/>
      <c r="FQJ37" s="862"/>
      <c r="FQK37" s="862"/>
      <c r="FQL37" s="862"/>
      <c r="FQM37" s="862"/>
      <c r="FQN37" s="862"/>
      <c r="FQO37" s="862"/>
      <c r="FQP37" s="862"/>
      <c r="FQQ37" s="862"/>
      <c r="FQR37" s="862"/>
      <c r="FQS37" s="862"/>
      <c r="FQT37" s="862"/>
      <c r="FQU37" s="862"/>
      <c r="FQV37" s="862"/>
      <c r="FQW37" s="862"/>
      <c r="FQX37" s="862"/>
      <c r="FQY37" s="862"/>
      <c r="FQZ37" s="862"/>
      <c r="FRA37" s="862"/>
      <c r="FRB37" s="862"/>
      <c r="FRC37" s="862"/>
      <c r="FRD37" s="862"/>
      <c r="FRE37" s="862"/>
      <c r="FRF37" s="862"/>
      <c r="FRG37" s="862"/>
      <c r="FRH37" s="862"/>
      <c r="FRI37" s="862"/>
      <c r="FRJ37" s="862"/>
      <c r="FRK37" s="862"/>
      <c r="FRL37" s="862"/>
      <c r="FRM37" s="862"/>
      <c r="FRN37" s="862"/>
      <c r="FRO37" s="862"/>
      <c r="FRP37" s="862"/>
      <c r="FRQ37" s="862"/>
      <c r="FRR37" s="862"/>
      <c r="FRS37" s="862"/>
      <c r="FRT37" s="862"/>
      <c r="FRU37" s="862"/>
      <c r="FRV37" s="862"/>
      <c r="FRW37" s="862"/>
      <c r="FRX37" s="862"/>
      <c r="FRY37" s="862"/>
      <c r="FRZ37" s="862"/>
      <c r="FSA37" s="862"/>
      <c r="FSB37" s="862"/>
      <c r="FSC37" s="862"/>
      <c r="FSD37" s="862"/>
      <c r="FSE37" s="862"/>
      <c r="FSF37" s="862"/>
      <c r="FSG37" s="862"/>
      <c r="FSH37" s="862"/>
      <c r="FSI37" s="862"/>
      <c r="FSJ37" s="862"/>
      <c r="FSK37" s="862"/>
      <c r="FSL37" s="862"/>
      <c r="FSM37" s="862"/>
      <c r="FSN37" s="862"/>
      <c r="FSO37" s="862"/>
      <c r="FSP37" s="862"/>
      <c r="FSQ37" s="862"/>
      <c r="FSR37" s="862"/>
      <c r="FSS37" s="862"/>
      <c r="FST37" s="862"/>
      <c r="FSU37" s="862"/>
      <c r="FSV37" s="862"/>
      <c r="FSW37" s="862"/>
      <c r="FSX37" s="862"/>
      <c r="FSY37" s="862"/>
      <c r="FSZ37" s="862"/>
      <c r="FTA37" s="862"/>
      <c r="FTB37" s="862"/>
      <c r="FTC37" s="862"/>
      <c r="FTD37" s="862"/>
      <c r="FTE37" s="862"/>
      <c r="FTF37" s="862"/>
      <c r="FTG37" s="862"/>
      <c r="FTH37" s="862"/>
      <c r="FTI37" s="862"/>
      <c r="FTJ37" s="862"/>
      <c r="FTK37" s="862"/>
      <c r="FTL37" s="862"/>
      <c r="FTM37" s="862"/>
      <c r="FTN37" s="862"/>
      <c r="FTO37" s="862"/>
      <c r="FTP37" s="862"/>
      <c r="FTQ37" s="862"/>
      <c r="FTR37" s="862"/>
      <c r="FTS37" s="862"/>
      <c r="FTT37" s="862"/>
      <c r="FTU37" s="862"/>
      <c r="FTV37" s="862"/>
      <c r="FTW37" s="862"/>
      <c r="FTX37" s="862"/>
      <c r="FTY37" s="862"/>
      <c r="FTZ37" s="862"/>
      <c r="FUA37" s="862"/>
      <c r="FUB37" s="862"/>
      <c r="FUC37" s="862"/>
      <c r="FUD37" s="862"/>
      <c r="FUE37" s="862"/>
      <c r="FUF37" s="862"/>
      <c r="FUG37" s="862"/>
      <c r="FUH37" s="862"/>
      <c r="FUI37" s="862"/>
      <c r="FUJ37" s="862"/>
      <c r="FUK37" s="862"/>
      <c r="FUL37" s="862"/>
      <c r="FUM37" s="862"/>
      <c r="FUN37" s="862"/>
      <c r="FUO37" s="862"/>
      <c r="FUP37" s="862"/>
      <c r="FUQ37" s="862"/>
      <c r="FUR37" s="862"/>
      <c r="FUS37" s="862"/>
      <c r="FUT37" s="862"/>
      <c r="FUU37" s="862"/>
      <c r="FUV37" s="862"/>
      <c r="FUW37" s="862"/>
      <c r="FUX37" s="862"/>
      <c r="FUY37" s="862"/>
      <c r="FUZ37" s="862"/>
      <c r="FVA37" s="862"/>
      <c r="FVB37" s="862"/>
      <c r="FVC37" s="862"/>
      <c r="FVD37" s="862"/>
      <c r="FVE37" s="862"/>
      <c r="FVF37" s="862"/>
      <c r="FVG37" s="862"/>
      <c r="FVH37" s="862"/>
      <c r="FVI37" s="862"/>
      <c r="FVJ37" s="862"/>
      <c r="FVK37" s="862"/>
      <c r="FVL37" s="862"/>
      <c r="FVM37" s="862"/>
      <c r="FVN37" s="862"/>
      <c r="FVO37" s="862"/>
      <c r="FVP37" s="862"/>
      <c r="FVQ37" s="862"/>
      <c r="FVR37" s="862"/>
      <c r="FVS37" s="862"/>
      <c r="FVT37" s="862"/>
      <c r="FVU37" s="862"/>
      <c r="FVV37" s="862"/>
      <c r="FVW37" s="862"/>
      <c r="FVX37" s="862"/>
      <c r="FVY37" s="862"/>
      <c r="FVZ37" s="862"/>
      <c r="FWA37" s="862"/>
      <c r="FWB37" s="862"/>
      <c r="FWC37" s="862"/>
      <c r="FWD37" s="862"/>
      <c r="FWE37" s="862"/>
      <c r="FWF37" s="862"/>
      <c r="FWG37" s="862"/>
      <c r="FWH37" s="862"/>
      <c r="FWI37" s="862"/>
      <c r="FWJ37" s="862"/>
      <c r="FWK37" s="862"/>
      <c r="FWL37" s="862"/>
      <c r="FWM37" s="862"/>
      <c r="FWN37" s="862"/>
      <c r="FWO37" s="862"/>
      <c r="FWP37" s="862"/>
      <c r="FWQ37" s="862"/>
      <c r="FWR37" s="862"/>
      <c r="FWS37" s="862"/>
      <c r="FWT37" s="862"/>
      <c r="FWU37" s="862"/>
      <c r="FWV37" s="862"/>
      <c r="FWW37" s="862"/>
      <c r="FWX37" s="862"/>
      <c r="FWY37" s="862"/>
      <c r="FWZ37" s="862"/>
      <c r="FXA37" s="862"/>
      <c r="FXB37" s="862"/>
      <c r="FXC37" s="862"/>
      <c r="FXD37" s="862"/>
      <c r="FXE37" s="862"/>
      <c r="FXF37" s="862"/>
      <c r="FXG37" s="862"/>
      <c r="FXH37" s="862"/>
      <c r="FXI37" s="862"/>
      <c r="FXJ37" s="862"/>
      <c r="FXK37" s="862"/>
      <c r="FXL37" s="862"/>
      <c r="FXM37" s="862"/>
      <c r="FXN37" s="862"/>
      <c r="FXO37" s="862"/>
      <c r="FXP37" s="862"/>
      <c r="FXQ37" s="862"/>
      <c r="FXR37" s="862"/>
      <c r="FXS37" s="862"/>
      <c r="FXT37" s="862"/>
      <c r="FXU37" s="862"/>
      <c r="FXV37" s="862"/>
      <c r="FXW37" s="862"/>
      <c r="FXX37" s="862"/>
      <c r="FXY37" s="862"/>
      <c r="FXZ37" s="862"/>
      <c r="FYA37" s="862"/>
      <c r="FYB37" s="862"/>
      <c r="FYC37" s="862"/>
      <c r="FYD37" s="862"/>
      <c r="FYE37" s="862"/>
      <c r="FYF37" s="862"/>
      <c r="FYG37" s="862"/>
      <c r="FYH37" s="862"/>
      <c r="FYI37" s="862"/>
      <c r="FYJ37" s="862"/>
      <c r="FYK37" s="862"/>
      <c r="FYL37" s="862"/>
      <c r="FYM37" s="862"/>
      <c r="FYN37" s="862"/>
      <c r="FYO37" s="862"/>
      <c r="FYP37" s="862"/>
      <c r="FYQ37" s="862"/>
      <c r="FYR37" s="862"/>
      <c r="FYS37" s="862"/>
      <c r="FYT37" s="862"/>
      <c r="FYU37" s="862"/>
      <c r="FYV37" s="862"/>
      <c r="FYW37" s="862"/>
      <c r="FYX37" s="862"/>
      <c r="FYY37" s="862"/>
      <c r="FYZ37" s="862"/>
      <c r="FZA37" s="862"/>
      <c r="FZB37" s="862"/>
      <c r="FZC37" s="862"/>
      <c r="FZD37" s="862"/>
      <c r="FZE37" s="862"/>
      <c r="FZF37" s="862"/>
      <c r="FZG37" s="862"/>
      <c r="FZH37" s="862"/>
      <c r="FZI37" s="862"/>
      <c r="FZJ37" s="862"/>
      <c r="FZK37" s="862"/>
      <c r="FZL37" s="862"/>
      <c r="FZM37" s="862"/>
      <c r="FZN37" s="862"/>
      <c r="FZO37" s="862"/>
      <c r="FZP37" s="862"/>
      <c r="FZQ37" s="862"/>
      <c r="FZR37" s="862"/>
      <c r="FZS37" s="862"/>
      <c r="FZT37" s="862"/>
      <c r="FZU37" s="862"/>
      <c r="FZV37" s="862"/>
      <c r="FZW37" s="862"/>
      <c r="FZX37" s="862"/>
      <c r="FZY37" s="862"/>
      <c r="FZZ37" s="862"/>
      <c r="GAA37" s="862"/>
      <c r="GAB37" s="862"/>
      <c r="GAC37" s="862"/>
      <c r="GAD37" s="862"/>
      <c r="GAE37" s="862"/>
      <c r="GAF37" s="862"/>
      <c r="GAG37" s="862"/>
      <c r="GAH37" s="862"/>
      <c r="GAI37" s="862"/>
      <c r="GAJ37" s="862"/>
      <c r="GAK37" s="862"/>
      <c r="GAL37" s="862"/>
      <c r="GAM37" s="862"/>
      <c r="GAN37" s="862"/>
      <c r="GAO37" s="862"/>
      <c r="GAP37" s="862"/>
      <c r="GAQ37" s="862"/>
      <c r="GAR37" s="862"/>
      <c r="GAS37" s="862"/>
      <c r="GAT37" s="862"/>
      <c r="GAU37" s="862"/>
      <c r="GAV37" s="862"/>
      <c r="GAW37" s="862"/>
      <c r="GAX37" s="862"/>
      <c r="GAY37" s="862"/>
      <c r="GAZ37" s="862"/>
      <c r="GBA37" s="862"/>
      <c r="GBB37" s="862"/>
      <c r="GBC37" s="862"/>
      <c r="GBD37" s="862"/>
      <c r="GBE37" s="862"/>
      <c r="GBF37" s="862"/>
      <c r="GBG37" s="862"/>
      <c r="GBH37" s="862"/>
      <c r="GBI37" s="862"/>
      <c r="GBJ37" s="862"/>
      <c r="GBK37" s="862"/>
      <c r="GBL37" s="862"/>
      <c r="GBM37" s="862"/>
      <c r="GBN37" s="862"/>
      <c r="GBO37" s="862"/>
      <c r="GBP37" s="862"/>
      <c r="GBQ37" s="862"/>
      <c r="GBR37" s="862"/>
      <c r="GBS37" s="862"/>
      <c r="GBT37" s="862"/>
      <c r="GBU37" s="862"/>
      <c r="GBV37" s="862"/>
      <c r="GBW37" s="862"/>
      <c r="GBX37" s="862"/>
      <c r="GBY37" s="862"/>
      <c r="GBZ37" s="862"/>
      <c r="GCA37" s="862"/>
      <c r="GCB37" s="862"/>
      <c r="GCC37" s="862"/>
      <c r="GCD37" s="862"/>
      <c r="GCE37" s="862"/>
      <c r="GCF37" s="862"/>
      <c r="GCG37" s="862"/>
      <c r="GCH37" s="862"/>
      <c r="GCI37" s="862"/>
      <c r="GCJ37" s="862"/>
      <c r="GCK37" s="862"/>
      <c r="GCL37" s="862"/>
      <c r="GCM37" s="862"/>
      <c r="GCN37" s="862"/>
      <c r="GCO37" s="862"/>
      <c r="GCP37" s="862"/>
      <c r="GCQ37" s="862"/>
      <c r="GCR37" s="862"/>
      <c r="GCS37" s="862"/>
      <c r="GCT37" s="862"/>
      <c r="GCU37" s="862"/>
      <c r="GCV37" s="862"/>
      <c r="GCW37" s="862"/>
      <c r="GCX37" s="862"/>
      <c r="GCY37" s="862"/>
      <c r="GCZ37" s="862"/>
      <c r="GDA37" s="862"/>
      <c r="GDB37" s="862"/>
      <c r="GDC37" s="862"/>
      <c r="GDD37" s="862"/>
      <c r="GDE37" s="862"/>
      <c r="GDF37" s="862"/>
      <c r="GDG37" s="862"/>
      <c r="GDH37" s="862"/>
      <c r="GDI37" s="862"/>
      <c r="GDJ37" s="862"/>
      <c r="GDK37" s="862"/>
      <c r="GDL37" s="862"/>
      <c r="GDM37" s="862"/>
      <c r="GDN37" s="862"/>
      <c r="GDO37" s="862"/>
      <c r="GDP37" s="862"/>
      <c r="GDQ37" s="862"/>
      <c r="GDR37" s="862"/>
      <c r="GDS37" s="862"/>
      <c r="GDT37" s="862"/>
      <c r="GDU37" s="862"/>
      <c r="GDV37" s="862"/>
      <c r="GDW37" s="862"/>
      <c r="GDX37" s="862"/>
      <c r="GDY37" s="862"/>
      <c r="GDZ37" s="862"/>
      <c r="GEA37" s="862"/>
      <c r="GEB37" s="862"/>
      <c r="GEC37" s="862"/>
      <c r="GED37" s="862"/>
      <c r="GEE37" s="862"/>
      <c r="GEF37" s="862"/>
      <c r="GEG37" s="862"/>
      <c r="GEH37" s="862"/>
      <c r="GEI37" s="862"/>
      <c r="GEJ37" s="862"/>
      <c r="GEK37" s="862"/>
      <c r="GEL37" s="862"/>
      <c r="GEM37" s="862"/>
      <c r="GEN37" s="862"/>
      <c r="GEO37" s="862"/>
      <c r="GEP37" s="862"/>
      <c r="GEQ37" s="862"/>
      <c r="GER37" s="862"/>
      <c r="GES37" s="862"/>
      <c r="GET37" s="862"/>
      <c r="GEU37" s="862"/>
      <c r="GEV37" s="862"/>
      <c r="GEW37" s="862"/>
      <c r="GEX37" s="862"/>
      <c r="GEY37" s="862"/>
      <c r="GEZ37" s="862"/>
      <c r="GFA37" s="862"/>
      <c r="GFB37" s="862"/>
      <c r="GFC37" s="862"/>
      <c r="GFD37" s="862"/>
      <c r="GFE37" s="862"/>
      <c r="GFF37" s="862"/>
      <c r="GFG37" s="862"/>
      <c r="GFH37" s="862"/>
      <c r="GFI37" s="862"/>
      <c r="GFJ37" s="862"/>
      <c r="GFK37" s="862"/>
      <c r="GFL37" s="862"/>
      <c r="GFM37" s="862"/>
      <c r="GFN37" s="862"/>
      <c r="GFO37" s="862"/>
      <c r="GFP37" s="862"/>
      <c r="GFQ37" s="862"/>
      <c r="GFR37" s="862"/>
      <c r="GFS37" s="862"/>
      <c r="GFT37" s="862"/>
      <c r="GFU37" s="862"/>
      <c r="GFV37" s="862"/>
      <c r="GFW37" s="862"/>
      <c r="GFX37" s="862"/>
      <c r="GFY37" s="862"/>
      <c r="GFZ37" s="862"/>
      <c r="GGA37" s="862"/>
      <c r="GGB37" s="862"/>
      <c r="GGC37" s="862"/>
      <c r="GGD37" s="862"/>
      <c r="GGE37" s="862"/>
      <c r="GGF37" s="862"/>
      <c r="GGG37" s="862"/>
      <c r="GGH37" s="862"/>
      <c r="GGI37" s="862"/>
      <c r="GGJ37" s="862"/>
      <c r="GGK37" s="862"/>
      <c r="GGL37" s="862"/>
      <c r="GGM37" s="862"/>
      <c r="GGN37" s="862"/>
      <c r="GGO37" s="862"/>
      <c r="GGP37" s="862"/>
      <c r="GGQ37" s="862"/>
      <c r="GGR37" s="862"/>
      <c r="GGS37" s="862"/>
      <c r="GGT37" s="862"/>
      <c r="GGU37" s="862"/>
      <c r="GGV37" s="862"/>
      <c r="GGW37" s="862"/>
      <c r="GGX37" s="862"/>
      <c r="GGY37" s="862"/>
      <c r="GGZ37" s="862"/>
      <c r="GHA37" s="862"/>
      <c r="GHB37" s="862"/>
      <c r="GHC37" s="862"/>
      <c r="GHD37" s="862"/>
      <c r="GHE37" s="862"/>
      <c r="GHF37" s="862"/>
      <c r="GHG37" s="862"/>
      <c r="GHH37" s="862"/>
      <c r="GHI37" s="862"/>
      <c r="GHJ37" s="862"/>
      <c r="GHK37" s="862"/>
      <c r="GHL37" s="862"/>
      <c r="GHM37" s="862"/>
      <c r="GHN37" s="862"/>
      <c r="GHO37" s="862"/>
      <c r="GHP37" s="862"/>
      <c r="GHQ37" s="862"/>
      <c r="GHR37" s="862"/>
      <c r="GHS37" s="862"/>
      <c r="GHT37" s="862"/>
      <c r="GHU37" s="862"/>
      <c r="GHV37" s="862"/>
      <c r="GHW37" s="862"/>
      <c r="GHX37" s="862"/>
      <c r="GHY37" s="862"/>
      <c r="GHZ37" s="862"/>
      <c r="GIA37" s="862"/>
      <c r="GIB37" s="862"/>
      <c r="GIC37" s="862"/>
      <c r="GID37" s="862"/>
      <c r="GIE37" s="862"/>
      <c r="GIF37" s="862"/>
      <c r="GIG37" s="862"/>
      <c r="GIH37" s="862"/>
      <c r="GII37" s="862"/>
      <c r="GIJ37" s="862"/>
      <c r="GIK37" s="862"/>
      <c r="GIL37" s="862"/>
      <c r="GIM37" s="862"/>
      <c r="GIN37" s="862"/>
      <c r="GIO37" s="862"/>
      <c r="GIP37" s="862"/>
      <c r="GIQ37" s="862"/>
      <c r="GIR37" s="862"/>
      <c r="GIS37" s="862"/>
      <c r="GIT37" s="862"/>
      <c r="GIU37" s="862"/>
      <c r="GIV37" s="862"/>
      <c r="GIW37" s="862"/>
      <c r="GIX37" s="862"/>
      <c r="GIY37" s="862"/>
      <c r="GIZ37" s="862"/>
      <c r="GJA37" s="862"/>
      <c r="GJB37" s="862"/>
      <c r="GJC37" s="862"/>
      <c r="GJD37" s="862"/>
      <c r="GJE37" s="862"/>
      <c r="GJF37" s="862"/>
      <c r="GJG37" s="862"/>
      <c r="GJH37" s="862"/>
      <c r="GJI37" s="862"/>
      <c r="GJJ37" s="862"/>
      <c r="GJK37" s="862"/>
      <c r="GJL37" s="862"/>
      <c r="GJM37" s="862"/>
      <c r="GJN37" s="862"/>
      <c r="GJO37" s="862"/>
      <c r="GJP37" s="862"/>
      <c r="GJQ37" s="862"/>
      <c r="GJR37" s="862"/>
      <c r="GJS37" s="862"/>
      <c r="GJT37" s="862"/>
      <c r="GJU37" s="862"/>
      <c r="GJV37" s="862"/>
      <c r="GJW37" s="862"/>
      <c r="GJX37" s="862"/>
      <c r="GJY37" s="862"/>
      <c r="GJZ37" s="862"/>
      <c r="GKA37" s="862"/>
      <c r="GKB37" s="862"/>
      <c r="GKC37" s="862"/>
      <c r="GKD37" s="862"/>
      <c r="GKE37" s="862"/>
      <c r="GKF37" s="862"/>
      <c r="GKG37" s="862"/>
      <c r="GKH37" s="862"/>
      <c r="GKI37" s="862"/>
      <c r="GKJ37" s="862"/>
      <c r="GKK37" s="862"/>
      <c r="GKL37" s="862"/>
      <c r="GKM37" s="862"/>
      <c r="GKN37" s="862"/>
      <c r="GKO37" s="862"/>
      <c r="GKP37" s="862"/>
      <c r="GKQ37" s="862"/>
      <c r="GKR37" s="862"/>
      <c r="GKS37" s="862"/>
      <c r="GKT37" s="862"/>
      <c r="GKU37" s="862"/>
      <c r="GKV37" s="862"/>
      <c r="GKW37" s="862"/>
      <c r="GKX37" s="862"/>
      <c r="GKY37" s="862"/>
      <c r="GKZ37" s="862"/>
      <c r="GLA37" s="862"/>
      <c r="GLB37" s="862"/>
      <c r="GLC37" s="862"/>
      <c r="GLD37" s="862"/>
      <c r="GLE37" s="862"/>
      <c r="GLF37" s="862"/>
      <c r="GLG37" s="862"/>
      <c r="GLH37" s="862"/>
      <c r="GLI37" s="862"/>
      <c r="GLJ37" s="862"/>
      <c r="GLK37" s="862"/>
      <c r="GLL37" s="862"/>
      <c r="GLM37" s="862"/>
      <c r="GLN37" s="862"/>
      <c r="GLO37" s="862"/>
      <c r="GLP37" s="862"/>
      <c r="GLQ37" s="862"/>
      <c r="GLR37" s="862"/>
      <c r="GLS37" s="862"/>
      <c r="GLT37" s="862"/>
      <c r="GLU37" s="862"/>
      <c r="GLV37" s="862"/>
      <c r="GLW37" s="862"/>
      <c r="GLX37" s="862"/>
      <c r="GLY37" s="862"/>
      <c r="GLZ37" s="862"/>
      <c r="GMA37" s="862"/>
      <c r="GMB37" s="862"/>
      <c r="GMC37" s="862"/>
      <c r="GMD37" s="862"/>
      <c r="GME37" s="862"/>
      <c r="GMF37" s="862"/>
      <c r="GMG37" s="862"/>
      <c r="GMH37" s="862"/>
      <c r="GMI37" s="862"/>
      <c r="GMJ37" s="862"/>
      <c r="GMK37" s="862"/>
      <c r="GML37" s="862"/>
      <c r="GMM37" s="862"/>
      <c r="GMN37" s="862"/>
      <c r="GMO37" s="862"/>
      <c r="GMP37" s="862"/>
      <c r="GMQ37" s="862"/>
      <c r="GMR37" s="862"/>
      <c r="GMS37" s="862"/>
      <c r="GMT37" s="862"/>
      <c r="GMU37" s="862"/>
      <c r="GMV37" s="862"/>
      <c r="GMW37" s="862"/>
      <c r="GMX37" s="862"/>
      <c r="GMY37" s="862"/>
      <c r="GMZ37" s="862"/>
      <c r="GNA37" s="862"/>
      <c r="GNB37" s="862"/>
      <c r="GNC37" s="862"/>
      <c r="GND37" s="862"/>
      <c r="GNE37" s="862"/>
      <c r="GNF37" s="862"/>
      <c r="GNG37" s="862"/>
      <c r="GNH37" s="862"/>
      <c r="GNI37" s="862"/>
      <c r="GNJ37" s="862"/>
      <c r="GNK37" s="862"/>
      <c r="GNL37" s="862"/>
      <c r="GNM37" s="862"/>
      <c r="GNN37" s="862"/>
      <c r="GNO37" s="862"/>
      <c r="GNP37" s="862"/>
      <c r="GNQ37" s="862"/>
      <c r="GNR37" s="862"/>
      <c r="GNS37" s="862"/>
      <c r="GNT37" s="862"/>
      <c r="GNU37" s="862"/>
      <c r="GNV37" s="862"/>
      <c r="GNW37" s="862"/>
      <c r="GNX37" s="862"/>
      <c r="GNY37" s="862"/>
      <c r="GNZ37" s="862"/>
      <c r="GOA37" s="862"/>
      <c r="GOB37" s="862"/>
      <c r="GOC37" s="862"/>
      <c r="GOD37" s="862"/>
      <c r="GOE37" s="862"/>
      <c r="GOF37" s="862"/>
      <c r="GOG37" s="862"/>
      <c r="GOH37" s="862"/>
      <c r="GOI37" s="862"/>
      <c r="GOJ37" s="862"/>
      <c r="GOK37" s="862"/>
      <c r="GOL37" s="862"/>
      <c r="GOM37" s="862"/>
      <c r="GON37" s="862"/>
      <c r="GOO37" s="862"/>
      <c r="GOP37" s="862"/>
      <c r="GOQ37" s="862"/>
      <c r="GOR37" s="862"/>
      <c r="GOS37" s="862"/>
      <c r="GOT37" s="862"/>
      <c r="GOU37" s="862"/>
      <c r="GOV37" s="862"/>
      <c r="GOW37" s="862"/>
      <c r="GOX37" s="862"/>
      <c r="GOY37" s="862"/>
      <c r="GOZ37" s="862"/>
      <c r="GPA37" s="862"/>
      <c r="GPB37" s="862"/>
      <c r="GPC37" s="862"/>
      <c r="GPD37" s="862"/>
      <c r="GPE37" s="862"/>
      <c r="GPF37" s="862"/>
      <c r="GPG37" s="862"/>
      <c r="GPH37" s="862"/>
      <c r="GPI37" s="862"/>
      <c r="GPJ37" s="862"/>
      <c r="GPK37" s="862"/>
      <c r="GPL37" s="862"/>
      <c r="GPM37" s="862"/>
      <c r="GPN37" s="862"/>
      <c r="GPO37" s="862"/>
      <c r="GPP37" s="862"/>
      <c r="GPQ37" s="862"/>
      <c r="GPR37" s="862"/>
      <c r="GPS37" s="862"/>
      <c r="GPT37" s="862"/>
      <c r="GPU37" s="862"/>
      <c r="GPV37" s="862"/>
      <c r="GPW37" s="862"/>
      <c r="GPX37" s="862"/>
      <c r="GPY37" s="862"/>
      <c r="GPZ37" s="862"/>
      <c r="GQA37" s="862"/>
      <c r="GQB37" s="862"/>
      <c r="GQC37" s="862"/>
      <c r="GQD37" s="862"/>
      <c r="GQE37" s="862"/>
      <c r="GQF37" s="862"/>
      <c r="GQG37" s="862"/>
      <c r="GQH37" s="862"/>
      <c r="GQI37" s="862"/>
      <c r="GQJ37" s="862"/>
      <c r="GQK37" s="862"/>
      <c r="GQL37" s="862"/>
      <c r="GQM37" s="862"/>
      <c r="GQN37" s="862"/>
      <c r="GQO37" s="862"/>
      <c r="GQP37" s="862"/>
      <c r="GQQ37" s="862"/>
      <c r="GQR37" s="862"/>
      <c r="GQS37" s="862"/>
      <c r="GQT37" s="862"/>
      <c r="GQU37" s="862"/>
      <c r="GQV37" s="862"/>
      <c r="GQW37" s="862"/>
      <c r="GQX37" s="862"/>
      <c r="GQY37" s="862"/>
      <c r="GQZ37" s="862"/>
      <c r="GRA37" s="862"/>
      <c r="GRB37" s="862"/>
      <c r="GRC37" s="862"/>
      <c r="GRD37" s="862"/>
      <c r="GRE37" s="862"/>
      <c r="GRF37" s="862"/>
      <c r="GRG37" s="862"/>
      <c r="GRH37" s="862"/>
      <c r="GRI37" s="862"/>
      <c r="GRJ37" s="862"/>
      <c r="GRK37" s="862"/>
      <c r="GRL37" s="862"/>
      <c r="GRM37" s="862"/>
      <c r="GRN37" s="862"/>
      <c r="GRO37" s="862"/>
      <c r="GRP37" s="862"/>
      <c r="GRQ37" s="862"/>
      <c r="GRR37" s="862"/>
      <c r="GRS37" s="862"/>
      <c r="GRT37" s="862"/>
      <c r="GRU37" s="862"/>
      <c r="GRV37" s="862"/>
      <c r="GRW37" s="862"/>
      <c r="GRX37" s="862"/>
      <c r="GRY37" s="862"/>
      <c r="GRZ37" s="862"/>
      <c r="GSA37" s="862"/>
      <c r="GSB37" s="862"/>
      <c r="GSC37" s="862"/>
      <c r="GSD37" s="862"/>
      <c r="GSE37" s="862"/>
      <c r="GSF37" s="862"/>
      <c r="GSG37" s="862"/>
      <c r="GSH37" s="862"/>
      <c r="GSI37" s="862"/>
      <c r="GSJ37" s="862"/>
      <c r="GSK37" s="862"/>
      <c r="GSL37" s="862"/>
      <c r="GSM37" s="862"/>
      <c r="GSN37" s="862"/>
      <c r="GSO37" s="862"/>
      <c r="GSP37" s="862"/>
      <c r="GSQ37" s="862"/>
      <c r="GSR37" s="862"/>
      <c r="GSS37" s="862"/>
      <c r="GST37" s="862"/>
      <c r="GSU37" s="862"/>
      <c r="GSV37" s="862"/>
      <c r="GSW37" s="862"/>
      <c r="GSX37" s="862"/>
      <c r="GSY37" s="862"/>
      <c r="GSZ37" s="862"/>
      <c r="GTA37" s="862"/>
      <c r="GTB37" s="862"/>
      <c r="GTC37" s="862"/>
      <c r="GTD37" s="862"/>
      <c r="GTE37" s="862"/>
      <c r="GTF37" s="862"/>
      <c r="GTG37" s="862"/>
      <c r="GTH37" s="862"/>
      <c r="GTI37" s="862"/>
      <c r="GTJ37" s="862"/>
      <c r="GTK37" s="862"/>
      <c r="GTL37" s="862"/>
      <c r="GTM37" s="862"/>
      <c r="GTN37" s="862"/>
      <c r="GTO37" s="862"/>
      <c r="GTP37" s="862"/>
      <c r="GTQ37" s="862"/>
      <c r="GTR37" s="862"/>
      <c r="GTS37" s="862"/>
      <c r="GTT37" s="862"/>
      <c r="GTU37" s="862"/>
      <c r="GTV37" s="862"/>
      <c r="GTW37" s="862"/>
      <c r="GTX37" s="862"/>
      <c r="GTY37" s="862"/>
      <c r="GTZ37" s="862"/>
      <c r="GUA37" s="862"/>
      <c r="GUB37" s="862"/>
      <c r="GUC37" s="862"/>
      <c r="GUD37" s="862"/>
      <c r="GUE37" s="862"/>
      <c r="GUF37" s="862"/>
      <c r="GUG37" s="862"/>
      <c r="GUH37" s="862"/>
      <c r="GUI37" s="862"/>
      <c r="GUJ37" s="862"/>
      <c r="GUK37" s="862"/>
      <c r="GUL37" s="862"/>
      <c r="GUM37" s="862"/>
      <c r="GUN37" s="862"/>
      <c r="GUO37" s="862"/>
      <c r="GUP37" s="862"/>
      <c r="GUQ37" s="862"/>
      <c r="GUR37" s="862"/>
      <c r="GUS37" s="862"/>
      <c r="GUT37" s="862"/>
      <c r="GUU37" s="862"/>
      <c r="GUV37" s="862"/>
      <c r="GUW37" s="862"/>
      <c r="GUX37" s="862"/>
      <c r="GUY37" s="862"/>
      <c r="GUZ37" s="862"/>
      <c r="GVA37" s="862"/>
      <c r="GVB37" s="862"/>
      <c r="GVC37" s="862"/>
      <c r="GVD37" s="862"/>
      <c r="GVE37" s="862"/>
      <c r="GVF37" s="862"/>
      <c r="GVG37" s="862"/>
      <c r="GVH37" s="862"/>
      <c r="GVI37" s="862"/>
      <c r="GVJ37" s="862"/>
      <c r="GVK37" s="862"/>
      <c r="GVL37" s="862"/>
      <c r="GVM37" s="862"/>
      <c r="GVN37" s="862"/>
      <c r="GVO37" s="862"/>
      <c r="GVP37" s="862"/>
      <c r="GVQ37" s="862"/>
      <c r="GVR37" s="862"/>
      <c r="GVS37" s="862"/>
      <c r="GVT37" s="862"/>
      <c r="GVU37" s="862"/>
      <c r="GVV37" s="862"/>
      <c r="GVW37" s="862"/>
      <c r="GVX37" s="862"/>
      <c r="GVY37" s="862"/>
      <c r="GVZ37" s="862"/>
      <c r="GWA37" s="862"/>
      <c r="GWB37" s="862"/>
      <c r="GWC37" s="862"/>
      <c r="GWD37" s="862"/>
      <c r="GWE37" s="862"/>
      <c r="GWF37" s="862"/>
      <c r="GWG37" s="862"/>
      <c r="GWH37" s="862"/>
      <c r="GWI37" s="862"/>
      <c r="GWJ37" s="862"/>
      <c r="GWK37" s="862"/>
      <c r="GWL37" s="862"/>
      <c r="GWM37" s="862"/>
      <c r="GWN37" s="862"/>
      <c r="GWO37" s="862"/>
      <c r="GWP37" s="862"/>
      <c r="GWQ37" s="862"/>
      <c r="GWR37" s="862"/>
      <c r="GWS37" s="862"/>
      <c r="GWT37" s="862"/>
      <c r="GWU37" s="862"/>
      <c r="GWV37" s="862"/>
      <c r="GWW37" s="862"/>
      <c r="GWX37" s="862"/>
      <c r="GWY37" s="862"/>
      <c r="GWZ37" s="862"/>
      <c r="GXA37" s="862"/>
      <c r="GXB37" s="862"/>
      <c r="GXC37" s="862"/>
      <c r="GXD37" s="862"/>
      <c r="GXE37" s="862"/>
      <c r="GXF37" s="862"/>
      <c r="GXG37" s="862"/>
      <c r="GXH37" s="862"/>
      <c r="GXI37" s="862"/>
      <c r="GXJ37" s="862"/>
      <c r="GXK37" s="862"/>
      <c r="GXL37" s="862"/>
      <c r="GXM37" s="862"/>
      <c r="GXN37" s="862"/>
      <c r="GXO37" s="862"/>
      <c r="GXP37" s="862"/>
      <c r="GXQ37" s="862"/>
      <c r="GXR37" s="862"/>
      <c r="GXS37" s="862"/>
      <c r="GXT37" s="862"/>
      <c r="GXU37" s="862"/>
      <c r="GXV37" s="862"/>
      <c r="GXW37" s="862"/>
      <c r="GXX37" s="862"/>
      <c r="GXY37" s="862"/>
      <c r="GXZ37" s="862"/>
      <c r="GYA37" s="862"/>
      <c r="GYB37" s="862"/>
      <c r="GYC37" s="862"/>
      <c r="GYD37" s="862"/>
      <c r="GYE37" s="862"/>
      <c r="GYF37" s="862"/>
      <c r="GYG37" s="862"/>
      <c r="GYH37" s="862"/>
      <c r="GYI37" s="862"/>
      <c r="GYJ37" s="862"/>
      <c r="GYK37" s="862"/>
      <c r="GYL37" s="862"/>
      <c r="GYM37" s="862"/>
      <c r="GYN37" s="862"/>
      <c r="GYO37" s="862"/>
      <c r="GYP37" s="862"/>
      <c r="GYQ37" s="862"/>
      <c r="GYR37" s="862"/>
      <c r="GYS37" s="862"/>
      <c r="GYT37" s="862"/>
      <c r="GYU37" s="862"/>
      <c r="GYV37" s="862"/>
      <c r="GYW37" s="862"/>
      <c r="GYX37" s="862"/>
      <c r="GYY37" s="862"/>
      <c r="GYZ37" s="862"/>
      <c r="GZA37" s="862"/>
      <c r="GZB37" s="862"/>
      <c r="GZC37" s="862"/>
      <c r="GZD37" s="862"/>
      <c r="GZE37" s="862"/>
      <c r="GZF37" s="862"/>
      <c r="GZG37" s="862"/>
      <c r="GZH37" s="862"/>
      <c r="GZI37" s="862"/>
      <c r="GZJ37" s="862"/>
      <c r="GZK37" s="862"/>
      <c r="GZL37" s="862"/>
      <c r="GZM37" s="862"/>
      <c r="GZN37" s="862"/>
      <c r="GZO37" s="862"/>
      <c r="GZP37" s="862"/>
      <c r="GZQ37" s="862"/>
      <c r="GZR37" s="862"/>
      <c r="GZS37" s="862"/>
      <c r="GZT37" s="862"/>
      <c r="GZU37" s="862"/>
      <c r="GZV37" s="862"/>
      <c r="GZW37" s="862"/>
      <c r="GZX37" s="862"/>
      <c r="GZY37" s="862"/>
      <c r="GZZ37" s="862"/>
      <c r="HAA37" s="862"/>
      <c r="HAB37" s="862"/>
      <c r="HAC37" s="862"/>
      <c r="HAD37" s="862"/>
      <c r="HAE37" s="862"/>
      <c r="HAF37" s="862"/>
      <c r="HAG37" s="862"/>
      <c r="HAH37" s="862"/>
      <c r="HAI37" s="862"/>
      <c r="HAJ37" s="862"/>
      <c r="HAK37" s="862"/>
      <c r="HAL37" s="862"/>
      <c r="HAM37" s="862"/>
      <c r="HAN37" s="862"/>
      <c r="HAO37" s="862"/>
      <c r="HAP37" s="862"/>
      <c r="HAQ37" s="862"/>
      <c r="HAR37" s="862"/>
      <c r="HAS37" s="862"/>
      <c r="HAT37" s="862"/>
      <c r="HAU37" s="862"/>
      <c r="HAV37" s="862"/>
      <c r="HAW37" s="862"/>
      <c r="HAX37" s="862"/>
      <c r="HAY37" s="862"/>
      <c r="HAZ37" s="862"/>
      <c r="HBA37" s="862"/>
      <c r="HBB37" s="862"/>
      <c r="HBC37" s="862"/>
      <c r="HBD37" s="862"/>
      <c r="HBE37" s="862"/>
      <c r="HBF37" s="862"/>
      <c r="HBG37" s="862"/>
      <c r="HBH37" s="862"/>
      <c r="HBI37" s="862"/>
      <c r="HBJ37" s="862"/>
      <c r="HBK37" s="862"/>
      <c r="HBL37" s="862"/>
      <c r="HBM37" s="862"/>
      <c r="HBN37" s="862"/>
      <c r="HBO37" s="862"/>
      <c r="HBP37" s="862"/>
      <c r="HBQ37" s="862"/>
      <c r="HBR37" s="862"/>
      <c r="HBS37" s="862"/>
      <c r="HBT37" s="862"/>
      <c r="HBU37" s="862"/>
      <c r="HBV37" s="862"/>
      <c r="HBW37" s="862"/>
      <c r="HBX37" s="862"/>
      <c r="HBY37" s="862"/>
      <c r="HBZ37" s="862"/>
      <c r="HCA37" s="862"/>
      <c r="HCB37" s="862"/>
      <c r="HCC37" s="862"/>
      <c r="HCD37" s="862"/>
      <c r="HCE37" s="862"/>
      <c r="HCF37" s="862"/>
      <c r="HCG37" s="862"/>
      <c r="HCH37" s="862"/>
      <c r="HCI37" s="862"/>
      <c r="HCJ37" s="862"/>
      <c r="HCK37" s="862"/>
      <c r="HCL37" s="862"/>
      <c r="HCM37" s="862"/>
      <c r="HCN37" s="862"/>
      <c r="HCO37" s="862"/>
      <c r="HCP37" s="862"/>
      <c r="HCQ37" s="862"/>
      <c r="HCR37" s="862"/>
      <c r="HCS37" s="862"/>
      <c r="HCT37" s="862"/>
      <c r="HCU37" s="862"/>
      <c r="HCV37" s="862"/>
      <c r="HCW37" s="862"/>
      <c r="HCX37" s="862"/>
      <c r="HCY37" s="862"/>
      <c r="HCZ37" s="862"/>
      <c r="HDA37" s="862"/>
      <c r="HDB37" s="862"/>
      <c r="HDC37" s="862"/>
      <c r="HDD37" s="862"/>
      <c r="HDE37" s="862"/>
      <c r="HDF37" s="862"/>
      <c r="HDG37" s="862"/>
      <c r="HDH37" s="862"/>
      <c r="HDI37" s="862"/>
      <c r="HDJ37" s="862"/>
      <c r="HDK37" s="862"/>
      <c r="HDL37" s="862"/>
      <c r="HDM37" s="862"/>
      <c r="HDN37" s="862"/>
      <c r="HDO37" s="862"/>
      <c r="HDP37" s="862"/>
      <c r="HDQ37" s="862"/>
      <c r="HDR37" s="862"/>
      <c r="HDS37" s="862"/>
      <c r="HDT37" s="862"/>
      <c r="HDU37" s="862"/>
      <c r="HDV37" s="862"/>
      <c r="HDW37" s="862"/>
      <c r="HDX37" s="862"/>
      <c r="HDY37" s="862"/>
      <c r="HDZ37" s="862"/>
      <c r="HEA37" s="862"/>
      <c r="HEB37" s="862"/>
      <c r="HEC37" s="862"/>
      <c r="HED37" s="862"/>
      <c r="HEE37" s="862"/>
      <c r="HEF37" s="862"/>
      <c r="HEG37" s="862"/>
      <c r="HEH37" s="862"/>
      <c r="HEI37" s="862"/>
      <c r="HEJ37" s="862"/>
      <c r="HEK37" s="862"/>
      <c r="HEL37" s="862"/>
      <c r="HEM37" s="862"/>
      <c r="HEN37" s="862"/>
      <c r="HEO37" s="862"/>
      <c r="HEP37" s="862"/>
      <c r="HEQ37" s="862"/>
      <c r="HER37" s="862"/>
      <c r="HES37" s="862"/>
      <c r="HET37" s="862"/>
      <c r="HEU37" s="862"/>
      <c r="HEV37" s="862"/>
      <c r="HEW37" s="862"/>
      <c r="HEX37" s="862"/>
      <c r="HEY37" s="862"/>
      <c r="HEZ37" s="862"/>
      <c r="HFA37" s="862"/>
      <c r="HFB37" s="862"/>
      <c r="HFC37" s="862"/>
      <c r="HFD37" s="862"/>
      <c r="HFE37" s="862"/>
      <c r="HFF37" s="862"/>
      <c r="HFG37" s="862"/>
      <c r="HFH37" s="862"/>
      <c r="HFI37" s="862"/>
      <c r="HFJ37" s="862"/>
      <c r="HFK37" s="862"/>
      <c r="HFL37" s="862"/>
      <c r="HFM37" s="862"/>
      <c r="HFN37" s="862"/>
      <c r="HFO37" s="862"/>
      <c r="HFP37" s="862"/>
      <c r="HFQ37" s="862"/>
      <c r="HFR37" s="862"/>
      <c r="HFS37" s="862"/>
      <c r="HFT37" s="862"/>
      <c r="HFU37" s="862"/>
      <c r="HFV37" s="862"/>
      <c r="HFW37" s="862"/>
      <c r="HFX37" s="862"/>
      <c r="HFY37" s="862"/>
      <c r="HFZ37" s="862"/>
      <c r="HGA37" s="862"/>
      <c r="HGB37" s="862"/>
      <c r="HGC37" s="862"/>
      <c r="HGD37" s="862"/>
      <c r="HGE37" s="862"/>
      <c r="HGF37" s="862"/>
      <c r="HGG37" s="862"/>
      <c r="HGH37" s="862"/>
      <c r="HGI37" s="862"/>
      <c r="HGJ37" s="862"/>
      <c r="HGK37" s="862"/>
      <c r="HGL37" s="862"/>
      <c r="HGM37" s="862"/>
      <c r="HGN37" s="862"/>
      <c r="HGO37" s="862"/>
      <c r="HGP37" s="862"/>
      <c r="HGQ37" s="862"/>
      <c r="HGR37" s="862"/>
      <c r="HGS37" s="862"/>
      <c r="HGT37" s="862"/>
      <c r="HGU37" s="862"/>
      <c r="HGV37" s="862"/>
      <c r="HGW37" s="862"/>
      <c r="HGX37" s="862"/>
      <c r="HGY37" s="862"/>
      <c r="HGZ37" s="862"/>
      <c r="HHA37" s="862"/>
      <c r="HHB37" s="862"/>
      <c r="HHC37" s="862"/>
      <c r="HHD37" s="862"/>
      <c r="HHE37" s="862"/>
      <c r="HHF37" s="862"/>
      <c r="HHG37" s="862"/>
      <c r="HHH37" s="862"/>
      <c r="HHI37" s="862"/>
      <c r="HHJ37" s="862"/>
      <c r="HHK37" s="862"/>
      <c r="HHL37" s="862"/>
      <c r="HHM37" s="862"/>
      <c r="HHN37" s="862"/>
      <c r="HHO37" s="862"/>
      <c r="HHP37" s="862"/>
      <c r="HHQ37" s="862"/>
      <c r="HHR37" s="862"/>
      <c r="HHS37" s="862"/>
      <c r="HHT37" s="862"/>
      <c r="HHU37" s="862"/>
      <c r="HHV37" s="862"/>
      <c r="HHW37" s="862"/>
      <c r="HHX37" s="862"/>
      <c r="HHY37" s="862"/>
      <c r="HHZ37" s="862"/>
      <c r="HIA37" s="862"/>
      <c r="HIB37" s="862"/>
      <c r="HIC37" s="862"/>
      <c r="HID37" s="862"/>
      <c r="HIE37" s="862"/>
      <c r="HIF37" s="862"/>
      <c r="HIG37" s="862"/>
      <c r="HIH37" s="862"/>
      <c r="HII37" s="862"/>
      <c r="HIJ37" s="862"/>
      <c r="HIK37" s="862"/>
      <c r="HIL37" s="862"/>
      <c r="HIM37" s="862"/>
      <c r="HIN37" s="862"/>
      <c r="HIO37" s="862"/>
      <c r="HIP37" s="862"/>
      <c r="HIQ37" s="862"/>
      <c r="HIR37" s="862"/>
      <c r="HIS37" s="862"/>
      <c r="HIT37" s="862"/>
      <c r="HIU37" s="862"/>
      <c r="HIV37" s="862"/>
      <c r="HIW37" s="862"/>
      <c r="HIX37" s="862"/>
      <c r="HIY37" s="862"/>
      <c r="HIZ37" s="862"/>
      <c r="HJA37" s="862"/>
      <c r="HJB37" s="862"/>
      <c r="HJC37" s="862"/>
      <c r="HJD37" s="862"/>
      <c r="HJE37" s="862"/>
      <c r="HJF37" s="862"/>
      <c r="HJG37" s="862"/>
      <c r="HJH37" s="862"/>
      <c r="HJI37" s="862"/>
      <c r="HJJ37" s="862"/>
      <c r="HJK37" s="862"/>
      <c r="HJL37" s="862"/>
      <c r="HJM37" s="862"/>
      <c r="HJN37" s="862"/>
      <c r="HJO37" s="862"/>
      <c r="HJP37" s="862"/>
      <c r="HJQ37" s="862"/>
      <c r="HJR37" s="862"/>
      <c r="HJS37" s="862"/>
      <c r="HJT37" s="862"/>
      <c r="HJU37" s="862"/>
      <c r="HJV37" s="862"/>
      <c r="HJW37" s="862"/>
      <c r="HJX37" s="862"/>
      <c r="HJY37" s="862"/>
      <c r="HJZ37" s="862"/>
      <c r="HKA37" s="862"/>
      <c r="HKB37" s="862"/>
      <c r="HKC37" s="862"/>
      <c r="HKD37" s="862"/>
      <c r="HKE37" s="862"/>
      <c r="HKF37" s="862"/>
      <c r="HKG37" s="862"/>
      <c r="HKH37" s="862"/>
      <c r="HKI37" s="862"/>
      <c r="HKJ37" s="862"/>
      <c r="HKK37" s="862"/>
      <c r="HKL37" s="862"/>
      <c r="HKM37" s="862"/>
      <c r="HKN37" s="862"/>
      <c r="HKO37" s="862"/>
      <c r="HKP37" s="862"/>
      <c r="HKQ37" s="862"/>
      <c r="HKR37" s="862"/>
      <c r="HKS37" s="862"/>
      <c r="HKT37" s="862"/>
      <c r="HKU37" s="862"/>
      <c r="HKV37" s="862"/>
      <c r="HKW37" s="862"/>
      <c r="HKX37" s="862"/>
      <c r="HKY37" s="862"/>
      <c r="HKZ37" s="862"/>
      <c r="HLA37" s="862"/>
      <c r="HLB37" s="862"/>
      <c r="HLC37" s="862"/>
      <c r="HLD37" s="862"/>
      <c r="HLE37" s="862"/>
      <c r="HLF37" s="862"/>
      <c r="HLG37" s="862"/>
      <c r="HLH37" s="862"/>
      <c r="HLI37" s="862"/>
      <c r="HLJ37" s="862"/>
      <c r="HLK37" s="862"/>
      <c r="HLL37" s="862"/>
      <c r="HLM37" s="862"/>
      <c r="HLN37" s="862"/>
      <c r="HLO37" s="862"/>
      <c r="HLP37" s="862"/>
      <c r="HLQ37" s="862"/>
      <c r="HLR37" s="862"/>
      <c r="HLS37" s="862"/>
      <c r="HLT37" s="862"/>
      <c r="HLU37" s="862"/>
      <c r="HLV37" s="862"/>
      <c r="HLW37" s="862"/>
      <c r="HLX37" s="862"/>
      <c r="HLY37" s="862"/>
      <c r="HLZ37" s="862"/>
      <c r="HMA37" s="862"/>
      <c r="HMB37" s="862"/>
      <c r="HMC37" s="862"/>
      <c r="HMD37" s="862"/>
      <c r="HME37" s="862"/>
      <c r="HMF37" s="862"/>
      <c r="HMG37" s="862"/>
      <c r="HMH37" s="862"/>
      <c r="HMI37" s="862"/>
      <c r="HMJ37" s="862"/>
      <c r="HMK37" s="862"/>
      <c r="HML37" s="862"/>
      <c r="HMM37" s="862"/>
      <c r="HMN37" s="862"/>
      <c r="HMO37" s="862"/>
      <c r="HMP37" s="862"/>
      <c r="HMQ37" s="862"/>
      <c r="HMR37" s="862"/>
      <c r="HMS37" s="862"/>
      <c r="HMT37" s="862"/>
      <c r="HMU37" s="862"/>
      <c r="HMV37" s="862"/>
      <c r="HMW37" s="862"/>
      <c r="HMX37" s="862"/>
      <c r="HMY37" s="862"/>
      <c r="HMZ37" s="862"/>
      <c r="HNA37" s="862"/>
      <c r="HNB37" s="862"/>
      <c r="HNC37" s="862"/>
      <c r="HND37" s="862"/>
      <c r="HNE37" s="862"/>
      <c r="HNF37" s="862"/>
      <c r="HNG37" s="862"/>
      <c r="HNH37" s="862"/>
      <c r="HNI37" s="862"/>
      <c r="HNJ37" s="862"/>
      <c r="HNK37" s="862"/>
      <c r="HNL37" s="862"/>
      <c r="HNM37" s="862"/>
      <c r="HNN37" s="862"/>
      <c r="HNO37" s="862"/>
      <c r="HNP37" s="862"/>
      <c r="HNQ37" s="862"/>
      <c r="HNR37" s="862"/>
      <c r="HNS37" s="862"/>
      <c r="HNT37" s="862"/>
      <c r="HNU37" s="862"/>
      <c r="HNV37" s="862"/>
      <c r="HNW37" s="862"/>
      <c r="HNX37" s="862"/>
      <c r="HNY37" s="862"/>
      <c r="HNZ37" s="862"/>
      <c r="HOA37" s="862"/>
      <c r="HOB37" s="862"/>
      <c r="HOC37" s="862"/>
      <c r="HOD37" s="862"/>
      <c r="HOE37" s="862"/>
      <c r="HOF37" s="862"/>
      <c r="HOG37" s="862"/>
      <c r="HOH37" s="862"/>
      <c r="HOI37" s="862"/>
      <c r="HOJ37" s="862"/>
      <c r="HOK37" s="862"/>
      <c r="HOL37" s="862"/>
      <c r="HOM37" s="862"/>
      <c r="HON37" s="862"/>
      <c r="HOO37" s="862"/>
      <c r="HOP37" s="862"/>
      <c r="HOQ37" s="862"/>
      <c r="HOR37" s="862"/>
      <c r="HOS37" s="862"/>
      <c r="HOT37" s="862"/>
      <c r="HOU37" s="862"/>
      <c r="HOV37" s="862"/>
      <c r="HOW37" s="862"/>
      <c r="HOX37" s="862"/>
      <c r="HOY37" s="862"/>
      <c r="HOZ37" s="862"/>
      <c r="HPA37" s="862"/>
      <c r="HPB37" s="862"/>
      <c r="HPC37" s="862"/>
      <c r="HPD37" s="862"/>
      <c r="HPE37" s="862"/>
      <c r="HPF37" s="862"/>
      <c r="HPG37" s="862"/>
      <c r="HPH37" s="862"/>
      <c r="HPI37" s="862"/>
      <c r="HPJ37" s="862"/>
      <c r="HPK37" s="862"/>
      <c r="HPL37" s="862"/>
      <c r="HPM37" s="862"/>
      <c r="HPN37" s="862"/>
      <c r="HPO37" s="862"/>
      <c r="HPP37" s="862"/>
      <c r="HPQ37" s="862"/>
      <c r="HPR37" s="862"/>
      <c r="HPS37" s="862"/>
      <c r="HPT37" s="862"/>
      <c r="HPU37" s="862"/>
      <c r="HPV37" s="862"/>
      <c r="HPW37" s="862"/>
      <c r="HPX37" s="862"/>
      <c r="HPY37" s="862"/>
      <c r="HPZ37" s="862"/>
      <c r="HQA37" s="862"/>
      <c r="HQB37" s="862"/>
      <c r="HQC37" s="862"/>
      <c r="HQD37" s="862"/>
      <c r="HQE37" s="862"/>
      <c r="HQF37" s="862"/>
      <c r="HQG37" s="862"/>
      <c r="HQH37" s="862"/>
      <c r="HQI37" s="862"/>
      <c r="HQJ37" s="862"/>
      <c r="HQK37" s="862"/>
      <c r="HQL37" s="862"/>
      <c r="HQM37" s="862"/>
      <c r="HQN37" s="862"/>
      <c r="HQO37" s="862"/>
      <c r="HQP37" s="862"/>
      <c r="HQQ37" s="862"/>
      <c r="HQR37" s="862"/>
      <c r="HQS37" s="862"/>
      <c r="HQT37" s="862"/>
      <c r="HQU37" s="862"/>
      <c r="HQV37" s="862"/>
      <c r="HQW37" s="862"/>
      <c r="HQX37" s="862"/>
      <c r="HQY37" s="862"/>
      <c r="HQZ37" s="862"/>
      <c r="HRA37" s="862"/>
      <c r="HRB37" s="862"/>
      <c r="HRC37" s="862"/>
      <c r="HRD37" s="862"/>
      <c r="HRE37" s="862"/>
      <c r="HRF37" s="862"/>
      <c r="HRG37" s="862"/>
      <c r="HRH37" s="862"/>
      <c r="HRI37" s="862"/>
      <c r="HRJ37" s="862"/>
      <c r="HRK37" s="862"/>
      <c r="HRL37" s="862"/>
      <c r="HRM37" s="862"/>
      <c r="HRN37" s="862"/>
      <c r="HRO37" s="862"/>
      <c r="HRP37" s="862"/>
      <c r="HRQ37" s="862"/>
      <c r="HRR37" s="862"/>
      <c r="HRS37" s="862"/>
      <c r="HRT37" s="862"/>
      <c r="HRU37" s="862"/>
      <c r="HRV37" s="862"/>
      <c r="HRW37" s="862"/>
      <c r="HRX37" s="862"/>
      <c r="HRY37" s="862"/>
      <c r="HRZ37" s="862"/>
      <c r="HSA37" s="862"/>
      <c r="HSB37" s="862"/>
      <c r="HSC37" s="862"/>
      <c r="HSD37" s="862"/>
      <c r="HSE37" s="862"/>
      <c r="HSF37" s="862"/>
      <c r="HSG37" s="862"/>
      <c r="HSH37" s="862"/>
      <c r="HSI37" s="862"/>
      <c r="HSJ37" s="862"/>
      <c r="HSK37" s="862"/>
      <c r="HSL37" s="862"/>
      <c r="HSM37" s="862"/>
      <c r="HSN37" s="862"/>
      <c r="HSO37" s="862"/>
      <c r="HSP37" s="862"/>
      <c r="HSQ37" s="862"/>
      <c r="HSR37" s="862"/>
      <c r="HSS37" s="862"/>
      <c r="HST37" s="862"/>
      <c r="HSU37" s="862"/>
      <c r="HSV37" s="862"/>
      <c r="HSW37" s="862"/>
      <c r="HSX37" s="862"/>
      <c r="HSY37" s="862"/>
      <c r="HSZ37" s="862"/>
      <c r="HTA37" s="862"/>
      <c r="HTB37" s="862"/>
      <c r="HTC37" s="862"/>
      <c r="HTD37" s="862"/>
      <c r="HTE37" s="862"/>
      <c r="HTF37" s="862"/>
      <c r="HTG37" s="862"/>
      <c r="HTH37" s="862"/>
      <c r="HTI37" s="862"/>
      <c r="HTJ37" s="862"/>
      <c r="HTK37" s="862"/>
      <c r="HTL37" s="862"/>
      <c r="HTM37" s="862"/>
      <c r="HTN37" s="862"/>
      <c r="HTO37" s="862"/>
      <c r="HTP37" s="862"/>
      <c r="HTQ37" s="862"/>
      <c r="HTR37" s="862"/>
      <c r="HTS37" s="862"/>
      <c r="HTT37" s="862"/>
      <c r="HTU37" s="862"/>
      <c r="HTV37" s="862"/>
      <c r="HTW37" s="862"/>
      <c r="HTX37" s="862"/>
      <c r="HTY37" s="862"/>
      <c r="HTZ37" s="862"/>
      <c r="HUA37" s="862"/>
      <c r="HUB37" s="862"/>
      <c r="HUC37" s="862"/>
      <c r="HUD37" s="862"/>
      <c r="HUE37" s="862"/>
      <c r="HUF37" s="862"/>
      <c r="HUG37" s="862"/>
      <c r="HUH37" s="862"/>
      <c r="HUI37" s="862"/>
      <c r="HUJ37" s="862"/>
      <c r="HUK37" s="862"/>
      <c r="HUL37" s="862"/>
      <c r="HUM37" s="862"/>
      <c r="HUN37" s="862"/>
      <c r="HUO37" s="862"/>
      <c r="HUP37" s="862"/>
      <c r="HUQ37" s="862"/>
      <c r="HUR37" s="862"/>
      <c r="HUS37" s="862"/>
      <c r="HUT37" s="862"/>
      <c r="HUU37" s="862"/>
      <c r="HUV37" s="862"/>
      <c r="HUW37" s="862"/>
      <c r="HUX37" s="862"/>
      <c r="HUY37" s="862"/>
      <c r="HUZ37" s="862"/>
      <c r="HVA37" s="862"/>
      <c r="HVB37" s="862"/>
      <c r="HVC37" s="862"/>
      <c r="HVD37" s="862"/>
      <c r="HVE37" s="862"/>
      <c r="HVF37" s="862"/>
      <c r="HVG37" s="862"/>
      <c r="HVH37" s="862"/>
      <c r="HVI37" s="862"/>
      <c r="HVJ37" s="862"/>
      <c r="HVK37" s="862"/>
      <c r="HVL37" s="862"/>
      <c r="HVM37" s="862"/>
      <c r="HVN37" s="862"/>
      <c r="HVO37" s="862"/>
      <c r="HVP37" s="862"/>
      <c r="HVQ37" s="862"/>
      <c r="HVR37" s="862"/>
      <c r="HVS37" s="862"/>
      <c r="HVT37" s="862"/>
      <c r="HVU37" s="862"/>
      <c r="HVV37" s="862"/>
      <c r="HVW37" s="862"/>
      <c r="HVX37" s="862"/>
      <c r="HVY37" s="862"/>
      <c r="HVZ37" s="862"/>
      <c r="HWA37" s="862"/>
      <c r="HWB37" s="862"/>
      <c r="HWC37" s="862"/>
      <c r="HWD37" s="862"/>
      <c r="HWE37" s="862"/>
      <c r="HWF37" s="862"/>
      <c r="HWG37" s="862"/>
      <c r="HWH37" s="862"/>
      <c r="HWI37" s="862"/>
      <c r="HWJ37" s="862"/>
      <c r="HWK37" s="862"/>
      <c r="HWL37" s="862"/>
      <c r="HWM37" s="862"/>
      <c r="HWN37" s="862"/>
      <c r="HWO37" s="862"/>
      <c r="HWP37" s="862"/>
      <c r="HWQ37" s="862"/>
      <c r="HWR37" s="862"/>
      <c r="HWS37" s="862"/>
      <c r="HWT37" s="862"/>
      <c r="HWU37" s="862"/>
      <c r="HWV37" s="862"/>
      <c r="HWW37" s="862"/>
      <c r="HWX37" s="862"/>
      <c r="HWY37" s="862"/>
      <c r="HWZ37" s="862"/>
      <c r="HXA37" s="862"/>
      <c r="HXB37" s="862"/>
      <c r="HXC37" s="862"/>
      <c r="HXD37" s="862"/>
      <c r="HXE37" s="862"/>
      <c r="HXF37" s="862"/>
      <c r="HXG37" s="862"/>
      <c r="HXH37" s="862"/>
      <c r="HXI37" s="862"/>
      <c r="HXJ37" s="862"/>
      <c r="HXK37" s="862"/>
      <c r="HXL37" s="862"/>
      <c r="HXM37" s="862"/>
      <c r="HXN37" s="862"/>
      <c r="HXO37" s="862"/>
      <c r="HXP37" s="862"/>
      <c r="HXQ37" s="862"/>
      <c r="HXR37" s="862"/>
      <c r="HXS37" s="862"/>
      <c r="HXT37" s="862"/>
      <c r="HXU37" s="862"/>
      <c r="HXV37" s="862"/>
      <c r="HXW37" s="862"/>
      <c r="HXX37" s="862"/>
      <c r="HXY37" s="862"/>
      <c r="HXZ37" s="862"/>
      <c r="HYA37" s="862"/>
      <c r="HYB37" s="862"/>
      <c r="HYC37" s="862"/>
      <c r="HYD37" s="862"/>
      <c r="HYE37" s="862"/>
      <c r="HYF37" s="862"/>
      <c r="HYG37" s="862"/>
      <c r="HYH37" s="862"/>
      <c r="HYI37" s="862"/>
      <c r="HYJ37" s="862"/>
      <c r="HYK37" s="862"/>
      <c r="HYL37" s="862"/>
      <c r="HYM37" s="862"/>
      <c r="HYN37" s="862"/>
      <c r="HYO37" s="862"/>
      <c r="HYP37" s="862"/>
      <c r="HYQ37" s="862"/>
      <c r="HYR37" s="862"/>
      <c r="HYS37" s="862"/>
      <c r="HYT37" s="862"/>
      <c r="HYU37" s="862"/>
      <c r="HYV37" s="862"/>
      <c r="HYW37" s="862"/>
      <c r="HYX37" s="862"/>
      <c r="HYY37" s="862"/>
      <c r="HYZ37" s="862"/>
      <c r="HZA37" s="862"/>
      <c r="HZB37" s="862"/>
      <c r="HZC37" s="862"/>
      <c r="HZD37" s="862"/>
      <c r="HZE37" s="862"/>
      <c r="HZF37" s="862"/>
      <c r="HZG37" s="862"/>
      <c r="HZH37" s="862"/>
      <c r="HZI37" s="862"/>
      <c r="HZJ37" s="862"/>
      <c r="HZK37" s="862"/>
      <c r="HZL37" s="862"/>
      <c r="HZM37" s="862"/>
      <c r="HZN37" s="862"/>
      <c r="HZO37" s="862"/>
      <c r="HZP37" s="862"/>
      <c r="HZQ37" s="862"/>
      <c r="HZR37" s="862"/>
      <c r="HZS37" s="862"/>
      <c r="HZT37" s="862"/>
      <c r="HZU37" s="862"/>
      <c r="HZV37" s="862"/>
      <c r="HZW37" s="862"/>
      <c r="HZX37" s="862"/>
      <c r="HZY37" s="862"/>
      <c r="HZZ37" s="862"/>
      <c r="IAA37" s="862"/>
      <c r="IAB37" s="862"/>
      <c r="IAC37" s="862"/>
      <c r="IAD37" s="862"/>
      <c r="IAE37" s="862"/>
      <c r="IAF37" s="862"/>
      <c r="IAG37" s="862"/>
      <c r="IAH37" s="862"/>
      <c r="IAI37" s="862"/>
      <c r="IAJ37" s="862"/>
      <c r="IAK37" s="862"/>
      <c r="IAL37" s="862"/>
      <c r="IAM37" s="862"/>
      <c r="IAN37" s="862"/>
      <c r="IAO37" s="862"/>
      <c r="IAP37" s="862"/>
      <c r="IAQ37" s="862"/>
      <c r="IAR37" s="862"/>
      <c r="IAS37" s="862"/>
      <c r="IAT37" s="862"/>
      <c r="IAU37" s="862"/>
      <c r="IAV37" s="862"/>
      <c r="IAW37" s="862"/>
      <c r="IAX37" s="862"/>
      <c r="IAY37" s="862"/>
      <c r="IAZ37" s="862"/>
      <c r="IBA37" s="862"/>
      <c r="IBB37" s="862"/>
      <c r="IBC37" s="862"/>
      <c r="IBD37" s="862"/>
      <c r="IBE37" s="862"/>
      <c r="IBF37" s="862"/>
      <c r="IBG37" s="862"/>
      <c r="IBH37" s="862"/>
      <c r="IBI37" s="862"/>
      <c r="IBJ37" s="862"/>
      <c r="IBK37" s="862"/>
      <c r="IBL37" s="862"/>
      <c r="IBM37" s="862"/>
      <c r="IBN37" s="862"/>
      <c r="IBO37" s="862"/>
      <c r="IBP37" s="862"/>
      <c r="IBQ37" s="862"/>
      <c r="IBR37" s="862"/>
      <c r="IBS37" s="862"/>
      <c r="IBT37" s="862"/>
      <c r="IBU37" s="862"/>
      <c r="IBV37" s="862"/>
      <c r="IBW37" s="862"/>
      <c r="IBX37" s="862"/>
      <c r="IBY37" s="862"/>
      <c r="IBZ37" s="862"/>
      <c r="ICA37" s="862"/>
      <c r="ICB37" s="862"/>
      <c r="ICC37" s="862"/>
      <c r="ICD37" s="862"/>
      <c r="ICE37" s="862"/>
      <c r="ICF37" s="862"/>
      <c r="ICG37" s="862"/>
      <c r="ICH37" s="862"/>
      <c r="ICI37" s="862"/>
      <c r="ICJ37" s="862"/>
      <c r="ICK37" s="862"/>
      <c r="ICL37" s="862"/>
      <c r="ICM37" s="862"/>
      <c r="ICN37" s="862"/>
      <c r="ICO37" s="862"/>
      <c r="ICP37" s="862"/>
      <c r="ICQ37" s="862"/>
      <c r="ICR37" s="862"/>
      <c r="ICS37" s="862"/>
      <c r="ICT37" s="862"/>
      <c r="ICU37" s="862"/>
      <c r="ICV37" s="862"/>
      <c r="ICW37" s="862"/>
      <c r="ICX37" s="862"/>
      <c r="ICY37" s="862"/>
      <c r="ICZ37" s="862"/>
      <c r="IDA37" s="862"/>
      <c r="IDB37" s="862"/>
      <c r="IDC37" s="862"/>
      <c r="IDD37" s="862"/>
      <c r="IDE37" s="862"/>
      <c r="IDF37" s="862"/>
      <c r="IDG37" s="862"/>
      <c r="IDH37" s="862"/>
      <c r="IDI37" s="862"/>
      <c r="IDJ37" s="862"/>
      <c r="IDK37" s="862"/>
      <c r="IDL37" s="862"/>
      <c r="IDM37" s="862"/>
      <c r="IDN37" s="862"/>
      <c r="IDO37" s="862"/>
      <c r="IDP37" s="862"/>
      <c r="IDQ37" s="862"/>
      <c r="IDR37" s="862"/>
      <c r="IDS37" s="862"/>
      <c r="IDT37" s="862"/>
      <c r="IDU37" s="862"/>
      <c r="IDV37" s="862"/>
      <c r="IDW37" s="862"/>
      <c r="IDX37" s="862"/>
      <c r="IDY37" s="862"/>
      <c r="IDZ37" s="862"/>
      <c r="IEA37" s="862"/>
      <c r="IEB37" s="862"/>
      <c r="IEC37" s="862"/>
      <c r="IED37" s="862"/>
      <c r="IEE37" s="862"/>
      <c r="IEF37" s="862"/>
      <c r="IEG37" s="862"/>
      <c r="IEH37" s="862"/>
      <c r="IEI37" s="862"/>
      <c r="IEJ37" s="862"/>
      <c r="IEK37" s="862"/>
      <c r="IEL37" s="862"/>
      <c r="IEM37" s="862"/>
      <c r="IEN37" s="862"/>
      <c r="IEO37" s="862"/>
      <c r="IEP37" s="862"/>
      <c r="IEQ37" s="862"/>
      <c r="IER37" s="862"/>
      <c r="IES37" s="862"/>
      <c r="IET37" s="862"/>
      <c r="IEU37" s="862"/>
      <c r="IEV37" s="862"/>
      <c r="IEW37" s="862"/>
      <c r="IEX37" s="862"/>
      <c r="IEY37" s="862"/>
      <c r="IEZ37" s="862"/>
      <c r="IFA37" s="862"/>
      <c r="IFB37" s="862"/>
      <c r="IFC37" s="862"/>
      <c r="IFD37" s="862"/>
      <c r="IFE37" s="862"/>
      <c r="IFF37" s="862"/>
      <c r="IFG37" s="862"/>
      <c r="IFH37" s="862"/>
      <c r="IFI37" s="862"/>
      <c r="IFJ37" s="862"/>
      <c r="IFK37" s="862"/>
      <c r="IFL37" s="862"/>
      <c r="IFM37" s="862"/>
      <c r="IFN37" s="862"/>
      <c r="IFO37" s="862"/>
      <c r="IFP37" s="862"/>
      <c r="IFQ37" s="862"/>
      <c r="IFR37" s="862"/>
      <c r="IFS37" s="862"/>
      <c r="IFT37" s="862"/>
      <c r="IFU37" s="862"/>
      <c r="IFV37" s="862"/>
      <c r="IFW37" s="862"/>
      <c r="IFX37" s="862"/>
      <c r="IFY37" s="862"/>
      <c r="IFZ37" s="862"/>
      <c r="IGA37" s="862"/>
      <c r="IGB37" s="862"/>
      <c r="IGC37" s="862"/>
      <c r="IGD37" s="862"/>
      <c r="IGE37" s="862"/>
      <c r="IGF37" s="862"/>
      <c r="IGG37" s="862"/>
      <c r="IGH37" s="862"/>
      <c r="IGI37" s="862"/>
      <c r="IGJ37" s="862"/>
      <c r="IGK37" s="862"/>
      <c r="IGL37" s="862"/>
      <c r="IGM37" s="862"/>
      <c r="IGN37" s="862"/>
      <c r="IGO37" s="862"/>
      <c r="IGP37" s="862"/>
      <c r="IGQ37" s="862"/>
      <c r="IGR37" s="862"/>
      <c r="IGS37" s="862"/>
      <c r="IGT37" s="862"/>
      <c r="IGU37" s="862"/>
      <c r="IGV37" s="862"/>
      <c r="IGW37" s="862"/>
      <c r="IGX37" s="862"/>
      <c r="IGY37" s="862"/>
      <c r="IGZ37" s="862"/>
      <c r="IHA37" s="862"/>
      <c r="IHB37" s="862"/>
      <c r="IHC37" s="862"/>
      <c r="IHD37" s="862"/>
      <c r="IHE37" s="862"/>
      <c r="IHF37" s="862"/>
      <c r="IHG37" s="862"/>
      <c r="IHH37" s="862"/>
      <c r="IHI37" s="862"/>
      <c r="IHJ37" s="862"/>
      <c r="IHK37" s="862"/>
      <c r="IHL37" s="862"/>
      <c r="IHM37" s="862"/>
      <c r="IHN37" s="862"/>
      <c r="IHO37" s="862"/>
      <c r="IHP37" s="862"/>
      <c r="IHQ37" s="862"/>
      <c r="IHR37" s="862"/>
      <c r="IHS37" s="862"/>
      <c r="IHT37" s="862"/>
      <c r="IHU37" s="862"/>
      <c r="IHV37" s="862"/>
      <c r="IHW37" s="862"/>
      <c r="IHX37" s="862"/>
      <c r="IHY37" s="862"/>
      <c r="IHZ37" s="862"/>
      <c r="IIA37" s="862"/>
      <c r="IIB37" s="862"/>
      <c r="IIC37" s="862"/>
      <c r="IID37" s="862"/>
      <c r="IIE37" s="862"/>
      <c r="IIF37" s="862"/>
      <c r="IIG37" s="862"/>
      <c r="IIH37" s="862"/>
      <c r="III37" s="862"/>
      <c r="IIJ37" s="862"/>
      <c r="IIK37" s="862"/>
      <c r="IIL37" s="862"/>
      <c r="IIM37" s="862"/>
      <c r="IIN37" s="862"/>
      <c r="IIO37" s="862"/>
      <c r="IIP37" s="862"/>
      <c r="IIQ37" s="862"/>
      <c r="IIR37" s="862"/>
      <c r="IIS37" s="862"/>
      <c r="IIT37" s="862"/>
      <c r="IIU37" s="862"/>
      <c r="IIV37" s="862"/>
      <c r="IIW37" s="862"/>
      <c r="IIX37" s="862"/>
      <c r="IIY37" s="862"/>
      <c r="IIZ37" s="862"/>
      <c r="IJA37" s="862"/>
      <c r="IJB37" s="862"/>
      <c r="IJC37" s="862"/>
      <c r="IJD37" s="862"/>
      <c r="IJE37" s="862"/>
      <c r="IJF37" s="862"/>
      <c r="IJG37" s="862"/>
      <c r="IJH37" s="862"/>
      <c r="IJI37" s="862"/>
      <c r="IJJ37" s="862"/>
      <c r="IJK37" s="862"/>
      <c r="IJL37" s="862"/>
      <c r="IJM37" s="862"/>
      <c r="IJN37" s="862"/>
      <c r="IJO37" s="862"/>
      <c r="IJP37" s="862"/>
      <c r="IJQ37" s="862"/>
      <c r="IJR37" s="862"/>
      <c r="IJS37" s="862"/>
      <c r="IJT37" s="862"/>
      <c r="IJU37" s="862"/>
      <c r="IJV37" s="862"/>
      <c r="IJW37" s="862"/>
      <c r="IJX37" s="862"/>
      <c r="IJY37" s="862"/>
      <c r="IJZ37" s="862"/>
      <c r="IKA37" s="862"/>
      <c r="IKB37" s="862"/>
      <c r="IKC37" s="862"/>
      <c r="IKD37" s="862"/>
      <c r="IKE37" s="862"/>
      <c r="IKF37" s="862"/>
      <c r="IKG37" s="862"/>
      <c r="IKH37" s="862"/>
      <c r="IKI37" s="862"/>
      <c r="IKJ37" s="862"/>
      <c r="IKK37" s="862"/>
      <c r="IKL37" s="862"/>
      <c r="IKM37" s="862"/>
      <c r="IKN37" s="862"/>
      <c r="IKO37" s="862"/>
      <c r="IKP37" s="862"/>
      <c r="IKQ37" s="862"/>
      <c r="IKR37" s="862"/>
      <c r="IKS37" s="862"/>
      <c r="IKT37" s="862"/>
      <c r="IKU37" s="862"/>
      <c r="IKV37" s="862"/>
      <c r="IKW37" s="862"/>
      <c r="IKX37" s="862"/>
      <c r="IKY37" s="862"/>
      <c r="IKZ37" s="862"/>
      <c r="ILA37" s="862"/>
      <c r="ILB37" s="862"/>
      <c r="ILC37" s="862"/>
      <c r="ILD37" s="862"/>
      <c r="ILE37" s="862"/>
      <c r="ILF37" s="862"/>
      <c r="ILG37" s="862"/>
      <c r="ILH37" s="862"/>
      <c r="ILI37" s="862"/>
      <c r="ILJ37" s="862"/>
      <c r="ILK37" s="862"/>
      <c r="ILL37" s="862"/>
      <c r="ILM37" s="862"/>
      <c r="ILN37" s="862"/>
      <c r="ILO37" s="862"/>
      <c r="ILP37" s="862"/>
      <c r="ILQ37" s="862"/>
      <c r="ILR37" s="862"/>
      <c r="ILS37" s="862"/>
      <c r="ILT37" s="862"/>
      <c r="ILU37" s="862"/>
      <c r="ILV37" s="862"/>
      <c r="ILW37" s="862"/>
      <c r="ILX37" s="862"/>
      <c r="ILY37" s="862"/>
      <c r="ILZ37" s="862"/>
      <c r="IMA37" s="862"/>
      <c r="IMB37" s="862"/>
      <c r="IMC37" s="862"/>
      <c r="IMD37" s="862"/>
      <c r="IME37" s="862"/>
      <c r="IMF37" s="862"/>
      <c r="IMG37" s="862"/>
      <c r="IMH37" s="862"/>
      <c r="IMI37" s="862"/>
      <c r="IMJ37" s="862"/>
      <c r="IMK37" s="862"/>
      <c r="IML37" s="862"/>
      <c r="IMM37" s="862"/>
      <c r="IMN37" s="862"/>
      <c r="IMO37" s="862"/>
      <c r="IMP37" s="862"/>
      <c r="IMQ37" s="862"/>
      <c r="IMR37" s="862"/>
      <c r="IMS37" s="862"/>
      <c r="IMT37" s="862"/>
      <c r="IMU37" s="862"/>
      <c r="IMV37" s="862"/>
      <c r="IMW37" s="862"/>
      <c r="IMX37" s="862"/>
      <c r="IMY37" s="862"/>
      <c r="IMZ37" s="862"/>
      <c r="INA37" s="862"/>
      <c r="INB37" s="862"/>
      <c r="INC37" s="862"/>
      <c r="IND37" s="862"/>
      <c r="INE37" s="862"/>
      <c r="INF37" s="862"/>
      <c r="ING37" s="862"/>
      <c r="INH37" s="862"/>
      <c r="INI37" s="862"/>
      <c r="INJ37" s="862"/>
      <c r="INK37" s="862"/>
      <c r="INL37" s="862"/>
      <c r="INM37" s="862"/>
      <c r="INN37" s="862"/>
      <c r="INO37" s="862"/>
      <c r="INP37" s="862"/>
      <c r="INQ37" s="862"/>
      <c r="INR37" s="862"/>
      <c r="INS37" s="862"/>
      <c r="INT37" s="862"/>
      <c r="INU37" s="862"/>
      <c r="INV37" s="862"/>
      <c r="INW37" s="862"/>
      <c r="INX37" s="862"/>
      <c r="INY37" s="862"/>
      <c r="INZ37" s="862"/>
      <c r="IOA37" s="862"/>
      <c r="IOB37" s="862"/>
      <c r="IOC37" s="862"/>
      <c r="IOD37" s="862"/>
      <c r="IOE37" s="862"/>
      <c r="IOF37" s="862"/>
      <c r="IOG37" s="862"/>
      <c r="IOH37" s="862"/>
      <c r="IOI37" s="862"/>
      <c r="IOJ37" s="862"/>
      <c r="IOK37" s="862"/>
      <c r="IOL37" s="862"/>
      <c r="IOM37" s="862"/>
      <c r="ION37" s="862"/>
      <c r="IOO37" s="862"/>
      <c r="IOP37" s="862"/>
      <c r="IOQ37" s="862"/>
      <c r="IOR37" s="862"/>
      <c r="IOS37" s="862"/>
      <c r="IOT37" s="862"/>
      <c r="IOU37" s="862"/>
      <c r="IOV37" s="862"/>
      <c r="IOW37" s="862"/>
      <c r="IOX37" s="862"/>
      <c r="IOY37" s="862"/>
      <c r="IOZ37" s="862"/>
      <c r="IPA37" s="862"/>
      <c r="IPB37" s="862"/>
      <c r="IPC37" s="862"/>
      <c r="IPD37" s="862"/>
      <c r="IPE37" s="862"/>
      <c r="IPF37" s="862"/>
      <c r="IPG37" s="862"/>
      <c r="IPH37" s="862"/>
      <c r="IPI37" s="862"/>
      <c r="IPJ37" s="862"/>
      <c r="IPK37" s="862"/>
      <c r="IPL37" s="862"/>
      <c r="IPM37" s="862"/>
      <c r="IPN37" s="862"/>
      <c r="IPO37" s="862"/>
      <c r="IPP37" s="862"/>
      <c r="IPQ37" s="862"/>
      <c r="IPR37" s="862"/>
      <c r="IPS37" s="862"/>
      <c r="IPT37" s="862"/>
      <c r="IPU37" s="862"/>
      <c r="IPV37" s="862"/>
      <c r="IPW37" s="862"/>
      <c r="IPX37" s="862"/>
      <c r="IPY37" s="862"/>
      <c r="IPZ37" s="862"/>
      <c r="IQA37" s="862"/>
      <c r="IQB37" s="862"/>
      <c r="IQC37" s="862"/>
      <c r="IQD37" s="862"/>
      <c r="IQE37" s="862"/>
      <c r="IQF37" s="862"/>
      <c r="IQG37" s="862"/>
      <c r="IQH37" s="862"/>
      <c r="IQI37" s="862"/>
      <c r="IQJ37" s="862"/>
      <c r="IQK37" s="862"/>
      <c r="IQL37" s="862"/>
      <c r="IQM37" s="862"/>
      <c r="IQN37" s="862"/>
      <c r="IQO37" s="862"/>
      <c r="IQP37" s="862"/>
      <c r="IQQ37" s="862"/>
      <c r="IQR37" s="862"/>
      <c r="IQS37" s="862"/>
      <c r="IQT37" s="862"/>
      <c r="IQU37" s="862"/>
      <c r="IQV37" s="862"/>
      <c r="IQW37" s="862"/>
      <c r="IQX37" s="862"/>
      <c r="IQY37" s="862"/>
      <c r="IQZ37" s="862"/>
      <c r="IRA37" s="862"/>
      <c r="IRB37" s="862"/>
      <c r="IRC37" s="862"/>
      <c r="IRD37" s="862"/>
      <c r="IRE37" s="862"/>
      <c r="IRF37" s="862"/>
      <c r="IRG37" s="862"/>
      <c r="IRH37" s="862"/>
      <c r="IRI37" s="862"/>
      <c r="IRJ37" s="862"/>
      <c r="IRK37" s="862"/>
      <c r="IRL37" s="862"/>
      <c r="IRM37" s="862"/>
      <c r="IRN37" s="862"/>
      <c r="IRO37" s="862"/>
      <c r="IRP37" s="862"/>
      <c r="IRQ37" s="862"/>
      <c r="IRR37" s="862"/>
      <c r="IRS37" s="862"/>
      <c r="IRT37" s="862"/>
      <c r="IRU37" s="862"/>
      <c r="IRV37" s="862"/>
      <c r="IRW37" s="862"/>
      <c r="IRX37" s="862"/>
      <c r="IRY37" s="862"/>
      <c r="IRZ37" s="862"/>
      <c r="ISA37" s="862"/>
      <c r="ISB37" s="862"/>
      <c r="ISC37" s="862"/>
      <c r="ISD37" s="862"/>
      <c r="ISE37" s="862"/>
      <c r="ISF37" s="862"/>
      <c r="ISG37" s="862"/>
      <c r="ISH37" s="862"/>
      <c r="ISI37" s="862"/>
      <c r="ISJ37" s="862"/>
      <c r="ISK37" s="862"/>
      <c r="ISL37" s="862"/>
      <c r="ISM37" s="862"/>
      <c r="ISN37" s="862"/>
      <c r="ISO37" s="862"/>
      <c r="ISP37" s="862"/>
      <c r="ISQ37" s="862"/>
      <c r="ISR37" s="862"/>
      <c r="ISS37" s="862"/>
      <c r="IST37" s="862"/>
      <c r="ISU37" s="862"/>
      <c r="ISV37" s="862"/>
      <c r="ISW37" s="862"/>
      <c r="ISX37" s="862"/>
      <c r="ISY37" s="862"/>
      <c r="ISZ37" s="862"/>
      <c r="ITA37" s="862"/>
      <c r="ITB37" s="862"/>
      <c r="ITC37" s="862"/>
      <c r="ITD37" s="862"/>
      <c r="ITE37" s="862"/>
      <c r="ITF37" s="862"/>
      <c r="ITG37" s="862"/>
      <c r="ITH37" s="862"/>
      <c r="ITI37" s="862"/>
      <c r="ITJ37" s="862"/>
      <c r="ITK37" s="862"/>
      <c r="ITL37" s="862"/>
      <c r="ITM37" s="862"/>
      <c r="ITN37" s="862"/>
      <c r="ITO37" s="862"/>
      <c r="ITP37" s="862"/>
      <c r="ITQ37" s="862"/>
      <c r="ITR37" s="862"/>
      <c r="ITS37" s="862"/>
      <c r="ITT37" s="862"/>
      <c r="ITU37" s="862"/>
      <c r="ITV37" s="862"/>
      <c r="ITW37" s="862"/>
      <c r="ITX37" s="862"/>
      <c r="ITY37" s="862"/>
      <c r="ITZ37" s="862"/>
      <c r="IUA37" s="862"/>
      <c r="IUB37" s="862"/>
      <c r="IUC37" s="862"/>
      <c r="IUD37" s="862"/>
      <c r="IUE37" s="862"/>
      <c r="IUF37" s="862"/>
      <c r="IUG37" s="862"/>
      <c r="IUH37" s="862"/>
      <c r="IUI37" s="862"/>
      <c r="IUJ37" s="862"/>
      <c r="IUK37" s="862"/>
      <c r="IUL37" s="862"/>
      <c r="IUM37" s="862"/>
      <c r="IUN37" s="862"/>
      <c r="IUO37" s="862"/>
      <c r="IUP37" s="862"/>
      <c r="IUQ37" s="862"/>
      <c r="IUR37" s="862"/>
      <c r="IUS37" s="862"/>
      <c r="IUT37" s="862"/>
      <c r="IUU37" s="862"/>
      <c r="IUV37" s="862"/>
      <c r="IUW37" s="862"/>
      <c r="IUX37" s="862"/>
      <c r="IUY37" s="862"/>
      <c r="IUZ37" s="862"/>
      <c r="IVA37" s="862"/>
      <c r="IVB37" s="862"/>
      <c r="IVC37" s="862"/>
      <c r="IVD37" s="862"/>
      <c r="IVE37" s="862"/>
      <c r="IVF37" s="862"/>
      <c r="IVG37" s="862"/>
      <c r="IVH37" s="862"/>
      <c r="IVI37" s="862"/>
      <c r="IVJ37" s="862"/>
      <c r="IVK37" s="862"/>
      <c r="IVL37" s="862"/>
      <c r="IVM37" s="862"/>
      <c r="IVN37" s="862"/>
      <c r="IVO37" s="862"/>
      <c r="IVP37" s="862"/>
      <c r="IVQ37" s="862"/>
      <c r="IVR37" s="862"/>
      <c r="IVS37" s="862"/>
      <c r="IVT37" s="862"/>
      <c r="IVU37" s="862"/>
      <c r="IVV37" s="862"/>
      <c r="IVW37" s="862"/>
      <c r="IVX37" s="862"/>
      <c r="IVY37" s="862"/>
      <c r="IVZ37" s="862"/>
      <c r="IWA37" s="862"/>
      <c r="IWB37" s="862"/>
      <c r="IWC37" s="862"/>
      <c r="IWD37" s="862"/>
      <c r="IWE37" s="862"/>
      <c r="IWF37" s="862"/>
      <c r="IWG37" s="862"/>
      <c r="IWH37" s="862"/>
      <c r="IWI37" s="862"/>
      <c r="IWJ37" s="862"/>
      <c r="IWK37" s="862"/>
      <c r="IWL37" s="862"/>
      <c r="IWM37" s="862"/>
      <c r="IWN37" s="862"/>
      <c r="IWO37" s="862"/>
      <c r="IWP37" s="862"/>
      <c r="IWQ37" s="862"/>
      <c r="IWR37" s="862"/>
      <c r="IWS37" s="862"/>
      <c r="IWT37" s="862"/>
      <c r="IWU37" s="862"/>
      <c r="IWV37" s="862"/>
      <c r="IWW37" s="862"/>
      <c r="IWX37" s="862"/>
      <c r="IWY37" s="862"/>
      <c r="IWZ37" s="862"/>
      <c r="IXA37" s="862"/>
      <c r="IXB37" s="862"/>
      <c r="IXC37" s="862"/>
      <c r="IXD37" s="862"/>
      <c r="IXE37" s="862"/>
      <c r="IXF37" s="862"/>
      <c r="IXG37" s="862"/>
      <c r="IXH37" s="862"/>
      <c r="IXI37" s="862"/>
      <c r="IXJ37" s="862"/>
      <c r="IXK37" s="862"/>
      <c r="IXL37" s="862"/>
      <c r="IXM37" s="862"/>
      <c r="IXN37" s="862"/>
      <c r="IXO37" s="862"/>
      <c r="IXP37" s="862"/>
      <c r="IXQ37" s="862"/>
      <c r="IXR37" s="862"/>
      <c r="IXS37" s="862"/>
      <c r="IXT37" s="862"/>
      <c r="IXU37" s="862"/>
      <c r="IXV37" s="862"/>
      <c r="IXW37" s="862"/>
      <c r="IXX37" s="862"/>
      <c r="IXY37" s="862"/>
      <c r="IXZ37" s="862"/>
      <c r="IYA37" s="862"/>
      <c r="IYB37" s="862"/>
      <c r="IYC37" s="862"/>
      <c r="IYD37" s="862"/>
      <c r="IYE37" s="862"/>
      <c r="IYF37" s="862"/>
      <c r="IYG37" s="862"/>
      <c r="IYH37" s="862"/>
      <c r="IYI37" s="862"/>
      <c r="IYJ37" s="862"/>
      <c r="IYK37" s="862"/>
      <c r="IYL37" s="862"/>
      <c r="IYM37" s="862"/>
      <c r="IYN37" s="862"/>
      <c r="IYO37" s="862"/>
      <c r="IYP37" s="862"/>
      <c r="IYQ37" s="862"/>
      <c r="IYR37" s="862"/>
      <c r="IYS37" s="862"/>
      <c r="IYT37" s="862"/>
      <c r="IYU37" s="862"/>
      <c r="IYV37" s="862"/>
      <c r="IYW37" s="862"/>
      <c r="IYX37" s="862"/>
      <c r="IYY37" s="862"/>
      <c r="IYZ37" s="862"/>
      <c r="IZA37" s="862"/>
      <c r="IZB37" s="862"/>
      <c r="IZC37" s="862"/>
      <c r="IZD37" s="862"/>
      <c r="IZE37" s="862"/>
      <c r="IZF37" s="862"/>
      <c r="IZG37" s="862"/>
      <c r="IZH37" s="862"/>
      <c r="IZI37" s="862"/>
      <c r="IZJ37" s="862"/>
      <c r="IZK37" s="862"/>
      <c r="IZL37" s="862"/>
      <c r="IZM37" s="862"/>
      <c r="IZN37" s="862"/>
      <c r="IZO37" s="862"/>
      <c r="IZP37" s="862"/>
      <c r="IZQ37" s="862"/>
      <c r="IZR37" s="862"/>
      <c r="IZS37" s="862"/>
      <c r="IZT37" s="862"/>
      <c r="IZU37" s="862"/>
      <c r="IZV37" s="862"/>
      <c r="IZW37" s="862"/>
      <c r="IZX37" s="862"/>
      <c r="IZY37" s="862"/>
      <c r="IZZ37" s="862"/>
      <c r="JAA37" s="862"/>
      <c r="JAB37" s="862"/>
      <c r="JAC37" s="862"/>
      <c r="JAD37" s="862"/>
      <c r="JAE37" s="862"/>
      <c r="JAF37" s="862"/>
      <c r="JAG37" s="862"/>
      <c r="JAH37" s="862"/>
      <c r="JAI37" s="862"/>
      <c r="JAJ37" s="862"/>
      <c r="JAK37" s="862"/>
      <c r="JAL37" s="862"/>
      <c r="JAM37" s="862"/>
      <c r="JAN37" s="862"/>
      <c r="JAO37" s="862"/>
      <c r="JAP37" s="862"/>
      <c r="JAQ37" s="862"/>
      <c r="JAR37" s="862"/>
      <c r="JAS37" s="862"/>
      <c r="JAT37" s="862"/>
      <c r="JAU37" s="862"/>
      <c r="JAV37" s="862"/>
      <c r="JAW37" s="862"/>
      <c r="JAX37" s="862"/>
      <c r="JAY37" s="862"/>
      <c r="JAZ37" s="862"/>
      <c r="JBA37" s="862"/>
      <c r="JBB37" s="862"/>
      <c r="JBC37" s="862"/>
      <c r="JBD37" s="862"/>
      <c r="JBE37" s="862"/>
      <c r="JBF37" s="862"/>
      <c r="JBG37" s="862"/>
      <c r="JBH37" s="862"/>
      <c r="JBI37" s="862"/>
      <c r="JBJ37" s="862"/>
      <c r="JBK37" s="862"/>
      <c r="JBL37" s="862"/>
      <c r="JBM37" s="862"/>
      <c r="JBN37" s="862"/>
      <c r="JBO37" s="862"/>
      <c r="JBP37" s="862"/>
      <c r="JBQ37" s="862"/>
      <c r="JBR37" s="862"/>
      <c r="JBS37" s="862"/>
      <c r="JBT37" s="862"/>
      <c r="JBU37" s="862"/>
      <c r="JBV37" s="862"/>
      <c r="JBW37" s="862"/>
      <c r="JBX37" s="862"/>
      <c r="JBY37" s="862"/>
      <c r="JBZ37" s="862"/>
      <c r="JCA37" s="862"/>
      <c r="JCB37" s="862"/>
      <c r="JCC37" s="862"/>
      <c r="JCD37" s="862"/>
      <c r="JCE37" s="862"/>
      <c r="JCF37" s="862"/>
      <c r="JCG37" s="862"/>
      <c r="JCH37" s="862"/>
      <c r="JCI37" s="862"/>
      <c r="JCJ37" s="862"/>
      <c r="JCK37" s="862"/>
      <c r="JCL37" s="862"/>
      <c r="JCM37" s="862"/>
      <c r="JCN37" s="862"/>
      <c r="JCO37" s="862"/>
      <c r="JCP37" s="862"/>
      <c r="JCQ37" s="862"/>
      <c r="JCR37" s="862"/>
      <c r="JCS37" s="862"/>
      <c r="JCT37" s="862"/>
      <c r="JCU37" s="862"/>
      <c r="JCV37" s="862"/>
      <c r="JCW37" s="862"/>
      <c r="JCX37" s="862"/>
      <c r="JCY37" s="862"/>
      <c r="JCZ37" s="862"/>
      <c r="JDA37" s="862"/>
      <c r="JDB37" s="862"/>
      <c r="JDC37" s="862"/>
      <c r="JDD37" s="862"/>
      <c r="JDE37" s="862"/>
      <c r="JDF37" s="862"/>
      <c r="JDG37" s="862"/>
      <c r="JDH37" s="862"/>
      <c r="JDI37" s="862"/>
      <c r="JDJ37" s="862"/>
      <c r="JDK37" s="862"/>
      <c r="JDL37" s="862"/>
      <c r="JDM37" s="862"/>
      <c r="JDN37" s="862"/>
      <c r="JDO37" s="862"/>
      <c r="JDP37" s="862"/>
      <c r="JDQ37" s="862"/>
      <c r="JDR37" s="862"/>
      <c r="JDS37" s="862"/>
      <c r="JDT37" s="862"/>
      <c r="JDU37" s="862"/>
      <c r="JDV37" s="862"/>
      <c r="JDW37" s="862"/>
      <c r="JDX37" s="862"/>
      <c r="JDY37" s="862"/>
      <c r="JDZ37" s="862"/>
      <c r="JEA37" s="862"/>
      <c r="JEB37" s="862"/>
      <c r="JEC37" s="862"/>
      <c r="JED37" s="862"/>
      <c r="JEE37" s="862"/>
      <c r="JEF37" s="862"/>
      <c r="JEG37" s="862"/>
      <c r="JEH37" s="862"/>
      <c r="JEI37" s="862"/>
      <c r="JEJ37" s="862"/>
      <c r="JEK37" s="862"/>
      <c r="JEL37" s="862"/>
      <c r="JEM37" s="862"/>
      <c r="JEN37" s="862"/>
      <c r="JEO37" s="862"/>
      <c r="JEP37" s="862"/>
      <c r="JEQ37" s="862"/>
      <c r="JER37" s="862"/>
      <c r="JES37" s="862"/>
      <c r="JET37" s="862"/>
      <c r="JEU37" s="862"/>
      <c r="JEV37" s="862"/>
      <c r="JEW37" s="862"/>
      <c r="JEX37" s="862"/>
      <c r="JEY37" s="862"/>
      <c r="JEZ37" s="862"/>
      <c r="JFA37" s="862"/>
      <c r="JFB37" s="862"/>
      <c r="JFC37" s="862"/>
      <c r="JFD37" s="862"/>
      <c r="JFE37" s="862"/>
      <c r="JFF37" s="862"/>
      <c r="JFG37" s="862"/>
      <c r="JFH37" s="862"/>
      <c r="JFI37" s="862"/>
      <c r="JFJ37" s="862"/>
      <c r="JFK37" s="862"/>
      <c r="JFL37" s="862"/>
      <c r="JFM37" s="862"/>
      <c r="JFN37" s="862"/>
      <c r="JFO37" s="862"/>
      <c r="JFP37" s="862"/>
      <c r="JFQ37" s="862"/>
      <c r="JFR37" s="862"/>
      <c r="JFS37" s="862"/>
      <c r="JFT37" s="862"/>
      <c r="JFU37" s="862"/>
      <c r="JFV37" s="862"/>
      <c r="JFW37" s="862"/>
      <c r="JFX37" s="862"/>
      <c r="JFY37" s="862"/>
      <c r="JFZ37" s="862"/>
      <c r="JGA37" s="862"/>
      <c r="JGB37" s="862"/>
      <c r="JGC37" s="862"/>
      <c r="JGD37" s="862"/>
      <c r="JGE37" s="862"/>
      <c r="JGF37" s="862"/>
      <c r="JGG37" s="862"/>
      <c r="JGH37" s="862"/>
      <c r="JGI37" s="862"/>
      <c r="JGJ37" s="862"/>
      <c r="JGK37" s="862"/>
      <c r="JGL37" s="862"/>
      <c r="JGM37" s="862"/>
      <c r="JGN37" s="862"/>
      <c r="JGO37" s="862"/>
      <c r="JGP37" s="862"/>
      <c r="JGQ37" s="862"/>
      <c r="JGR37" s="862"/>
      <c r="JGS37" s="862"/>
      <c r="JGT37" s="862"/>
      <c r="JGU37" s="862"/>
      <c r="JGV37" s="862"/>
      <c r="JGW37" s="862"/>
      <c r="JGX37" s="862"/>
      <c r="JGY37" s="862"/>
      <c r="JGZ37" s="862"/>
      <c r="JHA37" s="862"/>
      <c r="JHB37" s="862"/>
      <c r="JHC37" s="862"/>
      <c r="JHD37" s="862"/>
      <c r="JHE37" s="862"/>
      <c r="JHF37" s="862"/>
      <c r="JHG37" s="862"/>
      <c r="JHH37" s="862"/>
      <c r="JHI37" s="862"/>
      <c r="JHJ37" s="862"/>
      <c r="JHK37" s="862"/>
      <c r="JHL37" s="862"/>
      <c r="JHM37" s="862"/>
      <c r="JHN37" s="862"/>
      <c r="JHO37" s="862"/>
      <c r="JHP37" s="862"/>
      <c r="JHQ37" s="862"/>
      <c r="JHR37" s="862"/>
      <c r="JHS37" s="862"/>
      <c r="JHT37" s="862"/>
      <c r="JHU37" s="862"/>
      <c r="JHV37" s="862"/>
      <c r="JHW37" s="862"/>
      <c r="JHX37" s="862"/>
      <c r="JHY37" s="862"/>
      <c r="JHZ37" s="862"/>
      <c r="JIA37" s="862"/>
      <c r="JIB37" s="862"/>
      <c r="JIC37" s="862"/>
      <c r="JID37" s="862"/>
      <c r="JIE37" s="862"/>
      <c r="JIF37" s="862"/>
      <c r="JIG37" s="862"/>
      <c r="JIH37" s="862"/>
      <c r="JII37" s="862"/>
      <c r="JIJ37" s="862"/>
      <c r="JIK37" s="862"/>
      <c r="JIL37" s="862"/>
      <c r="JIM37" s="862"/>
      <c r="JIN37" s="862"/>
      <c r="JIO37" s="862"/>
      <c r="JIP37" s="862"/>
      <c r="JIQ37" s="862"/>
      <c r="JIR37" s="862"/>
      <c r="JIS37" s="862"/>
      <c r="JIT37" s="862"/>
      <c r="JIU37" s="862"/>
      <c r="JIV37" s="862"/>
      <c r="JIW37" s="862"/>
      <c r="JIX37" s="862"/>
      <c r="JIY37" s="862"/>
      <c r="JIZ37" s="862"/>
      <c r="JJA37" s="862"/>
      <c r="JJB37" s="862"/>
      <c r="JJC37" s="862"/>
      <c r="JJD37" s="862"/>
      <c r="JJE37" s="862"/>
      <c r="JJF37" s="862"/>
      <c r="JJG37" s="862"/>
      <c r="JJH37" s="862"/>
      <c r="JJI37" s="862"/>
      <c r="JJJ37" s="862"/>
      <c r="JJK37" s="862"/>
      <c r="JJL37" s="862"/>
      <c r="JJM37" s="862"/>
      <c r="JJN37" s="862"/>
      <c r="JJO37" s="862"/>
      <c r="JJP37" s="862"/>
      <c r="JJQ37" s="862"/>
      <c r="JJR37" s="862"/>
      <c r="JJS37" s="862"/>
      <c r="JJT37" s="862"/>
      <c r="JJU37" s="862"/>
      <c r="JJV37" s="862"/>
      <c r="JJW37" s="862"/>
      <c r="JJX37" s="862"/>
      <c r="JJY37" s="862"/>
      <c r="JJZ37" s="862"/>
      <c r="JKA37" s="862"/>
      <c r="JKB37" s="862"/>
      <c r="JKC37" s="862"/>
      <c r="JKD37" s="862"/>
      <c r="JKE37" s="862"/>
      <c r="JKF37" s="862"/>
      <c r="JKG37" s="862"/>
      <c r="JKH37" s="862"/>
      <c r="JKI37" s="862"/>
      <c r="JKJ37" s="862"/>
      <c r="JKK37" s="862"/>
      <c r="JKL37" s="862"/>
      <c r="JKM37" s="862"/>
      <c r="JKN37" s="862"/>
      <c r="JKO37" s="862"/>
      <c r="JKP37" s="862"/>
      <c r="JKQ37" s="862"/>
      <c r="JKR37" s="862"/>
      <c r="JKS37" s="862"/>
      <c r="JKT37" s="862"/>
      <c r="JKU37" s="862"/>
      <c r="JKV37" s="862"/>
      <c r="JKW37" s="862"/>
      <c r="JKX37" s="862"/>
      <c r="JKY37" s="862"/>
      <c r="JKZ37" s="862"/>
      <c r="JLA37" s="862"/>
      <c r="JLB37" s="862"/>
      <c r="JLC37" s="862"/>
      <c r="JLD37" s="862"/>
      <c r="JLE37" s="862"/>
      <c r="JLF37" s="862"/>
      <c r="JLG37" s="862"/>
      <c r="JLH37" s="862"/>
      <c r="JLI37" s="862"/>
      <c r="JLJ37" s="862"/>
      <c r="JLK37" s="862"/>
      <c r="JLL37" s="862"/>
      <c r="JLM37" s="862"/>
      <c r="JLN37" s="862"/>
      <c r="JLO37" s="862"/>
      <c r="JLP37" s="862"/>
      <c r="JLQ37" s="862"/>
      <c r="JLR37" s="862"/>
      <c r="JLS37" s="862"/>
      <c r="JLT37" s="862"/>
      <c r="JLU37" s="862"/>
      <c r="JLV37" s="862"/>
      <c r="JLW37" s="862"/>
      <c r="JLX37" s="862"/>
      <c r="JLY37" s="862"/>
      <c r="JLZ37" s="862"/>
      <c r="JMA37" s="862"/>
      <c r="JMB37" s="862"/>
      <c r="JMC37" s="862"/>
      <c r="JMD37" s="862"/>
      <c r="JME37" s="862"/>
      <c r="JMF37" s="862"/>
      <c r="JMG37" s="862"/>
      <c r="JMH37" s="862"/>
      <c r="JMI37" s="862"/>
      <c r="JMJ37" s="862"/>
      <c r="JMK37" s="862"/>
      <c r="JML37" s="862"/>
      <c r="JMM37" s="862"/>
      <c r="JMN37" s="862"/>
      <c r="JMO37" s="862"/>
      <c r="JMP37" s="862"/>
      <c r="JMQ37" s="862"/>
      <c r="JMR37" s="862"/>
      <c r="JMS37" s="862"/>
      <c r="JMT37" s="862"/>
      <c r="JMU37" s="862"/>
      <c r="JMV37" s="862"/>
      <c r="JMW37" s="862"/>
      <c r="JMX37" s="862"/>
      <c r="JMY37" s="862"/>
      <c r="JMZ37" s="862"/>
      <c r="JNA37" s="862"/>
      <c r="JNB37" s="862"/>
      <c r="JNC37" s="862"/>
      <c r="JND37" s="862"/>
      <c r="JNE37" s="862"/>
      <c r="JNF37" s="862"/>
      <c r="JNG37" s="862"/>
      <c r="JNH37" s="862"/>
      <c r="JNI37" s="862"/>
      <c r="JNJ37" s="862"/>
      <c r="JNK37" s="862"/>
      <c r="JNL37" s="862"/>
      <c r="JNM37" s="862"/>
      <c r="JNN37" s="862"/>
      <c r="JNO37" s="862"/>
      <c r="JNP37" s="862"/>
      <c r="JNQ37" s="862"/>
      <c r="JNR37" s="862"/>
      <c r="JNS37" s="862"/>
      <c r="JNT37" s="862"/>
      <c r="JNU37" s="862"/>
      <c r="JNV37" s="862"/>
      <c r="JNW37" s="862"/>
      <c r="JNX37" s="862"/>
      <c r="JNY37" s="862"/>
      <c r="JNZ37" s="862"/>
      <c r="JOA37" s="862"/>
      <c r="JOB37" s="862"/>
      <c r="JOC37" s="862"/>
      <c r="JOD37" s="862"/>
      <c r="JOE37" s="862"/>
      <c r="JOF37" s="862"/>
      <c r="JOG37" s="862"/>
      <c r="JOH37" s="862"/>
      <c r="JOI37" s="862"/>
      <c r="JOJ37" s="862"/>
      <c r="JOK37" s="862"/>
      <c r="JOL37" s="862"/>
      <c r="JOM37" s="862"/>
      <c r="JON37" s="862"/>
      <c r="JOO37" s="862"/>
      <c r="JOP37" s="862"/>
      <c r="JOQ37" s="862"/>
      <c r="JOR37" s="862"/>
      <c r="JOS37" s="862"/>
      <c r="JOT37" s="862"/>
      <c r="JOU37" s="862"/>
      <c r="JOV37" s="862"/>
      <c r="JOW37" s="862"/>
      <c r="JOX37" s="862"/>
      <c r="JOY37" s="862"/>
      <c r="JOZ37" s="862"/>
      <c r="JPA37" s="862"/>
      <c r="JPB37" s="862"/>
      <c r="JPC37" s="862"/>
      <c r="JPD37" s="862"/>
      <c r="JPE37" s="862"/>
      <c r="JPF37" s="862"/>
      <c r="JPG37" s="862"/>
      <c r="JPH37" s="862"/>
      <c r="JPI37" s="862"/>
      <c r="JPJ37" s="862"/>
      <c r="JPK37" s="862"/>
      <c r="JPL37" s="862"/>
      <c r="JPM37" s="862"/>
      <c r="JPN37" s="862"/>
      <c r="JPO37" s="862"/>
      <c r="JPP37" s="862"/>
      <c r="JPQ37" s="862"/>
      <c r="JPR37" s="862"/>
      <c r="JPS37" s="862"/>
      <c r="JPT37" s="862"/>
      <c r="JPU37" s="862"/>
      <c r="JPV37" s="862"/>
      <c r="JPW37" s="862"/>
      <c r="JPX37" s="862"/>
      <c r="JPY37" s="862"/>
      <c r="JPZ37" s="862"/>
      <c r="JQA37" s="862"/>
      <c r="JQB37" s="862"/>
      <c r="JQC37" s="862"/>
      <c r="JQD37" s="862"/>
      <c r="JQE37" s="862"/>
      <c r="JQF37" s="862"/>
      <c r="JQG37" s="862"/>
      <c r="JQH37" s="862"/>
      <c r="JQI37" s="862"/>
      <c r="JQJ37" s="862"/>
      <c r="JQK37" s="862"/>
      <c r="JQL37" s="862"/>
      <c r="JQM37" s="862"/>
      <c r="JQN37" s="862"/>
      <c r="JQO37" s="862"/>
      <c r="JQP37" s="862"/>
      <c r="JQQ37" s="862"/>
      <c r="JQR37" s="862"/>
      <c r="JQS37" s="862"/>
      <c r="JQT37" s="862"/>
      <c r="JQU37" s="862"/>
      <c r="JQV37" s="862"/>
      <c r="JQW37" s="862"/>
      <c r="JQX37" s="862"/>
      <c r="JQY37" s="862"/>
      <c r="JQZ37" s="862"/>
      <c r="JRA37" s="862"/>
      <c r="JRB37" s="862"/>
      <c r="JRC37" s="862"/>
      <c r="JRD37" s="862"/>
      <c r="JRE37" s="862"/>
      <c r="JRF37" s="862"/>
      <c r="JRG37" s="862"/>
      <c r="JRH37" s="862"/>
      <c r="JRI37" s="862"/>
      <c r="JRJ37" s="862"/>
      <c r="JRK37" s="862"/>
      <c r="JRL37" s="862"/>
      <c r="JRM37" s="862"/>
      <c r="JRN37" s="862"/>
      <c r="JRO37" s="862"/>
      <c r="JRP37" s="862"/>
      <c r="JRQ37" s="862"/>
      <c r="JRR37" s="862"/>
      <c r="JRS37" s="862"/>
      <c r="JRT37" s="862"/>
      <c r="JRU37" s="862"/>
      <c r="JRV37" s="862"/>
      <c r="JRW37" s="862"/>
      <c r="JRX37" s="862"/>
      <c r="JRY37" s="862"/>
      <c r="JRZ37" s="862"/>
      <c r="JSA37" s="862"/>
      <c r="JSB37" s="862"/>
      <c r="JSC37" s="862"/>
      <c r="JSD37" s="862"/>
      <c r="JSE37" s="862"/>
      <c r="JSF37" s="862"/>
      <c r="JSG37" s="862"/>
      <c r="JSH37" s="862"/>
      <c r="JSI37" s="862"/>
      <c r="JSJ37" s="862"/>
      <c r="JSK37" s="862"/>
      <c r="JSL37" s="862"/>
      <c r="JSM37" s="862"/>
      <c r="JSN37" s="862"/>
      <c r="JSO37" s="862"/>
      <c r="JSP37" s="862"/>
      <c r="JSQ37" s="862"/>
      <c r="JSR37" s="862"/>
      <c r="JSS37" s="862"/>
      <c r="JST37" s="862"/>
      <c r="JSU37" s="862"/>
      <c r="JSV37" s="862"/>
      <c r="JSW37" s="862"/>
      <c r="JSX37" s="862"/>
      <c r="JSY37" s="862"/>
      <c r="JSZ37" s="862"/>
      <c r="JTA37" s="862"/>
      <c r="JTB37" s="862"/>
      <c r="JTC37" s="862"/>
      <c r="JTD37" s="862"/>
      <c r="JTE37" s="862"/>
      <c r="JTF37" s="862"/>
      <c r="JTG37" s="862"/>
      <c r="JTH37" s="862"/>
      <c r="JTI37" s="862"/>
      <c r="JTJ37" s="862"/>
      <c r="JTK37" s="862"/>
      <c r="JTL37" s="862"/>
      <c r="JTM37" s="862"/>
      <c r="JTN37" s="862"/>
      <c r="JTO37" s="862"/>
      <c r="JTP37" s="862"/>
      <c r="JTQ37" s="862"/>
      <c r="JTR37" s="862"/>
      <c r="JTS37" s="862"/>
      <c r="JTT37" s="862"/>
      <c r="JTU37" s="862"/>
      <c r="JTV37" s="862"/>
      <c r="JTW37" s="862"/>
      <c r="JTX37" s="862"/>
      <c r="JTY37" s="862"/>
      <c r="JTZ37" s="862"/>
      <c r="JUA37" s="862"/>
      <c r="JUB37" s="862"/>
      <c r="JUC37" s="862"/>
      <c r="JUD37" s="862"/>
      <c r="JUE37" s="862"/>
      <c r="JUF37" s="862"/>
      <c r="JUG37" s="862"/>
      <c r="JUH37" s="862"/>
      <c r="JUI37" s="862"/>
      <c r="JUJ37" s="862"/>
      <c r="JUK37" s="862"/>
      <c r="JUL37" s="862"/>
      <c r="JUM37" s="862"/>
      <c r="JUN37" s="862"/>
      <c r="JUO37" s="862"/>
      <c r="JUP37" s="862"/>
      <c r="JUQ37" s="862"/>
      <c r="JUR37" s="862"/>
      <c r="JUS37" s="862"/>
      <c r="JUT37" s="862"/>
      <c r="JUU37" s="862"/>
      <c r="JUV37" s="862"/>
      <c r="JUW37" s="862"/>
      <c r="JUX37" s="862"/>
      <c r="JUY37" s="862"/>
      <c r="JUZ37" s="862"/>
      <c r="JVA37" s="862"/>
      <c r="JVB37" s="862"/>
      <c r="JVC37" s="862"/>
      <c r="JVD37" s="862"/>
      <c r="JVE37" s="862"/>
      <c r="JVF37" s="862"/>
      <c r="JVG37" s="862"/>
      <c r="JVH37" s="862"/>
      <c r="JVI37" s="862"/>
      <c r="JVJ37" s="862"/>
      <c r="JVK37" s="862"/>
      <c r="JVL37" s="862"/>
      <c r="JVM37" s="862"/>
      <c r="JVN37" s="862"/>
      <c r="JVO37" s="862"/>
      <c r="JVP37" s="862"/>
      <c r="JVQ37" s="862"/>
      <c r="JVR37" s="862"/>
      <c r="JVS37" s="862"/>
      <c r="JVT37" s="862"/>
      <c r="JVU37" s="862"/>
      <c r="JVV37" s="862"/>
      <c r="JVW37" s="862"/>
      <c r="JVX37" s="862"/>
      <c r="JVY37" s="862"/>
      <c r="JVZ37" s="862"/>
      <c r="JWA37" s="862"/>
      <c r="JWB37" s="862"/>
      <c r="JWC37" s="862"/>
      <c r="JWD37" s="862"/>
      <c r="JWE37" s="862"/>
      <c r="JWF37" s="862"/>
      <c r="JWG37" s="862"/>
      <c r="JWH37" s="862"/>
      <c r="JWI37" s="862"/>
      <c r="JWJ37" s="862"/>
      <c r="JWK37" s="862"/>
      <c r="JWL37" s="862"/>
      <c r="JWM37" s="862"/>
      <c r="JWN37" s="862"/>
      <c r="JWO37" s="862"/>
      <c r="JWP37" s="862"/>
      <c r="JWQ37" s="862"/>
      <c r="JWR37" s="862"/>
      <c r="JWS37" s="862"/>
      <c r="JWT37" s="862"/>
      <c r="JWU37" s="862"/>
      <c r="JWV37" s="862"/>
      <c r="JWW37" s="862"/>
      <c r="JWX37" s="862"/>
      <c r="JWY37" s="862"/>
      <c r="JWZ37" s="862"/>
      <c r="JXA37" s="862"/>
      <c r="JXB37" s="862"/>
      <c r="JXC37" s="862"/>
      <c r="JXD37" s="862"/>
      <c r="JXE37" s="862"/>
      <c r="JXF37" s="862"/>
      <c r="JXG37" s="862"/>
      <c r="JXH37" s="862"/>
      <c r="JXI37" s="862"/>
      <c r="JXJ37" s="862"/>
      <c r="JXK37" s="862"/>
      <c r="JXL37" s="862"/>
      <c r="JXM37" s="862"/>
      <c r="JXN37" s="862"/>
      <c r="JXO37" s="862"/>
      <c r="JXP37" s="862"/>
      <c r="JXQ37" s="862"/>
      <c r="JXR37" s="862"/>
      <c r="JXS37" s="862"/>
      <c r="JXT37" s="862"/>
      <c r="JXU37" s="862"/>
      <c r="JXV37" s="862"/>
      <c r="JXW37" s="862"/>
      <c r="JXX37" s="862"/>
      <c r="JXY37" s="862"/>
      <c r="JXZ37" s="862"/>
      <c r="JYA37" s="862"/>
      <c r="JYB37" s="862"/>
      <c r="JYC37" s="862"/>
      <c r="JYD37" s="862"/>
      <c r="JYE37" s="862"/>
      <c r="JYF37" s="862"/>
      <c r="JYG37" s="862"/>
      <c r="JYH37" s="862"/>
      <c r="JYI37" s="862"/>
      <c r="JYJ37" s="862"/>
      <c r="JYK37" s="862"/>
      <c r="JYL37" s="862"/>
      <c r="JYM37" s="862"/>
      <c r="JYN37" s="862"/>
      <c r="JYO37" s="862"/>
      <c r="JYP37" s="862"/>
      <c r="JYQ37" s="862"/>
      <c r="JYR37" s="862"/>
      <c r="JYS37" s="862"/>
      <c r="JYT37" s="862"/>
      <c r="JYU37" s="862"/>
      <c r="JYV37" s="862"/>
      <c r="JYW37" s="862"/>
      <c r="JYX37" s="862"/>
      <c r="JYY37" s="862"/>
      <c r="JYZ37" s="862"/>
      <c r="JZA37" s="862"/>
      <c r="JZB37" s="862"/>
      <c r="JZC37" s="862"/>
      <c r="JZD37" s="862"/>
      <c r="JZE37" s="862"/>
      <c r="JZF37" s="862"/>
      <c r="JZG37" s="862"/>
      <c r="JZH37" s="862"/>
      <c r="JZI37" s="862"/>
      <c r="JZJ37" s="862"/>
      <c r="JZK37" s="862"/>
      <c r="JZL37" s="862"/>
      <c r="JZM37" s="862"/>
      <c r="JZN37" s="862"/>
      <c r="JZO37" s="862"/>
      <c r="JZP37" s="862"/>
      <c r="JZQ37" s="862"/>
      <c r="JZR37" s="862"/>
      <c r="JZS37" s="862"/>
      <c r="JZT37" s="862"/>
      <c r="JZU37" s="862"/>
      <c r="JZV37" s="862"/>
      <c r="JZW37" s="862"/>
      <c r="JZX37" s="862"/>
      <c r="JZY37" s="862"/>
      <c r="JZZ37" s="862"/>
      <c r="KAA37" s="862"/>
      <c r="KAB37" s="862"/>
      <c r="KAC37" s="862"/>
      <c r="KAD37" s="862"/>
      <c r="KAE37" s="862"/>
      <c r="KAF37" s="862"/>
      <c r="KAG37" s="862"/>
      <c r="KAH37" s="862"/>
      <c r="KAI37" s="862"/>
      <c r="KAJ37" s="862"/>
      <c r="KAK37" s="862"/>
      <c r="KAL37" s="862"/>
      <c r="KAM37" s="862"/>
      <c r="KAN37" s="862"/>
      <c r="KAO37" s="862"/>
      <c r="KAP37" s="862"/>
      <c r="KAQ37" s="862"/>
      <c r="KAR37" s="862"/>
      <c r="KAS37" s="862"/>
      <c r="KAT37" s="862"/>
      <c r="KAU37" s="862"/>
      <c r="KAV37" s="862"/>
      <c r="KAW37" s="862"/>
      <c r="KAX37" s="862"/>
      <c r="KAY37" s="862"/>
      <c r="KAZ37" s="862"/>
      <c r="KBA37" s="862"/>
      <c r="KBB37" s="862"/>
      <c r="KBC37" s="862"/>
      <c r="KBD37" s="862"/>
      <c r="KBE37" s="862"/>
      <c r="KBF37" s="862"/>
      <c r="KBG37" s="862"/>
      <c r="KBH37" s="862"/>
      <c r="KBI37" s="862"/>
      <c r="KBJ37" s="862"/>
      <c r="KBK37" s="862"/>
      <c r="KBL37" s="862"/>
      <c r="KBM37" s="862"/>
      <c r="KBN37" s="862"/>
      <c r="KBO37" s="862"/>
      <c r="KBP37" s="862"/>
      <c r="KBQ37" s="862"/>
      <c r="KBR37" s="862"/>
      <c r="KBS37" s="862"/>
      <c r="KBT37" s="862"/>
      <c r="KBU37" s="862"/>
      <c r="KBV37" s="862"/>
      <c r="KBW37" s="862"/>
      <c r="KBX37" s="862"/>
      <c r="KBY37" s="862"/>
      <c r="KBZ37" s="862"/>
      <c r="KCA37" s="862"/>
      <c r="KCB37" s="862"/>
      <c r="KCC37" s="862"/>
      <c r="KCD37" s="862"/>
      <c r="KCE37" s="862"/>
      <c r="KCF37" s="862"/>
      <c r="KCG37" s="862"/>
      <c r="KCH37" s="862"/>
      <c r="KCI37" s="862"/>
      <c r="KCJ37" s="862"/>
      <c r="KCK37" s="862"/>
      <c r="KCL37" s="862"/>
      <c r="KCM37" s="862"/>
      <c r="KCN37" s="862"/>
      <c r="KCO37" s="862"/>
      <c r="KCP37" s="862"/>
      <c r="KCQ37" s="862"/>
      <c r="KCR37" s="862"/>
      <c r="KCS37" s="862"/>
      <c r="KCT37" s="862"/>
      <c r="KCU37" s="862"/>
      <c r="KCV37" s="862"/>
      <c r="KCW37" s="862"/>
      <c r="KCX37" s="862"/>
      <c r="KCY37" s="862"/>
      <c r="KCZ37" s="862"/>
      <c r="KDA37" s="862"/>
      <c r="KDB37" s="862"/>
      <c r="KDC37" s="862"/>
      <c r="KDD37" s="862"/>
      <c r="KDE37" s="862"/>
      <c r="KDF37" s="862"/>
      <c r="KDG37" s="862"/>
      <c r="KDH37" s="862"/>
      <c r="KDI37" s="862"/>
      <c r="KDJ37" s="862"/>
      <c r="KDK37" s="862"/>
      <c r="KDL37" s="862"/>
      <c r="KDM37" s="862"/>
      <c r="KDN37" s="862"/>
      <c r="KDO37" s="862"/>
      <c r="KDP37" s="862"/>
      <c r="KDQ37" s="862"/>
      <c r="KDR37" s="862"/>
      <c r="KDS37" s="862"/>
      <c r="KDT37" s="862"/>
      <c r="KDU37" s="862"/>
      <c r="KDV37" s="862"/>
      <c r="KDW37" s="862"/>
      <c r="KDX37" s="862"/>
      <c r="KDY37" s="862"/>
      <c r="KDZ37" s="862"/>
      <c r="KEA37" s="862"/>
      <c r="KEB37" s="862"/>
      <c r="KEC37" s="862"/>
      <c r="KED37" s="862"/>
      <c r="KEE37" s="862"/>
      <c r="KEF37" s="862"/>
      <c r="KEG37" s="862"/>
      <c r="KEH37" s="862"/>
      <c r="KEI37" s="862"/>
      <c r="KEJ37" s="862"/>
      <c r="KEK37" s="862"/>
      <c r="KEL37" s="862"/>
      <c r="KEM37" s="862"/>
      <c r="KEN37" s="862"/>
      <c r="KEO37" s="862"/>
      <c r="KEP37" s="862"/>
      <c r="KEQ37" s="862"/>
      <c r="KER37" s="862"/>
      <c r="KES37" s="862"/>
      <c r="KET37" s="862"/>
      <c r="KEU37" s="862"/>
      <c r="KEV37" s="862"/>
      <c r="KEW37" s="862"/>
      <c r="KEX37" s="862"/>
      <c r="KEY37" s="862"/>
      <c r="KEZ37" s="862"/>
      <c r="KFA37" s="862"/>
      <c r="KFB37" s="862"/>
      <c r="KFC37" s="862"/>
      <c r="KFD37" s="862"/>
      <c r="KFE37" s="862"/>
      <c r="KFF37" s="862"/>
      <c r="KFG37" s="862"/>
      <c r="KFH37" s="862"/>
      <c r="KFI37" s="862"/>
      <c r="KFJ37" s="862"/>
      <c r="KFK37" s="862"/>
      <c r="KFL37" s="862"/>
      <c r="KFM37" s="862"/>
      <c r="KFN37" s="862"/>
      <c r="KFO37" s="862"/>
      <c r="KFP37" s="862"/>
      <c r="KFQ37" s="862"/>
      <c r="KFR37" s="862"/>
      <c r="KFS37" s="862"/>
      <c r="KFT37" s="862"/>
      <c r="KFU37" s="862"/>
      <c r="KFV37" s="862"/>
      <c r="KFW37" s="862"/>
      <c r="KFX37" s="862"/>
      <c r="KFY37" s="862"/>
      <c r="KFZ37" s="862"/>
      <c r="KGA37" s="862"/>
      <c r="KGB37" s="862"/>
      <c r="KGC37" s="862"/>
      <c r="KGD37" s="862"/>
      <c r="KGE37" s="862"/>
      <c r="KGF37" s="862"/>
      <c r="KGG37" s="862"/>
      <c r="KGH37" s="862"/>
      <c r="KGI37" s="862"/>
      <c r="KGJ37" s="862"/>
      <c r="KGK37" s="862"/>
      <c r="KGL37" s="862"/>
      <c r="KGM37" s="862"/>
      <c r="KGN37" s="862"/>
      <c r="KGO37" s="862"/>
      <c r="KGP37" s="862"/>
      <c r="KGQ37" s="862"/>
      <c r="KGR37" s="862"/>
      <c r="KGS37" s="862"/>
      <c r="KGT37" s="862"/>
      <c r="KGU37" s="862"/>
      <c r="KGV37" s="862"/>
      <c r="KGW37" s="862"/>
      <c r="KGX37" s="862"/>
      <c r="KGY37" s="862"/>
      <c r="KGZ37" s="862"/>
      <c r="KHA37" s="862"/>
      <c r="KHB37" s="862"/>
      <c r="KHC37" s="862"/>
      <c r="KHD37" s="862"/>
      <c r="KHE37" s="862"/>
      <c r="KHF37" s="862"/>
      <c r="KHG37" s="862"/>
      <c r="KHH37" s="862"/>
      <c r="KHI37" s="862"/>
      <c r="KHJ37" s="862"/>
      <c r="KHK37" s="862"/>
      <c r="KHL37" s="862"/>
      <c r="KHM37" s="862"/>
      <c r="KHN37" s="862"/>
      <c r="KHO37" s="862"/>
      <c r="KHP37" s="862"/>
      <c r="KHQ37" s="862"/>
      <c r="KHR37" s="862"/>
      <c r="KHS37" s="862"/>
      <c r="KHT37" s="862"/>
      <c r="KHU37" s="862"/>
      <c r="KHV37" s="862"/>
      <c r="KHW37" s="862"/>
      <c r="KHX37" s="862"/>
      <c r="KHY37" s="862"/>
      <c r="KHZ37" s="862"/>
      <c r="KIA37" s="862"/>
      <c r="KIB37" s="862"/>
      <c r="KIC37" s="862"/>
      <c r="KID37" s="862"/>
      <c r="KIE37" s="862"/>
      <c r="KIF37" s="862"/>
      <c r="KIG37" s="862"/>
      <c r="KIH37" s="862"/>
      <c r="KII37" s="862"/>
      <c r="KIJ37" s="862"/>
      <c r="KIK37" s="862"/>
      <c r="KIL37" s="862"/>
      <c r="KIM37" s="862"/>
      <c r="KIN37" s="862"/>
      <c r="KIO37" s="862"/>
      <c r="KIP37" s="862"/>
      <c r="KIQ37" s="862"/>
      <c r="KIR37" s="862"/>
      <c r="KIS37" s="862"/>
      <c r="KIT37" s="862"/>
      <c r="KIU37" s="862"/>
      <c r="KIV37" s="862"/>
      <c r="KIW37" s="862"/>
      <c r="KIX37" s="862"/>
      <c r="KIY37" s="862"/>
      <c r="KIZ37" s="862"/>
      <c r="KJA37" s="862"/>
      <c r="KJB37" s="862"/>
      <c r="KJC37" s="862"/>
      <c r="KJD37" s="862"/>
      <c r="KJE37" s="862"/>
      <c r="KJF37" s="862"/>
      <c r="KJG37" s="862"/>
      <c r="KJH37" s="862"/>
      <c r="KJI37" s="862"/>
      <c r="KJJ37" s="862"/>
      <c r="KJK37" s="862"/>
      <c r="KJL37" s="862"/>
      <c r="KJM37" s="862"/>
      <c r="KJN37" s="862"/>
      <c r="KJO37" s="862"/>
      <c r="KJP37" s="862"/>
      <c r="KJQ37" s="862"/>
      <c r="KJR37" s="862"/>
      <c r="KJS37" s="862"/>
      <c r="KJT37" s="862"/>
      <c r="KJU37" s="862"/>
      <c r="KJV37" s="862"/>
      <c r="KJW37" s="862"/>
      <c r="KJX37" s="862"/>
      <c r="KJY37" s="862"/>
      <c r="KJZ37" s="862"/>
      <c r="KKA37" s="862"/>
      <c r="KKB37" s="862"/>
      <c r="KKC37" s="862"/>
      <c r="KKD37" s="862"/>
      <c r="KKE37" s="862"/>
      <c r="KKF37" s="862"/>
      <c r="KKG37" s="862"/>
      <c r="KKH37" s="862"/>
      <c r="KKI37" s="862"/>
      <c r="KKJ37" s="862"/>
      <c r="KKK37" s="862"/>
      <c r="KKL37" s="862"/>
      <c r="KKM37" s="862"/>
      <c r="KKN37" s="862"/>
      <c r="KKO37" s="862"/>
      <c r="KKP37" s="862"/>
      <c r="KKQ37" s="862"/>
      <c r="KKR37" s="862"/>
      <c r="KKS37" s="862"/>
      <c r="KKT37" s="862"/>
      <c r="KKU37" s="862"/>
      <c r="KKV37" s="862"/>
      <c r="KKW37" s="862"/>
      <c r="KKX37" s="862"/>
      <c r="KKY37" s="862"/>
      <c r="KKZ37" s="862"/>
      <c r="KLA37" s="862"/>
      <c r="KLB37" s="862"/>
      <c r="KLC37" s="862"/>
      <c r="KLD37" s="862"/>
      <c r="KLE37" s="862"/>
      <c r="KLF37" s="862"/>
      <c r="KLG37" s="862"/>
      <c r="KLH37" s="862"/>
      <c r="KLI37" s="862"/>
      <c r="KLJ37" s="862"/>
      <c r="KLK37" s="862"/>
      <c r="KLL37" s="862"/>
      <c r="KLM37" s="862"/>
      <c r="KLN37" s="862"/>
      <c r="KLO37" s="862"/>
      <c r="KLP37" s="862"/>
      <c r="KLQ37" s="862"/>
      <c r="KLR37" s="862"/>
      <c r="KLS37" s="862"/>
      <c r="KLT37" s="862"/>
      <c r="KLU37" s="862"/>
      <c r="KLV37" s="862"/>
      <c r="KLW37" s="862"/>
      <c r="KLX37" s="862"/>
      <c r="KLY37" s="862"/>
      <c r="KLZ37" s="862"/>
      <c r="KMA37" s="862"/>
      <c r="KMB37" s="862"/>
      <c r="KMC37" s="862"/>
      <c r="KMD37" s="862"/>
      <c r="KME37" s="862"/>
      <c r="KMF37" s="862"/>
      <c r="KMG37" s="862"/>
      <c r="KMH37" s="862"/>
      <c r="KMI37" s="862"/>
      <c r="KMJ37" s="862"/>
      <c r="KMK37" s="862"/>
      <c r="KML37" s="862"/>
      <c r="KMM37" s="862"/>
      <c r="KMN37" s="862"/>
      <c r="KMO37" s="862"/>
      <c r="KMP37" s="862"/>
      <c r="KMQ37" s="862"/>
      <c r="KMR37" s="862"/>
      <c r="KMS37" s="862"/>
      <c r="KMT37" s="862"/>
      <c r="KMU37" s="862"/>
      <c r="KMV37" s="862"/>
      <c r="KMW37" s="862"/>
      <c r="KMX37" s="862"/>
      <c r="KMY37" s="862"/>
      <c r="KMZ37" s="862"/>
      <c r="KNA37" s="862"/>
      <c r="KNB37" s="862"/>
      <c r="KNC37" s="862"/>
      <c r="KND37" s="862"/>
      <c r="KNE37" s="862"/>
      <c r="KNF37" s="862"/>
      <c r="KNG37" s="862"/>
      <c r="KNH37" s="862"/>
      <c r="KNI37" s="862"/>
      <c r="KNJ37" s="862"/>
      <c r="KNK37" s="862"/>
      <c r="KNL37" s="862"/>
      <c r="KNM37" s="862"/>
      <c r="KNN37" s="862"/>
      <c r="KNO37" s="862"/>
      <c r="KNP37" s="862"/>
      <c r="KNQ37" s="862"/>
      <c r="KNR37" s="862"/>
      <c r="KNS37" s="862"/>
      <c r="KNT37" s="862"/>
      <c r="KNU37" s="862"/>
      <c r="KNV37" s="862"/>
      <c r="KNW37" s="862"/>
      <c r="KNX37" s="862"/>
      <c r="KNY37" s="862"/>
      <c r="KNZ37" s="862"/>
      <c r="KOA37" s="862"/>
      <c r="KOB37" s="862"/>
      <c r="KOC37" s="862"/>
      <c r="KOD37" s="862"/>
      <c r="KOE37" s="862"/>
      <c r="KOF37" s="862"/>
      <c r="KOG37" s="862"/>
      <c r="KOH37" s="862"/>
      <c r="KOI37" s="862"/>
      <c r="KOJ37" s="862"/>
      <c r="KOK37" s="862"/>
      <c r="KOL37" s="862"/>
      <c r="KOM37" s="862"/>
      <c r="KON37" s="862"/>
      <c r="KOO37" s="862"/>
      <c r="KOP37" s="862"/>
      <c r="KOQ37" s="862"/>
      <c r="KOR37" s="862"/>
      <c r="KOS37" s="862"/>
      <c r="KOT37" s="862"/>
      <c r="KOU37" s="862"/>
      <c r="KOV37" s="862"/>
      <c r="KOW37" s="862"/>
      <c r="KOX37" s="862"/>
      <c r="KOY37" s="862"/>
      <c r="KOZ37" s="862"/>
      <c r="KPA37" s="862"/>
      <c r="KPB37" s="862"/>
      <c r="KPC37" s="862"/>
      <c r="KPD37" s="862"/>
      <c r="KPE37" s="862"/>
      <c r="KPF37" s="862"/>
      <c r="KPG37" s="862"/>
      <c r="KPH37" s="862"/>
      <c r="KPI37" s="862"/>
      <c r="KPJ37" s="862"/>
      <c r="KPK37" s="862"/>
      <c r="KPL37" s="862"/>
      <c r="KPM37" s="862"/>
      <c r="KPN37" s="862"/>
      <c r="KPO37" s="862"/>
      <c r="KPP37" s="862"/>
      <c r="KPQ37" s="862"/>
      <c r="KPR37" s="862"/>
      <c r="KPS37" s="862"/>
      <c r="KPT37" s="862"/>
      <c r="KPU37" s="862"/>
      <c r="KPV37" s="862"/>
      <c r="KPW37" s="862"/>
      <c r="KPX37" s="862"/>
      <c r="KPY37" s="862"/>
      <c r="KPZ37" s="862"/>
      <c r="KQA37" s="862"/>
      <c r="KQB37" s="862"/>
      <c r="KQC37" s="862"/>
      <c r="KQD37" s="862"/>
      <c r="KQE37" s="862"/>
      <c r="KQF37" s="862"/>
      <c r="KQG37" s="862"/>
      <c r="KQH37" s="862"/>
      <c r="KQI37" s="862"/>
      <c r="KQJ37" s="862"/>
      <c r="KQK37" s="862"/>
      <c r="KQL37" s="862"/>
      <c r="KQM37" s="862"/>
      <c r="KQN37" s="862"/>
      <c r="KQO37" s="862"/>
      <c r="KQP37" s="862"/>
      <c r="KQQ37" s="862"/>
      <c r="KQR37" s="862"/>
      <c r="KQS37" s="862"/>
      <c r="KQT37" s="862"/>
      <c r="KQU37" s="862"/>
      <c r="KQV37" s="862"/>
      <c r="KQW37" s="862"/>
      <c r="KQX37" s="862"/>
      <c r="KQY37" s="862"/>
      <c r="KQZ37" s="862"/>
      <c r="KRA37" s="862"/>
      <c r="KRB37" s="862"/>
      <c r="KRC37" s="862"/>
      <c r="KRD37" s="862"/>
      <c r="KRE37" s="862"/>
      <c r="KRF37" s="862"/>
      <c r="KRG37" s="862"/>
      <c r="KRH37" s="862"/>
      <c r="KRI37" s="862"/>
      <c r="KRJ37" s="862"/>
      <c r="KRK37" s="862"/>
      <c r="KRL37" s="862"/>
      <c r="KRM37" s="862"/>
      <c r="KRN37" s="862"/>
      <c r="KRO37" s="862"/>
      <c r="KRP37" s="862"/>
      <c r="KRQ37" s="862"/>
      <c r="KRR37" s="862"/>
      <c r="KRS37" s="862"/>
      <c r="KRT37" s="862"/>
      <c r="KRU37" s="862"/>
      <c r="KRV37" s="862"/>
      <c r="KRW37" s="862"/>
      <c r="KRX37" s="862"/>
      <c r="KRY37" s="862"/>
      <c r="KRZ37" s="862"/>
      <c r="KSA37" s="862"/>
      <c r="KSB37" s="862"/>
      <c r="KSC37" s="862"/>
      <c r="KSD37" s="862"/>
      <c r="KSE37" s="862"/>
      <c r="KSF37" s="862"/>
      <c r="KSG37" s="862"/>
      <c r="KSH37" s="862"/>
      <c r="KSI37" s="862"/>
      <c r="KSJ37" s="862"/>
      <c r="KSK37" s="862"/>
      <c r="KSL37" s="862"/>
      <c r="KSM37" s="862"/>
      <c r="KSN37" s="862"/>
      <c r="KSO37" s="862"/>
      <c r="KSP37" s="862"/>
      <c r="KSQ37" s="862"/>
      <c r="KSR37" s="862"/>
      <c r="KSS37" s="862"/>
      <c r="KST37" s="862"/>
      <c r="KSU37" s="862"/>
      <c r="KSV37" s="862"/>
      <c r="KSW37" s="862"/>
      <c r="KSX37" s="862"/>
      <c r="KSY37" s="862"/>
      <c r="KSZ37" s="862"/>
      <c r="KTA37" s="862"/>
      <c r="KTB37" s="862"/>
      <c r="KTC37" s="862"/>
      <c r="KTD37" s="862"/>
      <c r="KTE37" s="862"/>
      <c r="KTF37" s="862"/>
      <c r="KTG37" s="862"/>
      <c r="KTH37" s="862"/>
      <c r="KTI37" s="862"/>
      <c r="KTJ37" s="862"/>
      <c r="KTK37" s="862"/>
      <c r="KTL37" s="862"/>
      <c r="KTM37" s="862"/>
      <c r="KTN37" s="862"/>
      <c r="KTO37" s="862"/>
      <c r="KTP37" s="862"/>
      <c r="KTQ37" s="862"/>
      <c r="KTR37" s="862"/>
      <c r="KTS37" s="862"/>
      <c r="KTT37" s="862"/>
      <c r="KTU37" s="862"/>
      <c r="KTV37" s="862"/>
      <c r="KTW37" s="862"/>
      <c r="KTX37" s="862"/>
      <c r="KTY37" s="862"/>
      <c r="KTZ37" s="862"/>
      <c r="KUA37" s="862"/>
      <c r="KUB37" s="862"/>
      <c r="KUC37" s="862"/>
      <c r="KUD37" s="862"/>
      <c r="KUE37" s="862"/>
      <c r="KUF37" s="862"/>
      <c r="KUG37" s="862"/>
      <c r="KUH37" s="862"/>
      <c r="KUI37" s="862"/>
      <c r="KUJ37" s="862"/>
      <c r="KUK37" s="862"/>
      <c r="KUL37" s="862"/>
      <c r="KUM37" s="862"/>
      <c r="KUN37" s="862"/>
      <c r="KUO37" s="862"/>
      <c r="KUP37" s="862"/>
      <c r="KUQ37" s="862"/>
      <c r="KUR37" s="862"/>
      <c r="KUS37" s="862"/>
      <c r="KUT37" s="862"/>
      <c r="KUU37" s="862"/>
      <c r="KUV37" s="862"/>
      <c r="KUW37" s="862"/>
      <c r="KUX37" s="862"/>
      <c r="KUY37" s="862"/>
      <c r="KUZ37" s="862"/>
      <c r="KVA37" s="862"/>
      <c r="KVB37" s="862"/>
      <c r="KVC37" s="862"/>
      <c r="KVD37" s="862"/>
      <c r="KVE37" s="862"/>
      <c r="KVF37" s="862"/>
      <c r="KVG37" s="862"/>
      <c r="KVH37" s="862"/>
      <c r="KVI37" s="862"/>
      <c r="KVJ37" s="862"/>
      <c r="KVK37" s="862"/>
      <c r="KVL37" s="862"/>
      <c r="KVM37" s="862"/>
      <c r="KVN37" s="862"/>
      <c r="KVO37" s="862"/>
      <c r="KVP37" s="862"/>
      <c r="KVQ37" s="862"/>
      <c r="KVR37" s="862"/>
      <c r="KVS37" s="862"/>
      <c r="KVT37" s="862"/>
      <c r="KVU37" s="862"/>
      <c r="KVV37" s="862"/>
      <c r="KVW37" s="862"/>
      <c r="KVX37" s="862"/>
      <c r="KVY37" s="862"/>
      <c r="KVZ37" s="862"/>
      <c r="KWA37" s="862"/>
      <c r="KWB37" s="862"/>
      <c r="KWC37" s="862"/>
      <c r="KWD37" s="862"/>
      <c r="KWE37" s="862"/>
      <c r="KWF37" s="862"/>
      <c r="KWG37" s="862"/>
      <c r="KWH37" s="862"/>
      <c r="KWI37" s="862"/>
      <c r="KWJ37" s="862"/>
      <c r="KWK37" s="862"/>
      <c r="KWL37" s="862"/>
      <c r="KWM37" s="862"/>
      <c r="KWN37" s="862"/>
      <c r="KWO37" s="862"/>
      <c r="KWP37" s="862"/>
      <c r="KWQ37" s="862"/>
      <c r="KWR37" s="862"/>
      <c r="KWS37" s="862"/>
      <c r="KWT37" s="862"/>
      <c r="KWU37" s="862"/>
      <c r="KWV37" s="862"/>
      <c r="KWW37" s="862"/>
      <c r="KWX37" s="862"/>
      <c r="KWY37" s="862"/>
      <c r="KWZ37" s="862"/>
      <c r="KXA37" s="862"/>
      <c r="KXB37" s="862"/>
      <c r="KXC37" s="862"/>
      <c r="KXD37" s="862"/>
      <c r="KXE37" s="862"/>
      <c r="KXF37" s="862"/>
      <c r="KXG37" s="862"/>
      <c r="KXH37" s="862"/>
      <c r="KXI37" s="862"/>
      <c r="KXJ37" s="862"/>
      <c r="KXK37" s="862"/>
      <c r="KXL37" s="862"/>
      <c r="KXM37" s="862"/>
      <c r="KXN37" s="862"/>
      <c r="KXO37" s="862"/>
      <c r="KXP37" s="862"/>
      <c r="KXQ37" s="862"/>
      <c r="KXR37" s="862"/>
      <c r="KXS37" s="862"/>
      <c r="KXT37" s="862"/>
      <c r="KXU37" s="862"/>
      <c r="KXV37" s="862"/>
      <c r="KXW37" s="862"/>
      <c r="KXX37" s="862"/>
      <c r="KXY37" s="862"/>
      <c r="KXZ37" s="862"/>
      <c r="KYA37" s="862"/>
      <c r="KYB37" s="862"/>
      <c r="KYC37" s="862"/>
      <c r="KYD37" s="862"/>
      <c r="KYE37" s="862"/>
      <c r="KYF37" s="862"/>
      <c r="KYG37" s="862"/>
      <c r="KYH37" s="862"/>
      <c r="KYI37" s="862"/>
      <c r="KYJ37" s="862"/>
      <c r="KYK37" s="862"/>
      <c r="KYL37" s="862"/>
      <c r="KYM37" s="862"/>
      <c r="KYN37" s="862"/>
      <c r="KYO37" s="862"/>
      <c r="KYP37" s="862"/>
      <c r="KYQ37" s="862"/>
      <c r="KYR37" s="862"/>
      <c r="KYS37" s="862"/>
      <c r="KYT37" s="862"/>
      <c r="KYU37" s="862"/>
      <c r="KYV37" s="862"/>
      <c r="KYW37" s="862"/>
      <c r="KYX37" s="862"/>
      <c r="KYY37" s="862"/>
      <c r="KYZ37" s="862"/>
      <c r="KZA37" s="862"/>
      <c r="KZB37" s="862"/>
      <c r="KZC37" s="862"/>
      <c r="KZD37" s="862"/>
      <c r="KZE37" s="862"/>
      <c r="KZF37" s="862"/>
      <c r="KZG37" s="862"/>
      <c r="KZH37" s="862"/>
      <c r="KZI37" s="862"/>
      <c r="KZJ37" s="862"/>
      <c r="KZK37" s="862"/>
      <c r="KZL37" s="862"/>
      <c r="KZM37" s="862"/>
      <c r="KZN37" s="862"/>
      <c r="KZO37" s="862"/>
      <c r="KZP37" s="862"/>
      <c r="KZQ37" s="862"/>
      <c r="KZR37" s="862"/>
      <c r="KZS37" s="862"/>
      <c r="KZT37" s="862"/>
      <c r="KZU37" s="862"/>
      <c r="KZV37" s="862"/>
      <c r="KZW37" s="862"/>
      <c r="KZX37" s="862"/>
      <c r="KZY37" s="862"/>
      <c r="KZZ37" s="862"/>
      <c r="LAA37" s="862"/>
      <c r="LAB37" s="862"/>
      <c r="LAC37" s="862"/>
      <c r="LAD37" s="862"/>
      <c r="LAE37" s="862"/>
      <c r="LAF37" s="862"/>
      <c r="LAG37" s="862"/>
      <c r="LAH37" s="862"/>
      <c r="LAI37" s="862"/>
      <c r="LAJ37" s="862"/>
      <c r="LAK37" s="862"/>
      <c r="LAL37" s="862"/>
      <c r="LAM37" s="862"/>
      <c r="LAN37" s="862"/>
      <c r="LAO37" s="862"/>
      <c r="LAP37" s="862"/>
      <c r="LAQ37" s="862"/>
      <c r="LAR37" s="862"/>
      <c r="LAS37" s="862"/>
      <c r="LAT37" s="862"/>
      <c r="LAU37" s="862"/>
      <c r="LAV37" s="862"/>
      <c r="LAW37" s="862"/>
      <c r="LAX37" s="862"/>
      <c r="LAY37" s="862"/>
      <c r="LAZ37" s="862"/>
      <c r="LBA37" s="862"/>
      <c r="LBB37" s="862"/>
      <c r="LBC37" s="862"/>
      <c r="LBD37" s="862"/>
      <c r="LBE37" s="862"/>
      <c r="LBF37" s="862"/>
      <c r="LBG37" s="862"/>
      <c r="LBH37" s="862"/>
      <c r="LBI37" s="862"/>
      <c r="LBJ37" s="862"/>
      <c r="LBK37" s="862"/>
      <c r="LBL37" s="862"/>
      <c r="LBM37" s="862"/>
      <c r="LBN37" s="862"/>
      <c r="LBO37" s="862"/>
      <c r="LBP37" s="862"/>
      <c r="LBQ37" s="862"/>
      <c r="LBR37" s="862"/>
      <c r="LBS37" s="862"/>
      <c r="LBT37" s="862"/>
      <c r="LBU37" s="862"/>
      <c r="LBV37" s="862"/>
      <c r="LBW37" s="862"/>
      <c r="LBX37" s="862"/>
      <c r="LBY37" s="862"/>
      <c r="LBZ37" s="862"/>
      <c r="LCA37" s="862"/>
      <c r="LCB37" s="862"/>
      <c r="LCC37" s="862"/>
      <c r="LCD37" s="862"/>
      <c r="LCE37" s="862"/>
      <c r="LCF37" s="862"/>
      <c r="LCG37" s="862"/>
      <c r="LCH37" s="862"/>
      <c r="LCI37" s="862"/>
      <c r="LCJ37" s="862"/>
      <c r="LCK37" s="862"/>
      <c r="LCL37" s="862"/>
      <c r="LCM37" s="862"/>
      <c r="LCN37" s="862"/>
      <c r="LCO37" s="862"/>
      <c r="LCP37" s="862"/>
      <c r="LCQ37" s="862"/>
      <c r="LCR37" s="862"/>
      <c r="LCS37" s="862"/>
      <c r="LCT37" s="862"/>
      <c r="LCU37" s="862"/>
      <c r="LCV37" s="862"/>
      <c r="LCW37" s="862"/>
      <c r="LCX37" s="862"/>
      <c r="LCY37" s="862"/>
      <c r="LCZ37" s="862"/>
      <c r="LDA37" s="862"/>
      <c r="LDB37" s="862"/>
      <c r="LDC37" s="862"/>
      <c r="LDD37" s="862"/>
      <c r="LDE37" s="862"/>
      <c r="LDF37" s="862"/>
      <c r="LDG37" s="862"/>
      <c r="LDH37" s="862"/>
      <c r="LDI37" s="862"/>
      <c r="LDJ37" s="862"/>
      <c r="LDK37" s="862"/>
      <c r="LDL37" s="862"/>
      <c r="LDM37" s="862"/>
      <c r="LDN37" s="862"/>
      <c r="LDO37" s="862"/>
      <c r="LDP37" s="862"/>
      <c r="LDQ37" s="862"/>
      <c r="LDR37" s="862"/>
      <c r="LDS37" s="862"/>
      <c r="LDT37" s="862"/>
      <c r="LDU37" s="862"/>
      <c r="LDV37" s="862"/>
      <c r="LDW37" s="862"/>
      <c r="LDX37" s="862"/>
      <c r="LDY37" s="862"/>
      <c r="LDZ37" s="862"/>
      <c r="LEA37" s="862"/>
      <c r="LEB37" s="862"/>
      <c r="LEC37" s="862"/>
      <c r="LED37" s="862"/>
      <c r="LEE37" s="862"/>
      <c r="LEF37" s="862"/>
      <c r="LEG37" s="862"/>
      <c r="LEH37" s="862"/>
      <c r="LEI37" s="862"/>
      <c r="LEJ37" s="862"/>
      <c r="LEK37" s="862"/>
      <c r="LEL37" s="862"/>
      <c r="LEM37" s="862"/>
      <c r="LEN37" s="862"/>
      <c r="LEO37" s="862"/>
      <c r="LEP37" s="862"/>
      <c r="LEQ37" s="862"/>
      <c r="LER37" s="862"/>
      <c r="LES37" s="862"/>
      <c r="LET37" s="862"/>
      <c r="LEU37" s="862"/>
      <c r="LEV37" s="862"/>
      <c r="LEW37" s="862"/>
      <c r="LEX37" s="862"/>
      <c r="LEY37" s="862"/>
      <c r="LEZ37" s="862"/>
      <c r="LFA37" s="862"/>
      <c r="LFB37" s="862"/>
      <c r="LFC37" s="862"/>
      <c r="LFD37" s="862"/>
      <c r="LFE37" s="862"/>
      <c r="LFF37" s="862"/>
      <c r="LFG37" s="862"/>
      <c r="LFH37" s="862"/>
      <c r="LFI37" s="862"/>
      <c r="LFJ37" s="862"/>
      <c r="LFK37" s="862"/>
      <c r="LFL37" s="862"/>
      <c r="LFM37" s="862"/>
      <c r="LFN37" s="862"/>
      <c r="LFO37" s="862"/>
      <c r="LFP37" s="862"/>
      <c r="LFQ37" s="862"/>
      <c r="LFR37" s="862"/>
      <c r="LFS37" s="862"/>
      <c r="LFT37" s="862"/>
      <c r="LFU37" s="862"/>
      <c r="LFV37" s="862"/>
      <c r="LFW37" s="862"/>
      <c r="LFX37" s="862"/>
      <c r="LFY37" s="862"/>
      <c r="LFZ37" s="862"/>
      <c r="LGA37" s="862"/>
      <c r="LGB37" s="862"/>
      <c r="LGC37" s="862"/>
      <c r="LGD37" s="862"/>
      <c r="LGE37" s="862"/>
      <c r="LGF37" s="862"/>
      <c r="LGG37" s="862"/>
      <c r="LGH37" s="862"/>
      <c r="LGI37" s="862"/>
      <c r="LGJ37" s="862"/>
      <c r="LGK37" s="862"/>
      <c r="LGL37" s="862"/>
      <c r="LGM37" s="862"/>
      <c r="LGN37" s="862"/>
      <c r="LGO37" s="862"/>
      <c r="LGP37" s="862"/>
      <c r="LGQ37" s="862"/>
      <c r="LGR37" s="862"/>
      <c r="LGS37" s="862"/>
      <c r="LGT37" s="862"/>
      <c r="LGU37" s="862"/>
      <c r="LGV37" s="862"/>
      <c r="LGW37" s="862"/>
      <c r="LGX37" s="862"/>
      <c r="LGY37" s="862"/>
      <c r="LGZ37" s="862"/>
      <c r="LHA37" s="862"/>
      <c r="LHB37" s="862"/>
      <c r="LHC37" s="862"/>
      <c r="LHD37" s="862"/>
      <c r="LHE37" s="862"/>
      <c r="LHF37" s="862"/>
      <c r="LHG37" s="862"/>
      <c r="LHH37" s="862"/>
      <c r="LHI37" s="862"/>
      <c r="LHJ37" s="862"/>
      <c r="LHK37" s="862"/>
      <c r="LHL37" s="862"/>
      <c r="LHM37" s="862"/>
      <c r="LHN37" s="862"/>
      <c r="LHO37" s="862"/>
      <c r="LHP37" s="862"/>
      <c r="LHQ37" s="862"/>
      <c r="LHR37" s="862"/>
      <c r="LHS37" s="862"/>
      <c r="LHT37" s="862"/>
      <c r="LHU37" s="862"/>
      <c r="LHV37" s="862"/>
      <c r="LHW37" s="862"/>
      <c r="LHX37" s="862"/>
      <c r="LHY37" s="862"/>
      <c r="LHZ37" s="862"/>
      <c r="LIA37" s="862"/>
      <c r="LIB37" s="862"/>
      <c r="LIC37" s="862"/>
      <c r="LID37" s="862"/>
      <c r="LIE37" s="862"/>
      <c r="LIF37" s="862"/>
      <c r="LIG37" s="862"/>
      <c r="LIH37" s="862"/>
      <c r="LII37" s="862"/>
      <c r="LIJ37" s="862"/>
      <c r="LIK37" s="862"/>
      <c r="LIL37" s="862"/>
      <c r="LIM37" s="862"/>
      <c r="LIN37" s="862"/>
      <c r="LIO37" s="862"/>
      <c r="LIP37" s="862"/>
      <c r="LIQ37" s="862"/>
      <c r="LIR37" s="862"/>
      <c r="LIS37" s="862"/>
      <c r="LIT37" s="862"/>
      <c r="LIU37" s="862"/>
      <c r="LIV37" s="862"/>
      <c r="LIW37" s="862"/>
      <c r="LIX37" s="862"/>
      <c r="LIY37" s="862"/>
      <c r="LIZ37" s="862"/>
      <c r="LJA37" s="862"/>
      <c r="LJB37" s="862"/>
      <c r="LJC37" s="862"/>
      <c r="LJD37" s="862"/>
      <c r="LJE37" s="862"/>
      <c r="LJF37" s="862"/>
      <c r="LJG37" s="862"/>
      <c r="LJH37" s="862"/>
      <c r="LJI37" s="862"/>
      <c r="LJJ37" s="862"/>
      <c r="LJK37" s="862"/>
      <c r="LJL37" s="862"/>
      <c r="LJM37" s="862"/>
      <c r="LJN37" s="862"/>
      <c r="LJO37" s="862"/>
      <c r="LJP37" s="862"/>
      <c r="LJQ37" s="862"/>
      <c r="LJR37" s="862"/>
      <c r="LJS37" s="862"/>
      <c r="LJT37" s="862"/>
      <c r="LJU37" s="862"/>
      <c r="LJV37" s="862"/>
      <c r="LJW37" s="862"/>
      <c r="LJX37" s="862"/>
      <c r="LJY37" s="862"/>
      <c r="LJZ37" s="862"/>
      <c r="LKA37" s="862"/>
      <c r="LKB37" s="862"/>
      <c r="LKC37" s="862"/>
      <c r="LKD37" s="862"/>
      <c r="LKE37" s="862"/>
      <c r="LKF37" s="862"/>
      <c r="LKG37" s="862"/>
      <c r="LKH37" s="862"/>
      <c r="LKI37" s="862"/>
      <c r="LKJ37" s="862"/>
      <c r="LKK37" s="862"/>
      <c r="LKL37" s="862"/>
      <c r="LKM37" s="862"/>
      <c r="LKN37" s="862"/>
      <c r="LKO37" s="862"/>
      <c r="LKP37" s="862"/>
      <c r="LKQ37" s="862"/>
      <c r="LKR37" s="862"/>
      <c r="LKS37" s="862"/>
      <c r="LKT37" s="862"/>
      <c r="LKU37" s="862"/>
      <c r="LKV37" s="862"/>
      <c r="LKW37" s="862"/>
      <c r="LKX37" s="862"/>
      <c r="LKY37" s="862"/>
      <c r="LKZ37" s="862"/>
      <c r="LLA37" s="862"/>
      <c r="LLB37" s="862"/>
      <c r="LLC37" s="862"/>
      <c r="LLD37" s="862"/>
      <c r="LLE37" s="862"/>
      <c r="LLF37" s="862"/>
      <c r="LLG37" s="862"/>
      <c r="LLH37" s="862"/>
      <c r="LLI37" s="862"/>
      <c r="LLJ37" s="862"/>
      <c r="LLK37" s="862"/>
      <c r="LLL37" s="862"/>
      <c r="LLM37" s="862"/>
      <c r="LLN37" s="862"/>
      <c r="LLO37" s="862"/>
      <c r="LLP37" s="862"/>
      <c r="LLQ37" s="862"/>
      <c r="LLR37" s="862"/>
      <c r="LLS37" s="862"/>
      <c r="LLT37" s="862"/>
      <c r="LLU37" s="862"/>
      <c r="LLV37" s="862"/>
      <c r="LLW37" s="862"/>
      <c r="LLX37" s="862"/>
      <c r="LLY37" s="862"/>
      <c r="LLZ37" s="862"/>
      <c r="LMA37" s="862"/>
      <c r="LMB37" s="862"/>
      <c r="LMC37" s="862"/>
      <c r="LMD37" s="862"/>
      <c r="LME37" s="862"/>
      <c r="LMF37" s="862"/>
      <c r="LMG37" s="862"/>
      <c r="LMH37" s="862"/>
      <c r="LMI37" s="862"/>
      <c r="LMJ37" s="862"/>
      <c r="LMK37" s="862"/>
      <c r="LML37" s="862"/>
      <c r="LMM37" s="862"/>
      <c r="LMN37" s="862"/>
      <c r="LMO37" s="862"/>
      <c r="LMP37" s="862"/>
      <c r="LMQ37" s="862"/>
      <c r="LMR37" s="862"/>
      <c r="LMS37" s="862"/>
      <c r="LMT37" s="862"/>
      <c r="LMU37" s="862"/>
      <c r="LMV37" s="862"/>
      <c r="LMW37" s="862"/>
      <c r="LMX37" s="862"/>
      <c r="LMY37" s="862"/>
      <c r="LMZ37" s="862"/>
      <c r="LNA37" s="862"/>
      <c r="LNB37" s="862"/>
      <c r="LNC37" s="862"/>
      <c r="LND37" s="862"/>
      <c r="LNE37" s="862"/>
      <c r="LNF37" s="862"/>
      <c r="LNG37" s="862"/>
      <c r="LNH37" s="862"/>
      <c r="LNI37" s="862"/>
      <c r="LNJ37" s="862"/>
      <c r="LNK37" s="862"/>
      <c r="LNL37" s="862"/>
      <c r="LNM37" s="862"/>
      <c r="LNN37" s="862"/>
      <c r="LNO37" s="862"/>
      <c r="LNP37" s="862"/>
      <c r="LNQ37" s="862"/>
      <c r="LNR37" s="862"/>
      <c r="LNS37" s="862"/>
      <c r="LNT37" s="862"/>
      <c r="LNU37" s="862"/>
      <c r="LNV37" s="862"/>
      <c r="LNW37" s="862"/>
      <c r="LNX37" s="862"/>
      <c r="LNY37" s="862"/>
      <c r="LNZ37" s="862"/>
      <c r="LOA37" s="862"/>
      <c r="LOB37" s="862"/>
      <c r="LOC37" s="862"/>
      <c r="LOD37" s="862"/>
      <c r="LOE37" s="862"/>
      <c r="LOF37" s="862"/>
      <c r="LOG37" s="862"/>
      <c r="LOH37" s="862"/>
      <c r="LOI37" s="862"/>
      <c r="LOJ37" s="862"/>
      <c r="LOK37" s="862"/>
      <c r="LOL37" s="862"/>
      <c r="LOM37" s="862"/>
      <c r="LON37" s="862"/>
      <c r="LOO37" s="862"/>
      <c r="LOP37" s="862"/>
      <c r="LOQ37" s="862"/>
      <c r="LOR37" s="862"/>
      <c r="LOS37" s="862"/>
      <c r="LOT37" s="862"/>
      <c r="LOU37" s="862"/>
      <c r="LOV37" s="862"/>
      <c r="LOW37" s="862"/>
      <c r="LOX37" s="862"/>
      <c r="LOY37" s="862"/>
      <c r="LOZ37" s="862"/>
      <c r="LPA37" s="862"/>
      <c r="LPB37" s="862"/>
      <c r="LPC37" s="862"/>
      <c r="LPD37" s="862"/>
      <c r="LPE37" s="862"/>
      <c r="LPF37" s="862"/>
      <c r="LPG37" s="862"/>
      <c r="LPH37" s="862"/>
      <c r="LPI37" s="862"/>
      <c r="LPJ37" s="862"/>
      <c r="LPK37" s="862"/>
      <c r="LPL37" s="862"/>
      <c r="LPM37" s="862"/>
      <c r="LPN37" s="862"/>
      <c r="LPO37" s="862"/>
      <c r="LPP37" s="862"/>
      <c r="LPQ37" s="862"/>
      <c r="LPR37" s="862"/>
      <c r="LPS37" s="862"/>
      <c r="LPT37" s="862"/>
      <c r="LPU37" s="862"/>
      <c r="LPV37" s="862"/>
      <c r="LPW37" s="862"/>
      <c r="LPX37" s="862"/>
      <c r="LPY37" s="862"/>
      <c r="LPZ37" s="862"/>
      <c r="LQA37" s="862"/>
      <c r="LQB37" s="862"/>
      <c r="LQC37" s="862"/>
      <c r="LQD37" s="862"/>
      <c r="LQE37" s="862"/>
      <c r="LQF37" s="862"/>
      <c r="LQG37" s="862"/>
      <c r="LQH37" s="862"/>
      <c r="LQI37" s="862"/>
      <c r="LQJ37" s="862"/>
      <c r="LQK37" s="862"/>
      <c r="LQL37" s="862"/>
      <c r="LQM37" s="862"/>
      <c r="LQN37" s="862"/>
      <c r="LQO37" s="862"/>
      <c r="LQP37" s="862"/>
      <c r="LQQ37" s="862"/>
      <c r="LQR37" s="862"/>
      <c r="LQS37" s="862"/>
      <c r="LQT37" s="862"/>
      <c r="LQU37" s="862"/>
      <c r="LQV37" s="862"/>
      <c r="LQW37" s="862"/>
      <c r="LQX37" s="862"/>
      <c r="LQY37" s="862"/>
      <c r="LQZ37" s="862"/>
      <c r="LRA37" s="862"/>
      <c r="LRB37" s="862"/>
      <c r="LRC37" s="862"/>
      <c r="LRD37" s="862"/>
      <c r="LRE37" s="862"/>
      <c r="LRF37" s="862"/>
      <c r="LRG37" s="862"/>
      <c r="LRH37" s="862"/>
      <c r="LRI37" s="862"/>
      <c r="LRJ37" s="862"/>
      <c r="LRK37" s="862"/>
      <c r="LRL37" s="862"/>
      <c r="LRM37" s="862"/>
      <c r="LRN37" s="862"/>
      <c r="LRO37" s="862"/>
      <c r="LRP37" s="862"/>
      <c r="LRQ37" s="862"/>
      <c r="LRR37" s="862"/>
      <c r="LRS37" s="862"/>
      <c r="LRT37" s="862"/>
      <c r="LRU37" s="862"/>
      <c r="LRV37" s="862"/>
      <c r="LRW37" s="862"/>
      <c r="LRX37" s="862"/>
      <c r="LRY37" s="862"/>
      <c r="LRZ37" s="862"/>
      <c r="LSA37" s="862"/>
      <c r="LSB37" s="862"/>
      <c r="LSC37" s="862"/>
      <c r="LSD37" s="862"/>
      <c r="LSE37" s="862"/>
      <c r="LSF37" s="862"/>
      <c r="LSG37" s="862"/>
      <c r="LSH37" s="862"/>
      <c r="LSI37" s="862"/>
      <c r="LSJ37" s="862"/>
      <c r="LSK37" s="862"/>
      <c r="LSL37" s="862"/>
      <c r="LSM37" s="862"/>
      <c r="LSN37" s="862"/>
      <c r="LSO37" s="862"/>
      <c r="LSP37" s="862"/>
      <c r="LSQ37" s="862"/>
      <c r="LSR37" s="862"/>
      <c r="LSS37" s="862"/>
      <c r="LST37" s="862"/>
      <c r="LSU37" s="862"/>
      <c r="LSV37" s="862"/>
      <c r="LSW37" s="862"/>
      <c r="LSX37" s="862"/>
      <c r="LSY37" s="862"/>
      <c r="LSZ37" s="862"/>
      <c r="LTA37" s="862"/>
      <c r="LTB37" s="862"/>
      <c r="LTC37" s="862"/>
      <c r="LTD37" s="862"/>
      <c r="LTE37" s="862"/>
      <c r="LTF37" s="862"/>
      <c r="LTG37" s="862"/>
      <c r="LTH37" s="862"/>
      <c r="LTI37" s="862"/>
      <c r="LTJ37" s="862"/>
      <c r="LTK37" s="862"/>
      <c r="LTL37" s="862"/>
      <c r="LTM37" s="862"/>
      <c r="LTN37" s="862"/>
      <c r="LTO37" s="862"/>
      <c r="LTP37" s="862"/>
      <c r="LTQ37" s="862"/>
      <c r="LTR37" s="862"/>
      <c r="LTS37" s="862"/>
      <c r="LTT37" s="862"/>
      <c r="LTU37" s="862"/>
      <c r="LTV37" s="862"/>
      <c r="LTW37" s="862"/>
      <c r="LTX37" s="862"/>
      <c r="LTY37" s="862"/>
      <c r="LTZ37" s="862"/>
      <c r="LUA37" s="862"/>
      <c r="LUB37" s="862"/>
      <c r="LUC37" s="862"/>
      <c r="LUD37" s="862"/>
      <c r="LUE37" s="862"/>
      <c r="LUF37" s="862"/>
      <c r="LUG37" s="862"/>
      <c r="LUH37" s="862"/>
      <c r="LUI37" s="862"/>
      <c r="LUJ37" s="862"/>
      <c r="LUK37" s="862"/>
      <c r="LUL37" s="862"/>
      <c r="LUM37" s="862"/>
      <c r="LUN37" s="862"/>
      <c r="LUO37" s="862"/>
      <c r="LUP37" s="862"/>
      <c r="LUQ37" s="862"/>
      <c r="LUR37" s="862"/>
      <c r="LUS37" s="862"/>
      <c r="LUT37" s="862"/>
      <c r="LUU37" s="862"/>
      <c r="LUV37" s="862"/>
      <c r="LUW37" s="862"/>
      <c r="LUX37" s="862"/>
      <c r="LUY37" s="862"/>
      <c r="LUZ37" s="862"/>
      <c r="LVA37" s="862"/>
      <c r="LVB37" s="862"/>
      <c r="LVC37" s="862"/>
      <c r="LVD37" s="862"/>
      <c r="LVE37" s="862"/>
      <c r="LVF37" s="862"/>
      <c r="LVG37" s="862"/>
      <c r="LVH37" s="862"/>
      <c r="LVI37" s="862"/>
      <c r="LVJ37" s="862"/>
      <c r="LVK37" s="862"/>
      <c r="LVL37" s="862"/>
      <c r="LVM37" s="862"/>
      <c r="LVN37" s="862"/>
      <c r="LVO37" s="862"/>
      <c r="LVP37" s="862"/>
      <c r="LVQ37" s="862"/>
      <c r="LVR37" s="862"/>
      <c r="LVS37" s="862"/>
      <c r="LVT37" s="862"/>
      <c r="LVU37" s="862"/>
      <c r="LVV37" s="862"/>
      <c r="LVW37" s="862"/>
      <c r="LVX37" s="862"/>
      <c r="LVY37" s="862"/>
      <c r="LVZ37" s="862"/>
      <c r="LWA37" s="862"/>
      <c r="LWB37" s="862"/>
      <c r="LWC37" s="862"/>
      <c r="LWD37" s="862"/>
      <c r="LWE37" s="862"/>
      <c r="LWF37" s="862"/>
      <c r="LWG37" s="862"/>
      <c r="LWH37" s="862"/>
      <c r="LWI37" s="862"/>
      <c r="LWJ37" s="862"/>
      <c r="LWK37" s="862"/>
      <c r="LWL37" s="862"/>
      <c r="LWM37" s="862"/>
      <c r="LWN37" s="862"/>
      <c r="LWO37" s="862"/>
      <c r="LWP37" s="862"/>
      <c r="LWQ37" s="862"/>
      <c r="LWR37" s="862"/>
      <c r="LWS37" s="862"/>
      <c r="LWT37" s="862"/>
      <c r="LWU37" s="862"/>
      <c r="LWV37" s="862"/>
      <c r="LWW37" s="862"/>
      <c r="LWX37" s="862"/>
      <c r="LWY37" s="862"/>
      <c r="LWZ37" s="862"/>
      <c r="LXA37" s="862"/>
      <c r="LXB37" s="862"/>
      <c r="LXC37" s="862"/>
      <c r="LXD37" s="862"/>
      <c r="LXE37" s="862"/>
      <c r="LXF37" s="862"/>
      <c r="LXG37" s="862"/>
      <c r="LXH37" s="862"/>
      <c r="LXI37" s="862"/>
      <c r="LXJ37" s="862"/>
      <c r="LXK37" s="862"/>
      <c r="LXL37" s="862"/>
      <c r="LXM37" s="862"/>
      <c r="LXN37" s="862"/>
      <c r="LXO37" s="862"/>
      <c r="LXP37" s="862"/>
      <c r="LXQ37" s="862"/>
      <c r="LXR37" s="862"/>
      <c r="LXS37" s="862"/>
      <c r="LXT37" s="862"/>
      <c r="LXU37" s="862"/>
      <c r="LXV37" s="862"/>
      <c r="LXW37" s="862"/>
      <c r="LXX37" s="862"/>
      <c r="LXY37" s="862"/>
      <c r="LXZ37" s="862"/>
      <c r="LYA37" s="862"/>
      <c r="LYB37" s="862"/>
      <c r="LYC37" s="862"/>
      <c r="LYD37" s="862"/>
      <c r="LYE37" s="862"/>
      <c r="LYF37" s="862"/>
      <c r="LYG37" s="862"/>
      <c r="LYH37" s="862"/>
      <c r="LYI37" s="862"/>
      <c r="LYJ37" s="862"/>
      <c r="LYK37" s="862"/>
      <c r="LYL37" s="862"/>
      <c r="LYM37" s="862"/>
      <c r="LYN37" s="862"/>
      <c r="LYO37" s="862"/>
      <c r="LYP37" s="862"/>
      <c r="LYQ37" s="862"/>
      <c r="LYR37" s="862"/>
      <c r="LYS37" s="862"/>
      <c r="LYT37" s="862"/>
      <c r="LYU37" s="862"/>
      <c r="LYV37" s="862"/>
      <c r="LYW37" s="862"/>
      <c r="LYX37" s="862"/>
      <c r="LYY37" s="862"/>
      <c r="LYZ37" s="862"/>
      <c r="LZA37" s="862"/>
      <c r="LZB37" s="862"/>
      <c r="LZC37" s="862"/>
      <c r="LZD37" s="862"/>
      <c r="LZE37" s="862"/>
      <c r="LZF37" s="862"/>
      <c r="LZG37" s="862"/>
      <c r="LZH37" s="862"/>
      <c r="LZI37" s="862"/>
      <c r="LZJ37" s="862"/>
      <c r="LZK37" s="862"/>
      <c r="LZL37" s="862"/>
      <c r="LZM37" s="862"/>
      <c r="LZN37" s="862"/>
      <c r="LZO37" s="862"/>
      <c r="LZP37" s="862"/>
      <c r="LZQ37" s="862"/>
      <c r="LZR37" s="862"/>
      <c r="LZS37" s="862"/>
      <c r="LZT37" s="862"/>
      <c r="LZU37" s="862"/>
      <c r="LZV37" s="862"/>
      <c r="LZW37" s="862"/>
      <c r="LZX37" s="862"/>
      <c r="LZY37" s="862"/>
      <c r="LZZ37" s="862"/>
      <c r="MAA37" s="862"/>
      <c r="MAB37" s="862"/>
      <c r="MAC37" s="862"/>
      <c r="MAD37" s="862"/>
      <c r="MAE37" s="862"/>
      <c r="MAF37" s="862"/>
      <c r="MAG37" s="862"/>
      <c r="MAH37" s="862"/>
      <c r="MAI37" s="862"/>
      <c r="MAJ37" s="862"/>
      <c r="MAK37" s="862"/>
      <c r="MAL37" s="862"/>
      <c r="MAM37" s="862"/>
      <c r="MAN37" s="862"/>
      <c r="MAO37" s="862"/>
      <c r="MAP37" s="862"/>
      <c r="MAQ37" s="862"/>
      <c r="MAR37" s="862"/>
      <c r="MAS37" s="862"/>
      <c r="MAT37" s="862"/>
      <c r="MAU37" s="862"/>
      <c r="MAV37" s="862"/>
      <c r="MAW37" s="862"/>
      <c r="MAX37" s="862"/>
      <c r="MAY37" s="862"/>
      <c r="MAZ37" s="862"/>
      <c r="MBA37" s="862"/>
      <c r="MBB37" s="862"/>
      <c r="MBC37" s="862"/>
      <c r="MBD37" s="862"/>
      <c r="MBE37" s="862"/>
      <c r="MBF37" s="862"/>
      <c r="MBG37" s="862"/>
      <c r="MBH37" s="862"/>
      <c r="MBI37" s="862"/>
      <c r="MBJ37" s="862"/>
      <c r="MBK37" s="862"/>
      <c r="MBL37" s="862"/>
      <c r="MBM37" s="862"/>
      <c r="MBN37" s="862"/>
      <c r="MBO37" s="862"/>
      <c r="MBP37" s="862"/>
      <c r="MBQ37" s="862"/>
      <c r="MBR37" s="862"/>
      <c r="MBS37" s="862"/>
      <c r="MBT37" s="862"/>
      <c r="MBU37" s="862"/>
      <c r="MBV37" s="862"/>
      <c r="MBW37" s="862"/>
      <c r="MBX37" s="862"/>
      <c r="MBY37" s="862"/>
      <c r="MBZ37" s="862"/>
      <c r="MCA37" s="862"/>
      <c r="MCB37" s="862"/>
      <c r="MCC37" s="862"/>
      <c r="MCD37" s="862"/>
      <c r="MCE37" s="862"/>
      <c r="MCF37" s="862"/>
      <c r="MCG37" s="862"/>
      <c r="MCH37" s="862"/>
      <c r="MCI37" s="862"/>
      <c r="MCJ37" s="862"/>
      <c r="MCK37" s="862"/>
      <c r="MCL37" s="862"/>
      <c r="MCM37" s="862"/>
      <c r="MCN37" s="862"/>
      <c r="MCO37" s="862"/>
      <c r="MCP37" s="862"/>
      <c r="MCQ37" s="862"/>
      <c r="MCR37" s="862"/>
      <c r="MCS37" s="862"/>
      <c r="MCT37" s="862"/>
      <c r="MCU37" s="862"/>
      <c r="MCV37" s="862"/>
      <c r="MCW37" s="862"/>
      <c r="MCX37" s="862"/>
      <c r="MCY37" s="862"/>
      <c r="MCZ37" s="862"/>
      <c r="MDA37" s="862"/>
      <c r="MDB37" s="862"/>
      <c r="MDC37" s="862"/>
      <c r="MDD37" s="862"/>
      <c r="MDE37" s="862"/>
      <c r="MDF37" s="862"/>
      <c r="MDG37" s="862"/>
      <c r="MDH37" s="862"/>
      <c r="MDI37" s="862"/>
      <c r="MDJ37" s="862"/>
      <c r="MDK37" s="862"/>
      <c r="MDL37" s="862"/>
      <c r="MDM37" s="862"/>
      <c r="MDN37" s="862"/>
      <c r="MDO37" s="862"/>
      <c r="MDP37" s="862"/>
      <c r="MDQ37" s="862"/>
      <c r="MDR37" s="862"/>
      <c r="MDS37" s="862"/>
      <c r="MDT37" s="862"/>
      <c r="MDU37" s="862"/>
      <c r="MDV37" s="862"/>
      <c r="MDW37" s="862"/>
      <c r="MDX37" s="862"/>
      <c r="MDY37" s="862"/>
      <c r="MDZ37" s="862"/>
      <c r="MEA37" s="862"/>
      <c r="MEB37" s="862"/>
      <c r="MEC37" s="862"/>
      <c r="MED37" s="862"/>
      <c r="MEE37" s="862"/>
      <c r="MEF37" s="862"/>
      <c r="MEG37" s="862"/>
      <c r="MEH37" s="862"/>
      <c r="MEI37" s="862"/>
      <c r="MEJ37" s="862"/>
      <c r="MEK37" s="862"/>
      <c r="MEL37" s="862"/>
      <c r="MEM37" s="862"/>
      <c r="MEN37" s="862"/>
      <c r="MEO37" s="862"/>
      <c r="MEP37" s="862"/>
      <c r="MEQ37" s="862"/>
      <c r="MER37" s="862"/>
      <c r="MES37" s="862"/>
      <c r="MET37" s="862"/>
      <c r="MEU37" s="862"/>
      <c r="MEV37" s="862"/>
      <c r="MEW37" s="862"/>
      <c r="MEX37" s="862"/>
      <c r="MEY37" s="862"/>
      <c r="MEZ37" s="862"/>
      <c r="MFA37" s="862"/>
      <c r="MFB37" s="862"/>
      <c r="MFC37" s="862"/>
      <c r="MFD37" s="862"/>
      <c r="MFE37" s="862"/>
      <c r="MFF37" s="862"/>
      <c r="MFG37" s="862"/>
      <c r="MFH37" s="862"/>
      <c r="MFI37" s="862"/>
      <c r="MFJ37" s="862"/>
      <c r="MFK37" s="862"/>
      <c r="MFL37" s="862"/>
      <c r="MFM37" s="862"/>
      <c r="MFN37" s="862"/>
      <c r="MFO37" s="862"/>
      <c r="MFP37" s="862"/>
      <c r="MFQ37" s="862"/>
      <c r="MFR37" s="862"/>
      <c r="MFS37" s="862"/>
      <c r="MFT37" s="862"/>
      <c r="MFU37" s="862"/>
      <c r="MFV37" s="862"/>
      <c r="MFW37" s="862"/>
      <c r="MFX37" s="862"/>
      <c r="MFY37" s="862"/>
      <c r="MFZ37" s="862"/>
      <c r="MGA37" s="862"/>
      <c r="MGB37" s="862"/>
      <c r="MGC37" s="862"/>
      <c r="MGD37" s="862"/>
      <c r="MGE37" s="862"/>
      <c r="MGF37" s="862"/>
      <c r="MGG37" s="862"/>
      <c r="MGH37" s="862"/>
      <c r="MGI37" s="862"/>
      <c r="MGJ37" s="862"/>
      <c r="MGK37" s="862"/>
      <c r="MGL37" s="862"/>
      <c r="MGM37" s="862"/>
      <c r="MGN37" s="862"/>
      <c r="MGO37" s="862"/>
      <c r="MGP37" s="862"/>
      <c r="MGQ37" s="862"/>
      <c r="MGR37" s="862"/>
      <c r="MGS37" s="862"/>
      <c r="MGT37" s="862"/>
      <c r="MGU37" s="862"/>
      <c r="MGV37" s="862"/>
      <c r="MGW37" s="862"/>
      <c r="MGX37" s="862"/>
      <c r="MGY37" s="862"/>
      <c r="MGZ37" s="862"/>
      <c r="MHA37" s="862"/>
      <c r="MHB37" s="862"/>
      <c r="MHC37" s="862"/>
      <c r="MHD37" s="862"/>
      <c r="MHE37" s="862"/>
      <c r="MHF37" s="862"/>
      <c r="MHG37" s="862"/>
      <c r="MHH37" s="862"/>
      <c r="MHI37" s="862"/>
      <c r="MHJ37" s="862"/>
      <c r="MHK37" s="862"/>
      <c r="MHL37" s="862"/>
      <c r="MHM37" s="862"/>
      <c r="MHN37" s="862"/>
      <c r="MHO37" s="862"/>
      <c r="MHP37" s="862"/>
      <c r="MHQ37" s="862"/>
      <c r="MHR37" s="862"/>
      <c r="MHS37" s="862"/>
      <c r="MHT37" s="862"/>
      <c r="MHU37" s="862"/>
      <c r="MHV37" s="862"/>
      <c r="MHW37" s="862"/>
      <c r="MHX37" s="862"/>
      <c r="MHY37" s="862"/>
      <c r="MHZ37" s="862"/>
      <c r="MIA37" s="862"/>
      <c r="MIB37" s="862"/>
      <c r="MIC37" s="862"/>
      <c r="MID37" s="862"/>
      <c r="MIE37" s="862"/>
      <c r="MIF37" s="862"/>
      <c r="MIG37" s="862"/>
      <c r="MIH37" s="862"/>
      <c r="MII37" s="862"/>
      <c r="MIJ37" s="862"/>
      <c r="MIK37" s="862"/>
      <c r="MIL37" s="862"/>
      <c r="MIM37" s="862"/>
      <c r="MIN37" s="862"/>
      <c r="MIO37" s="862"/>
      <c r="MIP37" s="862"/>
      <c r="MIQ37" s="862"/>
      <c r="MIR37" s="862"/>
      <c r="MIS37" s="862"/>
      <c r="MIT37" s="862"/>
      <c r="MIU37" s="862"/>
      <c r="MIV37" s="862"/>
      <c r="MIW37" s="862"/>
      <c r="MIX37" s="862"/>
      <c r="MIY37" s="862"/>
      <c r="MIZ37" s="862"/>
      <c r="MJA37" s="862"/>
      <c r="MJB37" s="862"/>
      <c r="MJC37" s="862"/>
      <c r="MJD37" s="862"/>
      <c r="MJE37" s="862"/>
      <c r="MJF37" s="862"/>
      <c r="MJG37" s="862"/>
      <c r="MJH37" s="862"/>
      <c r="MJI37" s="862"/>
      <c r="MJJ37" s="862"/>
      <c r="MJK37" s="862"/>
      <c r="MJL37" s="862"/>
      <c r="MJM37" s="862"/>
      <c r="MJN37" s="862"/>
      <c r="MJO37" s="862"/>
      <c r="MJP37" s="862"/>
      <c r="MJQ37" s="862"/>
      <c r="MJR37" s="862"/>
      <c r="MJS37" s="862"/>
      <c r="MJT37" s="862"/>
      <c r="MJU37" s="862"/>
      <c r="MJV37" s="862"/>
      <c r="MJW37" s="862"/>
      <c r="MJX37" s="862"/>
      <c r="MJY37" s="862"/>
      <c r="MJZ37" s="862"/>
      <c r="MKA37" s="862"/>
      <c r="MKB37" s="862"/>
      <c r="MKC37" s="862"/>
      <c r="MKD37" s="862"/>
      <c r="MKE37" s="862"/>
      <c r="MKF37" s="862"/>
      <c r="MKG37" s="862"/>
      <c r="MKH37" s="862"/>
      <c r="MKI37" s="862"/>
      <c r="MKJ37" s="862"/>
      <c r="MKK37" s="862"/>
      <c r="MKL37" s="862"/>
      <c r="MKM37" s="862"/>
      <c r="MKN37" s="862"/>
      <c r="MKO37" s="862"/>
      <c r="MKP37" s="862"/>
      <c r="MKQ37" s="862"/>
      <c r="MKR37" s="862"/>
      <c r="MKS37" s="862"/>
      <c r="MKT37" s="862"/>
      <c r="MKU37" s="862"/>
      <c r="MKV37" s="862"/>
      <c r="MKW37" s="862"/>
      <c r="MKX37" s="862"/>
      <c r="MKY37" s="862"/>
      <c r="MKZ37" s="862"/>
      <c r="MLA37" s="862"/>
      <c r="MLB37" s="862"/>
      <c r="MLC37" s="862"/>
      <c r="MLD37" s="862"/>
      <c r="MLE37" s="862"/>
      <c r="MLF37" s="862"/>
      <c r="MLG37" s="862"/>
      <c r="MLH37" s="862"/>
      <c r="MLI37" s="862"/>
      <c r="MLJ37" s="862"/>
      <c r="MLK37" s="862"/>
      <c r="MLL37" s="862"/>
      <c r="MLM37" s="862"/>
      <c r="MLN37" s="862"/>
      <c r="MLO37" s="862"/>
      <c r="MLP37" s="862"/>
      <c r="MLQ37" s="862"/>
      <c r="MLR37" s="862"/>
      <c r="MLS37" s="862"/>
      <c r="MLT37" s="862"/>
      <c r="MLU37" s="862"/>
      <c r="MLV37" s="862"/>
      <c r="MLW37" s="862"/>
      <c r="MLX37" s="862"/>
      <c r="MLY37" s="862"/>
      <c r="MLZ37" s="862"/>
      <c r="MMA37" s="862"/>
      <c r="MMB37" s="862"/>
      <c r="MMC37" s="862"/>
      <c r="MMD37" s="862"/>
      <c r="MME37" s="862"/>
      <c r="MMF37" s="862"/>
      <c r="MMG37" s="862"/>
      <c r="MMH37" s="862"/>
      <c r="MMI37" s="862"/>
      <c r="MMJ37" s="862"/>
      <c r="MMK37" s="862"/>
      <c r="MML37" s="862"/>
      <c r="MMM37" s="862"/>
      <c r="MMN37" s="862"/>
      <c r="MMO37" s="862"/>
      <c r="MMP37" s="862"/>
      <c r="MMQ37" s="862"/>
      <c r="MMR37" s="862"/>
      <c r="MMS37" s="862"/>
      <c r="MMT37" s="862"/>
      <c r="MMU37" s="862"/>
      <c r="MMV37" s="862"/>
      <c r="MMW37" s="862"/>
      <c r="MMX37" s="862"/>
      <c r="MMY37" s="862"/>
      <c r="MMZ37" s="862"/>
      <c r="MNA37" s="862"/>
      <c r="MNB37" s="862"/>
      <c r="MNC37" s="862"/>
      <c r="MND37" s="862"/>
      <c r="MNE37" s="862"/>
      <c r="MNF37" s="862"/>
      <c r="MNG37" s="862"/>
      <c r="MNH37" s="862"/>
      <c r="MNI37" s="862"/>
      <c r="MNJ37" s="862"/>
      <c r="MNK37" s="862"/>
      <c r="MNL37" s="862"/>
      <c r="MNM37" s="862"/>
      <c r="MNN37" s="862"/>
      <c r="MNO37" s="862"/>
      <c r="MNP37" s="862"/>
      <c r="MNQ37" s="862"/>
      <c r="MNR37" s="862"/>
      <c r="MNS37" s="862"/>
      <c r="MNT37" s="862"/>
      <c r="MNU37" s="862"/>
      <c r="MNV37" s="862"/>
      <c r="MNW37" s="862"/>
      <c r="MNX37" s="862"/>
      <c r="MNY37" s="862"/>
      <c r="MNZ37" s="862"/>
      <c r="MOA37" s="862"/>
      <c r="MOB37" s="862"/>
      <c r="MOC37" s="862"/>
      <c r="MOD37" s="862"/>
      <c r="MOE37" s="862"/>
      <c r="MOF37" s="862"/>
      <c r="MOG37" s="862"/>
      <c r="MOH37" s="862"/>
      <c r="MOI37" s="862"/>
      <c r="MOJ37" s="862"/>
      <c r="MOK37" s="862"/>
      <c r="MOL37" s="862"/>
      <c r="MOM37" s="862"/>
      <c r="MON37" s="862"/>
      <c r="MOO37" s="862"/>
      <c r="MOP37" s="862"/>
      <c r="MOQ37" s="862"/>
      <c r="MOR37" s="862"/>
      <c r="MOS37" s="862"/>
      <c r="MOT37" s="862"/>
      <c r="MOU37" s="862"/>
      <c r="MOV37" s="862"/>
      <c r="MOW37" s="862"/>
      <c r="MOX37" s="862"/>
      <c r="MOY37" s="862"/>
      <c r="MOZ37" s="862"/>
      <c r="MPA37" s="862"/>
      <c r="MPB37" s="862"/>
      <c r="MPC37" s="862"/>
      <c r="MPD37" s="862"/>
      <c r="MPE37" s="862"/>
      <c r="MPF37" s="862"/>
      <c r="MPG37" s="862"/>
      <c r="MPH37" s="862"/>
      <c r="MPI37" s="862"/>
      <c r="MPJ37" s="862"/>
      <c r="MPK37" s="862"/>
      <c r="MPL37" s="862"/>
      <c r="MPM37" s="862"/>
      <c r="MPN37" s="862"/>
      <c r="MPO37" s="862"/>
      <c r="MPP37" s="862"/>
      <c r="MPQ37" s="862"/>
      <c r="MPR37" s="862"/>
      <c r="MPS37" s="862"/>
      <c r="MPT37" s="862"/>
      <c r="MPU37" s="862"/>
      <c r="MPV37" s="862"/>
      <c r="MPW37" s="862"/>
      <c r="MPX37" s="862"/>
      <c r="MPY37" s="862"/>
      <c r="MPZ37" s="862"/>
      <c r="MQA37" s="862"/>
      <c r="MQB37" s="862"/>
      <c r="MQC37" s="862"/>
      <c r="MQD37" s="862"/>
      <c r="MQE37" s="862"/>
      <c r="MQF37" s="862"/>
      <c r="MQG37" s="862"/>
      <c r="MQH37" s="862"/>
      <c r="MQI37" s="862"/>
      <c r="MQJ37" s="862"/>
      <c r="MQK37" s="862"/>
      <c r="MQL37" s="862"/>
      <c r="MQM37" s="862"/>
      <c r="MQN37" s="862"/>
      <c r="MQO37" s="862"/>
      <c r="MQP37" s="862"/>
      <c r="MQQ37" s="862"/>
      <c r="MQR37" s="862"/>
      <c r="MQS37" s="862"/>
      <c r="MQT37" s="862"/>
      <c r="MQU37" s="862"/>
      <c r="MQV37" s="862"/>
      <c r="MQW37" s="862"/>
      <c r="MQX37" s="862"/>
      <c r="MQY37" s="862"/>
      <c r="MQZ37" s="862"/>
      <c r="MRA37" s="862"/>
      <c r="MRB37" s="862"/>
      <c r="MRC37" s="862"/>
      <c r="MRD37" s="862"/>
      <c r="MRE37" s="862"/>
      <c r="MRF37" s="862"/>
      <c r="MRG37" s="862"/>
      <c r="MRH37" s="862"/>
      <c r="MRI37" s="862"/>
      <c r="MRJ37" s="862"/>
      <c r="MRK37" s="862"/>
      <c r="MRL37" s="862"/>
      <c r="MRM37" s="862"/>
      <c r="MRN37" s="862"/>
      <c r="MRO37" s="862"/>
      <c r="MRP37" s="862"/>
      <c r="MRQ37" s="862"/>
      <c r="MRR37" s="862"/>
      <c r="MRS37" s="862"/>
      <c r="MRT37" s="862"/>
      <c r="MRU37" s="862"/>
      <c r="MRV37" s="862"/>
      <c r="MRW37" s="862"/>
      <c r="MRX37" s="862"/>
      <c r="MRY37" s="862"/>
      <c r="MRZ37" s="862"/>
      <c r="MSA37" s="862"/>
      <c r="MSB37" s="862"/>
      <c r="MSC37" s="862"/>
      <c r="MSD37" s="862"/>
      <c r="MSE37" s="862"/>
      <c r="MSF37" s="862"/>
      <c r="MSG37" s="862"/>
      <c r="MSH37" s="862"/>
      <c r="MSI37" s="862"/>
      <c r="MSJ37" s="862"/>
      <c r="MSK37" s="862"/>
      <c r="MSL37" s="862"/>
      <c r="MSM37" s="862"/>
      <c r="MSN37" s="862"/>
      <c r="MSO37" s="862"/>
      <c r="MSP37" s="862"/>
      <c r="MSQ37" s="862"/>
      <c r="MSR37" s="862"/>
      <c r="MSS37" s="862"/>
      <c r="MST37" s="862"/>
      <c r="MSU37" s="862"/>
      <c r="MSV37" s="862"/>
      <c r="MSW37" s="862"/>
      <c r="MSX37" s="862"/>
      <c r="MSY37" s="862"/>
      <c r="MSZ37" s="862"/>
      <c r="MTA37" s="862"/>
      <c r="MTB37" s="862"/>
      <c r="MTC37" s="862"/>
      <c r="MTD37" s="862"/>
      <c r="MTE37" s="862"/>
      <c r="MTF37" s="862"/>
      <c r="MTG37" s="862"/>
      <c r="MTH37" s="862"/>
      <c r="MTI37" s="862"/>
      <c r="MTJ37" s="862"/>
      <c r="MTK37" s="862"/>
      <c r="MTL37" s="862"/>
      <c r="MTM37" s="862"/>
      <c r="MTN37" s="862"/>
      <c r="MTO37" s="862"/>
      <c r="MTP37" s="862"/>
      <c r="MTQ37" s="862"/>
      <c r="MTR37" s="862"/>
      <c r="MTS37" s="862"/>
      <c r="MTT37" s="862"/>
      <c r="MTU37" s="862"/>
      <c r="MTV37" s="862"/>
      <c r="MTW37" s="862"/>
      <c r="MTX37" s="862"/>
      <c r="MTY37" s="862"/>
      <c r="MTZ37" s="862"/>
      <c r="MUA37" s="862"/>
      <c r="MUB37" s="862"/>
      <c r="MUC37" s="862"/>
      <c r="MUD37" s="862"/>
      <c r="MUE37" s="862"/>
      <c r="MUF37" s="862"/>
      <c r="MUG37" s="862"/>
      <c r="MUH37" s="862"/>
      <c r="MUI37" s="862"/>
      <c r="MUJ37" s="862"/>
      <c r="MUK37" s="862"/>
      <c r="MUL37" s="862"/>
      <c r="MUM37" s="862"/>
      <c r="MUN37" s="862"/>
      <c r="MUO37" s="862"/>
      <c r="MUP37" s="862"/>
      <c r="MUQ37" s="862"/>
      <c r="MUR37" s="862"/>
      <c r="MUS37" s="862"/>
      <c r="MUT37" s="862"/>
      <c r="MUU37" s="862"/>
      <c r="MUV37" s="862"/>
      <c r="MUW37" s="862"/>
      <c r="MUX37" s="862"/>
      <c r="MUY37" s="862"/>
      <c r="MUZ37" s="862"/>
      <c r="MVA37" s="862"/>
      <c r="MVB37" s="862"/>
      <c r="MVC37" s="862"/>
      <c r="MVD37" s="862"/>
      <c r="MVE37" s="862"/>
      <c r="MVF37" s="862"/>
      <c r="MVG37" s="862"/>
      <c r="MVH37" s="862"/>
      <c r="MVI37" s="862"/>
      <c r="MVJ37" s="862"/>
      <c r="MVK37" s="862"/>
      <c r="MVL37" s="862"/>
      <c r="MVM37" s="862"/>
      <c r="MVN37" s="862"/>
      <c r="MVO37" s="862"/>
      <c r="MVP37" s="862"/>
      <c r="MVQ37" s="862"/>
      <c r="MVR37" s="862"/>
      <c r="MVS37" s="862"/>
      <c r="MVT37" s="862"/>
      <c r="MVU37" s="862"/>
      <c r="MVV37" s="862"/>
      <c r="MVW37" s="862"/>
      <c r="MVX37" s="862"/>
      <c r="MVY37" s="862"/>
      <c r="MVZ37" s="862"/>
      <c r="MWA37" s="862"/>
      <c r="MWB37" s="862"/>
      <c r="MWC37" s="862"/>
      <c r="MWD37" s="862"/>
      <c r="MWE37" s="862"/>
      <c r="MWF37" s="862"/>
      <c r="MWG37" s="862"/>
      <c r="MWH37" s="862"/>
      <c r="MWI37" s="862"/>
      <c r="MWJ37" s="862"/>
      <c r="MWK37" s="862"/>
      <c r="MWL37" s="862"/>
      <c r="MWM37" s="862"/>
      <c r="MWN37" s="862"/>
      <c r="MWO37" s="862"/>
      <c r="MWP37" s="862"/>
      <c r="MWQ37" s="862"/>
      <c r="MWR37" s="862"/>
      <c r="MWS37" s="862"/>
      <c r="MWT37" s="862"/>
      <c r="MWU37" s="862"/>
      <c r="MWV37" s="862"/>
      <c r="MWW37" s="862"/>
      <c r="MWX37" s="862"/>
      <c r="MWY37" s="862"/>
      <c r="MWZ37" s="862"/>
      <c r="MXA37" s="862"/>
      <c r="MXB37" s="862"/>
      <c r="MXC37" s="862"/>
      <c r="MXD37" s="862"/>
      <c r="MXE37" s="862"/>
      <c r="MXF37" s="862"/>
      <c r="MXG37" s="862"/>
      <c r="MXH37" s="862"/>
      <c r="MXI37" s="862"/>
      <c r="MXJ37" s="862"/>
      <c r="MXK37" s="862"/>
      <c r="MXL37" s="862"/>
      <c r="MXM37" s="862"/>
      <c r="MXN37" s="862"/>
      <c r="MXO37" s="862"/>
      <c r="MXP37" s="862"/>
      <c r="MXQ37" s="862"/>
      <c r="MXR37" s="862"/>
      <c r="MXS37" s="862"/>
      <c r="MXT37" s="862"/>
      <c r="MXU37" s="862"/>
      <c r="MXV37" s="862"/>
      <c r="MXW37" s="862"/>
      <c r="MXX37" s="862"/>
      <c r="MXY37" s="862"/>
      <c r="MXZ37" s="862"/>
      <c r="MYA37" s="862"/>
      <c r="MYB37" s="862"/>
      <c r="MYC37" s="862"/>
      <c r="MYD37" s="862"/>
      <c r="MYE37" s="862"/>
      <c r="MYF37" s="862"/>
      <c r="MYG37" s="862"/>
      <c r="MYH37" s="862"/>
      <c r="MYI37" s="862"/>
      <c r="MYJ37" s="862"/>
      <c r="MYK37" s="862"/>
      <c r="MYL37" s="862"/>
      <c r="MYM37" s="862"/>
      <c r="MYN37" s="862"/>
      <c r="MYO37" s="862"/>
      <c r="MYP37" s="862"/>
      <c r="MYQ37" s="862"/>
      <c r="MYR37" s="862"/>
      <c r="MYS37" s="862"/>
      <c r="MYT37" s="862"/>
      <c r="MYU37" s="862"/>
      <c r="MYV37" s="862"/>
      <c r="MYW37" s="862"/>
      <c r="MYX37" s="862"/>
      <c r="MYY37" s="862"/>
      <c r="MYZ37" s="862"/>
      <c r="MZA37" s="862"/>
      <c r="MZB37" s="862"/>
      <c r="MZC37" s="862"/>
      <c r="MZD37" s="862"/>
      <c r="MZE37" s="862"/>
      <c r="MZF37" s="862"/>
      <c r="MZG37" s="862"/>
      <c r="MZH37" s="862"/>
      <c r="MZI37" s="862"/>
      <c r="MZJ37" s="862"/>
      <c r="MZK37" s="862"/>
      <c r="MZL37" s="862"/>
      <c r="MZM37" s="862"/>
      <c r="MZN37" s="862"/>
      <c r="MZO37" s="862"/>
      <c r="MZP37" s="862"/>
      <c r="MZQ37" s="862"/>
      <c r="MZR37" s="862"/>
      <c r="MZS37" s="862"/>
      <c r="MZT37" s="862"/>
      <c r="MZU37" s="862"/>
      <c r="MZV37" s="862"/>
      <c r="MZW37" s="862"/>
      <c r="MZX37" s="862"/>
      <c r="MZY37" s="862"/>
      <c r="MZZ37" s="862"/>
      <c r="NAA37" s="862"/>
      <c r="NAB37" s="862"/>
      <c r="NAC37" s="862"/>
      <c r="NAD37" s="862"/>
      <c r="NAE37" s="862"/>
      <c r="NAF37" s="862"/>
      <c r="NAG37" s="862"/>
      <c r="NAH37" s="862"/>
      <c r="NAI37" s="862"/>
      <c r="NAJ37" s="862"/>
      <c r="NAK37" s="862"/>
      <c r="NAL37" s="862"/>
      <c r="NAM37" s="862"/>
      <c r="NAN37" s="862"/>
      <c r="NAO37" s="862"/>
      <c r="NAP37" s="862"/>
      <c r="NAQ37" s="862"/>
      <c r="NAR37" s="862"/>
      <c r="NAS37" s="862"/>
      <c r="NAT37" s="862"/>
      <c r="NAU37" s="862"/>
      <c r="NAV37" s="862"/>
      <c r="NAW37" s="862"/>
      <c r="NAX37" s="862"/>
      <c r="NAY37" s="862"/>
      <c r="NAZ37" s="862"/>
      <c r="NBA37" s="862"/>
      <c r="NBB37" s="862"/>
      <c r="NBC37" s="862"/>
      <c r="NBD37" s="862"/>
      <c r="NBE37" s="862"/>
      <c r="NBF37" s="862"/>
      <c r="NBG37" s="862"/>
      <c r="NBH37" s="862"/>
      <c r="NBI37" s="862"/>
      <c r="NBJ37" s="862"/>
      <c r="NBK37" s="862"/>
      <c r="NBL37" s="862"/>
      <c r="NBM37" s="862"/>
      <c r="NBN37" s="862"/>
      <c r="NBO37" s="862"/>
      <c r="NBP37" s="862"/>
      <c r="NBQ37" s="862"/>
      <c r="NBR37" s="862"/>
      <c r="NBS37" s="862"/>
      <c r="NBT37" s="862"/>
      <c r="NBU37" s="862"/>
      <c r="NBV37" s="862"/>
      <c r="NBW37" s="862"/>
      <c r="NBX37" s="862"/>
      <c r="NBY37" s="862"/>
      <c r="NBZ37" s="862"/>
      <c r="NCA37" s="862"/>
      <c r="NCB37" s="862"/>
      <c r="NCC37" s="862"/>
      <c r="NCD37" s="862"/>
      <c r="NCE37" s="862"/>
      <c r="NCF37" s="862"/>
      <c r="NCG37" s="862"/>
      <c r="NCH37" s="862"/>
      <c r="NCI37" s="862"/>
      <c r="NCJ37" s="862"/>
      <c r="NCK37" s="862"/>
      <c r="NCL37" s="862"/>
      <c r="NCM37" s="862"/>
      <c r="NCN37" s="862"/>
      <c r="NCO37" s="862"/>
      <c r="NCP37" s="862"/>
      <c r="NCQ37" s="862"/>
      <c r="NCR37" s="862"/>
      <c r="NCS37" s="862"/>
      <c r="NCT37" s="862"/>
      <c r="NCU37" s="862"/>
      <c r="NCV37" s="862"/>
      <c r="NCW37" s="862"/>
      <c r="NCX37" s="862"/>
      <c r="NCY37" s="862"/>
      <c r="NCZ37" s="862"/>
      <c r="NDA37" s="862"/>
      <c r="NDB37" s="862"/>
      <c r="NDC37" s="862"/>
      <c r="NDD37" s="862"/>
      <c r="NDE37" s="862"/>
      <c r="NDF37" s="862"/>
      <c r="NDG37" s="862"/>
      <c r="NDH37" s="862"/>
      <c r="NDI37" s="862"/>
      <c r="NDJ37" s="862"/>
      <c r="NDK37" s="862"/>
      <c r="NDL37" s="862"/>
      <c r="NDM37" s="862"/>
      <c r="NDN37" s="862"/>
      <c r="NDO37" s="862"/>
      <c r="NDP37" s="862"/>
      <c r="NDQ37" s="862"/>
      <c r="NDR37" s="862"/>
      <c r="NDS37" s="862"/>
      <c r="NDT37" s="862"/>
      <c r="NDU37" s="862"/>
      <c r="NDV37" s="862"/>
      <c r="NDW37" s="862"/>
      <c r="NDX37" s="862"/>
      <c r="NDY37" s="862"/>
      <c r="NDZ37" s="862"/>
      <c r="NEA37" s="862"/>
      <c r="NEB37" s="862"/>
      <c r="NEC37" s="862"/>
      <c r="NED37" s="862"/>
      <c r="NEE37" s="862"/>
      <c r="NEF37" s="862"/>
      <c r="NEG37" s="862"/>
      <c r="NEH37" s="862"/>
      <c r="NEI37" s="862"/>
      <c r="NEJ37" s="862"/>
      <c r="NEK37" s="862"/>
      <c r="NEL37" s="862"/>
      <c r="NEM37" s="862"/>
      <c r="NEN37" s="862"/>
      <c r="NEO37" s="862"/>
      <c r="NEP37" s="862"/>
      <c r="NEQ37" s="862"/>
      <c r="NER37" s="862"/>
      <c r="NES37" s="862"/>
      <c r="NET37" s="862"/>
      <c r="NEU37" s="862"/>
      <c r="NEV37" s="862"/>
      <c r="NEW37" s="862"/>
      <c r="NEX37" s="862"/>
      <c r="NEY37" s="862"/>
      <c r="NEZ37" s="862"/>
      <c r="NFA37" s="862"/>
      <c r="NFB37" s="862"/>
      <c r="NFC37" s="862"/>
      <c r="NFD37" s="862"/>
      <c r="NFE37" s="862"/>
      <c r="NFF37" s="862"/>
      <c r="NFG37" s="862"/>
      <c r="NFH37" s="862"/>
      <c r="NFI37" s="862"/>
      <c r="NFJ37" s="862"/>
      <c r="NFK37" s="862"/>
      <c r="NFL37" s="862"/>
      <c r="NFM37" s="862"/>
      <c r="NFN37" s="862"/>
      <c r="NFO37" s="862"/>
      <c r="NFP37" s="862"/>
      <c r="NFQ37" s="862"/>
      <c r="NFR37" s="862"/>
      <c r="NFS37" s="862"/>
      <c r="NFT37" s="862"/>
      <c r="NFU37" s="862"/>
      <c r="NFV37" s="862"/>
      <c r="NFW37" s="862"/>
      <c r="NFX37" s="862"/>
      <c r="NFY37" s="862"/>
      <c r="NFZ37" s="862"/>
      <c r="NGA37" s="862"/>
      <c r="NGB37" s="862"/>
      <c r="NGC37" s="862"/>
      <c r="NGD37" s="862"/>
      <c r="NGE37" s="862"/>
      <c r="NGF37" s="862"/>
      <c r="NGG37" s="862"/>
      <c r="NGH37" s="862"/>
      <c r="NGI37" s="862"/>
      <c r="NGJ37" s="862"/>
      <c r="NGK37" s="862"/>
      <c r="NGL37" s="862"/>
      <c r="NGM37" s="862"/>
      <c r="NGN37" s="862"/>
      <c r="NGO37" s="862"/>
      <c r="NGP37" s="862"/>
      <c r="NGQ37" s="862"/>
      <c r="NGR37" s="862"/>
      <c r="NGS37" s="862"/>
      <c r="NGT37" s="862"/>
      <c r="NGU37" s="862"/>
      <c r="NGV37" s="862"/>
      <c r="NGW37" s="862"/>
      <c r="NGX37" s="862"/>
      <c r="NGY37" s="862"/>
      <c r="NGZ37" s="862"/>
      <c r="NHA37" s="862"/>
      <c r="NHB37" s="862"/>
      <c r="NHC37" s="862"/>
      <c r="NHD37" s="862"/>
      <c r="NHE37" s="862"/>
      <c r="NHF37" s="862"/>
      <c r="NHG37" s="862"/>
      <c r="NHH37" s="862"/>
      <c r="NHI37" s="862"/>
      <c r="NHJ37" s="862"/>
      <c r="NHK37" s="862"/>
      <c r="NHL37" s="862"/>
      <c r="NHM37" s="862"/>
      <c r="NHN37" s="862"/>
      <c r="NHO37" s="862"/>
      <c r="NHP37" s="862"/>
      <c r="NHQ37" s="862"/>
      <c r="NHR37" s="862"/>
      <c r="NHS37" s="862"/>
      <c r="NHT37" s="862"/>
      <c r="NHU37" s="862"/>
      <c r="NHV37" s="862"/>
      <c r="NHW37" s="862"/>
      <c r="NHX37" s="862"/>
      <c r="NHY37" s="862"/>
      <c r="NHZ37" s="862"/>
      <c r="NIA37" s="862"/>
      <c r="NIB37" s="862"/>
      <c r="NIC37" s="862"/>
      <c r="NID37" s="862"/>
      <c r="NIE37" s="862"/>
      <c r="NIF37" s="862"/>
      <c r="NIG37" s="862"/>
      <c r="NIH37" s="862"/>
      <c r="NII37" s="862"/>
      <c r="NIJ37" s="862"/>
      <c r="NIK37" s="862"/>
      <c r="NIL37" s="862"/>
      <c r="NIM37" s="862"/>
      <c r="NIN37" s="862"/>
      <c r="NIO37" s="862"/>
      <c r="NIP37" s="862"/>
      <c r="NIQ37" s="862"/>
      <c r="NIR37" s="862"/>
      <c r="NIS37" s="862"/>
      <c r="NIT37" s="862"/>
      <c r="NIU37" s="862"/>
      <c r="NIV37" s="862"/>
      <c r="NIW37" s="862"/>
      <c r="NIX37" s="862"/>
      <c r="NIY37" s="862"/>
      <c r="NIZ37" s="862"/>
      <c r="NJA37" s="862"/>
      <c r="NJB37" s="862"/>
      <c r="NJC37" s="862"/>
      <c r="NJD37" s="862"/>
      <c r="NJE37" s="862"/>
      <c r="NJF37" s="862"/>
      <c r="NJG37" s="862"/>
      <c r="NJH37" s="862"/>
      <c r="NJI37" s="862"/>
      <c r="NJJ37" s="862"/>
      <c r="NJK37" s="862"/>
      <c r="NJL37" s="862"/>
      <c r="NJM37" s="862"/>
      <c r="NJN37" s="862"/>
      <c r="NJO37" s="862"/>
      <c r="NJP37" s="862"/>
      <c r="NJQ37" s="862"/>
      <c r="NJR37" s="862"/>
      <c r="NJS37" s="862"/>
      <c r="NJT37" s="862"/>
      <c r="NJU37" s="862"/>
      <c r="NJV37" s="862"/>
      <c r="NJW37" s="862"/>
      <c r="NJX37" s="862"/>
      <c r="NJY37" s="862"/>
      <c r="NJZ37" s="862"/>
      <c r="NKA37" s="862"/>
      <c r="NKB37" s="862"/>
      <c r="NKC37" s="862"/>
      <c r="NKD37" s="862"/>
      <c r="NKE37" s="862"/>
      <c r="NKF37" s="862"/>
      <c r="NKG37" s="862"/>
      <c r="NKH37" s="862"/>
      <c r="NKI37" s="862"/>
      <c r="NKJ37" s="862"/>
      <c r="NKK37" s="862"/>
      <c r="NKL37" s="862"/>
      <c r="NKM37" s="862"/>
      <c r="NKN37" s="862"/>
      <c r="NKO37" s="862"/>
      <c r="NKP37" s="862"/>
      <c r="NKQ37" s="862"/>
      <c r="NKR37" s="862"/>
      <c r="NKS37" s="862"/>
      <c r="NKT37" s="862"/>
      <c r="NKU37" s="862"/>
      <c r="NKV37" s="862"/>
      <c r="NKW37" s="862"/>
      <c r="NKX37" s="862"/>
      <c r="NKY37" s="862"/>
      <c r="NKZ37" s="862"/>
      <c r="NLA37" s="862"/>
      <c r="NLB37" s="862"/>
      <c r="NLC37" s="862"/>
      <c r="NLD37" s="862"/>
      <c r="NLE37" s="862"/>
      <c r="NLF37" s="862"/>
      <c r="NLG37" s="862"/>
      <c r="NLH37" s="862"/>
      <c r="NLI37" s="862"/>
      <c r="NLJ37" s="862"/>
      <c r="NLK37" s="862"/>
      <c r="NLL37" s="862"/>
      <c r="NLM37" s="862"/>
      <c r="NLN37" s="862"/>
      <c r="NLO37" s="862"/>
      <c r="NLP37" s="862"/>
      <c r="NLQ37" s="862"/>
      <c r="NLR37" s="862"/>
      <c r="NLS37" s="862"/>
      <c r="NLT37" s="862"/>
      <c r="NLU37" s="862"/>
      <c r="NLV37" s="862"/>
      <c r="NLW37" s="862"/>
      <c r="NLX37" s="862"/>
      <c r="NLY37" s="862"/>
      <c r="NLZ37" s="862"/>
      <c r="NMA37" s="862"/>
      <c r="NMB37" s="862"/>
      <c r="NMC37" s="862"/>
      <c r="NMD37" s="862"/>
      <c r="NME37" s="862"/>
      <c r="NMF37" s="862"/>
      <c r="NMG37" s="862"/>
      <c r="NMH37" s="862"/>
      <c r="NMI37" s="862"/>
      <c r="NMJ37" s="862"/>
      <c r="NMK37" s="862"/>
      <c r="NML37" s="862"/>
      <c r="NMM37" s="862"/>
      <c r="NMN37" s="862"/>
      <c r="NMO37" s="862"/>
      <c r="NMP37" s="862"/>
      <c r="NMQ37" s="862"/>
      <c r="NMR37" s="862"/>
      <c r="NMS37" s="862"/>
      <c r="NMT37" s="862"/>
      <c r="NMU37" s="862"/>
      <c r="NMV37" s="862"/>
      <c r="NMW37" s="862"/>
      <c r="NMX37" s="862"/>
      <c r="NMY37" s="862"/>
      <c r="NMZ37" s="862"/>
      <c r="NNA37" s="862"/>
      <c r="NNB37" s="862"/>
      <c r="NNC37" s="862"/>
      <c r="NND37" s="862"/>
      <c r="NNE37" s="862"/>
      <c r="NNF37" s="862"/>
      <c r="NNG37" s="862"/>
      <c r="NNH37" s="862"/>
      <c r="NNI37" s="862"/>
      <c r="NNJ37" s="862"/>
      <c r="NNK37" s="862"/>
      <c r="NNL37" s="862"/>
      <c r="NNM37" s="862"/>
      <c r="NNN37" s="862"/>
      <c r="NNO37" s="862"/>
      <c r="NNP37" s="862"/>
      <c r="NNQ37" s="862"/>
      <c r="NNR37" s="862"/>
      <c r="NNS37" s="862"/>
      <c r="NNT37" s="862"/>
      <c r="NNU37" s="862"/>
      <c r="NNV37" s="862"/>
      <c r="NNW37" s="862"/>
      <c r="NNX37" s="862"/>
      <c r="NNY37" s="862"/>
      <c r="NNZ37" s="862"/>
      <c r="NOA37" s="862"/>
      <c r="NOB37" s="862"/>
      <c r="NOC37" s="862"/>
      <c r="NOD37" s="862"/>
      <c r="NOE37" s="862"/>
      <c r="NOF37" s="862"/>
      <c r="NOG37" s="862"/>
      <c r="NOH37" s="862"/>
      <c r="NOI37" s="862"/>
      <c r="NOJ37" s="862"/>
      <c r="NOK37" s="862"/>
      <c r="NOL37" s="862"/>
      <c r="NOM37" s="862"/>
      <c r="NON37" s="862"/>
      <c r="NOO37" s="862"/>
      <c r="NOP37" s="862"/>
      <c r="NOQ37" s="862"/>
      <c r="NOR37" s="862"/>
      <c r="NOS37" s="862"/>
      <c r="NOT37" s="862"/>
      <c r="NOU37" s="862"/>
      <c r="NOV37" s="862"/>
      <c r="NOW37" s="862"/>
      <c r="NOX37" s="862"/>
      <c r="NOY37" s="862"/>
      <c r="NOZ37" s="862"/>
      <c r="NPA37" s="862"/>
      <c r="NPB37" s="862"/>
      <c r="NPC37" s="862"/>
      <c r="NPD37" s="862"/>
      <c r="NPE37" s="862"/>
      <c r="NPF37" s="862"/>
      <c r="NPG37" s="862"/>
      <c r="NPH37" s="862"/>
      <c r="NPI37" s="862"/>
      <c r="NPJ37" s="862"/>
      <c r="NPK37" s="862"/>
      <c r="NPL37" s="862"/>
      <c r="NPM37" s="862"/>
      <c r="NPN37" s="862"/>
      <c r="NPO37" s="862"/>
      <c r="NPP37" s="862"/>
      <c r="NPQ37" s="862"/>
      <c r="NPR37" s="862"/>
      <c r="NPS37" s="862"/>
      <c r="NPT37" s="862"/>
      <c r="NPU37" s="862"/>
      <c r="NPV37" s="862"/>
      <c r="NPW37" s="862"/>
      <c r="NPX37" s="862"/>
      <c r="NPY37" s="862"/>
      <c r="NPZ37" s="862"/>
      <c r="NQA37" s="862"/>
      <c r="NQB37" s="862"/>
      <c r="NQC37" s="862"/>
      <c r="NQD37" s="862"/>
      <c r="NQE37" s="862"/>
      <c r="NQF37" s="862"/>
      <c r="NQG37" s="862"/>
      <c r="NQH37" s="862"/>
      <c r="NQI37" s="862"/>
      <c r="NQJ37" s="862"/>
      <c r="NQK37" s="862"/>
      <c r="NQL37" s="862"/>
      <c r="NQM37" s="862"/>
      <c r="NQN37" s="862"/>
      <c r="NQO37" s="862"/>
      <c r="NQP37" s="862"/>
      <c r="NQQ37" s="862"/>
      <c r="NQR37" s="862"/>
      <c r="NQS37" s="862"/>
      <c r="NQT37" s="862"/>
      <c r="NQU37" s="862"/>
      <c r="NQV37" s="862"/>
      <c r="NQW37" s="862"/>
      <c r="NQX37" s="862"/>
      <c r="NQY37" s="862"/>
      <c r="NQZ37" s="862"/>
      <c r="NRA37" s="862"/>
      <c r="NRB37" s="862"/>
      <c r="NRC37" s="862"/>
      <c r="NRD37" s="862"/>
      <c r="NRE37" s="862"/>
      <c r="NRF37" s="862"/>
      <c r="NRG37" s="862"/>
      <c r="NRH37" s="862"/>
      <c r="NRI37" s="862"/>
      <c r="NRJ37" s="862"/>
      <c r="NRK37" s="862"/>
      <c r="NRL37" s="862"/>
      <c r="NRM37" s="862"/>
      <c r="NRN37" s="862"/>
      <c r="NRO37" s="862"/>
      <c r="NRP37" s="862"/>
      <c r="NRQ37" s="862"/>
      <c r="NRR37" s="862"/>
      <c r="NRS37" s="862"/>
      <c r="NRT37" s="862"/>
      <c r="NRU37" s="862"/>
      <c r="NRV37" s="862"/>
      <c r="NRW37" s="862"/>
      <c r="NRX37" s="862"/>
      <c r="NRY37" s="862"/>
      <c r="NRZ37" s="862"/>
      <c r="NSA37" s="862"/>
      <c r="NSB37" s="862"/>
      <c r="NSC37" s="862"/>
      <c r="NSD37" s="862"/>
      <c r="NSE37" s="862"/>
      <c r="NSF37" s="862"/>
      <c r="NSG37" s="862"/>
      <c r="NSH37" s="862"/>
      <c r="NSI37" s="862"/>
      <c r="NSJ37" s="862"/>
      <c r="NSK37" s="862"/>
      <c r="NSL37" s="862"/>
      <c r="NSM37" s="862"/>
      <c r="NSN37" s="862"/>
      <c r="NSO37" s="862"/>
      <c r="NSP37" s="862"/>
      <c r="NSQ37" s="862"/>
      <c r="NSR37" s="862"/>
      <c r="NSS37" s="862"/>
      <c r="NST37" s="862"/>
      <c r="NSU37" s="862"/>
      <c r="NSV37" s="862"/>
      <c r="NSW37" s="862"/>
      <c r="NSX37" s="862"/>
      <c r="NSY37" s="862"/>
      <c r="NSZ37" s="862"/>
      <c r="NTA37" s="862"/>
      <c r="NTB37" s="862"/>
      <c r="NTC37" s="862"/>
      <c r="NTD37" s="862"/>
      <c r="NTE37" s="862"/>
      <c r="NTF37" s="862"/>
      <c r="NTG37" s="862"/>
      <c r="NTH37" s="862"/>
      <c r="NTI37" s="862"/>
      <c r="NTJ37" s="862"/>
      <c r="NTK37" s="862"/>
      <c r="NTL37" s="862"/>
      <c r="NTM37" s="862"/>
      <c r="NTN37" s="862"/>
      <c r="NTO37" s="862"/>
      <c r="NTP37" s="862"/>
      <c r="NTQ37" s="862"/>
      <c r="NTR37" s="862"/>
      <c r="NTS37" s="862"/>
      <c r="NTT37" s="862"/>
      <c r="NTU37" s="862"/>
      <c r="NTV37" s="862"/>
      <c r="NTW37" s="862"/>
      <c r="NTX37" s="862"/>
      <c r="NTY37" s="862"/>
      <c r="NTZ37" s="862"/>
      <c r="NUA37" s="862"/>
      <c r="NUB37" s="862"/>
      <c r="NUC37" s="862"/>
      <c r="NUD37" s="862"/>
      <c r="NUE37" s="862"/>
      <c r="NUF37" s="862"/>
      <c r="NUG37" s="862"/>
      <c r="NUH37" s="862"/>
      <c r="NUI37" s="862"/>
      <c r="NUJ37" s="862"/>
      <c r="NUK37" s="862"/>
      <c r="NUL37" s="862"/>
      <c r="NUM37" s="862"/>
      <c r="NUN37" s="862"/>
      <c r="NUO37" s="862"/>
      <c r="NUP37" s="862"/>
      <c r="NUQ37" s="862"/>
      <c r="NUR37" s="862"/>
      <c r="NUS37" s="862"/>
      <c r="NUT37" s="862"/>
      <c r="NUU37" s="862"/>
      <c r="NUV37" s="862"/>
      <c r="NUW37" s="862"/>
      <c r="NUX37" s="862"/>
      <c r="NUY37" s="862"/>
      <c r="NUZ37" s="862"/>
      <c r="NVA37" s="862"/>
      <c r="NVB37" s="862"/>
      <c r="NVC37" s="862"/>
      <c r="NVD37" s="862"/>
      <c r="NVE37" s="862"/>
      <c r="NVF37" s="862"/>
      <c r="NVG37" s="862"/>
      <c r="NVH37" s="862"/>
      <c r="NVI37" s="862"/>
      <c r="NVJ37" s="862"/>
      <c r="NVK37" s="862"/>
      <c r="NVL37" s="862"/>
      <c r="NVM37" s="862"/>
      <c r="NVN37" s="862"/>
      <c r="NVO37" s="862"/>
      <c r="NVP37" s="862"/>
      <c r="NVQ37" s="862"/>
      <c r="NVR37" s="862"/>
      <c r="NVS37" s="862"/>
      <c r="NVT37" s="862"/>
      <c r="NVU37" s="862"/>
      <c r="NVV37" s="862"/>
      <c r="NVW37" s="862"/>
      <c r="NVX37" s="862"/>
      <c r="NVY37" s="862"/>
      <c r="NVZ37" s="862"/>
      <c r="NWA37" s="862"/>
      <c r="NWB37" s="862"/>
      <c r="NWC37" s="862"/>
      <c r="NWD37" s="862"/>
      <c r="NWE37" s="862"/>
      <c r="NWF37" s="862"/>
      <c r="NWG37" s="862"/>
      <c r="NWH37" s="862"/>
      <c r="NWI37" s="862"/>
      <c r="NWJ37" s="862"/>
      <c r="NWK37" s="862"/>
      <c r="NWL37" s="862"/>
      <c r="NWM37" s="862"/>
      <c r="NWN37" s="862"/>
      <c r="NWO37" s="862"/>
      <c r="NWP37" s="862"/>
      <c r="NWQ37" s="862"/>
      <c r="NWR37" s="862"/>
      <c r="NWS37" s="862"/>
      <c r="NWT37" s="862"/>
      <c r="NWU37" s="862"/>
      <c r="NWV37" s="862"/>
      <c r="NWW37" s="862"/>
      <c r="NWX37" s="862"/>
      <c r="NWY37" s="862"/>
      <c r="NWZ37" s="862"/>
      <c r="NXA37" s="862"/>
      <c r="NXB37" s="862"/>
      <c r="NXC37" s="862"/>
      <c r="NXD37" s="862"/>
      <c r="NXE37" s="862"/>
      <c r="NXF37" s="862"/>
      <c r="NXG37" s="862"/>
      <c r="NXH37" s="862"/>
      <c r="NXI37" s="862"/>
      <c r="NXJ37" s="862"/>
      <c r="NXK37" s="862"/>
      <c r="NXL37" s="862"/>
      <c r="NXM37" s="862"/>
      <c r="NXN37" s="862"/>
      <c r="NXO37" s="862"/>
      <c r="NXP37" s="862"/>
      <c r="NXQ37" s="862"/>
      <c r="NXR37" s="862"/>
      <c r="NXS37" s="862"/>
      <c r="NXT37" s="862"/>
      <c r="NXU37" s="862"/>
      <c r="NXV37" s="862"/>
      <c r="NXW37" s="862"/>
      <c r="NXX37" s="862"/>
      <c r="NXY37" s="862"/>
      <c r="NXZ37" s="862"/>
      <c r="NYA37" s="862"/>
      <c r="NYB37" s="862"/>
      <c r="NYC37" s="862"/>
      <c r="NYD37" s="862"/>
      <c r="NYE37" s="862"/>
      <c r="NYF37" s="862"/>
      <c r="NYG37" s="862"/>
      <c r="NYH37" s="862"/>
      <c r="NYI37" s="862"/>
      <c r="NYJ37" s="862"/>
      <c r="NYK37" s="862"/>
      <c r="NYL37" s="862"/>
      <c r="NYM37" s="862"/>
      <c r="NYN37" s="862"/>
      <c r="NYO37" s="862"/>
      <c r="NYP37" s="862"/>
      <c r="NYQ37" s="862"/>
      <c r="NYR37" s="862"/>
      <c r="NYS37" s="862"/>
      <c r="NYT37" s="862"/>
      <c r="NYU37" s="862"/>
      <c r="NYV37" s="862"/>
      <c r="NYW37" s="862"/>
      <c r="NYX37" s="862"/>
      <c r="NYY37" s="862"/>
      <c r="NYZ37" s="862"/>
      <c r="NZA37" s="862"/>
      <c r="NZB37" s="862"/>
      <c r="NZC37" s="862"/>
      <c r="NZD37" s="862"/>
      <c r="NZE37" s="862"/>
      <c r="NZF37" s="862"/>
      <c r="NZG37" s="862"/>
      <c r="NZH37" s="862"/>
      <c r="NZI37" s="862"/>
      <c r="NZJ37" s="862"/>
      <c r="NZK37" s="862"/>
      <c r="NZL37" s="862"/>
      <c r="NZM37" s="862"/>
      <c r="NZN37" s="862"/>
      <c r="NZO37" s="862"/>
      <c r="NZP37" s="862"/>
      <c r="NZQ37" s="862"/>
      <c r="NZR37" s="862"/>
      <c r="NZS37" s="862"/>
      <c r="NZT37" s="862"/>
      <c r="NZU37" s="862"/>
      <c r="NZV37" s="862"/>
      <c r="NZW37" s="862"/>
      <c r="NZX37" s="862"/>
      <c r="NZY37" s="862"/>
      <c r="NZZ37" s="862"/>
      <c r="OAA37" s="862"/>
      <c r="OAB37" s="862"/>
      <c r="OAC37" s="862"/>
      <c r="OAD37" s="862"/>
      <c r="OAE37" s="862"/>
      <c r="OAF37" s="862"/>
      <c r="OAG37" s="862"/>
      <c r="OAH37" s="862"/>
      <c r="OAI37" s="862"/>
      <c r="OAJ37" s="862"/>
      <c r="OAK37" s="862"/>
      <c r="OAL37" s="862"/>
      <c r="OAM37" s="862"/>
      <c r="OAN37" s="862"/>
      <c r="OAO37" s="862"/>
      <c r="OAP37" s="862"/>
      <c r="OAQ37" s="862"/>
      <c r="OAR37" s="862"/>
      <c r="OAS37" s="862"/>
      <c r="OAT37" s="862"/>
      <c r="OAU37" s="862"/>
      <c r="OAV37" s="862"/>
      <c r="OAW37" s="862"/>
      <c r="OAX37" s="862"/>
      <c r="OAY37" s="862"/>
      <c r="OAZ37" s="862"/>
      <c r="OBA37" s="862"/>
      <c r="OBB37" s="862"/>
      <c r="OBC37" s="862"/>
      <c r="OBD37" s="862"/>
      <c r="OBE37" s="862"/>
      <c r="OBF37" s="862"/>
      <c r="OBG37" s="862"/>
      <c r="OBH37" s="862"/>
      <c r="OBI37" s="862"/>
      <c r="OBJ37" s="862"/>
      <c r="OBK37" s="862"/>
      <c r="OBL37" s="862"/>
      <c r="OBM37" s="862"/>
      <c r="OBN37" s="862"/>
      <c r="OBO37" s="862"/>
      <c r="OBP37" s="862"/>
      <c r="OBQ37" s="862"/>
      <c r="OBR37" s="862"/>
      <c r="OBS37" s="862"/>
      <c r="OBT37" s="862"/>
      <c r="OBU37" s="862"/>
      <c r="OBV37" s="862"/>
      <c r="OBW37" s="862"/>
      <c r="OBX37" s="862"/>
      <c r="OBY37" s="862"/>
      <c r="OBZ37" s="862"/>
      <c r="OCA37" s="862"/>
      <c r="OCB37" s="862"/>
      <c r="OCC37" s="862"/>
      <c r="OCD37" s="862"/>
      <c r="OCE37" s="862"/>
      <c r="OCF37" s="862"/>
      <c r="OCG37" s="862"/>
      <c r="OCH37" s="862"/>
      <c r="OCI37" s="862"/>
      <c r="OCJ37" s="862"/>
      <c r="OCK37" s="862"/>
      <c r="OCL37" s="862"/>
      <c r="OCM37" s="862"/>
      <c r="OCN37" s="862"/>
      <c r="OCO37" s="862"/>
      <c r="OCP37" s="862"/>
      <c r="OCQ37" s="862"/>
      <c r="OCR37" s="862"/>
      <c r="OCS37" s="862"/>
      <c r="OCT37" s="862"/>
      <c r="OCU37" s="862"/>
      <c r="OCV37" s="862"/>
      <c r="OCW37" s="862"/>
      <c r="OCX37" s="862"/>
      <c r="OCY37" s="862"/>
      <c r="OCZ37" s="862"/>
      <c r="ODA37" s="862"/>
      <c r="ODB37" s="862"/>
      <c r="ODC37" s="862"/>
      <c r="ODD37" s="862"/>
      <c r="ODE37" s="862"/>
      <c r="ODF37" s="862"/>
      <c r="ODG37" s="862"/>
      <c r="ODH37" s="862"/>
      <c r="ODI37" s="862"/>
      <c r="ODJ37" s="862"/>
      <c r="ODK37" s="862"/>
      <c r="ODL37" s="862"/>
      <c r="ODM37" s="862"/>
      <c r="ODN37" s="862"/>
      <c r="ODO37" s="862"/>
      <c r="ODP37" s="862"/>
      <c r="ODQ37" s="862"/>
      <c r="ODR37" s="862"/>
      <c r="ODS37" s="862"/>
      <c r="ODT37" s="862"/>
      <c r="ODU37" s="862"/>
      <c r="ODV37" s="862"/>
      <c r="ODW37" s="862"/>
      <c r="ODX37" s="862"/>
      <c r="ODY37" s="862"/>
      <c r="ODZ37" s="862"/>
      <c r="OEA37" s="862"/>
      <c r="OEB37" s="862"/>
      <c r="OEC37" s="862"/>
      <c r="OED37" s="862"/>
      <c r="OEE37" s="862"/>
      <c r="OEF37" s="862"/>
      <c r="OEG37" s="862"/>
      <c r="OEH37" s="862"/>
      <c r="OEI37" s="862"/>
      <c r="OEJ37" s="862"/>
      <c r="OEK37" s="862"/>
      <c r="OEL37" s="862"/>
      <c r="OEM37" s="862"/>
      <c r="OEN37" s="862"/>
      <c r="OEO37" s="862"/>
      <c r="OEP37" s="862"/>
      <c r="OEQ37" s="862"/>
      <c r="OER37" s="862"/>
      <c r="OES37" s="862"/>
      <c r="OET37" s="862"/>
      <c r="OEU37" s="862"/>
      <c r="OEV37" s="862"/>
      <c r="OEW37" s="862"/>
      <c r="OEX37" s="862"/>
      <c r="OEY37" s="862"/>
      <c r="OEZ37" s="862"/>
      <c r="OFA37" s="862"/>
      <c r="OFB37" s="862"/>
      <c r="OFC37" s="862"/>
      <c r="OFD37" s="862"/>
      <c r="OFE37" s="862"/>
      <c r="OFF37" s="862"/>
      <c r="OFG37" s="862"/>
      <c r="OFH37" s="862"/>
      <c r="OFI37" s="862"/>
      <c r="OFJ37" s="862"/>
      <c r="OFK37" s="862"/>
      <c r="OFL37" s="862"/>
      <c r="OFM37" s="862"/>
      <c r="OFN37" s="862"/>
      <c r="OFO37" s="862"/>
      <c r="OFP37" s="862"/>
      <c r="OFQ37" s="862"/>
      <c r="OFR37" s="862"/>
      <c r="OFS37" s="862"/>
      <c r="OFT37" s="862"/>
      <c r="OFU37" s="862"/>
      <c r="OFV37" s="862"/>
      <c r="OFW37" s="862"/>
      <c r="OFX37" s="862"/>
      <c r="OFY37" s="862"/>
      <c r="OFZ37" s="862"/>
      <c r="OGA37" s="862"/>
      <c r="OGB37" s="862"/>
      <c r="OGC37" s="862"/>
      <c r="OGD37" s="862"/>
      <c r="OGE37" s="862"/>
      <c r="OGF37" s="862"/>
      <c r="OGG37" s="862"/>
      <c r="OGH37" s="862"/>
      <c r="OGI37" s="862"/>
      <c r="OGJ37" s="862"/>
      <c r="OGK37" s="862"/>
      <c r="OGL37" s="862"/>
      <c r="OGM37" s="862"/>
      <c r="OGN37" s="862"/>
      <c r="OGO37" s="862"/>
      <c r="OGP37" s="862"/>
      <c r="OGQ37" s="862"/>
      <c r="OGR37" s="862"/>
      <c r="OGS37" s="862"/>
      <c r="OGT37" s="862"/>
      <c r="OGU37" s="862"/>
      <c r="OGV37" s="862"/>
      <c r="OGW37" s="862"/>
      <c r="OGX37" s="862"/>
      <c r="OGY37" s="862"/>
      <c r="OGZ37" s="862"/>
      <c r="OHA37" s="862"/>
      <c r="OHB37" s="862"/>
      <c r="OHC37" s="862"/>
      <c r="OHD37" s="862"/>
      <c r="OHE37" s="862"/>
      <c r="OHF37" s="862"/>
      <c r="OHG37" s="862"/>
      <c r="OHH37" s="862"/>
      <c r="OHI37" s="862"/>
      <c r="OHJ37" s="862"/>
      <c r="OHK37" s="862"/>
      <c r="OHL37" s="862"/>
      <c r="OHM37" s="862"/>
      <c r="OHN37" s="862"/>
      <c r="OHO37" s="862"/>
      <c r="OHP37" s="862"/>
      <c r="OHQ37" s="862"/>
      <c r="OHR37" s="862"/>
      <c r="OHS37" s="862"/>
      <c r="OHT37" s="862"/>
      <c r="OHU37" s="862"/>
      <c r="OHV37" s="862"/>
      <c r="OHW37" s="862"/>
      <c r="OHX37" s="862"/>
      <c r="OHY37" s="862"/>
      <c r="OHZ37" s="862"/>
      <c r="OIA37" s="862"/>
      <c r="OIB37" s="862"/>
      <c r="OIC37" s="862"/>
      <c r="OID37" s="862"/>
      <c r="OIE37" s="862"/>
      <c r="OIF37" s="862"/>
      <c r="OIG37" s="862"/>
      <c r="OIH37" s="862"/>
      <c r="OII37" s="862"/>
      <c r="OIJ37" s="862"/>
      <c r="OIK37" s="862"/>
      <c r="OIL37" s="862"/>
      <c r="OIM37" s="862"/>
      <c r="OIN37" s="862"/>
      <c r="OIO37" s="862"/>
      <c r="OIP37" s="862"/>
      <c r="OIQ37" s="862"/>
      <c r="OIR37" s="862"/>
      <c r="OIS37" s="862"/>
      <c r="OIT37" s="862"/>
      <c r="OIU37" s="862"/>
      <c r="OIV37" s="862"/>
      <c r="OIW37" s="862"/>
      <c r="OIX37" s="862"/>
      <c r="OIY37" s="862"/>
      <c r="OIZ37" s="862"/>
      <c r="OJA37" s="862"/>
      <c r="OJB37" s="862"/>
      <c r="OJC37" s="862"/>
      <c r="OJD37" s="862"/>
      <c r="OJE37" s="862"/>
      <c r="OJF37" s="862"/>
      <c r="OJG37" s="862"/>
      <c r="OJH37" s="862"/>
      <c r="OJI37" s="862"/>
      <c r="OJJ37" s="862"/>
      <c r="OJK37" s="862"/>
      <c r="OJL37" s="862"/>
      <c r="OJM37" s="862"/>
      <c r="OJN37" s="862"/>
      <c r="OJO37" s="862"/>
      <c r="OJP37" s="862"/>
      <c r="OJQ37" s="862"/>
      <c r="OJR37" s="862"/>
      <c r="OJS37" s="862"/>
      <c r="OJT37" s="862"/>
      <c r="OJU37" s="862"/>
      <c r="OJV37" s="862"/>
      <c r="OJW37" s="862"/>
      <c r="OJX37" s="862"/>
      <c r="OJY37" s="862"/>
      <c r="OJZ37" s="862"/>
      <c r="OKA37" s="862"/>
      <c r="OKB37" s="862"/>
      <c r="OKC37" s="862"/>
      <c r="OKD37" s="862"/>
      <c r="OKE37" s="862"/>
      <c r="OKF37" s="862"/>
      <c r="OKG37" s="862"/>
      <c r="OKH37" s="862"/>
      <c r="OKI37" s="862"/>
      <c r="OKJ37" s="862"/>
      <c r="OKK37" s="862"/>
      <c r="OKL37" s="862"/>
      <c r="OKM37" s="862"/>
      <c r="OKN37" s="862"/>
      <c r="OKO37" s="862"/>
      <c r="OKP37" s="862"/>
      <c r="OKQ37" s="862"/>
      <c r="OKR37" s="862"/>
      <c r="OKS37" s="862"/>
      <c r="OKT37" s="862"/>
      <c r="OKU37" s="862"/>
      <c r="OKV37" s="862"/>
      <c r="OKW37" s="862"/>
      <c r="OKX37" s="862"/>
      <c r="OKY37" s="862"/>
      <c r="OKZ37" s="862"/>
      <c r="OLA37" s="862"/>
      <c r="OLB37" s="862"/>
      <c r="OLC37" s="862"/>
      <c r="OLD37" s="862"/>
      <c r="OLE37" s="862"/>
      <c r="OLF37" s="862"/>
      <c r="OLG37" s="862"/>
      <c r="OLH37" s="862"/>
      <c r="OLI37" s="862"/>
      <c r="OLJ37" s="862"/>
      <c r="OLK37" s="862"/>
      <c r="OLL37" s="862"/>
      <c r="OLM37" s="862"/>
      <c r="OLN37" s="862"/>
      <c r="OLO37" s="862"/>
      <c r="OLP37" s="862"/>
      <c r="OLQ37" s="862"/>
      <c r="OLR37" s="862"/>
      <c r="OLS37" s="862"/>
      <c r="OLT37" s="862"/>
      <c r="OLU37" s="862"/>
      <c r="OLV37" s="862"/>
      <c r="OLW37" s="862"/>
      <c r="OLX37" s="862"/>
      <c r="OLY37" s="862"/>
      <c r="OLZ37" s="862"/>
      <c r="OMA37" s="862"/>
      <c r="OMB37" s="862"/>
      <c r="OMC37" s="862"/>
      <c r="OMD37" s="862"/>
      <c r="OME37" s="862"/>
      <c r="OMF37" s="862"/>
      <c r="OMG37" s="862"/>
      <c r="OMH37" s="862"/>
      <c r="OMI37" s="862"/>
      <c r="OMJ37" s="862"/>
      <c r="OMK37" s="862"/>
      <c r="OML37" s="862"/>
      <c r="OMM37" s="862"/>
      <c r="OMN37" s="862"/>
      <c r="OMO37" s="862"/>
      <c r="OMP37" s="862"/>
      <c r="OMQ37" s="862"/>
      <c r="OMR37" s="862"/>
      <c r="OMS37" s="862"/>
      <c r="OMT37" s="862"/>
      <c r="OMU37" s="862"/>
      <c r="OMV37" s="862"/>
      <c r="OMW37" s="862"/>
      <c r="OMX37" s="862"/>
      <c r="OMY37" s="862"/>
      <c r="OMZ37" s="862"/>
      <c r="ONA37" s="862"/>
      <c r="ONB37" s="862"/>
      <c r="ONC37" s="862"/>
      <c r="OND37" s="862"/>
      <c r="ONE37" s="862"/>
      <c r="ONF37" s="862"/>
      <c r="ONG37" s="862"/>
      <c r="ONH37" s="862"/>
      <c r="ONI37" s="862"/>
      <c r="ONJ37" s="862"/>
      <c r="ONK37" s="862"/>
      <c r="ONL37" s="862"/>
      <c r="ONM37" s="862"/>
      <c r="ONN37" s="862"/>
      <c r="ONO37" s="862"/>
      <c r="ONP37" s="862"/>
      <c r="ONQ37" s="862"/>
      <c r="ONR37" s="862"/>
      <c r="ONS37" s="862"/>
      <c r="ONT37" s="862"/>
      <c r="ONU37" s="862"/>
      <c r="ONV37" s="862"/>
      <c r="ONW37" s="862"/>
      <c r="ONX37" s="862"/>
      <c r="ONY37" s="862"/>
      <c r="ONZ37" s="862"/>
      <c r="OOA37" s="862"/>
      <c r="OOB37" s="862"/>
      <c r="OOC37" s="862"/>
      <c r="OOD37" s="862"/>
      <c r="OOE37" s="862"/>
      <c r="OOF37" s="862"/>
      <c r="OOG37" s="862"/>
      <c r="OOH37" s="862"/>
      <c r="OOI37" s="862"/>
      <c r="OOJ37" s="862"/>
      <c r="OOK37" s="862"/>
      <c r="OOL37" s="862"/>
      <c r="OOM37" s="862"/>
      <c r="OON37" s="862"/>
      <c r="OOO37" s="862"/>
      <c r="OOP37" s="862"/>
      <c r="OOQ37" s="862"/>
      <c r="OOR37" s="862"/>
      <c r="OOS37" s="862"/>
      <c r="OOT37" s="862"/>
      <c r="OOU37" s="862"/>
      <c r="OOV37" s="862"/>
      <c r="OOW37" s="862"/>
      <c r="OOX37" s="862"/>
      <c r="OOY37" s="862"/>
      <c r="OOZ37" s="862"/>
      <c r="OPA37" s="862"/>
      <c r="OPB37" s="862"/>
      <c r="OPC37" s="862"/>
      <c r="OPD37" s="862"/>
      <c r="OPE37" s="862"/>
      <c r="OPF37" s="862"/>
      <c r="OPG37" s="862"/>
      <c r="OPH37" s="862"/>
      <c r="OPI37" s="862"/>
      <c r="OPJ37" s="862"/>
      <c r="OPK37" s="862"/>
      <c r="OPL37" s="862"/>
      <c r="OPM37" s="862"/>
      <c r="OPN37" s="862"/>
      <c r="OPO37" s="862"/>
      <c r="OPP37" s="862"/>
      <c r="OPQ37" s="862"/>
      <c r="OPR37" s="862"/>
      <c r="OPS37" s="862"/>
      <c r="OPT37" s="862"/>
      <c r="OPU37" s="862"/>
      <c r="OPV37" s="862"/>
      <c r="OPW37" s="862"/>
      <c r="OPX37" s="862"/>
      <c r="OPY37" s="862"/>
      <c r="OPZ37" s="862"/>
      <c r="OQA37" s="862"/>
      <c r="OQB37" s="862"/>
      <c r="OQC37" s="862"/>
      <c r="OQD37" s="862"/>
      <c r="OQE37" s="862"/>
      <c r="OQF37" s="862"/>
      <c r="OQG37" s="862"/>
      <c r="OQH37" s="862"/>
      <c r="OQI37" s="862"/>
      <c r="OQJ37" s="862"/>
      <c r="OQK37" s="862"/>
      <c r="OQL37" s="862"/>
      <c r="OQM37" s="862"/>
      <c r="OQN37" s="862"/>
      <c r="OQO37" s="862"/>
      <c r="OQP37" s="862"/>
      <c r="OQQ37" s="862"/>
      <c r="OQR37" s="862"/>
      <c r="OQS37" s="862"/>
      <c r="OQT37" s="862"/>
      <c r="OQU37" s="862"/>
      <c r="OQV37" s="862"/>
      <c r="OQW37" s="862"/>
      <c r="OQX37" s="862"/>
      <c r="OQY37" s="862"/>
      <c r="OQZ37" s="862"/>
      <c r="ORA37" s="862"/>
      <c r="ORB37" s="862"/>
      <c r="ORC37" s="862"/>
      <c r="ORD37" s="862"/>
      <c r="ORE37" s="862"/>
      <c r="ORF37" s="862"/>
      <c r="ORG37" s="862"/>
      <c r="ORH37" s="862"/>
      <c r="ORI37" s="862"/>
      <c r="ORJ37" s="862"/>
      <c r="ORK37" s="862"/>
      <c r="ORL37" s="862"/>
      <c r="ORM37" s="862"/>
      <c r="ORN37" s="862"/>
      <c r="ORO37" s="862"/>
      <c r="ORP37" s="862"/>
      <c r="ORQ37" s="862"/>
      <c r="ORR37" s="862"/>
      <c r="ORS37" s="862"/>
      <c r="ORT37" s="862"/>
      <c r="ORU37" s="862"/>
      <c r="ORV37" s="862"/>
      <c r="ORW37" s="862"/>
      <c r="ORX37" s="862"/>
      <c r="ORY37" s="862"/>
      <c r="ORZ37" s="862"/>
      <c r="OSA37" s="862"/>
      <c r="OSB37" s="862"/>
      <c r="OSC37" s="862"/>
      <c r="OSD37" s="862"/>
      <c r="OSE37" s="862"/>
      <c r="OSF37" s="862"/>
      <c r="OSG37" s="862"/>
      <c r="OSH37" s="862"/>
      <c r="OSI37" s="862"/>
      <c r="OSJ37" s="862"/>
      <c r="OSK37" s="862"/>
      <c r="OSL37" s="862"/>
      <c r="OSM37" s="862"/>
      <c r="OSN37" s="862"/>
      <c r="OSO37" s="862"/>
      <c r="OSP37" s="862"/>
      <c r="OSQ37" s="862"/>
      <c r="OSR37" s="862"/>
      <c r="OSS37" s="862"/>
      <c r="OST37" s="862"/>
      <c r="OSU37" s="862"/>
      <c r="OSV37" s="862"/>
      <c r="OSW37" s="862"/>
      <c r="OSX37" s="862"/>
      <c r="OSY37" s="862"/>
      <c r="OSZ37" s="862"/>
      <c r="OTA37" s="862"/>
      <c r="OTB37" s="862"/>
      <c r="OTC37" s="862"/>
      <c r="OTD37" s="862"/>
      <c r="OTE37" s="862"/>
      <c r="OTF37" s="862"/>
      <c r="OTG37" s="862"/>
      <c r="OTH37" s="862"/>
      <c r="OTI37" s="862"/>
      <c r="OTJ37" s="862"/>
      <c r="OTK37" s="862"/>
      <c r="OTL37" s="862"/>
      <c r="OTM37" s="862"/>
      <c r="OTN37" s="862"/>
      <c r="OTO37" s="862"/>
      <c r="OTP37" s="862"/>
      <c r="OTQ37" s="862"/>
      <c r="OTR37" s="862"/>
      <c r="OTS37" s="862"/>
      <c r="OTT37" s="862"/>
      <c r="OTU37" s="862"/>
      <c r="OTV37" s="862"/>
      <c r="OTW37" s="862"/>
      <c r="OTX37" s="862"/>
      <c r="OTY37" s="862"/>
      <c r="OTZ37" s="862"/>
      <c r="OUA37" s="862"/>
      <c r="OUB37" s="862"/>
      <c r="OUC37" s="862"/>
      <c r="OUD37" s="862"/>
      <c r="OUE37" s="862"/>
      <c r="OUF37" s="862"/>
      <c r="OUG37" s="862"/>
      <c r="OUH37" s="862"/>
      <c r="OUI37" s="862"/>
      <c r="OUJ37" s="862"/>
      <c r="OUK37" s="862"/>
      <c r="OUL37" s="862"/>
      <c r="OUM37" s="862"/>
      <c r="OUN37" s="862"/>
      <c r="OUO37" s="862"/>
      <c r="OUP37" s="862"/>
      <c r="OUQ37" s="862"/>
      <c r="OUR37" s="862"/>
      <c r="OUS37" s="862"/>
      <c r="OUT37" s="862"/>
      <c r="OUU37" s="862"/>
      <c r="OUV37" s="862"/>
      <c r="OUW37" s="862"/>
      <c r="OUX37" s="862"/>
      <c r="OUY37" s="862"/>
      <c r="OUZ37" s="862"/>
      <c r="OVA37" s="862"/>
      <c r="OVB37" s="862"/>
      <c r="OVC37" s="862"/>
      <c r="OVD37" s="862"/>
      <c r="OVE37" s="862"/>
      <c r="OVF37" s="862"/>
      <c r="OVG37" s="862"/>
      <c r="OVH37" s="862"/>
      <c r="OVI37" s="862"/>
      <c r="OVJ37" s="862"/>
      <c r="OVK37" s="862"/>
      <c r="OVL37" s="862"/>
      <c r="OVM37" s="862"/>
      <c r="OVN37" s="862"/>
      <c r="OVO37" s="862"/>
      <c r="OVP37" s="862"/>
      <c r="OVQ37" s="862"/>
      <c r="OVR37" s="862"/>
      <c r="OVS37" s="862"/>
      <c r="OVT37" s="862"/>
      <c r="OVU37" s="862"/>
      <c r="OVV37" s="862"/>
      <c r="OVW37" s="862"/>
      <c r="OVX37" s="862"/>
      <c r="OVY37" s="862"/>
      <c r="OVZ37" s="862"/>
      <c r="OWA37" s="862"/>
      <c r="OWB37" s="862"/>
      <c r="OWC37" s="862"/>
      <c r="OWD37" s="862"/>
      <c r="OWE37" s="862"/>
      <c r="OWF37" s="862"/>
      <c r="OWG37" s="862"/>
      <c r="OWH37" s="862"/>
      <c r="OWI37" s="862"/>
      <c r="OWJ37" s="862"/>
      <c r="OWK37" s="862"/>
      <c r="OWL37" s="862"/>
      <c r="OWM37" s="862"/>
      <c r="OWN37" s="862"/>
      <c r="OWO37" s="862"/>
      <c r="OWP37" s="862"/>
      <c r="OWQ37" s="862"/>
      <c r="OWR37" s="862"/>
      <c r="OWS37" s="862"/>
      <c r="OWT37" s="862"/>
      <c r="OWU37" s="862"/>
      <c r="OWV37" s="862"/>
      <c r="OWW37" s="862"/>
      <c r="OWX37" s="862"/>
      <c r="OWY37" s="862"/>
      <c r="OWZ37" s="862"/>
      <c r="OXA37" s="862"/>
      <c r="OXB37" s="862"/>
      <c r="OXC37" s="862"/>
      <c r="OXD37" s="862"/>
      <c r="OXE37" s="862"/>
      <c r="OXF37" s="862"/>
      <c r="OXG37" s="862"/>
      <c r="OXH37" s="862"/>
      <c r="OXI37" s="862"/>
      <c r="OXJ37" s="862"/>
      <c r="OXK37" s="862"/>
      <c r="OXL37" s="862"/>
      <c r="OXM37" s="862"/>
      <c r="OXN37" s="862"/>
      <c r="OXO37" s="862"/>
      <c r="OXP37" s="862"/>
      <c r="OXQ37" s="862"/>
      <c r="OXR37" s="862"/>
      <c r="OXS37" s="862"/>
      <c r="OXT37" s="862"/>
      <c r="OXU37" s="862"/>
      <c r="OXV37" s="862"/>
      <c r="OXW37" s="862"/>
      <c r="OXX37" s="862"/>
      <c r="OXY37" s="862"/>
      <c r="OXZ37" s="862"/>
      <c r="OYA37" s="862"/>
      <c r="OYB37" s="862"/>
      <c r="OYC37" s="862"/>
      <c r="OYD37" s="862"/>
      <c r="OYE37" s="862"/>
      <c r="OYF37" s="862"/>
      <c r="OYG37" s="862"/>
      <c r="OYH37" s="862"/>
      <c r="OYI37" s="862"/>
      <c r="OYJ37" s="862"/>
      <c r="OYK37" s="862"/>
      <c r="OYL37" s="862"/>
      <c r="OYM37" s="862"/>
      <c r="OYN37" s="862"/>
      <c r="OYO37" s="862"/>
      <c r="OYP37" s="862"/>
      <c r="OYQ37" s="862"/>
      <c r="OYR37" s="862"/>
      <c r="OYS37" s="862"/>
      <c r="OYT37" s="862"/>
      <c r="OYU37" s="862"/>
      <c r="OYV37" s="862"/>
      <c r="OYW37" s="862"/>
      <c r="OYX37" s="862"/>
      <c r="OYY37" s="862"/>
      <c r="OYZ37" s="862"/>
      <c r="OZA37" s="862"/>
      <c r="OZB37" s="862"/>
      <c r="OZC37" s="862"/>
      <c r="OZD37" s="862"/>
      <c r="OZE37" s="862"/>
      <c r="OZF37" s="862"/>
      <c r="OZG37" s="862"/>
      <c r="OZH37" s="862"/>
      <c r="OZI37" s="862"/>
      <c r="OZJ37" s="862"/>
      <c r="OZK37" s="862"/>
      <c r="OZL37" s="862"/>
      <c r="OZM37" s="862"/>
      <c r="OZN37" s="862"/>
      <c r="OZO37" s="862"/>
      <c r="OZP37" s="862"/>
      <c r="OZQ37" s="862"/>
      <c r="OZR37" s="862"/>
      <c r="OZS37" s="862"/>
      <c r="OZT37" s="862"/>
      <c r="OZU37" s="862"/>
      <c r="OZV37" s="862"/>
      <c r="OZW37" s="862"/>
      <c r="OZX37" s="862"/>
      <c r="OZY37" s="862"/>
      <c r="OZZ37" s="862"/>
      <c r="PAA37" s="862"/>
      <c r="PAB37" s="862"/>
      <c r="PAC37" s="862"/>
      <c r="PAD37" s="862"/>
      <c r="PAE37" s="862"/>
      <c r="PAF37" s="862"/>
      <c r="PAG37" s="862"/>
      <c r="PAH37" s="862"/>
      <c r="PAI37" s="862"/>
      <c r="PAJ37" s="862"/>
      <c r="PAK37" s="862"/>
      <c r="PAL37" s="862"/>
      <c r="PAM37" s="862"/>
      <c r="PAN37" s="862"/>
      <c r="PAO37" s="862"/>
      <c r="PAP37" s="862"/>
      <c r="PAQ37" s="862"/>
      <c r="PAR37" s="862"/>
      <c r="PAS37" s="862"/>
      <c r="PAT37" s="862"/>
      <c r="PAU37" s="862"/>
      <c r="PAV37" s="862"/>
      <c r="PAW37" s="862"/>
      <c r="PAX37" s="862"/>
      <c r="PAY37" s="862"/>
      <c r="PAZ37" s="862"/>
      <c r="PBA37" s="862"/>
      <c r="PBB37" s="862"/>
      <c r="PBC37" s="862"/>
      <c r="PBD37" s="862"/>
      <c r="PBE37" s="862"/>
      <c r="PBF37" s="862"/>
      <c r="PBG37" s="862"/>
      <c r="PBH37" s="862"/>
      <c r="PBI37" s="862"/>
      <c r="PBJ37" s="862"/>
      <c r="PBK37" s="862"/>
      <c r="PBL37" s="862"/>
      <c r="PBM37" s="862"/>
      <c r="PBN37" s="862"/>
      <c r="PBO37" s="862"/>
      <c r="PBP37" s="862"/>
      <c r="PBQ37" s="862"/>
      <c r="PBR37" s="862"/>
      <c r="PBS37" s="862"/>
      <c r="PBT37" s="862"/>
      <c r="PBU37" s="862"/>
      <c r="PBV37" s="862"/>
      <c r="PBW37" s="862"/>
      <c r="PBX37" s="862"/>
      <c r="PBY37" s="862"/>
      <c r="PBZ37" s="862"/>
      <c r="PCA37" s="862"/>
      <c r="PCB37" s="862"/>
      <c r="PCC37" s="862"/>
      <c r="PCD37" s="862"/>
      <c r="PCE37" s="862"/>
      <c r="PCF37" s="862"/>
      <c r="PCG37" s="862"/>
      <c r="PCH37" s="862"/>
      <c r="PCI37" s="862"/>
      <c r="PCJ37" s="862"/>
      <c r="PCK37" s="862"/>
      <c r="PCL37" s="862"/>
      <c r="PCM37" s="862"/>
      <c r="PCN37" s="862"/>
      <c r="PCO37" s="862"/>
      <c r="PCP37" s="862"/>
      <c r="PCQ37" s="862"/>
      <c r="PCR37" s="862"/>
      <c r="PCS37" s="862"/>
      <c r="PCT37" s="862"/>
      <c r="PCU37" s="862"/>
      <c r="PCV37" s="862"/>
      <c r="PCW37" s="862"/>
      <c r="PCX37" s="862"/>
      <c r="PCY37" s="862"/>
      <c r="PCZ37" s="862"/>
      <c r="PDA37" s="862"/>
      <c r="PDB37" s="862"/>
      <c r="PDC37" s="862"/>
      <c r="PDD37" s="862"/>
      <c r="PDE37" s="862"/>
      <c r="PDF37" s="862"/>
      <c r="PDG37" s="862"/>
      <c r="PDH37" s="862"/>
      <c r="PDI37" s="862"/>
      <c r="PDJ37" s="862"/>
      <c r="PDK37" s="862"/>
      <c r="PDL37" s="862"/>
      <c r="PDM37" s="862"/>
      <c r="PDN37" s="862"/>
      <c r="PDO37" s="862"/>
      <c r="PDP37" s="862"/>
      <c r="PDQ37" s="862"/>
      <c r="PDR37" s="862"/>
      <c r="PDS37" s="862"/>
      <c r="PDT37" s="862"/>
      <c r="PDU37" s="862"/>
      <c r="PDV37" s="862"/>
      <c r="PDW37" s="862"/>
      <c r="PDX37" s="862"/>
      <c r="PDY37" s="862"/>
      <c r="PDZ37" s="862"/>
      <c r="PEA37" s="862"/>
      <c r="PEB37" s="862"/>
      <c r="PEC37" s="862"/>
      <c r="PED37" s="862"/>
      <c r="PEE37" s="862"/>
      <c r="PEF37" s="862"/>
      <c r="PEG37" s="862"/>
      <c r="PEH37" s="862"/>
      <c r="PEI37" s="862"/>
      <c r="PEJ37" s="862"/>
      <c r="PEK37" s="862"/>
      <c r="PEL37" s="862"/>
      <c r="PEM37" s="862"/>
      <c r="PEN37" s="862"/>
      <c r="PEO37" s="862"/>
      <c r="PEP37" s="862"/>
      <c r="PEQ37" s="862"/>
      <c r="PER37" s="862"/>
      <c r="PES37" s="862"/>
      <c r="PET37" s="862"/>
      <c r="PEU37" s="862"/>
      <c r="PEV37" s="862"/>
      <c r="PEW37" s="862"/>
      <c r="PEX37" s="862"/>
      <c r="PEY37" s="862"/>
      <c r="PEZ37" s="862"/>
      <c r="PFA37" s="862"/>
      <c r="PFB37" s="862"/>
      <c r="PFC37" s="862"/>
      <c r="PFD37" s="862"/>
      <c r="PFE37" s="862"/>
      <c r="PFF37" s="862"/>
      <c r="PFG37" s="862"/>
      <c r="PFH37" s="862"/>
      <c r="PFI37" s="862"/>
      <c r="PFJ37" s="862"/>
      <c r="PFK37" s="862"/>
      <c r="PFL37" s="862"/>
      <c r="PFM37" s="862"/>
      <c r="PFN37" s="862"/>
      <c r="PFO37" s="862"/>
      <c r="PFP37" s="862"/>
      <c r="PFQ37" s="862"/>
      <c r="PFR37" s="862"/>
      <c r="PFS37" s="862"/>
      <c r="PFT37" s="862"/>
      <c r="PFU37" s="862"/>
      <c r="PFV37" s="862"/>
      <c r="PFW37" s="862"/>
      <c r="PFX37" s="862"/>
      <c r="PFY37" s="862"/>
      <c r="PFZ37" s="862"/>
      <c r="PGA37" s="862"/>
      <c r="PGB37" s="862"/>
      <c r="PGC37" s="862"/>
      <c r="PGD37" s="862"/>
      <c r="PGE37" s="862"/>
      <c r="PGF37" s="862"/>
      <c r="PGG37" s="862"/>
      <c r="PGH37" s="862"/>
      <c r="PGI37" s="862"/>
      <c r="PGJ37" s="862"/>
      <c r="PGK37" s="862"/>
      <c r="PGL37" s="862"/>
      <c r="PGM37" s="862"/>
      <c r="PGN37" s="862"/>
      <c r="PGO37" s="862"/>
      <c r="PGP37" s="862"/>
      <c r="PGQ37" s="862"/>
      <c r="PGR37" s="862"/>
      <c r="PGS37" s="862"/>
      <c r="PGT37" s="862"/>
      <c r="PGU37" s="862"/>
      <c r="PGV37" s="862"/>
      <c r="PGW37" s="862"/>
      <c r="PGX37" s="862"/>
      <c r="PGY37" s="862"/>
      <c r="PGZ37" s="862"/>
      <c r="PHA37" s="862"/>
      <c r="PHB37" s="862"/>
      <c r="PHC37" s="862"/>
      <c r="PHD37" s="862"/>
      <c r="PHE37" s="862"/>
      <c r="PHF37" s="862"/>
      <c r="PHG37" s="862"/>
      <c r="PHH37" s="862"/>
      <c r="PHI37" s="862"/>
      <c r="PHJ37" s="862"/>
      <c r="PHK37" s="862"/>
      <c r="PHL37" s="862"/>
      <c r="PHM37" s="862"/>
      <c r="PHN37" s="862"/>
      <c r="PHO37" s="862"/>
      <c r="PHP37" s="862"/>
      <c r="PHQ37" s="862"/>
      <c r="PHR37" s="862"/>
      <c r="PHS37" s="862"/>
      <c r="PHT37" s="862"/>
      <c r="PHU37" s="862"/>
      <c r="PHV37" s="862"/>
      <c r="PHW37" s="862"/>
      <c r="PHX37" s="862"/>
      <c r="PHY37" s="862"/>
      <c r="PHZ37" s="862"/>
      <c r="PIA37" s="862"/>
      <c r="PIB37" s="862"/>
      <c r="PIC37" s="862"/>
      <c r="PID37" s="862"/>
      <c r="PIE37" s="862"/>
      <c r="PIF37" s="862"/>
      <c r="PIG37" s="862"/>
      <c r="PIH37" s="862"/>
      <c r="PII37" s="862"/>
      <c r="PIJ37" s="862"/>
      <c r="PIK37" s="862"/>
      <c r="PIL37" s="862"/>
      <c r="PIM37" s="862"/>
      <c r="PIN37" s="862"/>
      <c r="PIO37" s="862"/>
      <c r="PIP37" s="862"/>
      <c r="PIQ37" s="862"/>
      <c r="PIR37" s="862"/>
      <c r="PIS37" s="862"/>
      <c r="PIT37" s="862"/>
      <c r="PIU37" s="862"/>
      <c r="PIV37" s="862"/>
      <c r="PIW37" s="862"/>
      <c r="PIX37" s="862"/>
      <c r="PIY37" s="862"/>
      <c r="PIZ37" s="862"/>
      <c r="PJA37" s="862"/>
      <c r="PJB37" s="862"/>
      <c r="PJC37" s="862"/>
      <c r="PJD37" s="862"/>
      <c r="PJE37" s="862"/>
      <c r="PJF37" s="862"/>
      <c r="PJG37" s="862"/>
      <c r="PJH37" s="862"/>
      <c r="PJI37" s="862"/>
      <c r="PJJ37" s="862"/>
      <c r="PJK37" s="862"/>
      <c r="PJL37" s="862"/>
      <c r="PJM37" s="862"/>
      <c r="PJN37" s="862"/>
      <c r="PJO37" s="862"/>
      <c r="PJP37" s="862"/>
      <c r="PJQ37" s="862"/>
      <c r="PJR37" s="862"/>
      <c r="PJS37" s="862"/>
      <c r="PJT37" s="862"/>
      <c r="PJU37" s="862"/>
      <c r="PJV37" s="862"/>
      <c r="PJW37" s="862"/>
      <c r="PJX37" s="862"/>
      <c r="PJY37" s="862"/>
      <c r="PJZ37" s="862"/>
      <c r="PKA37" s="862"/>
      <c r="PKB37" s="862"/>
      <c r="PKC37" s="862"/>
      <c r="PKD37" s="862"/>
      <c r="PKE37" s="862"/>
      <c r="PKF37" s="862"/>
      <c r="PKG37" s="862"/>
      <c r="PKH37" s="862"/>
      <c r="PKI37" s="862"/>
      <c r="PKJ37" s="862"/>
      <c r="PKK37" s="862"/>
      <c r="PKL37" s="862"/>
      <c r="PKM37" s="862"/>
      <c r="PKN37" s="862"/>
      <c r="PKO37" s="862"/>
      <c r="PKP37" s="862"/>
      <c r="PKQ37" s="862"/>
      <c r="PKR37" s="862"/>
      <c r="PKS37" s="862"/>
      <c r="PKT37" s="862"/>
      <c r="PKU37" s="862"/>
      <c r="PKV37" s="862"/>
      <c r="PKW37" s="862"/>
      <c r="PKX37" s="862"/>
      <c r="PKY37" s="862"/>
      <c r="PKZ37" s="862"/>
      <c r="PLA37" s="862"/>
      <c r="PLB37" s="862"/>
      <c r="PLC37" s="862"/>
      <c r="PLD37" s="862"/>
      <c r="PLE37" s="862"/>
      <c r="PLF37" s="862"/>
      <c r="PLG37" s="862"/>
      <c r="PLH37" s="862"/>
      <c r="PLI37" s="862"/>
      <c r="PLJ37" s="862"/>
      <c r="PLK37" s="862"/>
      <c r="PLL37" s="862"/>
      <c r="PLM37" s="862"/>
      <c r="PLN37" s="862"/>
      <c r="PLO37" s="862"/>
      <c r="PLP37" s="862"/>
      <c r="PLQ37" s="862"/>
      <c r="PLR37" s="862"/>
      <c r="PLS37" s="862"/>
      <c r="PLT37" s="862"/>
      <c r="PLU37" s="862"/>
      <c r="PLV37" s="862"/>
      <c r="PLW37" s="862"/>
      <c r="PLX37" s="862"/>
      <c r="PLY37" s="862"/>
      <c r="PLZ37" s="862"/>
      <c r="PMA37" s="862"/>
      <c r="PMB37" s="862"/>
      <c r="PMC37" s="862"/>
      <c r="PMD37" s="862"/>
      <c r="PME37" s="862"/>
      <c r="PMF37" s="862"/>
      <c r="PMG37" s="862"/>
      <c r="PMH37" s="862"/>
      <c r="PMI37" s="862"/>
      <c r="PMJ37" s="862"/>
      <c r="PMK37" s="862"/>
      <c r="PML37" s="862"/>
      <c r="PMM37" s="862"/>
      <c r="PMN37" s="862"/>
      <c r="PMO37" s="862"/>
      <c r="PMP37" s="862"/>
      <c r="PMQ37" s="862"/>
      <c r="PMR37" s="862"/>
      <c r="PMS37" s="862"/>
      <c r="PMT37" s="862"/>
      <c r="PMU37" s="862"/>
      <c r="PMV37" s="862"/>
      <c r="PMW37" s="862"/>
      <c r="PMX37" s="862"/>
      <c r="PMY37" s="862"/>
      <c r="PMZ37" s="862"/>
      <c r="PNA37" s="862"/>
      <c r="PNB37" s="862"/>
      <c r="PNC37" s="862"/>
      <c r="PND37" s="862"/>
      <c r="PNE37" s="862"/>
      <c r="PNF37" s="862"/>
      <c r="PNG37" s="862"/>
      <c r="PNH37" s="862"/>
      <c r="PNI37" s="862"/>
      <c r="PNJ37" s="862"/>
      <c r="PNK37" s="862"/>
      <c r="PNL37" s="862"/>
      <c r="PNM37" s="862"/>
      <c r="PNN37" s="862"/>
      <c r="PNO37" s="862"/>
      <c r="PNP37" s="862"/>
      <c r="PNQ37" s="862"/>
      <c r="PNR37" s="862"/>
      <c r="PNS37" s="862"/>
      <c r="PNT37" s="862"/>
      <c r="PNU37" s="862"/>
      <c r="PNV37" s="862"/>
      <c r="PNW37" s="862"/>
      <c r="PNX37" s="862"/>
      <c r="PNY37" s="862"/>
      <c r="PNZ37" s="862"/>
      <c r="POA37" s="862"/>
      <c r="POB37" s="862"/>
      <c r="POC37" s="862"/>
      <c r="POD37" s="862"/>
      <c r="POE37" s="862"/>
      <c r="POF37" s="862"/>
      <c r="POG37" s="862"/>
      <c r="POH37" s="862"/>
      <c r="POI37" s="862"/>
      <c r="POJ37" s="862"/>
      <c r="POK37" s="862"/>
      <c r="POL37" s="862"/>
      <c r="POM37" s="862"/>
      <c r="PON37" s="862"/>
      <c r="POO37" s="862"/>
      <c r="POP37" s="862"/>
      <c r="POQ37" s="862"/>
      <c r="POR37" s="862"/>
      <c r="POS37" s="862"/>
      <c r="POT37" s="862"/>
      <c r="POU37" s="862"/>
      <c r="POV37" s="862"/>
      <c r="POW37" s="862"/>
      <c r="POX37" s="862"/>
      <c r="POY37" s="862"/>
      <c r="POZ37" s="862"/>
      <c r="PPA37" s="862"/>
      <c r="PPB37" s="862"/>
      <c r="PPC37" s="862"/>
      <c r="PPD37" s="862"/>
      <c r="PPE37" s="862"/>
      <c r="PPF37" s="862"/>
      <c r="PPG37" s="862"/>
      <c r="PPH37" s="862"/>
      <c r="PPI37" s="862"/>
      <c r="PPJ37" s="862"/>
      <c r="PPK37" s="862"/>
      <c r="PPL37" s="862"/>
      <c r="PPM37" s="862"/>
      <c r="PPN37" s="862"/>
      <c r="PPO37" s="862"/>
      <c r="PPP37" s="862"/>
      <c r="PPQ37" s="862"/>
      <c r="PPR37" s="862"/>
      <c r="PPS37" s="862"/>
      <c r="PPT37" s="862"/>
      <c r="PPU37" s="862"/>
      <c r="PPV37" s="862"/>
      <c r="PPW37" s="862"/>
      <c r="PPX37" s="862"/>
      <c r="PPY37" s="862"/>
      <c r="PPZ37" s="862"/>
      <c r="PQA37" s="862"/>
      <c r="PQB37" s="862"/>
      <c r="PQC37" s="862"/>
      <c r="PQD37" s="862"/>
      <c r="PQE37" s="862"/>
      <c r="PQF37" s="862"/>
      <c r="PQG37" s="862"/>
      <c r="PQH37" s="862"/>
      <c r="PQI37" s="862"/>
      <c r="PQJ37" s="862"/>
      <c r="PQK37" s="862"/>
      <c r="PQL37" s="862"/>
      <c r="PQM37" s="862"/>
      <c r="PQN37" s="862"/>
      <c r="PQO37" s="862"/>
      <c r="PQP37" s="862"/>
      <c r="PQQ37" s="862"/>
      <c r="PQR37" s="862"/>
      <c r="PQS37" s="862"/>
      <c r="PQT37" s="862"/>
      <c r="PQU37" s="862"/>
      <c r="PQV37" s="862"/>
      <c r="PQW37" s="862"/>
      <c r="PQX37" s="862"/>
      <c r="PQY37" s="862"/>
      <c r="PQZ37" s="862"/>
      <c r="PRA37" s="862"/>
      <c r="PRB37" s="862"/>
      <c r="PRC37" s="862"/>
      <c r="PRD37" s="862"/>
      <c r="PRE37" s="862"/>
      <c r="PRF37" s="862"/>
      <c r="PRG37" s="862"/>
      <c r="PRH37" s="862"/>
      <c r="PRI37" s="862"/>
      <c r="PRJ37" s="862"/>
      <c r="PRK37" s="862"/>
      <c r="PRL37" s="862"/>
      <c r="PRM37" s="862"/>
      <c r="PRN37" s="862"/>
      <c r="PRO37" s="862"/>
      <c r="PRP37" s="862"/>
      <c r="PRQ37" s="862"/>
      <c r="PRR37" s="862"/>
      <c r="PRS37" s="862"/>
      <c r="PRT37" s="862"/>
      <c r="PRU37" s="862"/>
      <c r="PRV37" s="862"/>
      <c r="PRW37" s="862"/>
      <c r="PRX37" s="862"/>
      <c r="PRY37" s="862"/>
      <c r="PRZ37" s="862"/>
      <c r="PSA37" s="862"/>
      <c r="PSB37" s="862"/>
      <c r="PSC37" s="862"/>
      <c r="PSD37" s="862"/>
      <c r="PSE37" s="862"/>
      <c r="PSF37" s="862"/>
      <c r="PSG37" s="862"/>
      <c r="PSH37" s="862"/>
      <c r="PSI37" s="862"/>
      <c r="PSJ37" s="862"/>
      <c r="PSK37" s="862"/>
      <c r="PSL37" s="862"/>
      <c r="PSM37" s="862"/>
      <c r="PSN37" s="862"/>
      <c r="PSO37" s="862"/>
      <c r="PSP37" s="862"/>
      <c r="PSQ37" s="862"/>
      <c r="PSR37" s="862"/>
      <c r="PSS37" s="862"/>
      <c r="PST37" s="862"/>
      <c r="PSU37" s="862"/>
      <c r="PSV37" s="862"/>
      <c r="PSW37" s="862"/>
      <c r="PSX37" s="862"/>
      <c r="PSY37" s="862"/>
      <c r="PSZ37" s="862"/>
      <c r="PTA37" s="862"/>
      <c r="PTB37" s="862"/>
      <c r="PTC37" s="862"/>
      <c r="PTD37" s="862"/>
      <c r="PTE37" s="862"/>
      <c r="PTF37" s="862"/>
      <c r="PTG37" s="862"/>
      <c r="PTH37" s="862"/>
      <c r="PTI37" s="862"/>
      <c r="PTJ37" s="862"/>
      <c r="PTK37" s="862"/>
      <c r="PTL37" s="862"/>
      <c r="PTM37" s="862"/>
      <c r="PTN37" s="862"/>
      <c r="PTO37" s="862"/>
      <c r="PTP37" s="862"/>
      <c r="PTQ37" s="862"/>
      <c r="PTR37" s="862"/>
      <c r="PTS37" s="862"/>
      <c r="PTT37" s="862"/>
      <c r="PTU37" s="862"/>
      <c r="PTV37" s="862"/>
      <c r="PTW37" s="862"/>
      <c r="PTX37" s="862"/>
      <c r="PTY37" s="862"/>
      <c r="PTZ37" s="862"/>
      <c r="PUA37" s="862"/>
      <c r="PUB37" s="862"/>
      <c r="PUC37" s="862"/>
      <c r="PUD37" s="862"/>
      <c r="PUE37" s="862"/>
      <c r="PUF37" s="862"/>
      <c r="PUG37" s="862"/>
      <c r="PUH37" s="862"/>
      <c r="PUI37" s="862"/>
      <c r="PUJ37" s="862"/>
      <c r="PUK37" s="862"/>
      <c r="PUL37" s="862"/>
      <c r="PUM37" s="862"/>
      <c r="PUN37" s="862"/>
      <c r="PUO37" s="862"/>
      <c r="PUP37" s="862"/>
      <c r="PUQ37" s="862"/>
      <c r="PUR37" s="862"/>
      <c r="PUS37" s="862"/>
      <c r="PUT37" s="862"/>
      <c r="PUU37" s="862"/>
      <c r="PUV37" s="862"/>
      <c r="PUW37" s="862"/>
      <c r="PUX37" s="862"/>
      <c r="PUY37" s="862"/>
      <c r="PUZ37" s="862"/>
      <c r="PVA37" s="862"/>
      <c r="PVB37" s="862"/>
      <c r="PVC37" s="862"/>
      <c r="PVD37" s="862"/>
      <c r="PVE37" s="862"/>
      <c r="PVF37" s="862"/>
      <c r="PVG37" s="862"/>
      <c r="PVH37" s="862"/>
      <c r="PVI37" s="862"/>
      <c r="PVJ37" s="862"/>
      <c r="PVK37" s="862"/>
      <c r="PVL37" s="862"/>
      <c r="PVM37" s="862"/>
      <c r="PVN37" s="862"/>
      <c r="PVO37" s="862"/>
      <c r="PVP37" s="862"/>
      <c r="PVQ37" s="862"/>
      <c r="PVR37" s="862"/>
      <c r="PVS37" s="862"/>
      <c r="PVT37" s="862"/>
      <c r="PVU37" s="862"/>
      <c r="PVV37" s="862"/>
      <c r="PVW37" s="862"/>
      <c r="PVX37" s="862"/>
      <c r="PVY37" s="862"/>
      <c r="PVZ37" s="862"/>
      <c r="PWA37" s="862"/>
      <c r="PWB37" s="862"/>
      <c r="PWC37" s="862"/>
      <c r="PWD37" s="862"/>
      <c r="PWE37" s="862"/>
      <c r="PWF37" s="862"/>
      <c r="PWG37" s="862"/>
      <c r="PWH37" s="862"/>
      <c r="PWI37" s="862"/>
      <c r="PWJ37" s="862"/>
      <c r="PWK37" s="862"/>
      <c r="PWL37" s="862"/>
      <c r="PWM37" s="862"/>
      <c r="PWN37" s="862"/>
      <c r="PWO37" s="862"/>
      <c r="PWP37" s="862"/>
      <c r="PWQ37" s="862"/>
      <c r="PWR37" s="862"/>
      <c r="PWS37" s="862"/>
      <c r="PWT37" s="862"/>
      <c r="PWU37" s="862"/>
      <c r="PWV37" s="862"/>
      <c r="PWW37" s="862"/>
      <c r="PWX37" s="862"/>
      <c r="PWY37" s="862"/>
      <c r="PWZ37" s="862"/>
      <c r="PXA37" s="862"/>
      <c r="PXB37" s="862"/>
      <c r="PXC37" s="862"/>
      <c r="PXD37" s="862"/>
      <c r="PXE37" s="862"/>
      <c r="PXF37" s="862"/>
      <c r="PXG37" s="862"/>
      <c r="PXH37" s="862"/>
      <c r="PXI37" s="862"/>
      <c r="PXJ37" s="862"/>
      <c r="PXK37" s="862"/>
      <c r="PXL37" s="862"/>
      <c r="PXM37" s="862"/>
      <c r="PXN37" s="862"/>
      <c r="PXO37" s="862"/>
      <c r="PXP37" s="862"/>
      <c r="PXQ37" s="862"/>
      <c r="PXR37" s="862"/>
      <c r="PXS37" s="862"/>
      <c r="PXT37" s="862"/>
      <c r="PXU37" s="862"/>
      <c r="PXV37" s="862"/>
      <c r="PXW37" s="862"/>
      <c r="PXX37" s="862"/>
      <c r="PXY37" s="862"/>
      <c r="PXZ37" s="862"/>
      <c r="PYA37" s="862"/>
      <c r="PYB37" s="862"/>
      <c r="PYC37" s="862"/>
      <c r="PYD37" s="862"/>
      <c r="PYE37" s="862"/>
      <c r="PYF37" s="862"/>
      <c r="PYG37" s="862"/>
      <c r="PYH37" s="862"/>
      <c r="PYI37" s="862"/>
      <c r="PYJ37" s="862"/>
      <c r="PYK37" s="862"/>
      <c r="PYL37" s="862"/>
      <c r="PYM37" s="862"/>
      <c r="PYN37" s="862"/>
      <c r="PYO37" s="862"/>
      <c r="PYP37" s="862"/>
      <c r="PYQ37" s="862"/>
      <c r="PYR37" s="862"/>
      <c r="PYS37" s="862"/>
      <c r="PYT37" s="862"/>
      <c r="PYU37" s="862"/>
      <c r="PYV37" s="862"/>
      <c r="PYW37" s="862"/>
      <c r="PYX37" s="862"/>
      <c r="PYY37" s="862"/>
      <c r="PYZ37" s="862"/>
      <c r="PZA37" s="862"/>
      <c r="PZB37" s="862"/>
      <c r="PZC37" s="862"/>
      <c r="PZD37" s="862"/>
      <c r="PZE37" s="862"/>
      <c r="PZF37" s="862"/>
      <c r="PZG37" s="862"/>
      <c r="PZH37" s="862"/>
      <c r="PZI37" s="862"/>
      <c r="PZJ37" s="862"/>
      <c r="PZK37" s="862"/>
      <c r="PZL37" s="862"/>
      <c r="PZM37" s="862"/>
      <c r="PZN37" s="862"/>
      <c r="PZO37" s="862"/>
      <c r="PZP37" s="862"/>
      <c r="PZQ37" s="862"/>
      <c r="PZR37" s="862"/>
      <c r="PZS37" s="862"/>
      <c r="PZT37" s="862"/>
      <c r="PZU37" s="862"/>
      <c r="PZV37" s="862"/>
      <c r="PZW37" s="862"/>
      <c r="PZX37" s="862"/>
      <c r="PZY37" s="862"/>
      <c r="PZZ37" s="862"/>
      <c r="QAA37" s="862"/>
      <c r="QAB37" s="862"/>
      <c r="QAC37" s="862"/>
      <c r="QAD37" s="862"/>
      <c r="QAE37" s="862"/>
      <c r="QAF37" s="862"/>
      <c r="QAG37" s="862"/>
      <c r="QAH37" s="862"/>
      <c r="QAI37" s="862"/>
      <c r="QAJ37" s="862"/>
      <c r="QAK37" s="862"/>
      <c r="QAL37" s="862"/>
      <c r="QAM37" s="862"/>
      <c r="QAN37" s="862"/>
      <c r="QAO37" s="862"/>
      <c r="QAP37" s="862"/>
      <c r="QAQ37" s="862"/>
      <c r="QAR37" s="862"/>
      <c r="QAS37" s="862"/>
      <c r="QAT37" s="862"/>
      <c r="QAU37" s="862"/>
      <c r="QAV37" s="862"/>
      <c r="QAW37" s="862"/>
      <c r="QAX37" s="862"/>
      <c r="QAY37" s="862"/>
      <c r="QAZ37" s="862"/>
      <c r="QBA37" s="862"/>
      <c r="QBB37" s="862"/>
      <c r="QBC37" s="862"/>
      <c r="QBD37" s="862"/>
      <c r="QBE37" s="862"/>
      <c r="QBF37" s="862"/>
      <c r="QBG37" s="862"/>
      <c r="QBH37" s="862"/>
      <c r="QBI37" s="862"/>
      <c r="QBJ37" s="862"/>
      <c r="QBK37" s="862"/>
      <c r="QBL37" s="862"/>
      <c r="QBM37" s="862"/>
      <c r="QBN37" s="862"/>
      <c r="QBO37" s="862"/>
      <c r="QBP37" s="862"/>
      <c r="QBQ37" s="862"/>
      <c r="QBR37" s="862"/>
      <c r="QBS37" s="862"/>
      <c r="QBT37" s="862"/>
      <c r="QBU37" s="862"/>
      <c r="QBV37" s="862"/>
      <c r="QBW37" s="862"/>
      <c r="QBX37" s="862"/>
      <c r="QBY37" s="862"/>
      <c r="QBZ37" s="862"/>
      <c r="QCA37" s="862"/>
      <c r="QCB37" s="862"/>
      <c r="QCC37" s="862"/>
      <c r="QCD37" s="862"/>
      <c r="QCE37" s="862"/>
      <c r="QCF37" s="862"/>
      <c r="QCG37" s="862"/>
      <c r="QCH37" s="862"/>
      <c r="QCI37" s="862"/>
      <c r="QCJ37" s="862"/>
      <c r="QCK37" s="862"/>
      <c r="QCL37" s="862"/>
      <c r="QCM37" s="862"/>
      <c r="QCN37" s="862"/>
      <c r="QCO37" s="862"/>
      <c r="QCP37" s="862"/>
      <c r="QCQ37" s="862"/>
      <c r="QCR37" s="862"/>
      <c r="QCS37" s="862"/>
      <c r="QCT37" s="862"/>
      <c r="QCU37" s="862"/>
      <c r="QCV37" s="862"/>
      <c r="QCW37" s="862"/>
      <c r="QCX37" s="862"/>
      <c r="QCY37" s="862"/>
      <c r="QCZ37" s="862"/>
      <c r="QDA37" s="862"/>
      <c r="QDB37" s="862"/>
      <c r="QDC37" s="862"/>
      <c r="QDD37" s="862"/>
      <c r="QDE37" s="862"/>
      <c r="QDF37" s="862"/>
      <c r="QDG37" s="862"/>
      <c r="QDH37" s="862"/>
      <c r="QDI37" s="862"/>
      <c r="QDJ37" s="862"/>
      <c r="QDK37" s="862"/>
      <c r="QDL37" s="862"/>
      <c r="QDM37" s="862"/>
      <c r="QDN37" s="862"/>
      <c r="QDO37" s="862"/>
      <c r="QDP37" s="862"/>
      <c r="QDQ37" s="862"/>
      <c r="QDR37" s="862"/>
      <c r="QDS37" s="862"/>
      <c r="QDT37" s="862"/>
      <c r="QDU37" s="862"/>
      <c r="QDV37" s="862"/>
      <c r="QDW37" s="862"/>
      <c r="QDX37" s="862"/>
      <c r="QDY37" s="862"/>
      <c r="QDZ37" s="862"/>
      <c r="QEA37" s="862"/>
      <c r="QEB37" s="862"/>
      <c r="QEC37" s="862"/>
      <c r="QED37" s="862"/>
      <c r="QEE37" s="862"/>
      <c r="QEF37" s="862"/>
      <c r="QEG37" s="862"/>
      <c r="QEH37" s="862"/>
      <c r="QEI37" s="862"/>
      <c r="QEJ37" s="862"/>
      <c r="QEK37" s="862"/>
      <c r="QEL37" s="862"/>
      <c r="QEM37" s="862"/>
      <c r="QEN37" s="862"/>
      <c r="QEO37" s="862"/>
      <c r="QEP37" s="862"/>
      <c r="QEQ37" s="862"/>
      <c r="QER37" s="862"/>
      <c r="QES37" s="862"/>
      <c r="QET37" s="862"/>
      <c r="QEU37" s="862"/>
      <c r="QEV37" s="862"/>
      <c r="QEW37" s="862"/>
      <c r="QEX37" s="862"/>
      <c r="QEY37" s="862"/>
      <c r="QEZ37" s="862"/>
      <c r="QFA37" s="862"/>
      <c r="QFB37" s="862"/>
      <c r="QFC37" s="862"/>
      <c r="QFD37" s="862"/>
      <c r="QFE37" s="862"/>
      <c r="QFF37" s="862"/>
      <c r="QFG37" s="862"/>
      <c r="QFH37" s="862"/>
      <c r="QFI37" s="862"/>
      <c r="QFJ37" s="862"/>
      <c r="QFK37" s="862"/>
      <c r="QFL37" s="862"/>
      <c r="QFM37" s="862"/>
      <c r="QFN37" s="862"/>
      <c r="QFO37" s="862"/>
      <c r="QFP37" s="862"/>
      <c r="QFQ37" s="862"/>
      <c r="QFR37" s="862"/>
      <c r="QFS37" s="862"/>
      <c r="QFT37" s="862"/>
      <c r="QFU37" s="862"/>
      <c r="QFV37" s="862"/>
      <c r="QFW37" s="862"/>
      <c r="QFX37" s="862"/>
      <c r="QFY37" s="862"/>
      <c r="QFZ37" s="862"/>
      <c r="QGA37" s="862"/>
      <c r="QGB37" s="862"/>
      <c r="QGC37" s="862"/>
      <c r="QGD37" s="862"/>
      <c r="QGE37" s="862"/>
      <c r="QGF37" s="862"/>
      <c r="QGG37" s="862"/>
      <c r="QGH37" s="862"/>
      <c r="QGI37" s="862"/>
      <c r="QGJ37" s="862"/>
      <c r="QGK37" s="862"/>
      <c r="QGL37" s="862"/>
      <c r="QGM37" s="862"/>
      <c r="QGN37" s="862"/>
      <c r="QGO37" s="862"/>
      <c r="QGP37" s="862"/>
      <c r="QGQ37" s="862"/>
      <c r="QGR37" s="862"/>
      <c r="QGS37" s="862"/>
      <c r="QGT37" s="862"/>
      <c r="QGU37" s="862"/>
      <c r="QGV37" s="862"/>
      <c r="QGW37" s="862"/>
      <c r="QGX37" s="862"/>
      <c r="QGY37" s="862"/>
      <c r="QGZ37" s="862"/>
      <c r="QHA37" s="862"/>
      <c r="QHB37" s="862"/>
      <c r="QHC37" s="862"/>
      <c r="QHD37" s="862"/>
      <c r="QHE37" s="862"/>
      <c r="QHF37" s="862"/>
      <c r="QHG37" s="862"/>
      <c r="QHH37" s="862"/>
      <c r="QHI37" s="862"/>
      <c r="QHJ37" s="862"/>
      <c r="QHK37" s="862"/>
      <c r="QHL37" s="862"/>
      <c r="QHM37" s="862"/>
      <c r="QHN37" s="862"/>
      <c r="QHO37" s="862"/>
      <c r="QHP37" s="862"/>
      <c r="QHQ37" s="862"/>
      <c r="QHR37" s="862"/>
      <c r="QHS37" s="862"/>
      <c r="QHT37" s="862"/>
      <c r="QHU37" s="862"/>
      <c r="QHV37" s="862"/>
      <c r="QHW37" s="862"/>
      <c r="QHX37" s="862"/>
      <c r="QHY37" s="862"/>
      <c r="QHZ37" s="862"/>
      <c r="QIA37" s="862"/>
      <c r="QIB37" s="862"/>
      <c r="QIC37" s="862"/>
      <c r="QID37" s="862"/>
      <c r="QIE37" s="862"/>
      <c r="QIF37" s="862"/>
      <c r="QIG37" s="862"/>
      <c r="QIH37" s="862"/>
      <c r="QII37" s="862"/>
      <c r="QIJ37" s="862"/>
      <c r="QIK37" s="862"/>
      <c r="QIL37" s="862"/>
      <c r="QIM37" s="862"/>
      <c r="QIN37" s="862"/>
      <c r="QIO37" s="862"/>
      <c r="QIP37" s="862"/>
      <c r="QIQ37" s="862"/>
      <c r="QIR37" s="862"/>
      <c r="QIS37" s="862"/>
      <c r="QIT37" s="862"/>
      <c r="QIU37" s="862"/>
      <c r="QIV37" s="862"/>
      <c r="QIW37" s="862"/>
      <c r="QIX37" s="862"/>
      <c r="QIY37" s="862"/>
      <c r="QIZ37" s="862"/>
      <c r="QJA37" s="862"/>
      <c r="QJB37" s="862"/>
      <c r="QJC37" s="862"/>
      <c r="QJD37" s="862"/>
      <c r="QJE37" s="862"/>
      <c r="QJF37" s="862"/>
      <c r="QJG37" s="862"/>
      <c r="QJH37" s="862"/>
      <c r="QJI37" s="862"/>
      <c r="QJJ37" s="862"/>
      <c r="QJK37" s="862"/>
      <c r="QJL37" s="862"/>
      <c r="QJM37" s="862"/>
      <c r="QJN37" s="862"/>
      <c r="QJO37" s="862"/>
      <c r="QJP37" s="862"/>
      <c r="QJQ37" s="862"/>
      <c r="QJR37" s="862"/>
      <c r="QJS37" s="862"/>
      <c r="QJT37" s="862"/>
      <c r="QJU37" s="862"/>
      <c r="QJV37" s="862"/>
      <c r="QJW37" s="862"/>
      <c r="QJX37" s="862"/>
      <c r="QJY37" s="862"/>
      <c r="QJZ37" s="862"/>
      <c r="QKA37" s="862"/>
      <c r="QKB37" s="862"/>
      <c r="QKC37" s="862"/>
      <c r="QKD37" s="862"/>
      <c r="QKE37" s="862"/>
      <c r="QKF37" s="862"/>
      <c r="QKG37" s="862"/>
      <c r="QKH37" s="862"/>
      <c r="QKI37" s="862"/>
      <c r="QKJ37" s="862"/>
      <c r="QKK37" s="862"/>
      <c r="QKL37" s="862"/>
      <c r="QKM37" s="862"/>
      <c r="QKN37" s="862"/>
      <c r="QKO37" s="862"/>
      <c r="QKP37" s="862"/>
      <c r="QKQ37" s="862"/>
      <c r="QKR37" s="862"/>
      <c r="QKS37" s="862"/>
      <c r="QKT37" s="862"/>
      <c r="QKU37" s="862"/>
      <c r="QKV37" s="862"/>
      <c r="QKW37" s="862"/>
      <c r="QKX37" s="862"/>
      <c r="QKY37" s="862"/>
      <c r="QKZ37" s="862"/>
      <c r="QLA37" s="862"/>
      <c r="QLB37" s="862"/>
      <c r="QLC37" s="862"/>
      <c r="QLD37" s="862"/>
      <c r="QLE37" s="862"/>
      <c r="QLF37" s="862"/>
      <c r="QLG37" s="862"/>
      <c r="QLH37" s="862"/>
      <c r="QLI37" s="862"/>
      <c r="QLJ37" s="862"/>
      <c r="QLK37" s="862"/>
      <c r="QLL37" s="862"/>
      <c r="QLM37" s="862"/>
      <c r="QLN37" s="862"/>
      <c r="QLO37" s="862"/>
      <c r="QLP37" s="862"/>
      <c r="QLQ37" s="862"/>
      <c r="QLR37" s="862"/>
      <c r="QLS37" s="862"/>
      <c r="QLT37" s="862"/>
      <c r="QLU37" s="862"/>
      <c r="QLV37" s="862"/>
      <c r="QLW37" s="862"/>
      <c r="QLX37" s="862"/>
      <c r="QLY37" s="862"/>
      <c r="QLZ37" s="862"/>
      <c r="QMA37" s="862"/>
      <c r="QMB37" s="862"/>
      <c r="QMC37" s="862"/>
      <c r="QMD37" s="862"/>
      <c r="QME37" s="862"/>
      <c r="QMF37" s="862"/>
      <c r="QMG37" s="862"/>
      <c r="QMH37" s="862"/>
      <c r="QMI37" s="862"/>
      <c r="QMJ37" s="862"/>
      <c r="QMK37" s="862"/>
      <c r="QML37" s="862"/>
      <c r="QMM37" s="862"/>
      <c r="QMN37" s="862"/>
      <c r="QMO37" s="862"/>
      <c r="QMP37" s="862"/>
      <c r="QMQ37" s="862"/>
      <c r="QMR37" s="862"/>
      <c r="QMS37" s="862"/>
      <c r="QMT37" s="862"/>
      <c r="QMU37" s="862"/>
      <c r="QMV37" s="862"/>
      <c r="QMW37" s="862"/>
      <c r="QMX37" s="862"/>
      <c r="QMY37" s="862"/>
      <c r="QMZ37" s="862"/>
      <c r="QNA37" s="862"/>
      <c r="QNB37" s="862"/>
      <c r="QNC37" s="862"/>
      <c r="QND37" s="862"/>
      <c r="QNE37" s="862"/>
      <c r="QNF37" s="862"/>
      <c r="QNG37" s="862"/>
      <c r="QNH37" s="862"/>
      <c r="QNI37" s="862"/>
      <c r="QNJ37" s="862"/>
      <c r="QNK37" s="862"/>
      <c r="QNL37" s="862"/>
      <c r="QNM37" s="862"/>
      <c r="QNN37" s="862"/>
      <c r="QNO37" s="862"/>
      <c r="QNP37" s="862"/>
      <c r="QNQ37" s="862"/>
      <c r="QNR37" s="862"/>
      <c r="QNS37" s="862"/>
      <c r="QNT37" s="862"/>
      <c r="QNU37" s="862"/>
      <c r="QNV37" s="862"/>
      <c r="QNW37" s="862"/>
      <c r="QNX37" s="862"/>
      <c r="QNY37" s="862"/>
      <c r="QNZ37" s="862"/>
      <c r="QOA37" s="862"/>
      <c r="QOB37" s="862"/>
      <c r="QOC37" s="862"/>
      <c r="QOD37" s="862"/>
      <c r="QOE37" s="862"/>
      <c r="QOF37" s="862"/>
      <c r="QOG37" s="862"/>
      <c r="QOH37" s="862"/>
      <c r="QOI37" s="862"/>
      <c r="QOJ37" s="862"/>
      <c r="QOK37" s="862"/>
      <c r="QOL37" s="862"/>
      <c r="QOM37" s="862"/>
      <c r="QON37" s="862"/>
      <c r="QOO37" s="862"/>
      <c r="QOP37" s="862"/>
      <c r="QOQ37" s="862"/>
      <c r="QOR37" s="862"/>
      <c r="QOS37" s="862"/>
      <c r="QOT37" s="862"/>
      <c r="QOU37" s="862"/>
      <c r="QOV37" s="862"/>
      <c r="QOW37" s="862"/>
      <c r="QOX37" s="862"/>
      <c r="QOY37" s="862"/>
      <c r="QOZ37" s="862"/>
      <c r="QPA37" s="862"/>
      <c r="QPB37" s="862"/>
      <c r="QPC37" s="862"/>
      <c r="QPD37" s="862"/>
      <c r="QPE37" s="862"/>
      <c r="QPF37" s="862"/>
      <c r="QPG37" s="862"/>
      <c r="QPH37" s="862"/>
      <c r="QPI37" s="862"/>
      <c r="QPJ37" s="862"/>
      <c r="QPK37" s="862"/>
      <c r="QPL37" s="862"/>
      <c r="QPM37" s="862"/>
      <c r="QPN37" s="862"/>
      <c r="QPO37" s="862"/>
      <c r="QPP37" s="862"/>
      <c r="QPQ37" s="862"/>
      <c r="QPR37" s="862"/>
      <c r="QPS37" s="862"/>
      <c r="QPT37" s="862"/>
      <c r="QPU37" s="862"/>
      <c r="QPV37" s="862"/>
      <c r="QPW37" s="862"/>
      <c r="QPX37" s="862"/>
      <c r="QPY37" s="862"/>
      <c r="QPZ37" s="862"/>
      <c r="QQA37" s="862"/>
      <c r="QQB37" s="862"/>
      <c r="QQC37" s="862"/>
      <c r="QQD37" s="862"/>
      <c r="QQE37" s="862"/>
      <c r="QQF37" s="862"/>
      <c r="QQG37" s="862"/>
      <c r="QQH37" s="862"/>
      <c r="QQI37" s="862"/>
      <c r="QQJ37" s="862"/>
      <c r="QQK37" s="862"/>
      <c r="QQL37" s="862"/>
      <c r="QQM37" s="862"/>
      <c r="QQN37" s="862"/>
      <c r="QQO37" s="862"/>
      <c r="QQP37" s="862"/>
      <c r="QQQ37" s="862"/>
      <c r="QQR37" s="862"/>
      <c r="QQS37" s="862"/>
      <c r="QQT37" s="862"/>
      <c r="QQU37" s="862"/>
      <c r="QQV37" s="862"/>
      <c r="QQW37" s="862"/>
      <c r="QQX37" s="862"/>
      <c r="QQY37" s="862"/>
      <c r="QQZ37" s="862"/>
      <c r="QRA37" s="862"/>
      <c r="QRB37" s="862"/>
      <c r="QRC37" s="862"/>
      <c r="QRD37" s="862"/>
      <c r="QRE37" s="862"/>
      <c r="QRF37" s="862"/>
      <c r="QRG37" s="862"/>
      <c r="QRH37" s="862"/>
      <c r="QRI37" s="862"/>
      <c r="QRJ37" s="862"/>
      <c r="QRK37" s="862"/>
      <c r="QRL37" s="862"/>
      <c r="QRM37" s="862"/>
      <c r="QRN37" s="862"/>
      <c r="QRO37" s="862"/>
      <c r="QRP37" s="862"/>
      <c r="QRQ37" s="862"/>
      <c r="QRR37" s="862"/>
      <c r="QRS37" s="862"/>
      <c r="QRT37" s="862"/>
      <c r="QRU37" s="862"/>
      <c r="QRV37" s="862"/>
      <c r="QRW37" s="862"/>
      <c r="QRX37" s="862"/>
      <c r="QRY37" s="862"/>
      <c r="QRZ37" s="862"/>
      <c r="QSA37" s="862"/>
      <c r="QSB37" s="862"/>
      <c r="QSC37" s="862"/>
      <c r="QSD37" s="862"/>
      <c r="QSE37" s="862"/>
      <c r="QSF37" s="862"/>
      <c r="QSG37" s="862"/>
      <c r="QSH37" s="862"/>
      <c r="QSI37" s="862"/>
      <c r="QSJ37" s="862"/>
      <c r="QSK37" s="862"/>
      <c r="QSL37" s="862"/>
      <c r="QSM37" s="862"/>
      <c r="QSN37" s="862"/>
      <c r="QSO37" s="862"/>
      <c r="QSP37" s="862"/>
      <c r="QSQ37" s="862"/>
      <c r="QSR37" s="862"/>
      <c r="QSS37" s="862"/>
      <c r="QST37" s="862"/>
      <c r="QSU37" s="862"/>
      <c r="QSV37" s="862"/>
      <c r="QSW37" s="862"/>
      <c r="QSX37" s="862"/>
      <c r="QSY37" s="862"/>
      <c r="QSZ37" s="862"/>
      <c r="QTA37" s="862"/>
      <c r="QTB37" s="862"/>
      <c r="QTC37" s="862"/>
      <c r="QTD37" s="862"/>
      <c r="QTE37" s="862"/>
      <c r="QTF37" s="862"/>
      <c r="QTG37" s="862"/>
      <c r="QTH37" s="862"/>
      <c r="QTI37" s="862"/>
      <c r="QTJ37" s="862"/>
      <c r="QTK37" s="862"/>
      <c r="QTL37" s="862"/>
      <c r="QTM37" s="862"/>
      <c r="QTN37" s="862"/>
      <c r="QTO37" s="862"/>
      <c r="QTP37" s="862"/>
      <c r="QTQ37" s="862"/>
      <c r="QTR37" s="862"/>
      <c r="QTS37" s="862"/>
      <c r="QTT37" s="862"/>
      <c r="QTU37" s="862"/>
      <c r="QTV37" s="862"/>
      <c r="QTW37" s="862"/>
      <c r="QTX37" s="862"/>
      <c r="QTY37" s="862"/>
      <c r="QTZ37" s="862"/>
      <c r="QUA37" s="862"/>
      <c r="QUB37" s="862"/>
      <c r="QUC37" s="862"/>
      <c r="QUD37" s="862"/>
      <c r="QUE37" s="862"/>
      <c r="QUF37" s="862"/>
      <c r="QUG37" s="862"/>
      <c r="QUH37" s="862"/>
      <c r="QUI37" s="862"/>
      <c r="QUJ37" s="862"/>
      <c r="QUK37" s="862"/>
      <c r="QUL37" s="862"/>
      <c r="QUM37" s="862"/>
      <c r="QUN37" s="862"/>
      <c r="QUO37" s="862"/>
      <c r="QUP37" s="862"/>
      <c r="QUQ37" s="862"/>
      <c r="QUR37" s="862"/>
      <c r="QUS37" s="862"/>
      <c r="QUT37" s="862"/>
      <c r="QUU37" s="862"/>
      <c r="QUV37" s="862"/>
      <c r="QUW37" s="862"/>
      <c r="QUX37" s="862"/>
      <c r="QUY37" s="862"/>
      <c r="QUZ37" s="862"/>
      <c r="QVA37" s="862"/>
      <c r="QVB37" s="862"/>
      <c r="QVC37" s="862"/>
      <c r="QVD37" s="862"/>
      <c r="QVE37" s="862"/>
      <c r="QVF37" s="862"/>
      <c r="QVG37" s="862"/>
      <c r="QVH37" s="862"/>
      <c r="QVI37" s="862"/>
      <c r="QVJ37" s="862"/>
      <c r="QVK37" s="862"/>
      <c r="QVL37" s="862"/>
      <c r="QVM37" s="862"/>
      <c r="QVN37" s="862"/>
      <c r="QVO37" s="862"/>
      <c r="QVP37" s="862"/>
      <c r="QVQ37" s="862"/>
      <c r="QVR37" s="862"/>
      <c r="QVS37" s="862"/>
      <c r="QVT37" s="862"/>
      <c r="QVU37" s="862"/>
      <c r="QVV37" s="862"/>
      <c r="QVW37" s="862"/>
      <c r="QVX37" s="862"/>
      <c r="QVY37" s="862"/>
      <c r="QVZ37" s="862"/>
      <c r="QWA37" s="862"/>
      <c r="QWB37" s="862"/>
      <c r="QWC37" s="862"/>
      <c r="QWD37" s="862"/>
      <c r="QWE37" s="862"/>
      <c r="QWF37" s="862"/>
      <c r="QWG37" s="862"/>
      <c r="QWH37" s="862"/>
      <c r="QWI37" s="862"/>
      <c r="QWJ37" s="862"/>
      <c r="QWK37" s="862"/>
      <c r="QWL37" s="862"/>
      <c r="QWM37" s="862"/>
      <c r="QWN37" s="862"/>
      <c r="QWO37" s="862"/>
      <c r="QWP37" s="862"/>
      <c r="QWQ37" s="862"/>
      <c r="QWR37" s="862"/>
      <c r="QWS37" s="862"/>
      <c r="QWT37" s="862"/>
      <c r="QWU37" s="862"/>
      <c r="QWV37" s="862"/>
      <c r="QWW37" s="862"/>
      <c r="QWX37" s="862"/>
      <c r="QWY37" s="862"/>
      <c r="QWZ37" s="862"/>
      <c r="QXA37" s="862"/>
      <c r="QXB37" s="862"/>
      <c r="QXC37" s="862"/>
      <c r="QXD37" s="862"/>
      <c r="QXE37" s="862"/>
      <c r="QXF37" s="862"/>
      <c r="QXG37" s="862"/>
      <c r="QXH37" s="862"/>
      <c r="QXI37" s="862"/>
      <c r="QXJ37" s="862"/>
      <c r="QXK37" s="862"/>
      <c r="QXL37" s="862"/>
      <c r="QXM37" s="862"/>
      <c r="QXN37" s="862"/>
      <c r="QXO37" s="862"/>
      <c r="QXP37" s="862"/>
      <c r="QXQ37" s="862"/>
      <c r="QXR37" s="862"/>
      <c r="QXS37" s="862"/>
      <c r="QXT37" s="862"/>
      <c r="QXU37" s="862"/>
      <c r="QXV37" s="862"/>
      <c r="QXW37" s="862"/>
      <c r="QXX37" s="862"/>
      <c r="QXY37" s="862"/>
      <c r="QXZ37" s="862"/>
      <c r="QYA37" s="862"/>
      <c r="QYB37" s="862"/>
      <c r="QYC37" s="862"/>
      <c r="QYD37" s="862"/>
      <c r="QYE37" s="862"/>
      <c r="QYF37" s="862"/>
      <c r="QYG37" s="862"/>
      <c r="QYH37" s="862"/>
      <c r="QYI37" s="862"/>
      <c r="QYJ37" s="862"/>
      <c r="QYK37" s="862"/>
      <c r="QYL37" s="862"/>
      <c r="QYM37" s="862"/>
      <c r="QYN37" s="862"/>
      <c r="QYO37" s="862"/>
      <c r="QYP37" s="862"/>
      <c r="QYQ37" s="862"/>
      <c r="QYR37" s="862"/>
      <c r="QYS37" s="862"/>
      <c r="QYT37" s="862"/>
      <c r="QYU37" s="862"/>
      <c r="QYV37" s="862"/>
      <c r="QYW37" s="862"/>
      <c r="QYX37" s="862"/>
      <c r="QYY37" s="862"/>
      <c r="QYZ37" s="862"/>
      <c r="QZA37" s="862"/>
      <c r="QZB37" s="862"/>
      <c r="QZC37" s="862"/>
      <c r="QZD37" s="862"/>
      <c r="QZE37" s="862"/>
      <c r="QZF37" s="862"/>
      <c r="QZG37" s="862"/>
      <c r="QZH37" s="862"/>
      <c r="QZI37" s="862"/>
      <c r="QZJ37" s="862"/>
      <c r="QZK37" s="862"/>
      <c r="QZL37" s="862"/>
      <c r="QZM37" s="862"/>
      <c r="QZN37" s="862"/>
      <c r="QZO37" s="862"/>
      <c r="QZP37" s="862"/>
      <c r="QZQ37" s="862"/>
      <c r="QZR37" s="862"/>
      <c r="QZS37" s="862"/>
      <c r="QZT37" s="862"/>
      <c r="QZU37" s="862"/>
      <c r="QZV37" s="862"/>
      <c r="QZW37" s="862"/>
      <c r="QZX37" s="862"/>
      <c r="QZY37" s="862"/>
      <c r="QZZ37" s="862"/>
      <c r="RAA37" s="862"/>
      <c r="RAB37" s="862"/>
      <c r="RAC37" s="862"/>
      <c r="RAD37" s="862"/>
      <c r="RAE37" s="862"/>
      <c r="RAF37" s="862"/>
      <c r="RAG37" s="862"/>
      <c r="RAH37" s="862"/>
      <c r="RAI37" s="862"/>
      <c r="RAJ37" s="862"/>
      <c r="RAK37" s="862"/>
      <c r="RAL37" s="862"/>
      <c r="RAM37" s="862"/>
      <c r="RAN37" s="862"/>
      <c r="RAO37" s="862"/>
      <c r="RAP37" s="862"/>
      <c r="RAQ37" s="862"/>
      <c r="RAR37" s="862"/>
      <c r="RAS37" s="862"/>
      <c r="RAT37" s="862"/>
      <c r="RAU37" s="862"/>
      <c r="RAV37" s="862"/>
      <c r="RAW37" s="862"/>
      <c r="RAX37" s="862"/>
      <c r="RAY37" s="862"/>
      <c r="RAZ37" s="862"/>
      <c r="RBA37" s="862"/>
      <c r="RBB37" s="862"/>
      <c r="RBC37" s="862"/>
      <c r="RBD37" s="862"/>
      <c r="RBE37" s="862"/>
      <c r="RBF37" s="862"/>
      <c r="RBG37" s="862"/>
      <c r="RBH37" s="862"/>
      <c r="RBI37" s="862"/>
      <c r="RBJ37" s="862"/>
      <c r="RBK37" s="862"/>
      <c r="RBL37" s="862"/>
      <c r="RBM37" s="862"/>
      <c r="RBN37" s="862"/>
      <c r="RBO37" s="862"/>
      <c r="RBP37" s="862"/>
      <c r="RBQ37" s="862"/>
      <c r="RBR37" s="862"/>
      <c r="RBS37" s="862"/>
      <c r="RBT37" s="862"/>
      <c r="RBU37" s="862"/>
      <c r="RBV37" s="862"/>
      <c r="RBW37" s="862"/>
      <c r="RBX37" s="862"/>
      <c r="RBY37" s="862"/>
      <c r="RBZ37" s="862"/>
      <c r="RCA37" s="862"/>
      <c r="RCB37" s="862"/>
      <c r="RCC37" s="862"/>
      <c r="RCD37" s="862"/>
      <c r="RCE37" s="862"/>
      <c r="RCF37" s="862"/>
      <c r="RCG37" s="862"/>
      <c r="RCH37" s="862"/>
      <c r="RCI37" s="862"/>
      <c r="RCJ37" s="862"/>
      <c r="RCK37" s="862"/>
      <c r="RCL37" s="862"/>
      <c r="RCM37" s="862"/>
      <c r="RCN37" s="862"/>
      <c r="RCO37" s="862"/>
      <c r="RCP37" s="862"/>
      <c r="RCQ37" s="862"/>
      <c r="RCR37" s="862"/>
      <c r="RCS37" s="862"/>
      <c r="RCT37" s="862"/>
      <c r="RCU37" s="862"/>
      <c r="RCV37" s="862"/>
      <c r="RCW37" s="862"/>
      <c r="RCX37" s="862"/>
      <c r="RCY37" s="862"/>
      <c r="RCZ37" s="862"/>
      <c r="RDA37" s="862"/>
      <c r="RDB37" s="862"/>
      <c r="RDC37" s="862"/>
      <c r="RDD37" s="862"/>
      <c r="RDE37" s="862"/>
      <c r="RDF37" s="862"/>
      <c r="RDG37" s="862"/>
      <c r="RDH37" s="862"/>
      <c r="RDI37" s="862"/>
      <c r="RDJ37" s="862"/>
      <c r="RDK37" s="862"/>
      <c r="RDL37" s="862"/>
      <c r="RDM37" s="862"/>
      <c r="RDN37" s="862"/>
      <c r="RDO37" s="862"/>
      <c r="RDP37" s="862"/>
      <c r="RDQ37" s="862"/>
      <c r="RDR37" s="862"/>
      <c r="RDS37" s="862"/>
      <c r="RDT37" s="862"/>
      <c r="RDU37" s="862"/>
      <c r="RDV37" s="862"/>
      <c r="RDW37" s="862"/>
      <c r="RDX37" s="862"/>
      <c r="RDY37" s="862"/>
      <c r="RDZ37" s="862"/>
      <c r="REA37" s="862"/>
      <c r="REB37" s="862"/>
      <c r="REC37" s="862"/>
      <c r="RED37" s="862"/>
      <c r="REE37" s="862"/>
      <c r="REF37" s="862"/>
      <c r="REG37" s="862"/>
      <c r="REH37" s="862"/>
      <c r="REI37" s="862"/>
      <c r="REJ37" s="862"/>
      <c r="REK37" s="862"/>
      <c r="REL37" s="862"/>
      <c r="REM37" s="862"/>
      <c r="REN37" s="862"/>
      <c r="REO37" s="862"/>
      <c r="REP37" s="862"/>
      <c r="REQ37" s="862"/>
      <c r="RER37" s="862"/>
      <c r="RES37" s="862"/>
      <c r="RET37" s="862"/>
      <c r="REU37" s="862"/>
      <c r="REV37" s="862"/>
      <c r="REW37" s="862"/>
      <c r="REX37" s="862"/>
      <c r="REY37" s="862"/>
      <c r="REZ37" s="862"/>
      <c r="RFA37" s="862"/>
      <c r="RFB37" s="862"/>
      <c r="RFC37" s="862"/>
      <c r="RFD37" s="862"/>
      <c r="RFE37" s="862"/>
      <c r="RFF37" s="862"/>
      <c r="RFG37" s="862"/>
      <c r="RFH37" s="862"/>
      <c r="RFI37" s="862"/>
      <c r="RFJ37" s="862"/>
      <c r="RFK37" s="862"/>
      <c r="RFL37" s="862"/>
      <c r="RFM37" s="862"/>
      <c r="RFN37" s="862"/>
      <c r="RFO37" s="862"/>
      <c r="RFP37" s="862"/>
      <c r="RFQ37" s="862"/>
      <c r="RFR37" s="862"/>
      <c r="RFS37" s="862"/>
      <c r="RFT37" s="862"/>
      <c r="RFU37" s="862"/>
      <c r="RFV37" s="862"/>
      <c r="RFW37" s="862"/>
      <c r="RFX37" s="862"/>
      <c r="RFY37" s="862"/>
      <c r="RFZ37" s="862"/>
      <c r="RGA37" s="862"/>
      <c r="RGB37" s="862"/>
      <c r="RGC37" s="862"/>
      <c r="RGD37" s="862"/>
      <c r="RGE37" s="862"/>
      <c r="RGF37" s="862"/>
      <c r="RGG37" s="862"/>
      <c r="RGH37" s="862"/>
      <c r="RGI37" s="862"/>
      <c r="RGJ37" s="862"/>
      <c r="RGK37" s="862"/>
      <c r="RGL37" s="862"/>
      <c r="RGM37" s="862"/>
      <c r="RGN37" s="862"/>
      <c r="RGO37" s="862"/>
      <c r="RGP37" s="862"/>
      <c r="RGQ37" s="862"/>
      <c r="RGR37" s="862"/>
      <c r="RGS37" s="862"/>
      <c r="RGT37" s="862"/>
      <c r="RGU37" s="862"/>
      <c r="RGV37" s="862"/>
      <c r="RGW37" s="862"/>
      <c r="RGX37" s="862"/>
      <c r="RGY37" s="862"/>
      <c r="RGZ37" s="862"/>
      <c r="RHA37" s="862"/>
      <c r="RHB37" s="862"/>
      <c r="RHC37" s="862"/>
      <c r="RHD37" s="862"/>
      <c r="RHE37" s="862"/>
      <c r="RHF37" s="862"/>
      <c r="RHG37" s="862"/>
      <c r="RHH37" s="862"/>
      <c r="RHI37" s="862"/>
      <c r="RHJ37" s="862"/>
      <c r="RHK37" s="862"/>
      <c r="RHL37" s="862"/>
      <c r="RHM37" s="862"/>
      <c r="RHN37" s="862"/>
      <c r="RHO37" s="862"/>
      <c r="RHP37" s="862"/>
      <c r="RHQ37" s="862"/>
      <c r="RHR37" s="862"/>
      <c r="RHS37" s="862"/>
      <c r="RHT37" s="862"/>
      <c r="RHU37" s="862"/>
      <c r="RHV37" s="862"/>
      <c r="RHW37" s="862"/>
      <c r="RHX37" s="862"/>
      <c r="RHY37" s="862"/>
      <c r="RHZ37" s="862"/>
      <c r="RIA37" s="862"/>
      <c r="RIB37" s="862"/>
      <c r="RIC37" s="862"/>
      <c r="RID37" s="862"/>
      <c r="RIE37" s="862"/>
      <c r="RIF37" s="862"/>
      <c r="RIG37" s="862"/>
      <c r="RIH37" s="862"/>
      <c r="RII37" s="862"/>
      <c r="RIJ37" s="862"/>
      <c r="RIK37" s="862"/>
      <c r="RIL37" s="862"/>
      <c r="RIM37" s="862"/>
      <c r="RIN37" s="862"/>
      <c r="RIO37" s="862"/>
      <c r="RIP37" s="862"/>
      <c r="RIQ37" s="862"/>
      <c r="RIR37" s="862"/>
      <c r="RIS37" s="862"/>
      <c r="RIT37" s="862"/>
      <c r="RIU37" s="862"/>
      <c r="RIV37" s="862"/>
      <c r="RIW37" s="862"/>
      <c r="RIX37" s="862"/>
      <c r="RIY37" s="862"/>
      <c r="RIZ37" s="862"/>
      <c r="RJA37" s="862"/>
      <c r="RJB37" s="862"/>
      <c r="RJC37" s="862"/>
      <c r="RJD37" s="862"/>
      <c r="RJE37" s="862"/>
      <c r="RJF37" s="862"/>
      <c r="RJG37" s="862"/>
      <c r="RJH37" s="862"/>
      <c r="RJI37" s="862"/>
      <c r="RJJ37" s="862"/>
      <c r="RJK37" s="862"/>
      <c r="RJL37" s="862"/>
      <c r="RJM37" s="862"/>
      <c r="RJN37" s="862"/>
      <c r="RJO37" s="862"/>
      <c r="RJP37" s="862"/>
      <c r="RJQ37" s="862"/>
      <c r="RJR37" s="862"/>
      <c r="RJS37" s="862"/>
      <c r="RJT37" s="862"/>
      <c r="RJU37" s="862"/>
      <c r="RJV37" s="862"/>
      <c r="RJW37" s="862"/>
      <c r="RJX37" s="862"/>
      <c r="RJY37" s="862"/>
      <c r="RJZ37" s="862"/>
      <c r="RKA37" s="862"/>
      <c r="RKB37" s="862"/>
      <c r="RKC37" s="862"/>
      <c r="RKD37" s="862"/>
      <c r="RKE37" s="862"/>
      <c r="RKF37" s="862"/>
      <c r="RKG37" s="862"/>
      <c r="RKH37" s="862"/>
      <c r="RKI37" s="862"/>
      <c r="RKJ37" s="862"/>
      <c r="RKK37" s="862"/>
      <c r="RKL37" s="862"/>
      <c r="RKM37" s="862"/>
      <c r="RKN37" s="862"/>
      <c r="RKO37" s="862"/>
      <c r="RKP37" s="862"/>
      <c r="RKQ37" s="862"/>
      <c r="RKR37" s="862"/>
      <c r="RKS37" s="862"/>
      <c r="RKT37" s="862"/>
      <c r="RKU37" s="862"/>
      <c r="RKV37" s="862"/>
      <c r="RKW37" s="862"/>
      <c r="RKX37" s="862"/>
      <c r="RKY37" s="862"/>
      <c r="RKZ37" s="862"/>
      <c r="RLA37" s="862"/>
      <c r="RLB37" s="862"/>
      <c r="RLC37" s="862"/>
      <c r="RLD37" s="862"/>
      <c r="RLE37" s="862"/>
      <c r="RLF37" s="862"/>
      <c r="RLG37" s="862"/>
      <c r="RLH37" s="862"/>
      <c r="RLI37" s="862"/>
      <c r="RLJ37" s="862"/>
      <c r="RLK37" s="862"/>
      <c r="RLL37" s="862"/>
      <c r="RLM37" s="862"/>
      <c r="RLN37" s="862"/>
      <c r="RLO37" s="862"/>
      <c r="RLP37" s="862"/>
      <c r="RLQ37" s="862"/>
      <c r="RLR37" s="862"/>
      <c r="RLS37" s="862"/>
      <c r="RLT37" s="862"/>
      <c r="RLU37" s="862"/>
      <c r="RLV37" s="862"/>
      <c r="RLW37" s="862"/>
      <c r="RLX37" s="862"/>
      <c r="RLY37" s="862"/>
      <c r="RLZ37" s="862"/>
      <c r="RMA37" s="862"/>
      <c r="RMB37" s="862"/>
      <c r="RMC37" s="862"/>
      <c r="RMD37" s="862"/>
      <c r="RME37" s="862"/>
      <c r="RMF37" s="862"/>
      <c r="RMG37" s="862"/>
      <c r="RMH37" s="862"/>
      <c r="RMI37" s="862"/>
      <c r="RMJ37" s="862"/>
      <c r="RMK37" s="862"/>
      <c r="RML37" s="862"/>
      <c r="RMM37" s="862"/>
      <c r="RMN37" s="862"/>
      <c r="RMO37" s="862"/>
      <c r="RMP37" s="862"/>
      <c r="RMQ37" s="862"/>
      <c r="RMR37" s="862"/>
      <c r="RMS37" s="862"/>
      <c r="RMT37" s="862"/>
      <c r="RMU37" s="862"/>
      <c r="RMV37" s="862"/>
      <c r="RMW37" s="862"/>
      <c r="RMX37" s="862"/>
      <c r="RMY37" s="862"/>
      <c r="RMZ37" s="862"/>
      <c r="RNA37" s="862"/>
      <c r="RNB37" s="862"/>
      <c r="RNC37" s="862"/>
      <c r="RND37" s="862"/>
      <c r="RNE37" s="862"/>
      <c r="RNF37" s="862"/>
      <c r="RNG37" s="862"/>
      <c r="RNH37" s="862"/>
      <c r="RNI37" s="862"/>
      <c r="RNJ37" s="862"/>
      <c r="RNK37" s="862"/>
      <c r="RNL37" s="862"/>
      <c r="RNM37" s="862"/>
      <c r="RNN37" s="862"/>
      <c r="RNO37" s="862"/>
      <c r="RNP37" s="862"/>
      <c r="RNQ37" s="862"/>
      <c r="RNR37" s="862"/>
      <c r="RNS37" s="862"/>
      <c r="RNT37" s="862"/>
      <c r="RNU37" s="862"/>
      <c r="RNV37" s="862"/>
      <c r="RNW37" s="862"/>
      <c r="RNX37" s="862"/>
      <c r="RNY37" s="862"/>
      <c r="RNZ37" s="862"/>
      <c r="ROA37" s="862"/>
      <c r="ROB37" s="862"/>
      <c r="ROC37" s="862"/>
      <c r="ROD37" s="862"/>
      <c r="ROE37" s="862"/>
      <c r="ROF37" s="862"/>
      <c r="ROG37" s="862"/>
      <c r="ROH37" s="862"/>
      <c r="ROI37" s="862"/>
      <c r="ROJ37" s="862"/>
      <c r="ROK37" s="862"/>
      <c r="ROL37" s="862"/>
      <c r="ROM37" s="862"/>
      <c r="RON37" s="862"/>
      <c r="ROO37" s="862"/>
      <c r="ROP37" s="862"/>
      <c r="ROQ37" s="862"/>
      <c r="ROR37" s="862"/>
      <c r="ROS37" s="862"/>
      <c r="ROT37" s="862"/>
      <c r="ROU37" s="862"/>
      <c r="ROV37" s="862"/>
      <c r="ROW37" s="862"/>
      <c r="ROX37" s="862"/>
      <c r="ROY37" s="862"/>
      <c r="ROZ37" s="862"/>
      <c r="RPA37" s="862"/>
      <c r="RPB37" s="862"/>
      <c r="RPC37" s="862"/>
      <c r="RPD37" s="862"/>
      <c r="RPE37" s="862"/>
      <c r="RPF37" s="862"/>
      <c r="RPG37" s="862"/>
      <c r="RPH37" s="862"/>
      <c r="RPI37" s="862"/>
      <c r="RPJ37" s="862"/>
      <c r="RPK37" s="862"/>
      <c r="RPL37" s="862"/>
      <c r="RPM37" s="862"/>
      <c r="RPN37" s="862"/>
      <c r="RPO37" s="862"/>
      <c r="RPP37" s="862"/>
      <c r="RPQ37" s="862"/>
      <c r="RPR37" s="862"/>
      <c r="RPS37" s="862"/>
      <c r="RPT37" s="862"/>
      <c r="RPU37" s="862"/>
      <c r="RPV37" s="862"/>
      <c r="RPW37" s="862"/>
      <c r="RPX37" s="862"/>
      <c r="RPY37" s="862"/>
      <c r="RPZ37" s="862"/>
      <c r="RQA37" s="862"/>
      <c r="RQB37" s="862"/>
      <c r="RQC37" s="862"/>
      <c r="RQD37" s="862"/>
      <c r="RQE37" s="862"/>
      <c r="RQF37" s="862"/>
      <c r="RQG37" s="862"/>
      <c r="RQH37" s="862"/>
      <c r="RQI37" s="862"/>
      <c r="RQJ37" s="862"/>
      <c r="RQK37" s="862"/>
      <c r="RQL37" s="862"/>
      <c r="RQM37" s="862"/>
      <c r="RQN37" s="862"/>
      <c r="RQO37" s="862"/>
      <c r="RQP37" s="862"/>
      <c r="RQQ37" s="862"/>
      <c r="RQR37" s="862"/>
      <c r="RQS37" s="862"/>
      <c r="RQT37" s="862"/>
      <c r="RQU37" s="862"/>
      <c r="RQV37" s="862"/>
      <c r="RQW37" s="862"/>
      <c r="RQX37" s="862"/>
      <c r="RQY37" s="862"/>
      <c r="RQZ37" s="862"/>
      <c r="RRA37" s="862"/>
      <c r="RRB37" s="862"/>
      <c r="RRC37" s="862"/>
      <c r="RRD37" s="862"/>
      <c r="RRE37" s="862"/>
      <c r="RRF37" s="862"/>
      <c r="RRG37" s="862"/>
      <c r="RRH37" s="862"/>
      <c r="RRI37" s="862"/>
      <c r="RRJ37" s="862"/>
      <c r="RRK37" s="862"/>
      <c r="RRL37" s="862"/>
      <c r="RRM37" s="862"/>
      <c r="RRN37" s="862"/>
      <c r="RRO37" s="862"/>
      <c r="RRP37" s="862"/>
      <c r="RRQ37" s="862"/>
      <c r="RRR37" s="862"/>
      <c r="RRS37" s="862"/>
      <c r="RRT37" s="862"/>
      <c r="RRU37" s="862"/>
      <c r="RRV37" s="862"/>
      <c r="RRW37" s="862"/>
      <c r="RRX37" s="862"/>
      <c r="RRY37" s="862"/>
      <c r="RRZ37" s="862"/>
      <c r="RSA37" s="862"/>
      <c r="RSB37" s="862"/>
      <c r="RSC37" s="862"/>
      <c r="RSD37" s="862"/>
      <c r="RSE37" s="862"/>
      <c r="RSF37" s="862"/>
      <c r="RSG37" s="862"/>
      <c r="RSH37" s="862"/>
      <c r="RSI37" s="862"/>
      <c r="RSJ37" s="862"/>
      <c r="RSK37" s="862"/>
      <c r="RSL37" s="862"/>
      <c r="RSM37" s="862"/>
      <c r="RSN37" s="862"/>
      <c r="RSO37" s="862"/>
      <c r="RSP37" s="862"/>
      <c r="RSQ37" s="862"/>
      <c r="RSR37" s="862"/>
      <c r="RSS37" s="862"/>
      <c r="RST37" s="862"/>
      <c r="RSU37" s="862"/>
      <c r="RSV37" s="862"/>
      <c r="RSW37" s="862"/>
      <c r="RSX37" s="862"/>
      <c r="RSY37" s="862"/>
      <c r="RSZ37" s="862"/>
      <c r="RTA37" s="862"/>
      <c r="RTB37" s="862"/>
      <c r="RTC37" s="862"/>
      <c r="RTD37" s="862"/>
      <c r="RTE37" s="862"/>
      <c r="RTF37" s="862"/>
      <c r="RTG37" s="862"/>
      <c r="RTH37" s="862"/>
      <c r="RTI37" s="862"/>
      <c r="RTJ37" s="862"/>
      <c r="RTK37" s="862"/>
      <c r="RTL37" s="862"/>
      <c r="RTM37" s="862"/>
      <c r="RTN37" s="862"/>
      <c r="RTO37" s="862"/>
      <c r="RTP37" s="862"/>
      <c r="RTQ37" s="862"/>
      <c r="RTR37" s="862"/>
      <c r="RTS37" s="862"/>
      <c r="RTT37" s="862"/>
      <c r="RTU37" s="862"/>
      <c r="RTV37" s="862"/>
      <c r="RTW37" s="862"/>
      <c r="RTX37" s="862"/>
      <c r="RTY37" s="862"/>
      <c r="RTZ37" s="862"/>
      <c r="RUA37" s="862"/>
      <c r="RUB37" s="862"/>
      <c r="RUC37" s="862"/>
      <c r="RUD37" s="862"/>
      <c r="RUE37" s="862"/>
      <c r="RUF37" s="862"/>
      <c r="RUG37" s="862"/>
      <c r="RUH37" s="862"/>
      <c r="RUI37" s="862"/>
      <c r="RUJ37" s="862"/>
      <c r="RUK37" s="862"/>
      <c r="RUL37" s="862"/>
      <c r="RUM37" s="862"/>
      <c r="RUN37" s="862"/>
      <c r="RUO37" s="862"/>
      <c r="RUP37" s="862"/>
      <c r="RUQ37" s="862"/>
      <c r="RUR37" s="862"/>
      <c r="RUS37" s="862"/>
      <c r="RUT37" s="862"/>
      <c r="RUU37" s="862"/>
      <c r="RUV37" s="862"/>
      <c r="RUW37" s="862"/>
      <c r="RUX37" s="862"/>
      <c r="RUY37" s="862"/>
      <c r="RUZ37" s="862"/>
      <c r="RVA37" s="862"/>
      <c r="RVB37" s="862"/>
      <c r="RVC37" s="862"/>
      <c r="RVD37" s="862"/>
      <c r="RVE37" s="862"/>
      <c r="RVF37" s="862"/>
      <c r="RVG37" s="862"/>
      <c r="RVH37" s="862"/>
      <c r="RVI37" s="862"/>
      <c r="RVJ37" s="862"/>
      <c r="RVK37" s="862"/>
      <c r="RVL37" s="862"/>
      <c r="RVM37" s="862"/>
      <c r="RVN37" s="862"/>
      <c r="RVO37" s="862"/>
      <c r="RVP37" s="862"/>
      <c r="RVQ37" s="862"/>
      <c r="RVR37" s="862"/>
      <c r="RVS37" s="862"/>
      <c r="RVT37" s="862"/>
      <c r="RVU37" s="862"/>
      <c r="RVV37" s="862"/>
      <c r="RVW37" s="862"/>
      <c r="RVX37" s="862"/>
      <c r="RVY37" s="862"/>
      <c r="RVZ37" s="862"/>
      <c r="RWA37" s="862"/>
      <c r="RWB37" s="862"/>
      <c r="RWC37" s="862"/>
      <c r="RWD37" s="862"/>
      <c r="RWE37" s="862"/>
      <c r="RWF37" s="862"/>
      <c r="RWG37" s="862"/>
      <c r="RWH37" s="862"/>
      <c r="RWI37" s="862"/>
      <c r="RWJ37" s="862"/>
      <c r="RWK37" s="862"/>
      <c r="RWL37" s="862"/>
      <c r="RWM37" s="862"/>
      <c r="RWN37" s="862"/>
      <c r="RWO37" s="862"/>
      <c r="RWP37" s="862"/>
      <c r="RWQ37" s="862"/>
      <c r="RWR37" s="862"/>
      <c r="RWS37" s="862"/>
      <c r="RWT37" s="862"/>
      <c r="RWU37" s="862"/>
      <c r="RWV37" s="862"/>
      <c r="RWW37" s="862"/>
      <c r="RWX37" s="862"/>
      <c r="RWY37" s="862"/>
      <c r="RWZ37" s="862"/>
      <c r="RXA37" s="862"/>
      <c r="RXB37" s="862"/>
      <c r="RXC37" s="862"/>
      <c r="RXD37" s="862"/>
      <c r="RXE37" s="862"/>
      <c r="RXF37" s="862"/>
      <c r="RXG37" s="862"/>
      <c r="RXH37" s="862"/>
      <c r="RXI37" s="862"/>
      <c r="RXJ37" s="862"/>
      <c r="RXK37" s="862"/>
      <c r="RXL37" s="862"/>
      <c r="RXM37" s="862"/>
      <c r="RXN37" s="862"/>
      <c r="RXO37" s="862"/>
      <c r="RXP37" s="862"/>
      <c r="RXQ37" s="862"/>
      <c r="RXR37" s="862"/>
      <c r="RXS37" s="862"/>
      <c r="RXT37" s="862"/>
      <c r="RXU37" s="862"/>
      <c r="RXV37" s="862"/>
      <c r="RXW37" s="862"/>
      <c r="RXX37" s="862"/>
      <c r="RXY37" s="862"/>
      <c r="RXZ37" s="862"/>
      <c r="RYA37" s="862"/>
      <c r="RYB37" s="862"/>
      <c r="RYC37" s="862"/>
      <c r="RYD37" s="862"/>
      <c r="RYE37" s="862"/>
      <c r="RYF37" s="862"/>
      <c r="RYG37" s="862"/>
      <c r="RYH37" s="862"/>
      <c r="RYI37" s="862"/>
      <c r="RYJ37" s="862"/>
      <c r="RYK37" s="862"/>
      <c r="RYL37" s="862"/>
      <c r="RYM37" s="862"/>
      <c r="RYN37" s="862"/>
      <c r="RYO37" s="862"/>
      <c r="RYP37" s="862"/>
      <c r="RYQ37" s="862"/>
      <c r="RYR37" s="862"/>
      <c r="RYS37" s="862"/>
      <c r="RYT37" s="862"/>
      <c r="RYU37" s="862"/>
      <c r="RYV37" s="862"/>
      <c r="RYW37" s="862"/>
      <c r="RYX37" s="862"/>
      <c r="RYY37" s="862"/>
      <c r="RYZ37" s="862"/>
      <c r="RZA37" s="862"/>
      <c r="RZB37" s="862"/>
      <c r="RZC37" s="862"/>
      <c r="RZD37" s="862"/>
      <c r="RZE37" s="862"/>
      <c r="RZF37" s="862"/>
      <c r="RZG37" s="862"/>
      <c r="RZH37" s="862"/>
      <c r="RZI37" s="862"/>
      <c r="RZJ37" s="862"/>
      <c r="RZK37" s="862"/>
      <c r="RZL37" s="862"/>
      <c r="RZM37" s="862"/>
      <c r="RZN37" s="862"/>
      <c r="RZO37" s="862"/>
      <c r="RZP37" s="862"/>
      <c r="RZQ37" s="862"/>
      <c r="RZR37" s="862"/>
      <c r="RZS37" s="862"/>
      <c r="RZT37" s="862"/>
      <c r="RZU37" s="862"/>
      <c r="RZV37" s="862"/>
      <c r="RZW37" s="862"/>
      <c r="RZX37" s="862"/>
      <c r="RZY37" s="862"/>
      <c r="RZZ37" s="862"/>
      <c r="SAA37" s="862"/>
      <c r="SAB37" s="862"/>
      <c r="SAC37" s="862"/>
      <c r="SAD37" s="862"/>
      <c r="SAE37" s="862"/>
      <c r="SAF37" s="862"/>
      <c r="SAG37" s="862"/>
      <c r="SAH37" s="862"/>
      <c r="SAI37" s="862"/>
      <c r="SAJ37" s="862"/>
      <c r="SAK37" s="862"/>
      <c r="SAL37" s="862"/>
      <c r="SAM37" s="862"/>
      <c r="SAN37" s="862"/>
      <c r="SAO37" s="862"/>
      <c r="SAP37" s="862"/>
      <c r="SAQ37" s="862"/>
      <c r="SAR37" s="862"/>
      <c r="SAS37" s="862"/>
      <c r="SAT37" s="862"/>
      <c r="SAU37" s="862"/>
      <c r="SAV37" s="862"/>
      <c r="SAW37" s="862"/>
      <c r="SAX37" s="862"/>
      <c r="SAY37" s="862"/>
      <c r="SAZ37" s="862"/>
      <c r="SBA37" s="862"/>
      <c r="SBB37" s="862"/>
      <c r="SBC37" s="862"/>
      <c r="SBD37" s="862"/>
      <c r="SBE37" s="862"/>
      <c r="SBF37" s="862"/>
      <c r="SBG37" s="862"/>
      <c r="SBH37" s="862"/>
      <c r="SBI37" s="862"/>
      <c r="SBJ37" s="862"/>
      <c r="SBK37" s="862"/>
      <c r="SBL37" s="862"/>
      <c r="SBM37" s="862"/>
      <c r="SBN37" s="862"/>
      <c r="SBO37" s="862"/>
      <c r="SBP37" s="862"/>
      <c r="SBQ37" s="862"/>
      <c r="SBR37" s="862"/>
      <c r="SBS37" s="862"/>
      <c r="SBT37" s="862"/>
      <c r="SBU37" s="862"/>
      <c r="SBV37" s="862"/>
      <c r="SBW37" s="862"/>
      <c r="SBX37" s="862"/>
      <c r="SBY37" s="862"/>
      <c r="SBZ37" s="862"/>
      <c r="SCA37" s="862"/>
      <c r="SCB37" s="862"/>
      <c r="SCC37" s="862"/>
      <c r="SCD37" s="862"/>
      <c r="SCE37" s="862"/>
      <c r="SCF37" s="862"/>
      <c r="SCG37" s="862"/>
      <c r="SCH37" s="862"/>
      <c r="SCI37" s="862"/>
      <c r="SCJ37" s="862"/>
      <c r="SCK37" s="862"/>
      <c r="SCL37" s="862"/>
      <c r="SCM37" s="862"/>
      <c r="SCN37" s="862"/>
      <c r="SCO37" s="862"/>
      <c r="SCP37" s="862"/>
      <c r="SCQ37" s="862"/>
      <c r="SCR37" s="862"/>
      <c r="SCS37" s="862"/>
      <c r="SCT37" s="862"/>
      <c r="SCU37" s="862"/>
      <c r="SCV37" s="862"/>
      <c r="SCW37" s="862"/>
      <c r="SCX37" s="862"/>
      <c r="SCY37" s="862"/>
      <c r="SCZ37" s="862"/>
      <c r="SDA37" s="862"/>
      <c r="SDB37" s="862"/>
      <c r="SDC37" s="862"/>
      <c r="SDD37" s="862"/>
      <c r="SDE37" s="862"/>
      <c r="SDF37" s="862"/>
      <c r="SDG37" s="862"/>
      <c r="SDH37" s="862"/>
      <c r="SDI37" s="862"/>
      <c r="SDJ37" s="862"/>
      <c r="SDK37" s="862"/>
      <c r="SDL37" s="862"/>
      <c r="SDM37" s="862"/>
      <c r="SDN37" s="862"/>
      <c r="SDO37" s="862"/>
      <c r="SDP37" s="862"/>
      <c r="SDQ37" s="862"/>
      <c r="SDR37" s="862"/>
      <c r="SDS37" s="862"/>
      <c r="SDT37" s="862"/>
      <c r="SDU37" s="862"/>
      <c r="SDV37" s="862"/>
      <c r="SDW37" s="862"/>
      <c r="SDX37" s="862"/>
      <c r="SDY37" s="862"/>
      <c r="SDZ37" s="862"/>
      <c r="SEA37" s="862"/>
      <c r="SEB37" s="862"/>
      <c r="SEC37" s="862"/>
      <c r="SED37" s="862"/>
      <c r="SEE37" s="862"/>
      <c r="SEF37" s="862"/>
      <c r="SEG37" s="862"/>
      <c r="SEH37" s="862"/>
      <c r="SEI37" s="862"/>
      <c r="SEJ37" s="862"/>
      <c r="SEK37" s="862"/>
      <c r="SEL37" s="862"/>
      <c r="SEM37" s="862"/>
      <c r="SEN37" s="862"/>
      <c r="SEO37" s="862"/>
      <c r="SEP37" s="862"/>
      <c r="SEQ37" s="862"/>
      <c r="SER37" s="862"/>
      <c r="SES37" s="862"/>
      <c r="SET37" s="862"/>
      <c r="SEU37" s="862"/>
      <c r="SEV37" s="862"/>
      <c r="SEW37" s="862"/>
      <c r="SEX37" s="862"/>
      <c r="SEY37" s="862"/>
      <c r="SEZ37" s="862"/>
      <c r="SFA37" s="862"/>
      <c r="SFB37" s="862"/>
      <c r="SFC37" s="862"/>
      <c r="SFD37" s="862"/>
      <c r="SFE37" s="862"/>
      <c r="SFF37" s="862"/>
      <c r="SFG37" s="862"/>
      <c r="SFH37" s="862"/>
      <c r="SFI37" s="862"/>
      <c r="SFJ37" s="862"/>
      <c r="SFK37" s="862"/>
      <c r="SFL37" s="862"/>
      <c r="SFM37" s="862"/>
      <c r="SFN37" s="862"/>
      <c r="SFO37" s="862"/>
      <c r="SFP37" s="862"/>
      <c r="SFQ37" s="862"/>
      <c r="SFR37" s="862"/>
      <c r="SFS37" s="862"/>
      <c r="SFT37" s="862"/>
      <c r="SFU37" s="862"/>
      <c r="SFV37" s="862"/>
      <c r="SFW37" s="862"/>
      <c r="SFX37" s="862"/>
      <c r="SFY37" s="862"/>
      <c r="SFZ37" s="862"/>
      <c r="SGA37" s="862"/>
      <c r="SGB37" s="862"/>
      <c r="SGC37" s="862"/>
      <c r="SGD37" s="862"/>
      <c r="SGE37" s="862"/>
      <c r="SGF37" s="862"/>
      <c r="SGG37" s="862"/>
      <c r="SGH37" s="862"/>
      <c r="SGI37" s="862"/>
      <c r="SGJ37" s="862"/>
      <c r="SGK37" s="862"/>
      <c r="SGL37" s="862"/>
      <c r="SGM37" s="862"/>
      <c r="SGN37" s="862"/>
      <c r="SGO37" s="862"/>
      <c r="SGP37" s="862"/>
      <c r="SGQ37" s="862"/>
      <c r="SGR37" s="862"/>
      <c r="SGS37" s="862"/>
      <c r="SGT37" s="862"/>
      <c r="SGU37" s="862"/>
      <c r="SGV37" s="862"/>
      <c r="SGW37" s="862"/>
      <c r="SGX37" s="862"/>
      <c r="SGY37" s="862"/>
      <c r="SGZ37" s="862"/>
      <c r="SHA37" s="862"/>
      <c r="SHB37" s="862"/>
      <c r="SHC37" s="862"/>
      <c r="SHD37" s="862"/>
      <c r="SHE37" s="862"/>
      <c r="SHF37" s="862"/>
      <c r="SHG37" s="862"/>
      <c r="SHH37" s="862"/>
      <c r="SHI37" s="862"/>
      <c r="SHJ37" s="862"/>
      <c r="SHK37" s="862"/>
      <c r="SHL37" s="862"/>
      <c r="SHM37" s="862"/>
      <c r="SHN37" s="862"/>
      <c r="SHO37" s="862"/>
      <c r="SHP37" s="862"/>
      <c r="SHQ37" s="862"/>
      <c r="SHR37" s="862"/>
      <c r="SHS37" s="862"/>
      <c r="SHT37" s="862"/>
      <c r="SHU37" s="862"/>
      <c r="SHV37" s="862"/>
      <c r="SHW37" s="862"/>
      <c r="SHX37" s="862"/>
      <c r="SHY37" s="862"/>
      <c r="SHZ37" s="862"/>
      <c r="SIA37" s="862"/>
      <c r="SIB37" s="862"/>
      <c r="SIC37" s="862"/>
      <c r="SID37" s="862"/>
      <c r="SIE37" s="862"/>
      <c r="SIF37" s="862"/>
      <c r="SIG37" s="862"/>
      <c r="SIH37" s="862"/>
      <c r="SII37" s="862"/>
      <c r="SIJ37" s="862"/>
      <c r="SIK37" s="862"/>
      <c r="SIL37" s="862"/>
      <c r="SIM37" s="862"/>
      <c r="SIN37" s="862"/>
      <c r="SIO37" s="862"/>
      <c r="SIP37" s="862"/>
      <c r="SIQ37" s="862"/>
      <c r="SIR37" s="862"/>
      <c r="SIS37" s="862"/>
      <c r="SIT37" s="862"/>
      <c r="SIU37" s="862"/>
      <c r="SIV37" s="862"/>
      <c r="SIW37" s="862"/>
      <c r="SIX37" s="862"/>
      <c r="SIY37" s="862"/>
      <c r="SIZ37" s="862"/>
      <c r="SJA37" s="862"/>
      <c r="SJB37" s="862"/>
      <c r="SJC37" s="862"/>
      <c r="SJD37" s="862"/>
      <c r="SJE37" s="862"/>
      <c r="SJF37" s="862"/>
      <c r="SJG37" s="862"/>
      <c r="SJH37" s="862"/>
      <c r="SJI37" s="862"/>
      <c r="SJJ37" s="862"/>
      <c r="SJK37" s="862"/>
      <c r="SJL37" s="862"/>
      <c r="SJM37" s="862"/>
      <c r="SJN37" s="862"/>
      <c r="SJO37" s="862"/>
      <c r="SJP37" s="862"/>
      <c r="SJQ37" s="862"/>
      <c r="SJR37" s="862"/>
      <c r="SJS37" s="862"/>
      <c r="SJT37" s="862"/>
      <c r="SJU37" s="862"/>
      <c r="SJV37" s="862"/>
      <c r="SJW37" s="862"/>
      <c r="SJX37" s="862"/>
      <c r="SJY37" s="862"/>
      <c r="SJZ37" s="862"/>
      <c r="SKA37" s="862"/>
      <c r="SKB37" s="862"/>
      <c r="SKC37" s="862"/>
      <c r="SKD37" s="862"/>
      <c r="SKE37" s="862"/>
      <c r="SKF37" s="862"/>
      <c r="SKG37" s="862"/>
      <c r="SKH37" s="862"/>
      <c r="SKI37" s="862"/>
      <c r="SKJ37" s="862"/>
      <c r="SKK37" s="862"/>
      <c r="SKL37" s="862"/>
      <c r="SKM37" s="862"/>
      <c r="SKN37" s="862"/>
      <c r="SKO37" s="862"/>
      <c r="SKP37" s="862"/>
      <c r="SKQ37" s="862"/>
      <c r="SKR37" s="862"/>
      <c r="SKS37" s="862"/>
      <c r="SKT37" s="862"/>
      <c r="SKU37" s="862"/>
      <c r="SKV37" s="862"/>
      <c r="SKW37" s="862"/>
      <c r="SKX37" s="862"/>
      <c r="SKY37" s="862"/>
      <c r="SKZ37" s="862"/>
      <c r="SLA37" s="862"/>
      <c r="SLB37" s="862"/>
      <c r="SLC37" s="862"/>
      <c r="SLD37" s="862"/>
      <c r="SLE37" s="862"/>
      <c r="SLF37" s="862"/>
      <c r="SLG37" s="862"/>
      <c r="SLH37" s="862"/>
      <c r="SLI37" s="862"/>
      <c r="SLJ37" s="862"/>
      <c r="SLK37" s="862"/>
      <c r="SLL37" s="862"/>
      <c r="SLM37" s="862"/>
      <c r="SLN37" s="862"/>
      <c r="SLO37" s="862"/>
      <c r="SLP37" s="862"/>
      <c r="SLQ37" s="862"/>
      <c r="SLR37" s="862"/>
      <c r="SLS37" s="862"/>
      <c r="SLT37" s="862"/>
      <c r="SLU37" s="862"/>
      <c r="SLV37" s="862"/>
      <c r="SLW37" s="862"/>
      <c r="SLX37" s="862"/>
      <c r="SLY37" s="862"/>
      <c r="SLZ37" s="862"/>
      <c r="SMA37" s="862"/>
      <c r="SMB37" s="862"/>
      <c r="SMC37" s="862"/>
      <c r="SMD37" s="862"/>
      <c r="SME37" s="862"/>
      <c r="SMF37" s="862"/>
      <c r="SMG37" s="862"/>
      <c r="SMH37" s="862"/>
      <c r="SMI37" s="862"/>
      <c r="SMJ37" s="862"/>
      <c r="SMK37" s="862"/>
      <c r="SML37" s="862"/>
      <c r="SMM37" s="862"/>
      <c r="SMN37" s="862"/>
      <c r="SMO37" s="862"/>
      <c r="SMP37" s="862"/>
      <c r="SMQ37" s="862"/>
      <c r="SMR37" s="862"/>
      <c r="SMS37" s="862"/>
      <c r="SMT37" s="862"/>
      <c r="SMU37" s="862"/>
      <c r="SMV37" s="862"/>
      <c r="SMW37" s="862"/>
      <c r="SMX37" s="862"/>
      <c r="SMY37" s="862"/>
      <c r="SMZ37" s="862"/>
      <c r="SNA37" s="862"/>
      <c r="SNB37" s="862"/>
      <c r="SNC37" s="862"/>
      <c r="SND37" s="862"/>
      <c r="SNE37" s="862"/>
      <c r="SNF37" s="862"/>
      <c r="SNG37" s="862"/>
      <c r="SNH37" s="862"/>
      <c r="SNI37" s="862"/>
      <c r="SNJ37" s="862"/>
      <c r="SNK37" s="862"/>
      <c r="SNL37" s="862"/>
      <c r="SNM37" s="862"/>
      <c r="SNN37" s="862"/>
      <c r="SNO37" s="862"/>
      <c r="SNP37" s="862"/>
      <c r="SNQ37" s="862"/>
      <c r="SNR37" s="862"/>
      <c r="SNS37" s="862"/>
      <c r="SNT37" s="862"/>
      <c r="SNU37" s="862"/>
      <c r="SNV37" s="862"/>
      <c r="SNW37" s="862"/>
      <c r="SNX37" s="862"/>
      <c r="SNY37" s="862"/>
      <c r="SNZ37" s="862"/>
      <c r="SOA37" s="862"/>
      <c r="SOB37" s="862"/>
      <c r="SOC37" s="862"/>
      <c r="SOD37" s="862"/>
      <c r="SOE37" s="862"/>
      <c r="SOF37" s="862"/>
      <c r="SOG37" s="862"/>
      <c r="SOH37" s="862"/>
      <c r="SOI37" s="862"/>
      <c r="SOJ37" s="862"/>
      <c r="SOK37" s="862"/>
      <c r="SOL37" s="862"/>
      <c r="SOM37" s="862"/>
      <c r="SON37" s="862"/>
      <c r="SOO37" s="862"/>
      <c r="SOP37" s="862"/>
      <c r="SOQ37" s="862"/>
      <c r="SOR37" s="862"/>
      <c r="SOS37" s="862"/>
      <c r="SOT37" s="862"/>
      <c r="SOU37" s="862"/>
      <c r="SOV37" s="862"/>
      <c r="SOW37" s="862"/>
      <c r="SOX37" s="862"/>
      <c r="SOY37" s="862"/>
      <c r="SOZ37" s="862"/>
      <c r="SPA37" s="862"/>
      <c r="SPB37" s="862"/>
      <c r="SPC37" s="862"/>
      <c r="SPD37" s="862"/>
      <c r="SPE37" s="862"/>
      <c r="SPF37" s="862"/>
      <c r="SPG37" s="862"/>
      <c r="SPH37" s="862"/>
      <c r="SPI37" s="862"/>
      <c r="SPJ37" s="862"/>
      <c r="SPK37" s="862"/>
      <c r="SPL37" s="862"/>
      <c r="SPM37" s="862"/>
      <c r="SPN37" s="862"/>
      <c r="SPO37" s="862"/>
      <c r="SPP37" s="862"/>
      <c r="SPQ37" s="862"/>
      <c r="SPR37" s="862"/>
      <c r="SPS37" s="862"/>
      <c r="SPT37" s="862"/>
      <c r="SPU37" s="862"/>
      <c r="SPV37" s="862"/>
      <c r="SPW37" s="862"/>
      <c r="SPX37" s="862"/>
      <c r="SPY37" s="862"/>
      <c r="SPZ37" s="862"/>
      <c r="SQA37" s="862"/>
      <c r="SQB37" s="862"/>
      <c r="SQC37" s="862"/>
      <c r="SQD37" s="862"/>
      <c r="SQE37" s="862"/>
      <c r="SQF37" s="862"/>
      <c r="SQG37" s="862"/>
      <c r="SQH37" s="862"/>
      <c r="SQI37" s="862"/>
      <c r="SQJ37" s="862"/>
      <c r="SQK37" s="862"/>
      <c r="SQL37" s="862"/>
      <c r="SQM37" s="862"/>
      <c r="SQN37" s="862"/>
      <c r="SQO37" s="862"/>
      <c r="SQP37" s="862"/>
      <c r="SQQ37" s="862"/>
      <c r="SQR37" s="862"/>
      <c r="SQS37" s="862"/>
      <c r="SQT37" s="862"/>
      <c r="SQU37" s="862"/>
      <c r="SQV37" s="862"/>
      <c r="SQW37" s="862"/>
      <c r="SQX37" s="862"/>
      <c r="SQY37" s="862"/>
      <c r="SQZ37" s="862"/>
      <c r="SRA37" s="862"/>
      <c r="SRB37" s="862"/>
      <c r="SRC37" s="862"/>
      <c r="SRD37" s="862"/>
      <c r="SRE37" s="862"/>
      <c r="SRF37" s="862"/>
      <c r="SRG37" s="862"/>
      <c r="SRH37" s="862"/>
      <c r="SRI37" s="862"/>
      <c r="SRJ37" s="862"/>
      <c r="SRK37" s="862"/>
      <c r="SRL37" s="862"/>
      <c r="SRM37" s="862"/>
      <c r="SRN37" s="862"/>
      <c r="SRO37" s="862"/>
      <c r="SRP37" s="862"/>
      <c r="SRQ37" s="862"/>
      <c r="SRR37" s="862"/>
      <c r="SRS37" s="862"/>
      <c r="SRT37" s="862"/>
      <c r="SRU37" s="862"/>
      <c r="SRV37" s="862"/>
      <c r="SRW37" s="862"/>
      <c r="SRX37" s="862"/>
      <c r="SRY37" s="862"/>
      <c r="SRZ37" s="862"/>
      <c r="SSA37" s="862"/>
      <c r="SSB37" s="862"/>
      <c r="SSC37" s="862"/>
      <c r="SSD37" s="862"/>
      <c r="SSE37" s="862"/>
      <c r="SSF37" s="862"/>
      <c r="SSG37" s="862"/>
      <c r="SSH37" s="862"/>
      <c r="SSI37" s="862"/>
      <c r="SSJ37" s="862"/>
      <c r="SSK37" s="862"/>
      <c r="SSL37" s="862"/>
      <c r="SSM37" s="862"/>
      <c r="SSN37" s="862"/>
      <c r="SSO37" s="862"/>
      <c r="SSP37" s="862"/>
      <c r="SSQ37" s="862"/>
      <c r="SSR37" s="862"/>
      <c r="SSS37" s="862"/>
      <c r="SST37" s="862"/>
      <c r="SSU37" s="862"/>
      <c r="SSV37" s="862"/>
      <c r="SSW37" s="862"/>
      <c r="SSX37" s="862"/>
      <c r="SSY37" s="862"/>
      <c r="SSZ37" s="862"/>
      <c r="STA37" s="862"/>
      <c r="STB37" s="862"/>
      <c r="STC37" s="862"/>
      <c r="STD37" s="862"/>
      <c r="STE37" s="862"/>
      <c r="STF37" s="862"/>
      <c r="STG37" s="862"/>
      <c r="STH37" s="862"/>
      <c r="STI37" s="862"/>
      <c r="STJ37" s="862"/>
      <c r="STK37" s="862"/>
      <c r="STL37" s="862"/>
      <c r="STM37" s="862"/>
      <c r="STN37" s="862"/>
      <c r="STO37" s="862"/>
      <c r="STP37" s="862"/>
      <c r="STQ37" s="862"/>
      <c r="STR37" s="862"/>
      <c r="STS37" s="862"/>
      <c r="STT37" s="862"/>
      <c r="STU37" s="862"/>
      <c r="STV37" s="862"/>
      <c r="STW37" s="862"/>
      <c r="STX37" s="862"/>
      <c r="STY37" s="862"/>
      <c r="STZ37" s="862"/>
      <c r="SUA37" s="862"/>
      <c r="SUB37" s="862"/>
      <c r="SUC37" s="862"/>
      <c r="SUD37" s="862"/>
      <c r="SUE37" s="862"/>
      <c r="SUF37" s="862"/>
      <c r="SUG37" s="862"/>
      <c r="SUH37" s="862"/>
      <c r="SUI37" s="862"/>
      <c r="SUJ37" s="862"/>
      <c r="SUK37" s="862"/>
      <c r="SUL37" s="862"/>
      <c r="SUM37" s="862"/>
      <c r="SUN37" s="862"/>
      <c r="SUO37" s="862"/>
      <c r="SUP37" s="862"/>
      <c r="SUQ37" s="862"/>
      <c r="SUR37" s="862"/>
      <c r="SUS37" s="862"/>
      <c r="SUT37" s="862"/>
      <c r="SUU37" s="862"/>
      <c r="SUV37" s="862"/>
      <c r="SUW37" s="862"/>
      <c r="SUX37" s="862"/>
      <c r="SUY37" s="862"/>
      <c r="SUZ37" s="862"/>
      <c r="SVA37" s="862"/>
      <c r="SVB37" s="862"/>
      <c r="SVC37" s="862"/>
      <c r="SVD37" s="862"/>
      <c r="SVE37" s="862"/>
      <c r="SVF37" s="862"/>
      <c r="SVG37" s="862"/>
      <c r="SVH37" s="862"/>
      <c r="SVI37" s="862"/>
      <c r="SVJ37" s="862"/>
      <c r="SVK37" s="862"/>
      <c r="SVL37" s="862"/>
      <c r="SVM37" s="862"/>
      <c r="SVN37" s="862"/>
      <c r="SVO37" s="862"/>
      <c r="SVP37" s="862"/>
      <c r="SVQ37" s="862"/>
      <c r="SVR37" s="862"/>
      <c r="SVS37" s="862"/>
      <c r="SVT37" s="862"/>
      <c r="SVU37" s="862"/>
      <c r="SVV37" s="862"/>
      <c r="SVW37" s="862"/>
      <c r="SVX37" s="862"/>
      <c r="SVY37" s="862"/>
      <c r="SVZ37" s="862"/>
      <c r="SWA37" s="862"/>
      <c r="SWB37" s="862"/>
      <c r="SWC37" s="862"/>
      <c r="SWD37" s="862"/>
      <c r="SWE37" s="862"/>
      <c r="SWF37" s="862"/>
      <c r="SWG37" s="862"/>
      <c r="SWH37" s="862"/>
      <c r="SWI37" s="862"/>
      <c r="SWJ37" s="862"/>
      <c r="SWK37" s="862"/>
      <c r="SWL37" s="862"/>
      <c r="SWM37" s="862"/>
      <c r="SWN37" s="862"/>
      <c r="SWO37" s="862"/>
      <c r="SWP37" s="862"/>
      <c r="SWQ37" s="862"/>
      <c r="SWR37" s="862"/>
      <c r="SWS37" s="862"/>
      <c r="SWT37" s="862"/>
      <c r="SWU37" s="862"/>
      <c r="SWV37" s="862"/>
      <c r="SWW37" s="862"/>
      <c r="SWX37" s="862"/>
      <c r="SWY37" s="862"/>
      <c r="SWZ37" s="862"/>
      <c r="SXA37" s="862"/>
      <c r="SXB37" s="862"/>
      <c r="SXC37" s="862"/>
      <c r="SXD37" s="862"/>
      <c r="SXE37" s="862"/>
      <c r="SXF37" s="862"/>
      <c r="SXG37" s="862"/>
      <c r="SXH37" s="862"/>
      <c r="SXI37" s="862"/>
      <c r="SXJ37" s="862"/>
      <c r="SXK37" s="862"/>
      <c r="SXL37" s="862"/>
      <c r="SXM37" s="862"/>
      <c r="SXN37" s="862"/>
      <c r="SXO37" s="862"/>
      <c r="SXP37" s="862"/>
      <c r="SXQ37" s="862"/>
      <c r="SXR37" s="862"/>
      <c r="SXS37" s="862"/>
      <c r="SXT37" s="862"/>
      <c r="SXU37" s="862"/>
      <c r="SXV37" s="862"/>
      <c r="SXW37" s="862"/>
      <c r="SXX37" s="862"/>
      <c r="SXY37" s="862"/>
      <c r="SXZ37" s="862"/>
      <c r="SYA37" s="862"/>
      <c r="SYB37" s="862"/>
      <c r="SYC37" s="862"/>
      <c r="SYD37" s="862"/>
      <c r="SYE37" s="862"/>
      <c r="SYF37" s="862"/>
      <c r="SYG37" s="862"/>
      <c r="SYH37" s="862"/>
      <c r="SYI37" s="862"/>
      <c r="SYJ37" s="862"/>
      <c r="SYK37" s="862"/>
      <c r="SYL37" s="862"/>
      <c r="SYM37" s="862"/>
      <c r="SYN37" s="862"/>
      <c r="SYO37" s="862"/>
      <c r="SYP37" s="862"/>
      <c r="SYQ37" s="862"/>
      <c r="SYR37" s="862"/>
      <c r="SYS37" s="862"/>
      <c r="SYT37" s="862"/>
      <c r="SYU37" s="862"/>
      <c r="SYV37" s="862"/>
      <c r="SYW37" s="862"/>
      <c r="SYX37" s="862"/>
      <c r="SYY37" s="862"/>
      <c r="SYZ37" s="862"/>
      <c r="SZA37" s="862"/>
      <c r="SZB37" s="862"/>
      <c r="SZC37" s="862"/>
      <c r="SZD37" s="862"/>
      <c r="SZE37" s="862"/>
      <c r="SZF37" s="862"/>
      <c r="SZG37" s="862"/>
      <c r="SZH37" s="862"/>
      <c r="SZI37" s="862"/>
      <c r="SZJ37" s="862"/>
      <c r="SZK37" s="862"/>
      <c r="SZL37" s="862"/>
      <c r="SZM37" s="862"/>
      <c r="SZN37" s="862"/>
      <c r="SZO37" s="862"/>
      <c r="SZP37" s="862"/>
      <c r="SZQ37" s="862"/>
      <c r="SZR37" s="862"/>
      <c r="SZS37" s="862"/>
      <c r="SZT37" s="862"/>
      <c r="SZU37" s="862"/>
      <c r="SZV37" s="862"/>
      <c r="SZW37" s="862"/>
      <c r="SZX37" s="862"/>
      <c r="SZY37" s="862"/>
      <c r="SZZ37" s="862"/>
      <c r="TAA37" s="862"/>
      <c r="TAB37" s="862"/>
      <c r="TAC37" s="862"/>
      <c r="TAD37" s="862"/>
      <c r="TAE37" s="862"/>
      <c r="TAF37" s="862"/>
      <c r="TAG37" s="862"/>
      <c r="TAH37" s="862"/>
      <c r="TAI37" s="862"/>
      <c r="TAJ37" s="862"/>
      <c r="TAK37" s="862"/>
      <c r="TAL37" s="862"/>
      <c r="TAM37" s="862"/>
      <c r="TAN37" s="862"/>
      <c r="TAO37" s="862"/>
      <c r="TAP37" s="862"/>
      <c r="TAQ37" s="862"/>
      <c r="TAR37" s="862"/>
      <c r="TAS37" s="862"/>
      <c r="TAT37" s="862"/>
      <c r="TAU37" s="862"/>
      <c r="TAV37" s="862"/>
      <c r="TAW37" s="862"/>
      <c r="TAX37" s="862"/>
      <c r="TAY37" s="862"/>
      <c r="TAZ37" s="862"/>
      <c r="TBA37" s="862"/>
      <c r="TBB37" s="862"/>
      <c r="TBC37" s="862"/>
      <c r="TBD37" s="862"/>
      <c r="TBE37" s="862"/>
      <c r="TBF37" s="862"/>
      <c r="TBG37" s="862"/>
      <c r="TBH37" s="862"/>
      <c r="TBI37" s="862"/>
      <c r="TBJ37" s="862"/>
      <c r="TBK37" s="862"/>
      <c r="TBL37" s="862"/>
      <c r="TBM37" s="862"/>
      <c r="TBN37" s="862"/>
      <c r="TBO37" s="862"/>
      <c r="TBP37" s="862"/>
      <c r="TBQ37" s="862"/>
      <c r="TBR37" s="862"/>
      <c r="TBS37" s="862"/>
      <c r="TBT37" s="862"/>
      <c r="TBU37" s="862"/>
      <c r="TBV37" s="862"/>
      <c r="TBW37" s="862"/>
      <c r="TBX37" s="862"/>
      <c r="TBY37" s="862"/>
      <c r="TBZ37" s="862"/>
      <c r="TCA37" s="862"/>
      <c r="TCB37" s="862"/>
      <c r="TCC37" s="862"/>
      <c r="TCD37" s="862"/>
      <c r="TCE37" s="862"/>
      <c r="TCF37" s="862"/>
      <c r="TCG37" s="862"/>
      <c r="TCH37" s="862"/>
      <c r="TCI37" s="862"/>
      <c r="TCJ37" s="862"/>
      <c r="TCK37" s="862"/>
      <c r="TCL37" s="862"/>
      <c r="TCM37" s="862"/>
      <c r="TCN37" s="862"/>
      <c r="TCO37" s="862"/>
      <c r="TCP37" s="862"/>
      <c r="TCQ37" s="862"/>
      <c r="TCR37" s="862"/>
      <c r="TCS37" s="862"/>
      <c r="TCT37" s="862"/>
      <c r="TCU37" s="862"/>
      <c r="TCV37" s="862"/>
      <c r="TCW37" s="862"/>
      <c r="TCX37" s="862"/>
      <c r="TCY37" s="862"/>
      <c r="TCZ37" s="862"/>
      <c r="TDA37" s="862"/>
      <c r="TDB37" s="862"/>
      <c r="TDC37" s="862"/>
      <c r="TDD37" s="862"/>
      <c r="TDE37" s="862"/>
      <c r="TDF37" s="862"/>
      <c r="TDG37" s="862"/>
      <c r="TDH37" s="862"/>
      <c r="TDI37" s="862"/>
      <c r="TDJ37" s="862"/>
      <c r="TDK37" s="862"/>
      <c r="TDL37" s="862"/>
      <c r="TDM37" s="862"/>
      <c r="TDN37" s="862"/>
      <c r="TDO37" s="862"/>
      <c r="TDP37" s="862"/>
      <c r="TDQ37" s="862"/>
      <c r="TDR37" s="862"/>
      <c r="TDS37" s="862"/>
      <c r="TDT37" s="862"/>
      <c r="TDU37" s="862"/>
      <c r="TDV37" s="862"/>
      <c r="TDW37" s="862"/>
      <c r="TDX37" s="862"/>
      <c r="TDY37" s="862"/>
      <c r="TDZ37" s="862"/>
      <c r="TEA37" s="862"/>
      <c r="TEB37" s="862"/>
      <c r="TEC37" s="862"/>
      <c r="TED37" s="862"/>
      <c r="TEE37" s="862"/>
      <c r="TEF37" s="862"/>
      <c r="TEG37" s="862"/>
      <c r="TEH37" s="862"/>
      <c r="TEI37" s="862"/>
      <c r="TEJ37" s="862"/>
      <c r="TEK37" s="862"/>
      <c r="TEL37" s="862"/>
      <c r="TEM37" s="862"/>
      <c r="TEN37" s="862"/>
      <c r="TEO37" s="862"/>
      <c r="TEP37" s="862"/>
      <c r="TEQ37" s="862"/>
      <c r="TER37" s="862"/>
      <c r="TES37" s="862"/>
      <c r="TET37" s="862"/>
      <c r="TEU37" s="862"/>
      <c r="TEV37" s="862"/>
      <c r="TEW37" s="862"/>
      <c r="TEX37" s="862"/>
      <c r="TEY37" s="862"/>
      <c r="TEZ37" s="862"/>
      <c r="TFA37" s="862"/>
      <c r="TFB37" s="862"/>
      <c r="TFC37" s="862"/>
      <c r="TFD37" s="862"/>
      <c r="TFE37" s="862"/>
      <c r="TFF37" s="862"/>
      <c r="TFG37" s="862"/>
      <c r="TFH37" s="862"/>
      <c r="TFI37" s="862"/>
      <c r="TFJ37" s="862"/>
      <c r="TFK37" s="862"/>
      <c r="TFL37" s="862"/>
      <c r="TFM37" s="862"/>
      <c r="TFN37" s="862"/>
      <c r="TFO37" s="862"/>
      <c r="TFP37" s="862"/>
      <c r="TFQ37" s="862"/>
      <c r="TFR37" s="862"/>
      <c r="TFS37" s="862"/>
      <c r="TFT37" s="862"/>
      <c r="TFU37" s="862"/>
      <c r="TFV37" s="862"/>
      <c r="TFW37" s="862"/>
      <c r="TFX37" s="862"/>
      <c r="TFY37" s="862"/>
      <c r="TFZ37" s="862"/>
      <c r="TGA37" s="862"/>
      <c r="TGB37" s="862"/>
      <c r="TGC37" s="862"/>
      <c r="TGD37" s="862"/>
      <c r="TGE37" s="862"/>
      <c r="TGF37" s="862"/>
      <c r="TGG37" s="862"/>
      <c r="TGH37" s="862"/>
      <c r="TGI37" s="862"/>
      <c r="TGJ37" s="862"/>
      <c r="TGK37" s="862"/>
      <c r="TGL37" s="862"/>
      <c r="TGM37" s="862"/>
      <c r="TGN37" s="862"/>
      <c r="TGO37" s="862"/>
      <c r="TGP37" s="862"/>
      <c r="TGQ37" s="862"/>
      <c r="TGR37" s="862"/>
      <c r="TGS37" s="862"/>
      <c r="TGT37" s="862"/>
      <c r="TGU37" s="862"/>
      <c r="TGV37" s="862"/>
      <c r="TGW37" s="862"/>
      <c r="TGX37" s="862"/>
      <c r="TGY37" s="862"/>
      <c r="TGZ37" s="862"/>
      <c r="THA37" s="862"/>
      <c r="THB37" s="862"/>
      <c r="THC37" s="862"/>
      <c r="THD37" s="862"/>
      <c r="THE37" s="862"/>
      <c r="THF37" s="862"/>
      <c r="THG37" s="862"/>
      <c r="THH37" s="862"/>
      <c r="THI37" s="862"/>
      <c r="THJ37" s="862"/>
      <c r="THK37" s="862"/>
      <c r="THL37" s="862"/>
      <c r="THM37" s="862"/>
      <c r="THN37" s="862"/>
      <c r="THO37" s="862"/>
      <c r="THP37" s="862"/>
      <c r="THQ37" s="862"/>
      <c r="THR37" s="862"/>
      <c r="THS37" s="862"/>
      <c r="THT37" s="862"/>
      <c r="THU37" s="862"/>
      <c r="THV37" s="862"/>
      <c r="THW37" s="862"/>
      <c r="THX37" s="862"/>
      <c r="THY37" s="862"/>
      <c r="THZ37" s="862"/>
      <c r="TIA37" s="862"/>
      <c r="TIB37" s="862"/>
      <c r="TIC37" s="862"/>
      <c r="TID37" s="862"/>
      <c r="TIE37" s="862"/>
      <c r="TIF37" s="862"/>
      <c r="TIG37" s="862"/>
      <c r="TIH37" s="862"/>
      <c r="TII37" s="862"/>
      <c r="TIJ37" s="862"/>
      <c r="TIK37" s="862"/>
      <c r="TIL37" s="862"/>
      <c r="TIM37" s="862"/>
      <c r="TIN37" s="862"/>
      <c r="TIO37" s="862"/>
      <c r="TIP37" s="862"/>
      <c r="TIQ37" s="862"/>
      <c r="TIR37" s="862"/>
      <c r="TIS37" s="862"/>
      <c r="TIT37" s="862"/>
      <c r="TIU37" s="862"/>
      <c r="TIV37" s="862"/>
      <c r="TIW37" s="862"/>
      <c r="TIX37" s="862"/>
      <c r="TIY37" s="862"/>
      <c r="TIZ37" s="862"/>
      <c r="TJA37" s="862"/>
      <c r="TJB37" s="862"/>
      <c r="TJC37" s="862"/>
      <c r="TJD37" s="862"/>
      <c r="TJE37" s="862"/>
      <c r="TJF37" s="862"/>
      <c r="TJG37" s="862"/>
      <c r="TJH37" s="862"/>
      <c r="TJI37" s="862"/>
      <c r="TJJ37" s="862"/>
      <c r="TJK37" s="862"/>
      <c r="TJL37" s="862"/>
      <c r="TJM37" s="862"/>
      <c r="TJN37" s="862"/>
      <c r="TJO37" s="862"/>
      <c r="TJP37" s="862"/>
      <c r="TJQ37" s="862"/>
      <c r="TJR37" s="862"/>
      <c r="TJS37" s="862"/>
      <c r="TJT37" s="862"/>
      <c r="TJU37" s="862"/>
      <c r="TJV37" s="862"/>
      <c r="TJW37" s="862"/>
      <c r="TJX37" s="862"/>
      <c r="TJY37" s="862"/>
      <c r="TJZ37" s="862"/>
      <c r="TKA37" s="862"/>
      <c r="TKB37" s="862"/>
      <c r="TKC37" s="862"/>
      <c r="TKD37" s="862"/>
      <c r="TKE37" s="862"/>
      <c r="TKF37" s="862"/>
      <c r="TKG37" s="862"/>
      <c r="TKH37" s="862"/>
      <c r="TKI37" s="862"/>
      <c r="TKJ37" s="862"/>
      <c r="TKK37" s="862"/>
      <c r="TKL37" s="862"/>
      <c r="TKM37" s="862"/>
      <c r="TKN37" s="862"/>
      <c r="TKO37" s="862"/>
      <c r="TKP37" s="862"/>
      <c r="TKQ37" s="862"/>
      <c r="TKR37" s="862"/>
      <c r="TKS37" s="862"/>
      <c r="TKT37" s="862"/>
      <c r="TKU37" s="862"/>
      <c r="TKV37" s="862"/>
      <c r="TKW37" s="862"/>
      <c r="TKX37" s="862"/>
      <c r="TKY37" s="862"/>
      <c r="TKZ37" s="862"/>
      <c r="TLA37" s="862"/>
      <c r="TLB37" s="862"/>
      <c r="TLC37" s="862"/>
      <c r="TLD37" s="862"/>
      <c r="TLE37" s="862"/>
      <c r="TLF37" s="862"/>
      <c r="TLG37" s="862"/>
      <c r="TLH37" s="862"/>
      <c r="TLI37" s="862"/>
      <c r="TLJ37" s="862"/>
      <c r="TLK37" s="862"/>
      <c r="TLL37" s="862"/>
      <c r="TLM37" s="862"/>
      <c r="TLN37" s="862"/>
      <c r="TLO37" s="862"/>
      <c r="TLP37" s="862"/>
      <c r="TLQ37" s="862"/>
      <c r="TLR37" s="862"/>
      <c r="TLS37" s="862"/>
      <c r="TLT37" s="862"/>
      <c r="TLU37" s="862"/>
      <c r="TLV37" s="862"/>
      <c r="TLW37" s="862"/>
      <c r="TLX37" s="862"/>
      <c r="TLY37" s="862"/>
      <c r="TLZ37" s="862"/>
      <c r="TMA37" s="862"/>
      <c r="TMB37" s="862"/>
      <c r="TMC37" s="862"/>
      <c r="TMD37" s="862"/>
      <c r="TME37" s="862"/>
      <c r="TMF37" s="862"/>
      <c r="TMG37" s="862"/>
      <c r="TMH37" s="862"/>
      <c r="TMI37" s="862"/>
      <c r="TMJ37" s="862"/>
      <c r="TMK37" s="862"/>
      <c r="TML37" s="862"/>
      <c r="TMM37" s="862"/>
      <c r="TMN37" s="862"/>
      <c r="TMO37" s="862"/>
      <c r="TMP37" s="862"/>
      <c r="TMQ37" s="862"/>
      <c r="TMR37" s="862"/>
      <c r="TMS37" s="862"/>
      <c r="TMT37" s="862"/>
      <c r="TMU37" s="862"/>
      <c r="TMV37" s="862"/>
      <c r="TMW37" s="862"/>
      <c r="TMX37" s="862"/>
      <c r="TMY37" s="862"/>
      <c r="TMZ37" s="862"/>
      <c r="TNA37" s="862"/>
      <c r="TNB37" s="862"/>
      <c r="TNC37" s="862"/>
      <c r="TND37" s="862"/>
      <c r="TNE37" s="862"/>
      <c r="TNF37" s="862"/>
      <c r="TNG37" s="862"/>
      <c r="TNH37" s="862"/>
      <c r="TNI37" s="862"/>
      <c r="TNJ37" s="862"/>
      <c r="TNK37" s="862"/>
      <c r="TNL37" s="862"/>
      <c r="TNM37" s="862"/>
      <c r="TNN37" s="862"/>
      <c r="TNO37" s="862"/>
      <c r="TNP37" s="862"/>
      <c r="TNQ37" s="862"/>
      <c r="TNR37" s="862"/>
      <c r="TNS37" s="862"/>
      <c r="TNT37" s="862"/>
      <c r="TNU37" s="862"/>
      <c r="TNV37" s="862"/>
      <c r="TNW37" s="862"/>
      <c r="TNX37" s="862"/>
      <c r="TNY37" s="862"/>
      <c r="TNZ37" s="862"/>
      <c r="TOA37" s="862"/>
      <c r="TOB37" s="862"/>
      <c r="TOC37" s="862"/>
      <c r="TOD37" s="862"/>
      <c r="TOE37" s="862"/>
      <c r="TOF37" s="862"/>
      <c r="TOG37" s="862"/>
      <c r="TOH37" s="862"/>
      <c r="TOI37" s="862"/>
      <c r="TOJ37" s="862"/>
      <c r="TOK37" s="862"/>
      <c r="TOL37" s="862"/>
      <c r="TOM37" s="862"/>
      <c r="TON37" s="862"/>
      <c r="TOO37" s="862"/>
      <c r="TOP37" s="862"/>
      <c r="TOQ37" s="862"/>
      <c r="TOR37" s="862"/>
      <c r="TOS37" s="862"/>
      <c r="TOT37" s="862"/>
      <c r="TOU37" s="862"/>
      <c r="TOV37" s="862"/>
      <c r="TOW37" s="862"/>
      <c r="TOX37" s="862"/>
      <c r="TOY37" s="862"/>
      <c r="TOZ37" s="862"/>
      <c r="TPA37" s="862"/>
      <c r="TPB37" s="862"/>
      <c r="TPC37" s="862"/>
      <c r="TPD37" s="862"/>
      <c r="TPE37" s="862"/>
      <c r="TPF37" s="862"/>
      <c r="TPG37" s="862"/>
      <c r="TPH37" s="862"/>
      <c r="TPI37" s="862"/>
      <c r="TPJ37" s="862"/>
      <c r="TPK37" s="862"/>
      <c r="TPL37" s="862"/>
      <c r="TPM37" s="862"/>
      <c r="TPN37" s="862"/>
      <c r="TPO37" s="862"/>
      <c r="TPP37" s="862"/>
      <c r="TPQ37" s="862"/>
      <c r="TPR37" s="862"/>
      <c r="TPS37" s="862"/>
      <c r="TPT37" s="862"/>
      <c r="TPU37" s="862"/>
      <c r="TPV37" s="862"/>
      <c r="TPW37" s="862"/>
      <c r="TPX37" s="862"/>
      <c r="TPY37" s="862"/>
      <c r="TPZ37" s="862"/>
      <c r="TQA37" s="862"/>
      <c r="TQB37" s="862"/>
      <c r="TQC37" s="862"/>
      <c r="TQD37" s="862"/>
      <c r="TQE37" s="862"/>
      <c r="TQF37" s="862"/>
      <c r="TQG37" s="862"/>
      <c r="TQH37" s="862"/>
      <c r="TQI37" s="862"/>
      <c r="TQJ37" s="862"/>
      <c r="TQK37" s="862"/>
      <c r="TQL37" s="862"/>
      <c r="TQM37" s="862"/>
      <c r="TQN37" s="862"/>
      <c r="TQO37" s="862"/>
      <c r="TQP37" s="862"/>
      <c r="TQQ37" s="862"/>
      <c r="TQR37" s="862"/>
      <c r="TQS37" s="862"/>
      <c r="TQT37" s="862"/>
      <c r="TQU37" s="862"/>
      <c r="TQV37" s="862"/>
      <c r="TQW37" s="862"/>
      <c r="TQX37" s="862"/>
      <c r="TQY37" s="862"/>
      <c r="TQZ37" s="862"/>
      <c r="TRA37" s="862"/>
      <c r="TRB37" s="862"/>
      <c r="TRC37" s="862"/>
      <c r="TRD37" s="862"/>
      <c r="TRE37" s="862"/>
      <c r="TRF37" s="862"/>
      <c r="TRG37" s="862"/>
      <c r="TRH37" s="862"/>
      <c r="TRI37" s="862"/>
      <c r="TRJ37" s="862"/>
      <c r="TRK37" s="862"/>
      <c r="TRL37" s="862"/>
      <c r="TRM37" s="862"/>
      <c r="TRN37" s="862"/>
      <c r="TRO37" s="862"/>
      <c r="TRP37" s="862"/>
      <c r="TRQ37" s="862"/>
      <c r="TRR37" s="862"/>
      <c r="TRS37" s="862"/>
      <c r="TRT37" s="862"/>
      <c r="TRU37" s="862"/>
      <c r="TRV37" s="862"/>
      <c r="TRW37" s="862"/>
      <c r="TRX37" s="862"/>
      <c r="TRY37" s="862"/>
      <c r="TRZ37" s="862"/>
      <c r="TSA37" s="862"/>
      <c r="TSB37" s="862"/>
      <c r="TSC37" s="862"/>
      <c r="TSD37" s="862"/>
      <c r="TSE37" s="862"/>
      <c r="TSF37" s="862"/>
      <c r="TSG37" s="862"/>
      <c r="TSH37" s="862"/>
      <c r="TSI37" s="862"/>
      <c r="TSJ37" s="862"/>
      <c r="TSK37" s="862"/>
      <c r="TSL37" s="862"/>
      <c r="TSM37" s="862"/>
      <c r="TSN37" s="862"/>
      <c r="TSO37" s="862"/>
      <c r="TSP37" s="862"/>
      <c r="TSQ37" s="862"/>
      <c r="TSR37" s="862"/>
      <c r="TSS37" s="862"/>
      <c r="TST37" s="862"/>
      <c r="TSU37" s="862"/>
      <c r="TSV37" s="862"/>
      <c r="TSW37" s="862"/>
      <c r="TSX37" s="862"/>
      <c r="TSY37" s="862"/>
      <c r="TSZ37" s="862"/>
      <c r="TTA37" s="862"/>
      <c r="TTB37" s="862"/>
      <c r="TTC37" s="862"/>
      <c r="TTD37" s="862"/>
      <c r="TTE37" s="862"/>
      <c r="TTF37" s="862"/>
      <c r="TTG37" s="862"/>
      <c r="TTH37" s="862"/>
      <c r="TTI37" s="862"/>
      <c r="TTJ37" s="862"/>
      <c r="TTK37" s="862"/>
      <c r="TTL37" s="862"/>
      <c r="TTM37" s="862"/>
      <c r="TTN37" s="862"/>
      <c r="TTO37" s="862"/>
      <c r="TTP37" s="862"/>
      <c r="TTQ37" s="862"/>
      <c r="TTR37" s="862"/>
      <c r="TTS37" s="862"/>
      <c r="TTT37" s="862"/>
      <c r="TTU37" s="862"/>
      <c r="TTV37" s="862"/>
      <c r="TTW37" s="862"/>
      <c r="TTX37" s="862"/>
      <c r="TTY37" s="862"/>
      <c r="TTZ37" s="862"/>
      <c r="TUA37" s="862"/>
      <c r="TUB37" s="862"/>
      <c r="TUC37" s="862"/>
      <c r="TUD37" s="862"/>
      <c r="TUE37" s="862"/>
      <c r="TUF37" s="862"/>
      <c r="TUG37" s="862"/>
      <c r="TUH37" s="862"/>
      <c r="TUI37" s="862"/>
      <c r="TUJ37" s="862"/>
      <c r="TUK37" s="862"/>
      <c r="TUL37" s="862"/>
      <c r="TUM37" s="862"/>
      <c r="TUN37" s="862"/>
      <c r="TUO37" s="862"/>
      <c r="TUP37" s="862"/>
      <c r="TUQ37" s="862"/>
      <c r="TUR37" s="862"/>
      <c r="TUS37" s="862"/>
      <c r="TUT37" s="862"/>
      <c r="TUU37" s="862"/>
      <c r="TUV37" s="862"/>
      <c r="TUW37" s="862"/>
      <c r="TUX37" s="862"/>
      <c r="TUY37" s="862"/>
      <c r="TUZ37" s="862"/>
      <c r="TVA37" s="862"/>
      <c r="TVB37" s="862"/>
      <c r="TVC37" s="862"/>
      <c r="TVD37" s="862"/>
      <c r="TVE37" s="862"/>
      <c r="TVF37" s="862"/>
      <c r="TVG37" s="862"/>
      <c r="TVH37" s="862"/>
      <c r="TVI37" s="862"/>
      <c r="TVJ37" s="862"/>
      <c r="TVK37" s="862"/>
      <c r="TVL37" s="862"/>
      <c r="TVM37" s="862"/>
      <c r="TVN37" s="862"/>
      <c r="TVO37" s="862"/>
      <c r="TVP37" s="862"/>
      <c r="TVQ37" s="862"/>
      <c r="TVR37" s="862"/>
      <c r="TVS37" s="862"/>
      <c r="TVT37" s="862"/>
      <c r="TVU37" s="862"/>
      <c r="TVV37" s="862"/>
      <c r="TVW37" s="862"/>
      <c r="TVX37" s="862"/>
      <c r="TVY37" s="862"/>
      <c r="TVZ37" s="862"/>
      <c r="TWA37" s="862"/>
      <c r="TWB37" s="862"/>
      <c r="TWC37" s="862"/>
      <c r="TWD37" s="862"/>
      <c r="TWE37" s="862"/>
      <c r="TWF37" s="862"/>
      <c r="TWG37" s="862"/>
      <c r="TWH37" s="862"/>
      <c r="TWI37" s="862"/>
      <c r="TWJ37" s="862"/>
      <c r="TWK37" s="862"/>
      <c r="TWL37" s="862"/>
      <c r="TWM37" s="862"/>
      <c r="TWN37" s="862"/>
      <c r="TWO37" s="862"/>
      <c r="TWP37" s="862"/>
      <c r="TWQ37" s="862"/>
      <c r="TWR37" s="862"/>
      <c r="TWS37" s="862"/>
      <c r="TWT37" s="862"/>
      <c r="TWU37" s="862"/>
      <c r="TWV37" s="862"/>
      <c r="TWW37" s="862"/>
      <c r="TWX37" s="862"/>
      <c r="TWY37" s="862"/>
      <c r="TWZ37" s="862"/>
      <c r="TXA37" s="862"/>
      <c r="TXB37" s="862"/>
      <c r="TXC37" s="862"/>
      <c r="TXD37" s="862"/>
      <c r="TXE37" s="862"/>
      <c r="TXF37" s="862"/>
      <c r="TXG37" s="862"/>
      <c r="TXH37" s="862"/>
      <c r="TXI37" s="862"/>
      <c r="TXJ37" s="862"/>
      <c r="TXK37" s="862"/>
      <c r="TXL37" s="862"/>
      <c r="TXM37" s="862"/>
      <c r="TXN37" s="862"/>
      <c r="TXO37" s="862"/>
      <c r="TXP37" s="862"/>
      <c r="TXQ37" s="862"/>
      <c r="TXR37" s="862"/>
      <c r="TXS37" s="862"/>
      <c r="TXT37" s="862"/>
      <c r="TXU37" s="862"/>
      <c r="TXV37" s="862"/>
      <c r="TXW37" s="862"/>
      <c r="TXX37" s="862"/>
      <c r="TXY37" s="862"/>
      <c r="TXZ37" s="862"/>
      <c r="TYA37" s="862"/>
      <c r="TYB37" s="862"/>
      <c r="TYC37" s="862"/>
      <c r="TYD37" s="862"/>
      <c r="TYE37" s="862"/>
      <c r="TYF37" s="862"/>
      <c r="TYG37" s="862"/>
      <c r="TYH37" s="862"/>
      <c r="TYI37" s="862"/>
      <c r="TYJ37" s="862"/>
      <c r="TYK37" s="862"/>
      <c r="TYL37" s="862"/>
      <c r="TYM37" s="862"/>
      <c r="TYN37" s="862"/>
      <c r="TYO37" s="862"/>
      <c r="TYP37" s="862"/>
      <c r="TYQ37" s="862"/>
      <c r="TYR37" s="862"/>
      <c r="TYS37" s="862"/>
      <c r="TYT37" s="862"/>
      <c r="TYU37" s="862"/>
      <c r="TYV37" s="862"/>
      <c r="TYW37" s="862"/>
      <c r="TYX37" s="862"/>
      <c r="TYY37" s="862"/>
      <c r="TYZ37" s="862"/>
      <c r="TZA37" s="862"/>
      <c r="TZB37" s="862"/>
      <c r="TZC37" s="862"/>
      <c r="TZD37" s="862"/>
      <c r="TZE37" s="862"/>
      <c r="TZF37" s="862"/>
      <c r="TZG37" s="862"/>
      <c r="TZH37" s="862"/>
      <c r="TZI37" s="862"/>
      <c r="TZJ37" s="862"/>
      <c r="TZK37" s="862"/>
      <c r="TZL37" s="862"/>
      <c r="TZM37" s="862"/>
      <c r="TZN37" s="862"/>
      <c r="TZO37" s="862"/>
      <c r="TZP37" s="862"/>
      <c r="TZQ37" s="862"/>
      <c r="TZR37" s="862"/>
      <c r="TZS37" s="862"/>
      <c r="TZT37" s="862"/>
      <c r="TZU37" s="862"/>
      <c r="TZV37" s="862"/>
      <c r="TZW37" s="862"/>
      <c r="TZX37" s="862"/>
      <c r="TZY37" s="862"/>
      <c r="TZZ37" s="862"/>
      <c r="UAA37" s="862"/>
      <c r="UAB37" s="862"/>
      <c r="UAC37" s="862"/>
      <c r="UAD37" s="862"/>
      <c r="UAE37" s="862"/>
      <c r="UAF37" s="862"/>
      <c r="UAG37" s="862"/>
      <c r="UAH37" s="862"/>
      <c r="UAI37" s="862"/>
      <c r="UAJ37" s="862"/>
      <c r="UAK37" s="862"/>
      <c r="UAL37" s="862"/>
      <c r="UAM37" s="862"/>
      <c r="UAN37" s="862"/>
      <c r="UAO37" s="862"/>
      <c r="UAP37" s="862"/>
      <c r="UAQ37" s="862"/>
      <c r="UAR37" s="862"/>
      <c r="UAS37" s="862"/>
      <c r="UAT37" s="862"/>
      <c r="UAU37" s="862"/>
      <c r="UAV37" s="862"/>
      <c r="UAW37" s="862"/>
      <c r="UAX37" s="862"/>
      <c r="UAY37" s="862"/>
      <c r="UAZ37" s="862"/>
      <c r="UBA37" s="862"/>
      <c r="UBB37" s="862"/>
      <c r="UBC37" s="862"/>
      <c r="UBD37" s="862"/>
      <c r="UBE37" s="862"/>
      <c r="UBF37" s="862"/>
      <c r="UBG37" s="862"/>
      <c r="UBH37" s="862"/>
      <c r="UBI37" s="862"/>
      <c r="UBJ37" s="862"/>
      <c r="UBK37" s="862"/>
      <c r="UBL37" s="862"/>
      <c r="UBM37" s="862"/>
      <c r="UBN37" s="862"/>
      <c r="UBO37" s="862"/>
      <c r="UBP37" s="862"/>
      <c r="UBQ37" s="862"/>
      <c r="UBR37" s="862"/>
      <c r="UBS37" s="862"/>
      <c r="UBT37" s="862"/>
      <c r="UBU37" s="862"/>
      <c r="UBV37" s="862"/>
      <c r="UBW37" s="862"/>
      <c r="UBX37" s="862"/>
      <c r="UBY37" s="862"/>
      <c r="UBZ37" s="862"/>
      <c r="UCA37" s="862"/>
      <c r="UCB37" s="862"/>
      <c r="UCC37" s="862"/>
      <c r="UCD37" s="862"/>
      <c r="UCE37" s="862"/>
      <c r="UCF37" s="862"/>
      <c r="UCG37" s="862"/>
      <c r="UCH37" s="862"/>
      <c r="UCI37" s="862"/>
      <c r="UCJ37" s="862"/>
      <c r="UCK37" s="862"/>
      <c r="UCL37" s="862"/>
      <c r="UCM37" s="862"/>
      <c r="UCN37" s="862"/>
      <c r="UCO37" s="862"/>
      <c r="UCP37" s="862"/>
      <c r="UCQ37" s="862"/>
      <c r="UCR37" s="862"/>
      <c r="UCS37" s="862"/>
      <c r="UCT37" s="862"/>
      <c r="UCU37" s="862"/>
      <c r="UCV37" s="862"/>
      <c r="UCW37" s="862"/>
      <c r="UCX37" s="862"/>
      <c r="UCY37" s="862"/>
      <c r="UCZ37" s="862"/>
      <c r="UDA37" s="862"/>
      <c r="UDB37" s="862"/>
      <c r="UDC37" s="862"/>
      <c r="UDD37" s="862"/>
      <c r="UDE37" s="862"/>
      <c r="UDF37" s="862"/>
      <c r="UDG37" s="862"/>
      <c r="UDH37" s="862"/>
      <c r="UDI37" s="862"/>
      <c r="UDJ37" s="862"/>
      <c r="UDK37" s="862"/>
      <c r="UDL37" s="862"/>
      <c r="UDM37" s="862"/>
      <c r="UDN37" s="862"/>
      <c r="UDO37" s="862"/>
      <c r="UDP37" s="862"/>
      <c r="UDQ37" s="862"/>
      <c r="UDR37" s="862"/>
      <c r="UDS37" s="862"/>
      <c r="UDT37" s="862"/>
      <c r="UDU37" s="862"/>
      <c r="UDV37" s="862"/>
      <c r="UDW37" s="862"/>
      <c r="UDX37" s="862"/>
      <c r="UDY37" s="862"/>
      <c r="UDZ37" s="862"/>
      <c r="UEA37" s="862"/>
      <c r="UEB37" s="862"/>
      <c r="UEC37" s="862"/>
      <c r="UED37" s="862"/>
      <c r="UEE37" s="862"/>
      <c r="UEF37" s="862"/>
      <c r="UEG37" s="862"/>
      <c r="UEH37" s="862"/>
      <c r="UEI37" s="862"/>
      <c r="UEJ37" s="862"/>
      <c r="UEK37" s="862"/>
      <c r="UEL37" s="862"/>
      <c r="UEM37" s="862"/>
      <c r="UEN37" s="862"/>
      <c r="UEO37" s="862"/>
      <c r="UEP37" s="862"/>
      <c r="UEQ37" s="862"/>
      <c r="UER37" s="862"/>
      <c r="UES37" s="862"/>
      <c r="UET37" s="862"/>
      <c r="UEU37" s="862"/>
      <c r="UEV37" s="862"/>
      <c r="UEW37" s="862"/>
      <c r="UEX37" s="862"/>
      <c r="UEY37" s="862"/>
      <c r="UEZ37" s="862"/>
      <c r="UFA37" s="862"/>
      <c r="UFB37" s="862"/>
      <c r="UFC37" s="862"/>
      <c r="UFD37" s="862"/>
      <c r="UFE37" s="862"/>
      <c r="UFF37" s="862"/>
      <c r="UFG37" s="862"/>
      <c r="UFH37" s="862"/>
      <c r="UFI37" s="862"/>
      <c r="UFJ37" s="862"/>
      <c r="UFK37" s="862"/>
      <c r="UFL37" s="862"/>
      <c r="UFM37" s="862"/>
      <c r="UFN37" s="862"/>
      <c r="UFO37" s="862"/>
      <c r="UFP37" s="862"/>
      <c r="UFQ37" s="862"/>
      <c r="UFR37" s="862"/>
      <c r="UFS37" s="862"/>
      <c r="UFT37" s="862"/>
      <c r="UFU37" s="862"/>
      <c r="UFV37" s="862"/>
      <c r="UFW37" s="862"/>
      <c r="UFX37" s="862"/>
      <c r="UFY37" s="862"/>
      <c r="UFZ37" s="862"/>
      <c r="UGA37" s="862"/>
      <c r="UGB37" s="862"/>
      <c r="UGC37" s="862"/>
      <c r="UGD37" s="862"/>
      <c r="UGE37" s="862"/>
      <c r="UGF37" s="862"/>
      <c r="UGG37" s="862"/>
      <c r="UGH37" s="862"/>
      <c r="UGI37" s="862"/>
      <c r="UGJ37" s="862"/>
      <c r="UGK37" s="862"/>
      <c r="UGL37" s="862"/>
      <c r="UGM37" s="862"/>
      <c r="UGN37" s="862"/>
      <c r="UGO37" s="862"/>
      <c r="UGP37" s="862"/>
      <c r="UGQ37" s="862"/>
      <c r="UGR37" s="862"/>
      <c r="UGS37" s="862"/>
      <c r="UGT37" s="862"/>
      <c r="UGU37" s="862"/>
      <c r="UGV37" s="862"/>
      <c r="UGW37" s="862"/>
      <c r="UGX37" s="862"/>
      <c r="UGY37" s="862"/>
      <c r="UGZ37" s="862"/>
      <c r="UHA37" s="862"/>
      <c r="UHB37" s="862"/>
      <c r="UHC37" s="862"/>
      <c r="UHD37" s="862"/>
      <c r="UHE37" s="862"/>
      <c r="UHF37" s="862"/>
      <c r="UHG37" s="862"/>
      <c r="UHH37" s="862"/>
      <c r="UHI37" s="862"/>
      <c r="UHJ37" s="862"/>
      <c r="UHK37" s="862"/>
      <c r="UHL37" s="862"/>
      <c r="UHM37" s="862"/>
      <c r="UHN37" s="862"/>
      <c r="UHO37" s="862"/>
      <c r="UHP37" s="862"/>
      <c r="UHQ37" s="862"/>
      <c r="UHR37" s="862"/>
      <c r="UHS37" s="862"/>
      <c r="UHT37" s="862"/>
      <c r="UHU37" s="862"/>
      <c r="UHV37" s="862"/>
      <c r="UHW37" s="862"/>
      <c r="UHX37" s="862"/>
      <c r="UHY37" s="862"/>
      <c r="UHZ37" s="862"/>
      <c r="UIA37" s="862"/>
      <c r="UIB37" s="862"/>
      <c r="UIC37" s="862"/>
      <c r="UID37" s="862"/>
      <c r="UIE37" s="862"/>
      <c r="UIF37" s="862"/>
      <c r="UIG37" s="862"/>
      <c r="UIH37" s="862"/>
      <c r="UII37" s="862"/>
      <c r="UIJ37" s="862"/>
      <c r="UIK37" s="862"/>
      <c r="UIL37" s="862"/>
      <c r="UIM37" s="862"/>
      <c r="UIN37" s="862"/>
      <c r="UIO37" s="862"/>
      <c r="UIP37" s="862"/>
      <c r="UIQ37" s="862"/>
      <c r="UIR37" s="862"/>
      <c r="UIS37" s="862"/>
      <c r="UIT37" s="862"/>
      <c r="UIU37" s="862"/>
      <c r="UIV37" s="862"/>
      <c r="UIW37" s="862"/>
      <c r="UIX37" s="862"/>
      <c r="UIY37" s="862"/>
      <c r="UIZ37" s="862"/>
      <c r="UJA37" s="862"/>
      <c r="UJB37" s="862"/>
      <c r="UJC37" s="862"/>
      <c r="UJD37" s="862"/>
      <c r="UJE37" s="862"/>
      <c r="UJF37" s="862"/>
      <c r="UJG37" s="862"/>
      <c r="UJH37" s="862"/>
      <c r="UJI37" s="862"/>
      <c r="UJJ37" s="862"/>
      <c r="UJK37" s="862"/>
      <c r="UJL37" s="862"/>
      <c r="UJM37" s="862"/>
      <c r="UJN37" s="862"/>
      <c r="UJO37" s="862"/>
      <c r="UJP37" s="862"/>
      <c r="UJQ37" s="862"/>
      <c r="UJR37" s="862"/>
      <c r="UJS37" s="862"/>
      <c r="UJT37" s="862"/>
      <c r="UJU37" s="862"/>
      <c r="UJV37" s="862"/>
      <c r="UJW37" s="862"/>
      <c r="UJX37" s="862"/>
      <c r="UJY37" s="862"/>
      <c r="UJZ37" s="862"/>
      <c r="UKA37" s="862"/>
      <c r="UKB37" s="862"/>
      <c r="UKC37" s="862"/>
      <c r="UKD37" s="862"/>
      <c r="UKE37" s="862"/>
      <c r="UKF37" s="862"/>
      <c r="UKG37" s="862"/>
      <c r="UKH37" s="862"/>
      <c r="UKI37" s="862"/>
      <c r="UKJ37" s="862"/>
      <c r="UKK37" s="862"/>
      <c r="UKL37" s="862"/>
      <c r="UKM37" s="862"/>
      <c r="UKN37" s="862"/>
      <c r="UKO37" s="862"/>
      <c r="UKP37" s="862"/>
      <c r="UKQ37" s="862"/>
      <c r="UKR37" s="862"/>
      <c r="UKS37" s="862"/>
      <c r="UKT37" s="862"/>
      <c r="UKU37" s="862"/>
      <c r="UKV37" s="862"/>
      <c r="UKW37" s="862"/>
      <c r="UKX37" s="862"/>
      <c r="UKY37" s="862"/>
      <c r="UKZ37" s="862"/>
      <c r="ULA37" s="862"/>
      <c r="ULB37" s="862"/>
      <c r="ULC37" s="862"/>
      <c r="ULD37" s="862"/>
      <c r="ULE37" s="862"/>
      <c r="ULF37" s="862"/>
      <c r="ULG37" s="862"/>
      <c r="ULH37" s="862"/>
      <c r="ULI37" s="862"/>
      <c r="ULJ37" s="862"/>
      <c r="ULK37" s="862"/>
      <c r="ULL37" s="862"/>
      <c r="ULM37" s="862"/>
      <c r="ULN37" s="862"/>
      <c r="ULO37" s="862"/>
      <c r="ULP37" s="862"/>
      <c r="ULQ37" s="862"/>
      <c r="ULR37" s="862"/>
      <c r="ULS37" s="862"/>
      <c r="ULT37" s="862"/>
      <c r="ULU37" s="862"/>
      <c r="ULV37" s="862"/>
      <c r="ULW37" s="862"/>
      <c r="ULX37" s="862"/>
      <c r="ULY37" s="862"/>
      <c r="ULZ37" s="862"/>
      <c r="UMA37" s="862"/>
      <c r="UMB37" s="862"/>
      <c r="UMC37" s="862"/>
      <c r="UMD37" s="862"/>
      <c r="UME37" s="862"/>
      <c r="UMF37" s="862"/>
      <c r="UMG37" s="862"/>
      <c r="UMH37" s="862"/>
      <c r="UMI37" s="862"/>
      <c r="UMJ37" s="862"/>
      <c r="UMK37" s="862"/>
      <c r="UML37" s="862"/>
      <c r="UMM37" s="862"/>
      <c r="UMN37" s="862"/>
      <c r="UMO37" s="862"/>
      <c r="UMP37" s="862"/>
      <c r="UMQ37" s="862"/>
      <c r="UMR37" s="862"/>
      <c r="UMS37" s="862"/>
      <c r="UMT37" s="862"/>
      <c r="UMU37" s="862"/>
      <c r="UMV37" s="862"/>
      <c r="UMW37" s="862"/>
      <c r="UMX37" s="862"/>
      <c r="UMY37" s="862"/>
      <c r="UMZ37" s="862"/>
      <c r="UNA37" s="862"/>
      <c r="UNB37" s="862"/>
      <c r="UNC37" s="862"/>
      <c r="UND37" s="862"/>
      <c r="UNE37" s="862"/>
      <c r="UNF37" s="862"/>
      <c r="UNG37" s="862"/>
      <c r="UNH37" s="862"/>
      <c r="UNI37" s="862"/>
      <c r="UNJ37" s="862"/>
      <c r="UNK37" s="862"/>
      <c r="UNL37" s="862"/>
      <c r="UNM37" s="862"/>
      <c r="UNN37" s="862"/>
      <c r="UNO37" s="862"/>
      <c r="UNP37" s="862"/>
      <c r="UNQ37" s="862"/>
      <c r="UNR37" s="862"/>
      <c r="UNS37" s="862"/>
      <c r="UNT37" s="862"/>
      <c r="UNU37" s="862"/>
      <c r="UNV37" s="862"/>
      <c r="UNW37" s="862"/>
      <c r="UNX37" s="862"/>
      <c r="UNY37" s="862"/>
      <c r="UNZ37" s="862"/>
      <c r="UOA37" s="862"/>
      <c r="UOB37" s="862"/>
      <c r="UOC37" s="862"/>
      <c r="UOD37" s="862"/>
      <c r="UOE37" s="862"/>
      <c r="UOF37" s="862"/>
      <c r="UOG37" s="862"/>
      <c r="UOH37" s="862"/>
      <c r="UOI37" s="862"/>
      <c r="UOJ37" s="862"/>
      <c r="UOK37" s="862"/>
      <c r="UOL37" s="862"/>
      <c r="UOM37" s="862"/>
      <c r="UON37" s="862"/>
      <c r="UOO37" s="862"/>
      <c r="UOP37" s="862"/>
      <c r="UOQ37" s="862"/>
      <c r="UOR37" s="862"/>
      <c r="UOS37" s="862"/>
      <c r="UOT37" s="862"/>
      <c r="UOU37" s="862"/>
      <c r="UOV37" s="862"/>
      <c r="UOW37" s="862"/>
      <c r="UOX37" s="862"/>
      <c r="UOY37" s="862"/>
      <c r="UOZ37" s="862"/>
      <c r="UPA37" s="862"/>
      <c r="UPB37" s="862"/>
      <c r="UPC37" s="862"/>
      <c r="UPD37" s="862"/>
      <c r="UPE37" s="862"/>
      <c r="UPF37" s="862"/>
      <c r="UPG37" s="862"/>
      <c r="UPH37" s="862"/>
      <c r="UPI37" s="862"/>
      <c r="UPJ37" s="862"/>
      <c r="UPK37" s="862"/>
      <c r="UPL37" s="862"/>
      <c r="UPM37" s="862"/>
      <c r="UPN37" s="862"/>
      <c r="UPO37" s="862"/>
      <c r="UPP37" s="862"/>
      <c r="UPQ37" s="862"/>
      <c r="UPR37" s="862"/>
      <c r="UPS37" s="862"/>
      <c r="UPT37" s="862"/>
      <c r="UPU37" s="862"/>
      <c r="UPV37" s="862"/>
      <c r="UPW37" s="862"/>
      <c r="UPX37" s="862"/>
      <c r="UPY37" s="862"/>
      <c r="UPZ37" s="862"/>
      <c r="UQA37" s="862"/>
      <c r="UQB37" s="862"/>
      <c r="UQC37" s="862"/>
      <c r="UQD37" s="862"/>
      <c r="UQE37" s="862"/>
      <c r="UQF37" s="862"/>
      <c r="UQG37" s="862"/>
      <c r="UQH37" s="862"/>
      <c r="UQI37" s="862"/>
      <c r="UQJ37" s="862"/>
      <c r="UQK37" s="862"/>
      <c r="UQL37" s="862"/>
      <c r="UQM37" s="862"/>
      <c r="UQN37" s="862"/>
      <c r="UQO37" s="862"/>
      <c r="UQP37" s="862"/>
      <c r="UQQ37" s="862"/>
      <c r="UQR37" s="862"/>
      <c r="UQS37" s="862"/>
      <c r="UQT37" s="862"/>
      <c r="UQU37" s="862"/>
      <c r="UQV37" s="862"/>
      <c r="UQW37" s="862"/>
      <c r="UQX37" s="862"/>
      <c r="UQY37" s="862"/>
      <c r="UQZ37" s="862"/>
      <c r="URA37" s="862"/>
      <c r="URB37" s="862"/>
      <c r="URC37" s="862"/>
      <c r="URD37" s="862"/>
      <c r="URE37" s="862"/>
      <c r="URF37" s="862"/>
      <c r="URG37" s="862"/>
      <c r="URH37" s="862"/>
      <c r="URI37" s="862"/>
      <c r="URJ37" s="862"/>
      <c r="URK37" s="862"/>
      <c r="URL37" s="862"/>
      <c r="URM37" s="862"/>
      <c r="URN37" s="862"/>
      <c r="URO37" s="862"/>
      <c r="URP37" s="862"/>
      <c r="URQ37" s="862"/>
      <c r="URR37" s="862"/>
      <c r="URS37" s="862"/>
      <c r="URT37" s="862"/>
      <c r="URU37" s="862"/>
      <c r="URV37" s="862"/>
      <c r="URW37" s="862"/>
      <c r="URX37" s="862"/>
      <c r="URY37" s="862"/>
      <c r="URZ37" s="862"/>
      <c r="USA37" s="862"/>
      <c r="USB37" s="862"/>
      <c r="USC37" s="862"/>
      <c r="USD37" s="862"/>
      <c r="USE37" s="862"/>
      <c r="USF37" s="862"/>
      <c r="USG37" s="862"/>
      <c r="USH37" s="862"/>
      <c r="USI37" s="862"/>
      <c r="USJ37" s="862"/>
      <c r="USK37" s="862"/>
      <c r="USL37" s="862"/>
      <c r="USM37" s="862"/>
      <c r="USN37" s="862"/>
      <c r="USO37" s="862"/>
      <c r="USP37" s="862"/>
      <c r="USQ37" s="862"/>
      <c r="USR37" s="862"/>
      <c r="USS37" s="862"/>
      <c r="UST37" s="862"/>
      <c r="USU37" s="862"/>
      <c r="USV37" s="862"/>
      <c r="USW37" s="862"/>
      <c r="USX37" s="862"/>
      <c r="USY37" s="862"/>
      <c r="USZ37" s="862"/>
      <c r="UTA37" s="862"/>
      <c r="UTB37" s="862"/>
      <c r="UTC37" s="862"/>
      <c r="UTD37" s="862"/>
      <c r="UTE37" s="862"/>
      <c r="UTF37" s="862"/>
      <c r="UTG37" s="862"/>
      <c r="UTH37" s="862"/>
      <c r="UTI37" s="862"/>
      <c r="UTJ37" s="862"/>
      <c r="UTK37" s="862"/>
      <c r="UTL37" s="862"/>
      <c r="UTM37" s="862"/>
      <c r="UTN37" s="862"/>
      <c r="UTO37" s="862"/>
      <c r="UTP37" s="862"/>
      <c r="UTQ37" s="862"/>
      <c r="UTR37" s="862"/>
      <c r="UTS37" s="862"/>
      <c r="UTT37" s="862"/>
      <c r="UTU37" s="862"/>
      <c r="UTV37" s="862"/>
      <c r="UTW37" s="862"/>
      <c r="UTX37" s="862"/>
      <c r="UTY37" s="862"/>
      <c r="UTZ37" s="862"/>
      <c r="UUA37" s="862"/>
      <c r="UUB37" s="862"/>
      <c r="UUC37" s="862"/>
      <c r="UUD37" s="862"/>
      <c r="UUE37" s="862"/>
      <c r="UUF37" s="862"/>
      <c r="UUG37" s="862"/>
      <c r="UUH37" s="862"/>
      <c r="UUI37" s="862"/>
      <c r="UUJ37" s="862"/>
      <c r="UUK37" s="862"/>
      <c r="UUL37" s="862"/>
      <c r="UUM37" s="862"/>
      <c r="UUN37" s="862"/>
      <c r="UUO37" s="862"/>
      <c r="UUP37" s="862"/>
      <c r="UUQ37" s="862"/>
      <c r="UUR37" s="862"/>
      <c r="UUS37" s="862"/>
      <c r="UUT37" s="862"/>
      <c r="UUU37" s="862"/>
      <c r="UUV37" s="862"/>
      <c r="UUW37" s="862"/>
      <c r="UUX37" s="862"/>
      <c r="UUY37" s="862"/>
      <c r="UUZ37" s="862"/>
      <c r="UVA37" s="862"/>
      <c r="UVB37" s="862"/>
      <c r="UVC37" s="862"/>
      <c r="UVD37" s="862"/>
      <c r="UVE37" s="862"/>
      <c r="UVF37" s="862"/>
      <c r="UVG37" s="862"/>
      <c r="UVH37" s="862"/>
      <c r="UVI37" s="862"/>
      <c r="UVJ37" s="862"/>
      <c r="UVK37" s="862"/>
      <c r="UVL37" s="862"/>
      <c r="UVM37" s="862"/>
      <c r="UVN37" s="862"/>
      <c r="UVO37" s="862"/>
      <c r="UVP37" s="862"/>
      <c r="UVQ37" s="862"/>
      <c r="UVR37" s="862"/>
      <c r="UVS37" s="862"/>
      <c r="UVT37" s="862"/>
      <c r="UVU37" s="862"/>
      <c r="UVV37" s="862"/>
      <c r="UVW37" s="862"/>
      <c r="UVX37" s="862"/>
      <c r="UVY37" s="862"/>
      <c r="UVZ37" s="862"/>
      <c r="UWA37" s="862"/>
      <c r="UWB37" s="862"/>
      <c r="UWC37" s="862"/>
      <c r="UWD37" s="862"/>
      <c r="UWE37" s="862"/>
      <c r="UWF37" s="862"/>
      <c r="UWG37" s="862"/>
      <c r="UWH37" s="862"/>
      <c r="UWI37" s="862"/>
      <c r="UWJ37" s="862"/>
      <c r="UWK37" s="862"/>
      <c r="UWL37" s="862"/>
      <c r="UWM37" s="862"/>
      <c r="UWN37" s="862"/>
      <c r="UWO37" s="862"/>
      <c r="UWP37" s="862"/>
      <c r="UWQ37" s="862"/>
      <c r="UWR37" s="862"/>
      <c r="UWS37" s="862"/>
      <c r="UWT37" s="862"/>
      <c r="UWU37" s="862"/>
      <c r="UWV37" s="862"/>
      <c r="UWW37" s="862"/>
      <c r="UWX37" s="862"/>
      <c r="UWY37" s="862"/>
      <c r="UWZ37" s="862"/>
      <c r="UXA37" s="862"/>
      <c r="UXB37" s="862"/>
      <c r="UXC37" s="862"/>
      <c r="UXD37" s="862"/>
      <c r="UXE37" s="862"/>
      <c r="UXF37" s="862"/>
      <c r="UXG37" s="862"/>
      <c r="UXH37" s="862"/>
      <c r="UXI37" s="862"/>
      <c r="UXJ37" s="862"/>
      <c r="UXK37" s="862"/>
      <c r="UXL37" s="862"/>
      <c r="UXM37" s="862"/>
      <c r="UXN37" s="862"/>
      <c r="UXO37" s="862"/>
      <c r="UXP37" s="862"/>
      <c r="UXQ37" s="862"/>
      <c r="UXR37" s="862"/>
      <c r="UXS37" s="862"/>
      <c r="UXT37" s="862"/>
      <c r="UXU37" s="862"/>
      <c r="UXV37" s="862"/>
      <c r="UXW37" s="862"/>
      <c r="UXX37" s="862"/>
      <c r="UXY37" s="862"/>
      <c r="UXZ37" s="862"/>
      <c r="UYA37" s="862"/>
      <c r="UYB37" s="862"/>
      <c r="UYC37" s="862"/>
      <c r="UYD37" s="862"/>
      <c r="UYE37" s="862"/>
      <c r="UYF37" s="862"/>
      <c r="UYG37" s="862"/>
      <c r="UYH37" s="862"/>
      <c r="UYI37" s="862"/>
      <c r="UYJ37" s="862"/>
      <c r="UYK37" s="862"/>
      <c r="UYL37" s="862"/>
      <c r="UYM37" s="862"/>
      <c r="UYN37" s="862"/>
      <c r="UYO37" s="862"/>
      <c r="UYP37" s="862"/>
      <c r="UYQ37" s="862"/>
      <c r="UYR37" s="862"/>
      <c r="UYS37" s="862"/>
      <c r="UYT37" s="862"/>
      <c r="UYU37" s="862"/>
      <c r="UYV37" s="862"/>
      <c r="UYW37" s="862"/>
      <c r="UYX37" s="862"/>
      <c r="UYY37" s="862"/>
      <c r="UYZ37" s="862"/>
      <c r="UZA37" s="862"/>
      <c r="UZB37" s="862"/>
      <c r="UZC37" s="862"/>
      <c r="UZD37" s="862"/>
      <c r="UZE37" s="862"/>
      <c r="UZF37" s="862"/>
      <c r="UZG37" s="862"/>
      <c r="UZH37" s="862"/>
      <c r="UZI37" s="862"/>
      <c r="UZJ37" s="862"/>
      <c r="UZK37" s="862"/>
      <c r="UZL37" s="862"/>
      <c r="UZM37" s="862"/>
      <c r="UZN37" s="862"/>
      <c r="UZO37" s="862"/>
      <c r="UZP37" s="862"/>
      <c r="UZQ37" s="862"/>
      <c r="UZR37" s="862"/>
      <c r="UZS37" s="862"/>
      <c r="UZT37" s="862"/>
      <c r="UZU37" s="862"/>
      <c r="UZV37" s="862"/>
      <c r="UZW37" s="862"/>
      <c r="UZX37" s="862"/>
      <c r="UZY37" s="862"/>
      <c r="UZZ37" s="862"/>
      <c r="VAA37" s="862"/>
      <c r="VAB37" s="862"/>
      <c r="VAC37" s="862"/>
      <c r="VAD37" s="862"/>
      <c r="VAE37" s="862"/>
      <c r="VAF37" s="862"/>
      <c r="VAG37" s="862"/>
      <c r="VAH37" s="862"/>
      <c r="VAI37" s="862"/>
      <c r="VAJ37" s="862"/>
      <c r="VAK37" s="862"/>
      <c r="VAL37" s="862"/>
      <c r="VAM37" s="862"/>
      <c r="VAN37" s="862"/>
      <c r="VAO37" s="862"/>
      <c r="VAP37" s="862"/>
      <c r="VAQ37" s="862"/>
      <c r="VAR37" s="862"/>
      <c r="VAS37" s="862"/>
      <c r="VAT37" s="862"/>
      <c r="VAU37" s="862"/>
      <c r="VAV37" s="862"/>
      <c r="VAW37" s="862"/>
      <c r="VAX37" s="862"/>
      <c r="VAY37" s="862"/>
      <c r="VAZ37" s="862"/>
      <c r="VBA37" s="862"/>
      <c r="VBB37" s="862"/>
      <c r="VBC37" s="862"/>
      <c r="VBD37" s="862"/>
      <c r="VBE37" s="862"/>
      <c r="VBF37" s="862"/>
      <c r="VBG37" s="862"/>
      <c r="VBH37" s="862"/>
      <c r="VBI37" s="862"/>
      <c r="VBJ37" s="862"/>
      <c r="VBK37" s="862"/>
      <c r="VBL37" s="862"/>
      <c r="VBM37" s="862"/>
      <c r="VBN37" s="862"/>
      <c r="VBO37" s="862"/>
      <c r="VBP37" s="862"/>
      <c r="VBQ37" s="862"/>
      <c r="VBR37" s="862"/>
      <c r="VBS37" s="862"/>
      <c r="VBT37" s="862"/>
      <c r="VBU37" s="862"/>
      <c r="VBV37" s="862"/>
      <c r="VBW37" s="862"/>
      <c r="VBX37" s="862"/>
      <c r="VBY37" s="862"/>
      <c r="VBZ37" s="862"/>
      <c r="VCA37" s="862"/>
      <c r="VCB37" s="862"/>
      <c r="VCC37" s="862"/>
      <c r="VCD37" s="862"/>
      <c r="VCE37" s="862"/>
      <c r="VCF37" s="862"/>
      <c r="VCG37" s="862"/>
      <c r="VCH37" s="862"/>
      <c r="VCI37" s="862"/>
      <c r="VCJ37" s="862"/>
      <c r="VCK37" s="862"/>
      <c r="VCL37" s="862"/>
      <c r="VCM37" s="862"/>
      <c r="VCN37" s="862"/>
      <c r="VCO37" s="862"/>
      <c r="VCP37" s="862"/>
      <c r="VCQ37" s="862"/>
      <c r="VCR37" s="862"/>
      <c r="VCS37" s="862"/>
      <c r="VCT37" s="862"/>
      <c r="VCU37" s="862"/>
      <c r="VCV37" s="862"/>
      <c r="VCW37" s="862"/>
      <c r="VCX37" s="862"/>
      <c r="VCY37" s="862"/>
      <c r="VCZ37" s="862"/>
      <c r="VDA37" s="862"/>
      <c r="VDB37" s="862"/>
      <c r="VDC37" s="862"/>
      <c r="VDD37" s="862"/>
      <c r="VDE37" s="862"/>
      <c r="VDF37" s="862"/>
      <c r="VDG37" s="862"/>
      <c r="VDH37" s="862"/>
      <c r="VDI37" s="862"/>
      <c r="VDJ37" s="862"/>
      <c r="VDK37" s="862"/>
      <c r="VDL37" s="862"/>
      <c r="VDM37" s="862"/>
      <c r="VDN37" s="862"/>
      <c r="VDO37" s="862"/>
      <c r="VDP37" s="862"/>
      <c r="VDQ37" s="862"/>
      <c r="VDR37" s="862"/>
      <c r="VDS37" s="862"/>
      <c r="VDT37" s="862"/>
      <c r="VDU37" s="862"/>
      <c r="VDV37" s="862"/>
      <c r="VDW37" s="862"/>
      <c r="VDX37" s="862"/>
      <c r="VDY37" s="862"/>
      <c r="VDZ37" s="862"/>
      <c r="VEA37" s="862"/>
      <c r="VEB37" s="862"/>
      <c r="VEC37" s="862"/>
      <c r="VED37" s="862"/>
      <c r="VEE37" s="862"/>
      <c r="VEF37" s="862"/>
      <c r="VEG37" s="862"/>
      <c r="VEH37" s="862"/>
      <c r="VEI37" s="862"/>
      <c r="VEJ37" s="862"/>
      <c r="VEK37" s="862"/>
      <c r="VEL37" s="862"/>
      <c r="VEM37" s="862"/>
      <c r="VEN37" s="862"/>
      <c r="VEO37" s="862"/>
      <c r="VEP37" s="862"/>
      <c r="VEQ37" s="862"/>
      <c r="VER37" s="862"/>
      <c r="VES37" s="862"/>
      <c r="VET37" s="862"/>
      <c r="VEU37" s="862"/>
      <c r="VEV37" s="862"/>
      <c r="VEW37" s="862"/>
      <c r="VEX37" s="862"/>
      <c r="VEY37" s="862"/>
      <c r="VEZ37" s="862"/>
      <c r="VFA37" s="862"/>
      <c r="VFB37" s="862"/>
      <c r="VFC37" s="862"/>
      <c r="VFD37" s="862"/>
      <c r="VFE37" s="862"/>
      <c r="VFF37" s="862"/>
      <c r="VFG37" s="862"/>
      <c r="VFH37" s="862"/>
      <c r="VFI37" s="862"/>
      <c r="VFJ37" s="862"/>
      <c r="VFK37" s="862"/>
      <c r="VFL37" s="862"/>
      <c r="VFM37" s="862"/>
      <c r="VFN37" s="862"/>
      <c r="VFO37" s="862"/>
      <c r="VFP37" s="862"/>
      <c r="VFQ37" s="862"/>
      <c r="VFR37" s="862"/>
      <c r="VFS37" s="862"/>
      <c r="VFT37" s="862"/>
      <c r="VFU37" s="862"/>
      <c r="VFV37" s="862"/>
      <c r="VFW37" s="862"/>
      <c r="VFX37" s="862"/>
      <c r="VFY37" s="862"/>
      <c r="VFZ37" s="862"/>
      <c r="VGA37" s="862"/>
      <c r="VGB37" s="862"/>
      <c r="VGC37" s="862"/>
      <c r="VGD37" s="862"/>
      <c r="VGE37" s="862"/>
      <c r="VGF37" s="862"/>
      <c r="VGG37" s="862"/>
      <c r="VGH37" s="862"/>
      <c r="VGI37" s="862"/>
      <c r="VGJ37" s="862"/>
      <c r="VGK37" s="862"/>
      <c r="VGL37" s="862"/>
      <c r="VGM37" s="862"/>
      <c r="VGN37" s="862"/>
      <c r="VGO37" s="862"/>
      <c r="VGP37" s="862"/>
      <c r="VGQ37" s="862"/>
      <c r="VGR37" s="862"/>
      <c r="VGS37" s="862"/>
      <c r="VGT37" s="862"/>
      <c r="VGU37" s="862"/>
      <c r="VGV37" s="862"/>
      <c r="VGW37" s="862"/>
      <c r="VGX37" s="862"/>
      <c r="VGY37" s="862"/>
      <c r="VGZ37" s="862"/>
      <c r="VHA37" s="862"/>
      <c r="VHB37" s="862"/>
      <c r="VHC37" s="862"/>
      <c r="VHD37" s="862"/>
      <c r="VHE37" s="862"/>
      <c r="VHF37" s="862"/>
      <c r="VHG37" s="862"/>
      <c r="VHH37" s="862"/>
      <c r="VHI37" s="862"/>
      <c r="VHJ37" s="862"/>
      <c r="VHK37" s="862"/>
      <c r="VHL37" s="862"/>
      <c r="VHM37" s="862"/>
      <c r="VHN37" s="862"/>
      <c r="VHO37" s="862"/>
      <c r="VHP37" s="862"/>
      <c r="VHQ37" s="862"/>
      <c r="VHR37" s="862"/>
      <c r="VHS37" s="862"/>
      <c r="VHT37" s="862"/>
      <c r="VHU37" s="862"/>
      <c r="VHV37" s="862"/>
      <c r="VHW37" s="862"/>
      <c r="VHX37" s="862"/>
      <c r="VHY37" s="862"/>
      <c r="VHZ37" s="862"/>
      <c r="VIA37" s="862"/>
      <c r="VIB37" s="862"/>
      <c r="VIC37" s="862"/>
      <c r="VID37" s="862"/>
      <c r="VIE37" s="862"/>
      <c r="VIF37" s="862"/>
      <c r="VIG37" s="862"/>
      <c r="VIH37" s="862"/>
      <c r="VII37" s="862"/>
      <c r="VIJ37" s="862"/>
      <c r="VIK37" s="862"/>
      <c r="VIL37" s="862"/>
      <c r="VIM37" s="862"/>
      <c r="VIN37" s="862"/>
      <c r="VIO37" s="862"/>
      <c r="VIP37" s="862"/>
      <c r="VIQ37" s="862"/>
      <c r="VIR37" s="862"/>
      <c r="VIS37" s="862"/>
      <c r="VIT37" s="862"/>
      <c r="VIU37" s="862"/>
      <c r="VIV37" s="862"/>
      <c r="VIW37" s="862"/>
      <c r="VIX37" s="862"/>
      <c r="VIY37" s="862"/>
      <c r="VIZ37" s="862"/>
      <c r="VJA37" s="862"/>
      <c r="VJB37" s="862"/>
      <c r="VJC37" s="862"/>
      <c r="VJD37" s="862"/>
      <c r="VJE37" s="862"/>
      <c r="VJF37" s="862"/>
      <c r="VJG37" s="862"/>
      <c r="VJH37" s="862"/>
      <c r="VJI37" s="862"/>
      <c r="VJJ37" s="862"/>
      <c r="VJK37" s="862"/>
      <c r="VJL37" s="862"/>
      <c r="VJM37" s="862"/>
      <c r="VJN37" s="862"/>
      <c r="VJO37" s="862"/>
      <c r="VJP37" s="862"/>
      <c r="VJQ37" s="862"/>
      <c r="VJR37" s="862"/>
      <c r="VJS37" s="862"/>
      <c r="VJT37" s="862"/>
      <c r="VJU37" s="862"/>
      <c r="VJV37" s="862"/>
      <c r="VJW37" s="862"/>
      <c r="VJX37" s="862"/>
      <c r="VJY37" s="862"/>
      <c r="VJZ37" s="862"/>
      <c r="VKA37" s="862"/>
      <c r="VKB37" s="862"/>
      <c r="VKC37" s="862"/>
      <c r="VKD37" s="862"/>
      <c r="VKE37" s="862"/>
      <c r="VKF37" s="862"/>
      <c r="VKG37" s="862"/>
      <c r="VKH37" s="862"/>
      <c r="VKI37" s="862"/>
      <c r="VKJ37" s="862"/>
      <c r="VKK37" s="862"/>
      <c r="VKL37" s="862"/>
      <c r="VKM37" s="862"/>
      <c r="VKN37" s="862"/>
      <c r="VKO37" s="862"/>
      <c r="VKP37" s="862"/>
      <c r="VKQ37" s="862"/>
      <c r="VKR37" s="862"/>
      <c r="VKS37" s="862"/>
      <c r="VKT37" s="862"/>
      <c r="VKU37" s="862"/>
      <c r="VKV37" s="862"/>
      <c r="VKW37" s="862"/>
      <c r="VKX37" s="862"/>
      <c r="VKY37" s="862"/>
      <c r="VKZ37" s="862"/>
      <c r="VLA37" s="862"/>
      <c r="VLB37" s="862"/>
      <c r="VLC37" s="862"/>
      <c r="VLD37" s="862"/>
      <c r="VLE37" s="862"/>
      <c r="VLF37" s="862"/>
      <c r="VLG37" s="862"/>
      <c r="VLH37" s="862"/>
      <c r="VLI37" s="862"/>
      <c r="VLJ37" s="862"/>
      <c r="VLK37" s="862"/>
      <c r="VLL37" s="862"/>
      <c r="VLM37" s="862"/>
      <c r="VLN37" s="862"/>
      <c r="VLO37" s="862"/>
      <c r="VLP37" s="862"/>
      <c r="VLQ37" s="862"/>
      <c r="VLR37" s="862"/>
      <c r="VLS37" s="862"/>
      <c r="VLT37" s="862"/>
      <c r="VLU37" s="862"/>
      <c r="VLV37" s="862"/>
      <c r="VLW37" s="862"/>
      <c r="VLX37" s="862"/>
      <c r="VLY37" s="862"/>
      <c r="VLZ37" s="862"/>
      <c r="VMA37" s="862"/>
      <c r="VMB37" s="862"/>
      <c r="VMC37" s="862"/>
      <c r="VMD37" s="862"/>
      <c r="VME37" s="862"/>
      <c r="VMF37" s="862"/>
      <c r="VMG37" s="862"/>
      <c r="VMH37" s="862"/>
      <c r="VMI37" s="862"/>
      <c r="VMJ37" s="862"/>
      <c r="VMK37" s="862"/>
      <c r="VML37" s="862"/>
      <c r="VMM37" s="862"/>
      <c r="VMN37" s="862"/>
      <c r="VMO37" s="862"/>
      <c r="VMP37" s="862"/>
      <c r="VMQ37" s="862"/>
      <c r="VMR37" s="862"/>
      <c r="VMS37" s="862"/>
      <c r="VMT37" s="862"/>
      <c r="VMU37" s="862"/>
      <c r="VMV37" s="862"/>
      <c r="VMW37" s="862"/>
      <c r="VMX37" s="862"/>
      <c r="VMY37" s="862"/>
      <c r="VMZ37" s="862"/>
      <c r="VNA37" s="862"/>
      <c r="VNB37" s="862"/>
      <c r="VNC37" s="862"/>
      <c r="VND37" s="862"/>
      <c r="VNE37" s="862"/>
      <c r="VNF37" s="862"/>
      <c r="VNG37" s="862"/>
      <c r="VNH37" s="862"/>
      <c r="VNI37" s="862"/>
      <c r="VNJ37" s="862"/>
      <c r="VNK37" s="862"/>
      <c r="VNL37" s="862"/>
      <c r="VNM37" s="862"/>
      <c r="VNN37" s="862"/>
      <c r="VNO37" s="862"/>
      <c r="VNP37" s="862"/>
      <c r="VNQ37" s="862"/>
      <c r="VNR37" s="862"/>
      <c r="VNS37" s="862"/>
      <c r="VNT37" s="862"/>
      <c r="VNU37" s="862"/>
      <c r="VNV37" s="862"/>
      <c r="VNW37" s="862"/>
      <c r="VNX37" s="862"/>
      <c r="VNY37" s="862"/>
      <c r="VNZ37" s="862"/>
      <c r="VOA37" s="862"/>
      <c r="VOB37" s="862"/>
      <c r="VOC37" s="862"/>
      <c r="VOD37" s="862"/>
      <c r="VOE37" s="862"/>
      <c r="VOF37" s="862"/>
      <c r="VOG37" s="862"/>
      <c r="VOH37" s="862"/>
      <c r="VOI37" s="862"/>
      <c r="VOJ37" s="862"/>
      <c r="VOK37" s="862"/>
      <c r="VOL37" s="862"/>
      <c r="VOM37" s="862"/>
      <c r="VON37" s="862"/>
      <c r="VOO37" s="862"/>
      <c r="VOP37" s="862"/>
      <c r="VOQ37" s="862"/>
      <c r="VOR37" s="862"/>
      <c r="VOS37" s="862"/>
      <c r="VOT37" s="862"/>
      <c r="VOU37" s="862"/>
      <c r="VOV37" s="862"/>
      <c r="VOW37" s="862"/>
      <c r="VOX37" s="862"/>
      <c r="VOY37" s="862"/>
      <c r="VOZ37" s="862"/>
      <c r="VPA37" s="862"/>
      <c r="VPB37" s="862"/>
      <c r="VPC37" s="862"/>
      <c r="VPD37" s="862"/>
      <c r="VPE37" s="862"/>
      <c r="VPF37" s="862"/>
      <c r="VPG37" s="862"/>
      <c r="VPH37" s="862"/>
      <c r="VPI37" s="862"/>
      <c r="VPJ37" s="862"/>
      <c r="VPK37" s="862"/>
      <c r="VPL37" s="862"/>
      <c r="VPM37" s="862"/>
      <c r="VPN37" s="862"/>
      <c r="VPO37" s="862"/>
      <c r="VPP37" s="862"/>
      <c r="VPQ37" s="862"/>
      <c r="VPR37" s="862"/>
      <c r="VPS37" s="862"/>
      <c r="VPT37" s="862"/>
      <c r="VPU37" s="862"/>
      <c r="VPV37" s="862"/>
      <c r="VPW37" s="862"/>
      <c r="VPX37" s="862"/>
      <c r="VPY37" s="862"/>
      <c r="VPZ37" s="862"/>
      <c r="VQA37" s="862"/>
      <c r="VQB37" s="862"/>
      <c r="VQC37" s="862"/>
      <c r="VQD37" s="862"/>
      <c r="VQE37" s="862"/>
      <c r="VQF37" s="862"/>
      <c r="VQG37" s="862"/>
      <c r="VQH37" s="862"/>
      <c r="VQI37" s="862"/>
      <c r="VQJ37" s="862"/>
      <c r="VQK37" s="862"/>
      <c r="VQL37" s="862"/>
      <c r="VQM37" s="862"/>
      <c r="VQN37" s="862"/>
      <c r="VQO37" s="862"/>
      <c r="VQP37" s="862"/>
      <c r="VQQ37" s="862"/>
      <c r="VQR37" s="862"/>
      <c r="VQS37" s="862"/>
      <c r="VQT37" s="862"/>
      <c r="VQU37" s="862"/>
      <c r="VQV37" s="862"/>
      <c r="VQW37" s="862"/>
      <c r="VQX37" s="862"/>
      <c r="VQY37" s="862"/>
      <c r="VQZ37" s="862"/>
      <c r="VRA37" s="862"/>
      <c r="VRB37" s="862"/>
      <c r="VRC37" s="862"/>
      <c r="VRD37" s="862"/>
      <c r="VRE37" s="862"/>
      <c r="VRF37" s="862"/>
      <c r="VRG37" s="862"/>
      <c r="VRH37" s="862"/>
      <c r="VRI37" s="862"/>
      <c r="VRJ37" s="862"/>
      <c r="VRK37" s="862"/>
      <c r="VRL37" s="862"/>
      <c r="VRM37" s="862"/>
      <c r="VRN37" s="862"/>
      <c r="VRO37" s="862"/>
      <c r="VRP37" s="862"/>
      <c r="VRQ37" s="862"/>
      <c r="VRR37" s="862"/>
      <c r="VRS37" s="862"/>
      <c r="VRT37" s="862"/>
      <c r="VRU37" s="862"/>
      <c r="VRV37" s="862"/>
      <c r="VRW37" s="862"/>
      <c r="VRX37" s="862"/>
      <c r="VRY37" s="862"/>
      <c r="VRZ37" s="862"/>
      <c r="VSA37" s="862"/>
      <c r="VSB37" s="862"/>
      <c r="VSC37" s="862"/>
      <c r="VSD37" s="862"/>
      <c r="VSE37" s="862"/>
      <c r="VSF37" s="862"/>
      <c r="VSG37" s="862"/>
      <c r="VSH37" s="862"/>
      <c r="VSI37" s="862"/>
      <c r="VSJ37" s="862"/>
      <c r="VSK37" s="862"/>
      <c r="VSL37" s="862"/>
      <c r="VSM37" s="862"/>
      <c r="VSN37" s="862"/>
      <c r="VSO37" s="862"/>
      <c r="VSP37" s="862"/>
      <c r="VSQ37" s="862"/>
      <c r="VSR37" s="862"/>
      <c r="VSS37" s="862"/>
      <c r="VST37" s="862"/>
      <c r="VSU37" s="862"/>
      <c r="VSV37" s="862"/>
      <c r="VSW37" s="862"/>
      <c r="VSX37" s="862"/>
      <c r="VSY37" s="862"/>
      <c r="VSZ37" s="862"/>
      <c r="VTA37" s="862"/>
      <c r="VTB37" s="862"/>
      <c r="VTC37" s="862"/>
      <c r="VTD37" s="862"/>
      <c r="VTE37" s="862"/>
      <c r="VTF37" s="862"/>
      <c r="VTG37" s="862"/>
      <c r="VTH37" s="862"/>
      <c r="VTI37" s="862"/>
      <c r="VTJ37" s="862"/>
      <c r="VTK37" s="862"/>
      <c r="VTL37" s="862"/>
      <c r="VTM37" s="862"/>
      <c r="VTN37" s="862"/>
      <c r="VTO37" s="862"/>
      <c r="VTP37" s="862"/>
      <c r="VTQ37" s="862"/>
      <c r="VTR37" s="862"/>
      <c r="VTS37" s="862"/>
      <c r="VTT37" s="862"/>
      <c r="VTU37" s="862"/>
      <c r="VTV37" s="862"/>
      <c r="VTW37" s="862"/>
      <c r="VTX37" s="862"/>
      <c r="VTY37" s="862"/>
      <c r="VTZ37" s="862"/>
      <c r="VUA37" s="862"/>
      <c r="VUB37" s="862"/>
      <c r="VUC37" s="862"/>
      <c r="VUD37" s="862"/>
      <c r="VUE37" s="862"/>
      <c r="VUF37" s="862"/>
      <c r="VUG37" s="862"/>
      <c r="VUH37" s="862"/>
      <c r="VUI37" s="862"/>
      <c r="VUJ37" s="862"/>
      <c r="VUK37" s="862"/>
      <c r="VUL37" s="862"/>
      <c r="VUM37" s="862"/>
      <c r="VUN37" s="862"/>
      <c r="VUO37" s="862"/>
      <c r="VUP37" s="862"/>
      <c r="VUQ37" s="862"/>
      <c r="VUR37" s="862"/>
      <c r="VUS37" s="862"/>
      <c r="VUT37" s="862"/>
      <c r="VUU37" s="862"/>
      <c r="VUV37" s="862"/>
      <c r="VUW37" s="862"/>
      <c r="VUX37" s="862"/>
      <c r="VUY37" s="862"/>
      <c r="VUZ37" s="862"/>
      <c r="VVA37" s="862"/>
      <c r="VVB37" s="862"/>
      <c r="VVC37" s="862"/>
      <c r="VVD37" s="862"/>
      <c r="VVE37" s="862"/>
      <c r="VVF37" s="862"/>
      <c r="VVG37" s="862"/>
      <c r="VVH37" s="862"/>
      <c r="VVI37" s="862"/>
      <c r="VVJ37" s="862"/>
      <c r="VVK37" s="862"/>
      <c r="VVL37" s="862"/>
      <c r="VVM37" s="862"/>
      <c r="VVN37" s="862"/>
      <c r="VVO37" s="862"/>
      <c r="VVP37" s="862"/>
      <c r="VVQ37" s="862"/>
      <c r="VVR37" s="862"/>
      <c r="VVS37" s="862"/>
      <c r="VVT37" s="862"/>
      <c r="VVU37" s="862"/>
      <c r="VVV37" s="862"/>
      <c r="VVW37" s="862"/>
      <c r="VVX37" s="862"/>
      <c r="VVY37" s="862"/>
      <c r="VVZ37" s="862"/>
      <c r="VWA37" s="862"/>
      <c r="VWB37" s="862"/>
      <c r="VWC37" s="862"/>
      <c r="VWD37" s="862"/>
      <c r="VWE37" s="862"/>
      <c r="VWF37" s="862"/>
      <c r="VWG37" s="862"/>
      <c r="VWH37" s="862"/>
      <c r="VWI37" s="862"/>
      <c r="VWJ37" s="862"/>
      <c r="VWK37" s="862"/>
      <c r="VWL37" s="862"/>
      <c r="VWM37" s="862"/>
      <c r="VWN37" s="862"/>
      <c r="VWO37" s="862"/>
      <c r="VWP37" s="862"/>
      <c r="VWQ37" s="862"/>
      <c r="VWR37" s="862"/>
      <c r="VWS37" s="862"/>
      <c r="VWT37" s="862"/>
      <c r="VWU37" s="862"/>
      <c r="VWV37" s="862"/>
      <c r="VWW37" s="862"/>
      <c r="VWX37" s="862"/>
      <c r="VWY37" s="862"/>
      <c r="VWZ37" s="862"/>
      <c r="VXA37" s="862"/>
      <c r="VXB37" s="862"/>
      <c r="VXC37" s="862"/>
      <c r="VXD37" s="862"/>
      <c r="VXE37" s="862"/>
      <c r="VXF37" s="862"/>
      <c r="VXG37" s="862"/>
      <c r="VXH37" s="862"/>
      <c r="VXI37" s="862"/>
      <c r="VXJ37" s="862"/>
      <c r="VXK37" s="862"/>
      <c r="VXL37" s="862"/>
      <c r="VXM37" s="862"/>
      <c r="VXN37" s="862"/>
      <c r="VXO37" s="862"/>
      <c r="VXP37" s="862"/>
      <c r="VXQ37" s="862"/>
      <c r="VXR37" s="862"/>
      <c r="VXS37" s="862"/>
      <c r="VXT37" s="862"/>
      <c r="VXU37" s="862"/>
      <c r="VXV37" s="862"/>
      <c r="VXW37" s="862"/>
      <c r="VXX37" s="862"/>
      <c r="VXY37" s="862"/>
      <c r="VXZ37" s="862"/>
      <c r="VYA37" s="862"/>
      <c r="VYB37" s="862"/>
      <c r="VYC37" s="862"/>
      <c r="VYD37" s="862"/>
      <c r="VYE37" s="862"/>
      <c r="VYF37" s="862"/>
      <c r="VYG37" s="862"/>
      <c r="VYH37" s="862"/>
      <c r="VYI37" s="862"/>
      <c r="VYJ37" s="862"/>
      <c r="VYK37" s="862"/>
      <c r="VYL37" s="862"/>
      <c r="VYM37" s="862"/>
      <c r="VYN37" s="862"/>
      <c r="VYO37" s="862"/>
      <c r="VYP37" s="862"/>
      <c r="VYQ37" s="862"/>
      <c r="VYR37" s="862"/>
      <c r="VYS37" s="862"/>
      <c r="VYT37" s="862"/>
      <c r="VYU37" s="862"/>
      <c r="VYV37" s="862"/>
      <c r="VYW37" s="862"/>
      <c r="VYX37" s="862"/>
      <c r="VYY37" s="862"/>
      <c r="VYZ37" s="862"/>
      <c r="VZA37" s="862"/>
      <c r="VZB37" s="862"/>
      <c r="VZC37" s="862"/>
      <c r="VZD37" s="862"/>
      <c r="VZE37" s="862"/>
      <c r="VZF37" s="862"/>
      <c r="VZG37" s="862"/>
      <c r="VZH37" s="862"/>
      <c r="VZI37" s="862"/>
      <c r="VZJ37" s="862"/>
      <c r="VZK37" s="862"/>
      <c r="VZL37" s="862"/>
      <c r="VZM37" s="862"/>
      <c r="VZN37" s="862"/>
      <c r="VZO37" s="862"/>
      <c r="VZP37" s="862"/>
      <c r="VZQ37" s="862"/>
      <c r="VZR37" s="862"/>
      <c r="VZS37" s="862"/>
      <c r="VZT37" s="862"/>
      <c r="VZU37" s="862"/>
      <c r="VZV37" s="862"/>
      <c r="VZW37" s="862"/>
      <c r="VZX37" s="862"/>
      <c r="VZY37" s="862"/>
      <c r="VZZ37" s="862"/>
      <c r="WAA37" s="862"/>
      <c r="WAB37" s="862"/>
      <c r="WAC37" s="862"/>
      <c r="WAD37" s="862"/>
      <c r="WAE37" s="862"/>
      <c r="WAF37" s="862"/>
      <c r="WAG37" s="862"/>
      <c r="WAH37" s="862"/>
      <c r="WAI37" s="862"/>
      <c r="WAJ37" s="862"/>
      <c r="WAK37" s="862"/>
      <c r="WAL37" s="862"/>
      <c r="WAM37" s="862"/>
      <c r="WAN37" s="862"/>
      <c r="WAO37" s="862"/>
      <c r="WAP37" s="862"/>
      <c r="WAQ37" s="862"/>
      <c r="WAR37" s="862"/>
      <c r="WAS37" s="862"/>
      <c r="WAT37" s="862"/>
      <c r="WAU37" s="862"/>
      <c r="WAV37" s="862"/>
      <c r="WAW37" s="862"/>
      <c r="WAX37" s="862"/>
      <c r="WAY37" s="862"/>
      <c r="WAZ37" s="862"/>
      <c r="WBA37" s="862"/>
      <c r="WBB37" s="862"/>
      <c r="WBC37" s="862"/>
      <c r="WBD37" s="862"/>
      <c r="WBE37" s="862"/>
      <c r="WBF37" s="862"/>
      <c r="WBG37" s="862"/>
      <c r="WBH37" s="862"/>
      <c r="WBI37" s="862"/>
      <c r="WBJ37" s="862"/>
      <c r="WBK37" s="862"/>
      <c r="WBL37" s="862"/>
      <c r="WBM37" s="862"/>
      <c r="WBN37" s="862"/>
      <c r="WBO37" s="862"/>
      <c r="WBP37" s="862"/>
      <c r="WBQ37" s="862"/>
      <c r="WBR37" s="862"/>
      <c r="WBS37" s="862"/>
      <c r="WBT37" s="862"/>
      <c r="WBU37" s="862"/>
      <c r="WBV37" s="862"/>
      <c r="WBW37" s="862"/>
      <c r="WBX37" s="862"/>
      <c r="WBY37" s="862"/>
      <c r="WBZ37" s="862"/>
      <c r="WCA37" s="862"/>
      <c r="WCB37" s="862"/>
      <c r="WCC37" s="862"/>
      <c r="WCD37" s="862"/>
      <c r="WCE37" s="862"/>
      <c r="WCF37" s="862"/>
      <c r="WCG37" s="862"/>
      <c r="WCH37" s="862"/>
      <c r="WCI37" s="862"/>
      <c r="WCJ37" s="862"/>
      <c r="WCK37" s="862"/>
      <c r="WCL37" s="862"/>
      <c r="WCM37" s="862"/>
      <c r="WCN37" s="862"/>
      <c r="WCO37" s="862"/>
      <c r="WCP37" s="862"/>
      <c r="WCQ37" s="862"/>
      <c r="WCR37" s="862"/>
      <c r="WCS37" s="862"/>
      <c r="WCT37" s="862"/>
      <c r="WCU37" s="862"/>
      <c r="WCV37" s="862"/>
      <c r="WCW37" s="862"/>
      <c r="WCX37" s="862"/>
      <c r="WCY37" s="862"/>
      <c r="WCZ37" s="862"/>
      <c r="WDA37" s="862"/>
      <c r="WDB37" s="862"/>
      <c r="WDC37" s="862"/>
      <c r="WDD37" s="862"/>
      <c r="WDE37" s="862"/>
      <c r="WDF37" s="862"/>
      <c r="WDG37" s="862"/>
      <c r="WDH37" s="862"/>
      <c r="WDI37" s="862"/>
      <c r="WDJ37" s="862"/>
      <c r="WDK37" s="862"/>
      <c r="WDL37" s="862"/>
      <c r="WDM37" s="862"/>
      <c r="WDN37" s="862"/>
      <c r="WDO37" s="862"/>
      <c r="WDP37" s="862"/>
      <c r="WDQ37" s="862"/>
      <c r="WDR37" s="862"/>
      <c r="WDS37" s="862"/>
      <c r="WDT37" s="862"/>
      <c r="WDU37" s="862"/>
      <c r="WDV37" s="862"/>
      <c r="WDW37" s="862"/>
      <c r="WDX37" s="862"/>
      <c r="WDY37" s="862"/>
      <c r="WDZ37" s="862"/>
      <c r="WEA37" s="862"/>
      <c r="WEB37" s="862"/>
      <c r="WEC37" s="862"/>
      <c r="WED37" s="862"/>
      <c r="WEE37" s="862"/>
      <c r="WEF37" s="862"/>
      <c r="WEG37" s="862"/>
      <c r="WEH37" s="862"/>
      <c r="WEI37" s="862"/>
      <c r="WEJ37" s="862"/>
      <c r="WEK37" s="862"/>
      <c r="WEL37" s="862"/>
      <c r="WEM37" s="862"/>
      <c r="WEN37" s="862"/>
      <c r="WEO37" s="862"/>
      <c r="WEP37" s="862"/>
      <c r="WEQ37" s="862"/>
      <c r="WER37" s="862"/>
      <c r="WES37" s="862"/>
      <c r="WET37" s="862"/>
      <c r="WEU37" s="862"/>
      <c r="WEV37" s="862"/>
      <c r="WEW37" s="862"/>
      <c r="WEX37" s="862"/>
      <c r="WEY37" s="862"/>
      <c r="WEZ37" s="862"/>
      <c r="WFA37" s="862"/>
      <c r="WFB37" s="862"/>
      <c r="WFC37" s="862"/>
      <c r="WFD37" s="862"/>
      <c r="WFE37" s="862"/>
      <c r="WFF37" s="862"/>
      <c r="WFG37" s="862"/>
      <c r="WFH37" s="862"/>
      <c r="WFI37" s="862"/>
      <c r="WFJ37" s="862"/>
      <c r="WFK37" s="862"/>
      <c r="WFL37" s="862"/>
      <c r="WFM37" s="862"/>
      <c r="WFN37" s="862"/>
      <c r="WFO37" s="862"/>
      <c r="WFP37" s="862"/>
      <c r="WFQ37" s="862"/>
      <c r="WFR37" s="862"/>
      <c r="WFS37" s="862"/>
      <c r="WFT37" s="862"/>
      <c r="WFU37" s="862"/>
      <c r="WFV37" s="862"/>
      <c r="WFW37" s="862"/>
      <c r="WFX37" s="862"/>
      <c r="WFY37" s="862"/>
      <c r="WFZ37" s="862"/>
      <c r="WGA37" s="862"/>
      <c r="WGB37" s="862"/>
      <c r="WGC37" s="862"/>
      <c r="WGD37" s="862"/>
      <c r="WGE37" s="862"/>
      <c r="WGF37" s="862"/>
      <c r="WGG37" s="862"/>
      <c r="WGH37" s="862"/>
      <c r="WGI37" s="862"/>
      <c r="WGJ37" s="862"/>
      <c r="WGK37" s="862"/>
      <c r="WGL37" s="862"/>
      <c r="WGM37" s="862"/>
      <c r="WGN37" s="862"/>
      <c r="WGO37" s="862"/>
      <c r="WGP37" s="862"/>
      <c r="WGQ37" s="862"/>
      <c r="WGR37" s="862"/>
      <c r="WGS37" s="862"/>
      <c r="WGT37" s="862"/>
      <c r="WGU37" s="862"/>
      <c r="WGV37" s="862"/>
      <c r="WGW37" s="862"/>
      <c r="WGX37" s="862"/>
      <c r="WGY37" s="862"/>
      <c r="WGZ37" s="862"/>
      <c r="WHA37" s="862"/>
      <c r="WHB37" s="862"/>
      <c r="WHC37" s="862"/>
      <c r="WHD37" s="862"/>
      <c r="WHE37" s="862"/>
      <c r="WHF37" s="862"/>
      <c r="WHG37" s="862"/>
      <c r="WHH37" s="862"/>
      <c r="WHI37" s="862"/>
      <c r="WHJ37" s="862"/>
      <c r="WHK37" s="862"/>
      <c r="WHL37" s="862"/>
      <c r="WHM37" s="862"/>
      <c r="WHN37" s="862"/>
      <c r="WHO37" s="862"/>
      <c r="WHP37" s="862"/>
      <c r="WHQ37" s="862"/>
      <c r="WHR37" s="862"/>
      <c r="WHS37" s="862"/>
      <c r="WHT37" s="862"/>
      <c r="WHU37" s="862"/>
      <c r="WHV37" s="862"/>
      <c r="WHW37" s="862"/>
      <c r="WHX37" s="862"/>
      <c r="WHY37" s="862"/>
      <c r="WHZ37" s="862"/>
      <c r="WIA37" s="862"/>
      <c r="WIB37" s="862"/>
      <c r="WIC37" s="862"/>
      <c r="WID37" s="862"/>
      <c r="WIE37" s="862"/>
      <c r="WIF37" s="862"/>
      <c r="WIG37" s="862"/>
      <c r="WIH37" s="862"/>
      <c r="WII37" s="862"/>
      <c r="WIJ37" s="862"/>
      <c r="WIK37" s="862"/>
      <c r="WIL37" s="862"/>
      <c r="WIM37" s="862"/>
      <c r="WIN37" s="862"/>
      <c r="WIO37" s="862"/>
      <c r="WIP37" s="862"/>
      <c r="WIQ37" s="862"/>
      <c r="WIR37" s="862"/>
      <c r="WIS37" s="862"/>
      <c r="WIT37" s="862"/>
      <c r="WIU37" s="862"/>
      <c r="WIV37" s="862"/>
      <c r="WIW37" s="862"/>
      <c r="WIX37" s="862"/>
      <c r="WIY37" s="862"/>
      <c r="WIZ37" s="862"/>
      <c r="WJA37" s="862"/>
      <c r="WJB37" s="862"/>
      <c r="WJC37" s="862"/>
      <c r="WJD37" s="862"/>
      <c r="WJE37" s="862"/>
      <c r="WJF37" s="862"/>
      <c r="WJG37" s="862"/>
      <c r="WJH37" s="862"/>
      <c r="WJI37" s="862"/>
      <c r="WJJ37" s="862"/>
      <c r="WJK37" s="862"/>
      <c r="WJL37" s="862"/>
      <c r="WJM37" s="862"/>
      <c r="WJN37" s="862"/>
      <c r="WJO37" s="862"/>
      <c r="WJP37" s="862"/>
      <c r="WJQ37" s="862"/>
      <c r="WJR37" s="862"/>
      <c r="WJS37" s="862"/>
      <c r="WJT37" s="862"/>
      <c r="WJU37" s="862"/>
      <c r="WJV37" s="862"/>
      <c r="WJW37" s="862"/>
      <c r="WJX37" s="862"/>
      <c r="WJY37" s="862"/>
      <c r="WJZ37" s="862"/>
      <c r="WKA37" s="862"/>
      <c r="WKB37" s="862"/>
      <c r="WKC37" s="862"/>
      <c r="WKD37" s="862"/>
      <c r="WKE37" s="862"/>
      <c r="WKF37" s="862"/>
      <c r="WKG37" s="862"/>
      <c r="WKH37" s="862"/>
      <c r="WKI37" s="862"/>
      <c r="WKJ37" s="862"/>
      <c r="WKK37" s="862"/>
      <c r="WKL37" s="862"/>
      <c r="WKM37" s="862"/>
      <c r="WKN37" s="862"/>
      <c r="WKO37" s="862"/>
      <c r="WKP37" s="862"/>
      <c r="WKQ37" s="862"/>
      <c r="WKR37" s="862"/>
      <c r="WKS37" s="862"/>
      <c r="WKT37" s="862"/>
      <c r="WKU37" s="862"/>
      <c r="WKV37" s="862"/>
      <c r="WKW37" s="862"/>
      <c r="WKX37" s="862"/>
      <c r="WKY37" s="862"/>
      <c r="WKZ37" s="862"/>
      <c r="WLA37" s="862"/>
      <c r="WLB37" s="862"/>
      <c r="WLC37" s="862"/>
      <c r="WLD37" s="862"/>
      <c r="WLE37" s="862"/>
      <c r="WLF37" s="862"/>
      <c r="WLG37" s="862"/>
      <c r="WLH37" s="862"/>
      <c r="WLI37" s="862"/>
      <c r="WLJ37" s="862"/>
      <c r="WLK37" s="862"/>
      <c r="WLL37" s="862"/>
      <c r="WLM37" s="862"/>
      <c r="WLN37" s="862"/>
      <c r="WLO37" s="862"/>
      <c r="WLP37" s="862"/>
      <c r="WLQ37" s="862"/>
      <c r="WLR37" s="862"/>
      <c r="WLS37" s="862"/>
      <c r="WLT37" s="862"/>
      <c r="WLU37" s="862"/>
      <c r="WLV37" s="862"/>
      <c r="WLW37" s="862"/>
      <c r="WLX37" s="862"/>
      <c r="WLY37" s="862"/>
      <c r="WLZ37" s="862"/>
      <c r="WMA37" s="862"/>
      <c r="WMB37" s="862"/>
      <c r="WMC37" s="862"/>
      <c r="WMD37" s="862"/>
      <c r="WME37" s="862"/>
      <c r="WMF37" s="862"/>
      <c r="WMG37" s="862"/>
      <c r="WMH37" s="862"/>
      <c r="WMI37" s="862"/>
      <c r="WMJ37" s="862"/>
      <c r="WMK37" s="862"/>
      <c r="WML37" s="862"/>
      <c r="WMM37" s="862"/>
      <c r="WMN37" s="862"/>
      <c r="WMO37" s="862"/>
      <c r="WMP37" s="862"/>
      <c r="WMQ37" s="862"/>
      <c r="WMR37" s="862"/>
      <c r="WMS37" s="862"/>
      <c r="WMT37" s="862"/>
      <c r="WMU37" s="862"/>
      <c r="WMV37" s="862"/>
      <c r="WMW37" s="862"/>
      <c r="WMX37" s="862"/>
      <c r="WMY37" s="862"/>
      <c r="WMZ37" s="862"/>
      <c r="WNA37" s="862"/>
      <c r="WNB37" s="862"/>
      <c r="WNC37" s="862"/>
      <c r="WND37" s="862"/>
      <c r="WNE37" s="862"/>
      <c r="WNF37" s="862"/>
      <c r="WNG37" s="862"/>
      <c r="WNH37" s="862"/>
      <c r="WNI37" s="862"/>
      <c r="WNJ37" s="862"/>
      <c r="WNK37" s="862"/>
      <c r="WNL37" s="862"/>
      <c r="WNM37" s="862"/>
      <c r="WNN37" s="862"/>
      <c r="WNO37" s="862"/>
      <c r="WNP37" s="862"/>
      <c r="WNQ37" s="862"/>
      <c r="WNR37" s="862"/>
      <c r="WNS37" s="862"/>
      <c r="WNT37" s="862"/>
      <c r="WNU37" s="862"/>
      <c r="WNV37" s="862"/>
      <c r="WNW37" s="862"/>
      <c r="WNX37" s="862"/>
      <c r="WNY37" s="862"/>
      <c r="WNZ37" s="862"/>
      <c r="WOA37" s="862"/>
      <c r="WOB37" s="862"/>
      <c r="WOC37" s="862"/>
      <c r="WOD37" s="862"/>
      <c r="WOE37" s="862"/>
      <c r="WOF37" s="862"/>
      <c r="WOG37" s="862"/>
      <c r="WOH37" s="862"/>
      <c r="WOI37" s="862"/>
      <c r="WOJ37" s="862"/>
      <c r="WOK37" s="862"/>
      <c r="WOL37" s="862"/>
      <c r="WOM37" s="862"/>
      <c r="WON37" s="862"/>
      <c r="WOO37" s="862"/>
      <c r="WOP37" s="862"/>
      <c r="WOQ37" s="862"/>
      <c r="WOR37" s="862"/>
      <c r="WOS37" s="862"/>
      <c r="WOT37" s="862"/>
      <c r="WOU37" s="862"/>
      <c r="WOV37" s="862"/>
      <c r="WOW37" s="862"/>
      <c r="WOX37" s="862"/>
      <c r="WOY37" s="862"/>
      <c r="WOZ37" s="862"/>
      <c r="WPA37" s="862"/>
      <c r="WPB37" s="862"/>
      <c r="WPC37" s="862"/>
      <c r="WPD37" s="862"/>
      <c r="WPE37" s="862"/>
      <c r="WPF37" s="862"/>
      <c r="WPG37" s="862"/>
      <c r="WPH37" s="862"/>
      <c r="WPI37" s="862"/>
      <c r="WPJ37" s="862"/>
      <c r="WPK37" s="862"/>
      <c r="WPL37" s="862"/>
      <c r="WPM37" s="862"/>
      <c r="WPN37" s="862"/>
      <c r="WPO37" s="862"/>
      <c r="WPP37" s="862"/>
      <c r="WPQ37" s="862"/>
      <c r="WPR37" s="862"/>
      <c r="WPS37" s="862"/>
      <c r="WPT37" s="862"/>
      <c r="WPU37" s="862"/>
      <c r="WPV37" s="862"/>
      <c r="WPW37" s="862"/>
      <c r="WPX37" s="862"/>
      <c r="WPY37" s="862"/>
      <c r="WPZ37" s="862"/>
      <c r="WQA37" s="862"/>
      <c r="WQB37" s="862"/>
      <c r="WQC37" s="862"/>
      <c r="WQD37" s="862"/>
      <c r="WQE37" s="862"/>
      <c r="WQF37" s="862"/>
      <c r="WQG37" s="862"/>
      <c r="WQH37" s="862"/>
      <c r="WQI37" s="862"/>
      <c r="WQJ37" s="862"/>
      <c r="WQK37" s="862"/>
      <c r="WQL37" s="862"/>
      <c r="WQM37" s="862"/>
      <c r="WQN37" s="862"/>
      <c r="WQO37" s="862"/>
      <c r="WQP37" s="862"/>
      <c r="WQQ37" s="862"/>
      <c r="WQR37" s="862"/>
      <c r="WQS37" s="862"/>
      <c r="WQT37" s="862"/>
      <c r="WQU37" s="862"/>
      <c r="WQV37" s="862"/>
      <c r="WQW37" s="862"/>
      <c r="WQX37" s="862"/>
      <c r="WQY37" s="862"/>
      <c r="WQZ37" s="862"/>
      <c r="WRA37" s="862"/>
      <c r="WRB37" s="862"/>
      <c r="WRC37" s="862"/>
      <c r="WRD37" s="862"/>
      <c r="WRE37" s="862"/>
      <c r="WRF37" s="862"/>
      <c r="WRG37" s="862"/>
      <c r="WRH37" s="862"/>
      <c r="WRI37" s="862"/>
      <c r="WRJ37" s="862"/>
      <c r="WRK37" s="862"/>
      <c r="WRL37" s="862"/>
      <c r="WRM37" s="862"/>
      <c r="WRN37" s="862"/>
      <c r="WRO37" s="862"/>
      <c r="WRP37" s="862"/>
      <c r="WRQ37" s="862"/>
      <c r="WRR37" s="862"/>
      <c r="WRS37" s="862"/>
      <c r="WRT37" s="862"/>
      <c r="WRU37" s="862"/>
      <c r="WRV37" s="862"/>
      <c r="WRW37" s="862"/>
      <c r="WRX37" s="862"/>
      <c r="WRY37" s="862"/>
      <c r="WRZ37" s="862"/>
      <c r="WSA37" s="862"/>
      <c r="WSB37" s="862"/>
      <c r="WSC37" s="862"/>
      <c r="WSD37" s="862"/>
      <c r="WSE37" s="862"/>
      <c r="WSF37" s="862"/>
      <c r="WSG37" s="862"/>
      <c r="WSH37" s="862"/>
      <c r="WSI37" s="862"/>
      <c r="WSJ37" s="862"/>
      <c r="WSK37" s="862"/>
      <c r="WSL37" s="862"/>
      <c r="WSM37" s="862"/>
      <c r="WSN37" s="862"/>
      <c r="WSO37" s="862"/>
      <c r="WSP37" s="862"/>
      <c r="WSQ37" s="862"/>
      <c r="WSR37" s="862"/>
      <c r="WSS37" s="862"/>
      <c r="WST37" s="862"/>
      <c r="WSU37" s="862"/>
      <c r="WSV37" s="862"/>
      <c r="WSW37" s="862"/>
      <c r="WSX37" s="862"/>
      <c r="WSY37" s="862"/>
      <c r="WSZ37" s="862"/>
      <c r="WTA37" s="862"/>
      <c r="WTB37" s="862"/>
      <c r="WTC37" s="862"/>
      <c r="WTD37" s="862"/>
      <c r="WTE37" s="862"/>
      <c r="WTF37" s="862"/>
      <c r="WTG37" s="862"/>
      <c r="WTH37" s="862"/>
      <c r="WTI37" s="862"/>
      <c r="WTJ37" s="862"/>
      <c r="WTK37" s="862"/>
      <c r="WTL37" s="862"/>
      <c r="WTM37" s="862"/>
      <c r="WTN37" s="862"/>
      <c r="WTO37" s="862"/>
      <c r="WTP37" s="862"/>
      <c r="WTQ37" s="862"/>
      <c r="WTR37" s="862"/>
      <c r="WTS37" s="862"/>
      <c r="WTT37" s="862"/>
      <c r="WTU37" s="862"/>
      <c r="WTV37" s="862"/>
      <c r="WTW37" s="862"/>
      <c r="WTX37" s="862"/>
      <c r="WTY37" s="862"/>
      <c r="WTZ37" s="862"/>
      <c r="WUA37" s="862"/>
      <c r="WUB37" s="862"/>
      <c r="WUC37" s="862"/>
      <c r="WUD37" s="862"/>
      <c r="WUE37" s="862"/>
      <c r="WUF37" s="862"/>
      <c r="WUG37" s="862"/>
      <c r="WUH37" s="862"/>
      <c r="WUI37" s="862"/>
      <c r="WUJ37" s="862"/>
      <c r="WUK37" s="862"/>
      <c r="WUL37" s="862"/>
      <c r="WUM37" s="862"/>
      <c r="WUN37" s="862"/>
      <c r="WUO37" s="862"/>
      <c r="WUP37" s="862"/>
      <c r="WUQ37" s="862"/>
      <c r="WUR37" s="862"/>
      <c r="WUS37" s="862"/>
      <c r="WUT37" s="862"/>
      <c r="WUU37" s="862"/>
      <c r="WUV37" s="862"/>
      <c r="WUW37" s="862"/>
      <c r="WUX37" s="862"/>
      <c r="WUY37" s="862"/>
      <c r="WUZ37" s="862"/>
      <c r="WVA37" s="862"/>
      <c r="WVB37" s="862"/>
      <c r="WVC37" s="862"/>
      <c r="WVD37" s="862"/>
      <c r="WVE37" s="862"/>
      <c r="WVF37" s="862"/>
      <c r="WVG37" s="862"/>
      <c r="WVH37" s="862"/>
      <c r="WVI37" s="862"/>
      <c r="WVJ37" s="862"/>
      <c r="WVK37" s="862"/>
      <c r="WVL37" s="862"/>
      <c r="WVM37" s="862"/>
      <c r="WVN37" s="862"/>
      <c r="WVO37" s="862"/>
      <c r="WVP37" s="862"/>
      <c r="WVQ37" s="862"/>
      <c r="WVR37" s="862"/>
      <c r="WVS37" s="862"/>
      <c r="WVT37" s="862"/>
      <c r="WVU37" s="862"/>
      <c r="WVV37" s="862"/>
      <c r="WVW37" s="862"/>
      <c r="WVX37" s="862"/>
      <c r="WVY37" s="862"/>
      <c r="WVZ37" s="862"/>
      <c r="WWA37" s="862"/>
      <c r="WWB37" s="862"/>
      <c r="WWC37" s="862"/>
      <c r="WWD37" s="862"/>
      <c r="WWE37" s="862"/>
      <c r="WWF37" s="862"/>
      <c r="WWG37" s="862"/>
      <c r="WWH37" s="862"/>
      <c r="WWI37" s="862"/>
      <c r="WWJ37" s="862"/>
      <c r="WWK37" s="862"/>
      <c r="WWL37" s="862"/>
      <c r="WWM37" s="862"/>
      <c r="WWN37" s="862"/>
      <c r="WWO37" s="862"/>
      <c r="WWP37" s="862"/>
      <c r="WWQ37" s="862"/>
      <c r="WWR37" s="862"/>
      <c r="WWS37" s="862"/>
      <c r="WWT37" s="862"/>
      <c r="WWU37" s="862"/>
      <c r="WWV37" s="862"/>
      <c r="WWW37" s="862"/>
      <c r="WWX37" s="862"/>
      <c r="WWY37" s="862"/>
      <c r="WWZ37" s="862"/>
      <c r="WXA37" s="862"/>
      <c r="WXB37" s="862"/>
      <c r="WXC37" s="862"/>
      <c r="WXD37" s="862"/>
      <c r="WXE37" s="862"/>
      <c r="WXF37" s="862"/>
      <c r="WXG37" s="862"/>
      <c r="WXH37" s="862"/>
      <c r="WXI37" s="862"/>
      <c r="WXJ37" s="862"/>
      <c r="WXK37" s="862"/>
      <c r="WXL37" s="862"/>
      <c r="WXM37" s="862"/>
      <c r="WXN37" s="862"/>
      <c r="WXO37" s="862"/>
      <c r="WXP37" s="862"/>
      <c r="WXQ37" s="862"/>
      <c r="WXR37" s="862"/>
      <c r="WXS37" s="862"/>
      <c r="WXT37" s="862"/>
      <c r="WXU37" s="862"/>
      <c r="WXV37" s="862"/>
      <c r="WXW37" s="862"/>
      <c r="WXX37" s="862"/>
      <c r="WXY37" s="862"/>
      <c r="WXZ37" s="862"/>
      <c r="WYA37" s="862"/>
      <c r="WYB37" s="862"/>
      <c r="WYC37" s="862"/>
      <c r="WYD37" s="862"/>
      <c r="WYE37" s="862"/>
      <c r="WYF37" s="862"/>
      <c r="WYG37" s="862"/>
      <c r="WYH37" s="862"/>
      <c r="WYI37" s="862"/>
      <c r="WYJ37" s="862"/>
      <c r="WYK37" s="862"/>
      <c r="WYL37" s="862"/>
      <c r="WYM37" s="862"/>
      <c r="WYN37" s="862"/>
      <c r="WYO37" s="862"/>
      <c r="WYP37" s="862"/>
      <c r="WYQ37" s="862"/>
      <c r="WYR37" s="862"/>
      <c r="WYS37" s="862"/>
      <c r="WYT37" s="862"/>
      <c r="WYU37" s="862"/>
      <c r="WYV37" s="862"/>
      <c r="WYW37" s="862"/>
      <c r="WYX37" s="862"/>
      <c r="WYY37" s="862"/>
      <c r="WYZ37" s="862"/>
      <c r="WZA37" s="862"/>
      <c r="WZB37" s="862"/>
      <c r="WZC37" s="862"/>
      <c r="WZD37" s="862"/>
      <c r="WZE37" s="862"/>
      <c r="WZF37" s="862"/>
      <c r="WZG37" s="862"/>
      <c r="WZH37" s="862"/>
      <c r="WZI37" s="862"/>
      <c r="WZJ37" s="862"/>
      <c r="WZK37" s="862"/>
      <c r="WZL37" s="862"/>
      <c r="WZM37" s="862"/>
      <c r="WZN37" s="862"/>
      <c r="WZO37" s="862"/>
      <c r="WZP37" s="862"/>
      <c r="WZQ37" s="862"/>
      <c r="WZR37" s="862"/>
      <c r="WZS37" s="862"/>
      <c r="WZT37" s="862"/>
      <c r="WZU37" s="862"/>
      <c r="WZV37" s="862"/>
      <c r="WZW37" s="862"/>
      <c r="WZX37" s="862"/>
      <c r="WZY37" s="862"/>
      <c r="WZZ37" s="862"/>
      <c r="XAA37" s="862"/>
      <c r="XAB37" s="862"/>
      <c r="XAC37" s="862"/>
      <c r="XAD37" s="862"/>
      <c r="XAE37" s="862"/>
      <c r="XAF37" s="862"/>
      <c r="XAG37" s="862"/>
      <c r="XAH37" s="862"/>
      <c r="XAI37" s="862"/>
      <c r="XAJ37" s="862"/>
      <c r="XAK37" s="862"/>
      <c r="XAL37" s="862"/>
      <c r="XAM37" s="862"/>
      <c r="XAN37" s="862"/>
      <c r="XAO37" s="862"/>
      <c r="XAP37" s="862"/>
      <c r="XAQ37" s="862"/>
      <c r="XAR37" s="862"/>
      <c r="XAS37" s="862"/>
      <c r="XAT37" s="862"/>
      <c r="XAU37" s="862"/>
      <c r="XAV37" s="862"/>
      <c r="XAW37" s="862"/>
      <c r="XAX37" s="862"/>
      <c r="XAY37" s="862"/>
      <c r="XAZ37" s="862"/>
      <c r="XBA37" s="862"/>
      <c r="XBB37" s="862"/>
      <c r="XBC37" s="862"/>
      <c r="XBD37" s="862"/>
      <c r="XBE37" s="862"/>
      <c r="XBF37" s="862"/>
      <c r="XBG37" s="862"/>
      <c r="XBH37" s="862"/>
      <c r="XBI37" s="862"/>
      <c r="XBJ37" s="862"/>
      <c r="XBK37" s="862"/>
      <c r="XBL37" s="862"/>
      <c r="XBM37" s="862"/>
      <c r="XBN37" s="862"/>
      <c r="XBO37" s="862"/>
      <c r="XBP37" s="862"/>
      <c r="XBQ37" s="862"/>
      <c r="XBR37" s="862"/>
      <c r="XBS37" s="862"/>
      <c r="XBT37" s="862"/>
      <c r="XBU37" s="862"/>
      <c r="XBV37" s="862"/>
      <c r="XBW37" s="862"/>
      <c r="XBX37" s="862"/>
      <c r="XBY37" s="862"/>
      <c r="XBZ37" s="862"/>
      <c r="XCA37" s="862"/>
      <c r="XCB37" s="862"/>
      <c r="XCC37" s="862"/>
      <c r="XCD37" s="862"/>
      <c r="XCE37" s="862"/>
      <c r="XCF37" s="862"/>
      <c r="XCG37" s="862"/>
      <c r="XCH37" s="862"/>
      <c r="XCI37" s="862"/>
      <c r="XCJ37" s="862"/>
      <c r="XCK37" s="862"/>
      <c r="XCL37" s="862"/>
      <c r="XCM37" s="862"/>
      <c r="XCN37" s="862"/>
      <c r="XCO37" s="862"/>
      <c r="XCP37" s="862"/>
      <c r="XCQ37" s="862"/>
      <c r="XCR37" s="862"/>
      <c r="XCS37" s="862"/>
      <c r="XCT37" s="862"/>
      <c r="XCU37" s="862"/>
      <c r="XCV37" s="862"/>
      <c r="XCW37" s="862"/>
      <c r="XCX37" s="862"/>
      <c r="XCY37" s="862"/>
      <c r="XCZ37" s="862"/>
      <c r="XDA37" s="862"/>
      <c r="XDB37" s="862"/>
      <c r="XDC37" s="862"/>
      <c r="XDD37" s="862"/>
      <c r="XDE37" s="862"/>
      <c r="XDF37" s="862"/>
      <c r="XDG37" s="862"/>
      <c r="XDH37" s="862"/>
      <c r="XDI37" s="862"/>
      <c r="XDJ37" s="862"/>
      <c r="XDK37" s="862"/>
      <c r="XDL37" s="862"/>
      <c r="XDM37" s="862"/>
      <c r="XDN37" s="862"/>
      <c r="XDO37" s="862"/>
      <c r="XDP37" s="862"/>
      <c r="XDQ37" s="862"/>
      <c r="XDR37" s="862"/>
      <c r="XDS37" s="862"/>
      <c r="XDT37" s="862"/>
      <c r="XDU37" s="862"/>
      <c r="XDV37" s="862"/>
      <c r="XDW37" s="862"/>
      <c r="XDX37" s="862"/>
      <c r="XDY37" s="862"/>
      <c r="XDZ37" s="862"/>
      <c r="XEA37" s="862"/>
      <c r="XEB37" s="862"/>
      <c r="XEC37" s="862"/>
      <c r="XED37" s="862"/>
      <c r="XEE37" s="862"/>
      <c r="XEF37" s="862"/>
      <c r="XEG37" s="862"/>
      <c r="XEH37" s="862"/>
      <c r="XEI37" s="862"/>
      <c r="XEJ37" s="862"/>
      <c r="XEK37" s="862"/>
      <c r="XEL37" s="862"/>
      <c r="XEM37" s="862"/>
      <c r="XEN37" s="862"/>
      <c r="XEO37" s="862"/>
      <c r="XEP37" s="862"/>
      <c r="XEQ37" s="862"/>
      <c r="XER37" s="862"/>
      <c r="XES37" s="862"/>
      <c r="XET37" s="862"/>
      <c r="XEU37" s="862"/>
      <c r="XEV37" s="862"/>
      <c r="XEW37" s="862"/>
      <c r="XEX37" s="862"/>
      <c r="XEY37" s="862"/>
      <c r="XEZ37" s="862"/>
      <c r="XFA37" s="862"/>
      <c r="XFB37" s="862"/>
      <c r="XFC37" s="862"/>
    </row>
    <row r="38" spans="1:16383" s="862" customFormat="1">
      <c r="B38" s="912">
        <f t="shared" si="1"/>
        <v>16</v>
      </c>
      <c r="D38" s="869" t="s">
        <v>742</v>
      </c>
      <c r="E38" s="1017" t="str">
        <f>_xll.GenericSql("SELECT INSTRUMENT FROM FIN.BONDS_LIST WHERE ISIN='"&amp;D38&amp;"'",FALSE)</f>
        <v>BTP 01-nov-2029 5.25%</v>
      </c>
      <c r="F38" s="1017"/>
      <c r="G38" s="1017"/>
      <c r="H38" s="929">
        <f>IF(VLOOKUP($D38,Bonds!$E$11:$AM$347,26,FALSE)*100-$H$21&gt;0,VLOOKUP($D38,Bonds!$E$11:$AM$347,26,FALSE)*100-$H$21,$H$21-VLOOKUP($D38,Bonds!$E$11:$AM$347,26,FALSE)*100)</f>
        <v>0.11154361029287641</v>
      </c>
      <c r="J38" s="913" t="str">
        <f t="shared" si="0"/>
        <v>NO DATA</v>
      </c>
      <c r="M38" s="893">
        <v>0.11483185872082924</v>
      </c>
      <c r="N38" s="894"/>
      <c r="O38" s="894"/>
      <c r="P38" s="894"/>
      <c r="Q38" s="894"/>
      <c r="R38" s="894"/>
      <c r="S38" s="894"/>
      <c r="T38" s="894"/>
      <c r="U38" s="894"/>
      <c r="V38" s="894"/>
      <c r="W38" s="894"/>
      <c r="X38" s="894"/>
      <c r="Y38" s="894"/>
      <c r="Z38" s="894"/>
      <c r="AA38" s="894"/>
      <c r="AB38" s="894"/>
      <c r="AC38" s="894"/>
      <c r="AD38" s="894"/>
      <c r="AE38" s="894"/>
      <c r="AF38" s="894"/>
      <c r="AG38" s="894"/>
      <c r="AH38" s="894"/>
      <c r="AI38" s="894"/>
      <c r="AJ38" s="894"/>
      <c r="AK38" s="894"/>
      <c r="AL38" s="894"/>
      <c r="AM38" s="894"/>
      <c r="AN38" s="894"/>
      <c r="AO38" s="894"/>
      <c r="AP38" s="895"/>
      <c r="AU38" s="864"/>
      <c r="AV38" s="864"/>
      <c r="AW38" s="864"/>
      <c r="AX38" s="864"/>
      <c r="AY38" s="864"/>
      <c r="AZ38" s="864"/>
      <c r="BA38" s="864"/>
      <c r="BB38" s="864"/>
      <c r="BC38" s="864"/>
      <c r="BD38" s="864"/>
      <c r="BE38" s="864"/>
      <c r="BF38" s="864"/>
      <c r="BG38" s="864"/>
      <c r="BH38" s="864"/>
      <c r="BI38" s="864"/>
      <c r="BJ38" s="864"/>
      <c r="BK38" s="864"/>
      <c r="BL38" s="864"/>
      <c r="BM38" s="864"/>
      <c r="BN38" s="864"/>
      <c r="BO38" s="864"/>
      <c r="BP38" s="864"/>
      <c r="BQ38" s="864"/>
      <c r="BR38" s="864"/>
      <c r="BS38" s="864"/>
      <c r="BT38" s="864"/>
      <c r="BU38" s="864"/>
      <c r="BV38" s="864"/>
      <c r="BW38" s="864"/>
      <c r="BX38" s="864"/>
      <c r="BY38" s="864"/>
      <c r="BZ38" s="864"/>
      <c r="CA38" s="864"/>
      <c r="CB38" s="864"/>
      <c r="CC38" s="864"/>
      <c r="CD38" s="864"/>
      <c r="CE38" s="864"/>
    </row>
    <row r="39" spans="1:16383" s="862" customFormat="1">
      <c r="B39" s="912">
        <f t="shared" si="1"/>
        <v>17</v>
      </c>
      <c r="D39" s="869" t="s">
        <v>431</v>
      </c>
      <c r="E39" s="1017" t="str">
        <f>_xll.GenericSql("SELECT INSTRUMENT FROM FIN.BONDS_LIST WHERE ISIN='"&amp;D39&amp;"'",FALSE)</f>
        <v>BTP 01-mar-30 3.5%</v>
      </c>
      <c r="F39" s="1017"/>
      <c r="G39" s="1017"/>
      <c r="H39" s="929">
        <f>IF(VLOOKUP($D39,Bonds!$E$11:$AM$347,26,FALSE)*100-$H$21&gt;0,VLOOKUP($D39,Bonds!$E$11:$AM$347,26,FALSE)*100-$H$21,$H$21-VLOOKUP($D39,Bonds!$E$11:$AM$347,26,FALSE)*100)</f>
        <v>0.20516486399116518</v>
      </c>
      <c r="J39" s="913" t="str">
        <f t="shared" si="0"/>
        <v>NO DATA</v>
      </c>
      <c r="M39" s="893">
        <v>0.2064454282082564</v>
      </c>
      <c r="N39" s="894"/>
      <c r="O39" s="894"/>
      <c r="P39" s="894"/>
      <c r="Q39" s="894"/>
      <c r="R39" s="894"/>
      <c r="S39" s="894"/>
      <c r="T39" s="894"/>
      <c r="U39" s="894"/>
      <c r="V39" s="894"/>
      <c r="W39" s="894"/>
      <c r="X39" s="894"/>
      <c r="Y39" s="894"/>
      <c r="Z39" s="894"/>
      <c r="AA39" s="894"/>
      <c r="AB39" s="894"/>
      <c r="AC39" s="894"/>
      <c r="AD39" s="894"/>
      <c r="AE39" s="894"/>
      <c r="AF39" s="894"/>
      <c r="AG39" s="894"/>
      <c r="AH39" s="894"/>
      <c r="AI39" s="894"/>
      <c r="AJ39" s="894"/>
      <c r="AK39" s="894"/>
      <c r="AL39" s="894"/>
      <c r="AM39" s="894"/>
      <c r="AN39" s="894"/>
      <c r="AO39" s="894"/>
      <c r="AP39" s="895"/>
      <c r="AU39" s="864"/>
      <c r="AV39" s="864"/>
      <c r="AW39" s="864"/>
      <c r="AX39" s="864"/>
      <c r="AY39" s="864"/>
      <c r="AZ39" s="864"/>
      <c r="BA39" s="864"/>
      <c r="BB39" s="864"/>
      <c r="BC39" s="864"/>
      <c r="BD39" s="864"/>
      <c r="BE39" s="864"/>
      <c r="BF39" s="864"/>
      <c r="BG39" s="864"/>
      <c r="BH39" s="864"/>
      <c r="BI39" s="864"/>
      <c r="BJ39" s="864"/>
      <c r="BK39" s="864"/>
      <c r="BL39" s="864"/>
      <c r="BM39" s="864"/>
      <c r="BN39" s="864"/>
      <c r="BO39" s="864"/>
      <c r="BP39" s="864"/>
      <c r="BQ39" s="864"/>
      <c r="BR39" s="864"/>
      <c r="BS39" s="864"/>
      <c r="BT39" s="864"/>
      <c r="BU39" s="864"/>
      <c r="BV39" s="864"/>
      <c r="BW39" s="864"/>
      <c r="BX39" s="864"/>
      <c r="BY39" s="864"/>
      <c r="BZ39" s="864"/>
      <c r="CA39" s="864"/>
      <c r="CB39" s="864"/>
      <c r="CC39" s="864"/>
      <c r="CD39" s="864"/>
      <c r="CE39" s="864"/>
    </row>
    <row r="40" spans="1:16383" s="862" customFormat="1">
      <c r="B40" s="912">
        <f t="shared" si="1"/>
        <v>18</v>
      </c>
      <c r="D40" s="869" t="s">
        <v>743</v>
      </c>
      <c r="E40" s="1017" t="str">
        <f>_xll.GenericSql("SELECT INSTRUMENT FROM FIN.BONDS_LIST WHERE ISIN='"&amp;D40&amp;"'",FALSE)</f>
        <v>BTP 01-may-2031 6.00%</v>
      </c>
      <c r="F40" s="1017"/>
      <c r="G40" s="1017"/>
      <c r="H40" s="929">
        <f>IF(VLOOKUP($D40,Bonds!$E$11:$AM$347,26,FALSE)*100-$H$21&gt;0,VLOOKUP($D40,Bonds!$E$11:$AM$347,26,FALSE)*100-$H$21,$H$21-VLOOKUP($D40,Bonds!$E$11:$AM$347,26,FALSE)*100)</f>
        <v>0.24489011072540245</v>
      </c>
      <c r="J40" s="913" t="str">
        <f t="shared" si="0"/>
        <v>NO DATA</v>
      </c>
      <c r="M40" s="893">
        <v>0.24655675711115776</v>
      </c>
      <c r="N40" s="894"/>
      <c r="O40" s="894"/>
      <c r="P40" s="894"/>
      <c r="Q40" s="894"/>
      <c r="R40" s="894"/>
      <c r="S40" s="894"/>
      <c r="T40" s="894"/>
      <c r="U40" s="894"/>
      <c r="V40" s="894"/>
      <c r="W40" s="894"/>
      <c r="X40" s="894"/>
      <c r="Y40" s="894"/>
      <c r="Z40" s="894"/>
      <c r="AA40" s="894"/>
      <c r="AB40" s="894"/>
      <c r="AC40" s="894"/>
      <c r="AD40" s="894"/>
      <c r="AE40" s="894"/>
      <c r="AF40" s="894"/>
      <c r="AG40" s="894"/>
      <c r="AH40" s="894"/>
      <c r="AI40" s="894"/>
      <c r="AJ40" s="894"/>
      <c r="AK40" s="894"/>
      <c r="AL40" s="894"/>
      <c r="AM40" s="894"/>
      <c r="AN40" s="894"/>
      <c r="AO40" s="894"/>
      <c r="AP40" s="895"/>
      <c r="AU40" s="864"/>
      <c r="AV40" s="864"/>
      <c r="AW40" s="864"/>
      <c r="AX40" s="864"/>
      <c r="AY40" s="864"/>
      <c r="AZ40" s="864"/>
      <c r="BA40" s="864"/>
      <c r="BB40" s="864"/>
      <c r="BC40" s="864"/>
      <c r="BD40" s="864"/>
      <c r="BE40" s="864"/>
      <c r="BF40" s="864"/>
      <c r="BG40" s="864"/>
      <c r="BH40" s="864"/>
      <c r="BI40" s="864"/>
      <c r="BJ40" s="864"/>
      <c r="BK40" s="864"/>
      <c r="BL40" s="864"/>
      <c r="BM40" s="864"/>
      <c r="BN40" s="864"/>
      <c r="BO40" s="864"/>
      <c r="BP40" s="864"/>
      <c r="BQ40" s="864"/>
      <c r="BR40" s="864"/>
      <c r="BS40" s="864"/>
      <c r="BT40" s="864"/>
      <c r="BU40" s="864"/>
      <c r="BV40" s="864"/>
      <c r="BW40" s="864"/>
      <c r="BX40" s="864"/>
      <c r="BY40" s="864"/>
      <c r="BZ40" s="864"/>
      <c r="CA40" s="864"/>
      <c r="CB40" s="864"/>
      <c r="CC40" s="864"/>
      <c r="CD40" s="864"/>
      <c r="CE40" s="864"/>
    </row>
    <row r="41" spans="1:16383" s="862" customFormat="1">
      <c r="B41" s="912">
        <f t="shared" si="1"/>
        <v>19</v>
      </c>
      <c r="D41" s="869" t="s">
        <v>848</v>
      </c>
      <c r="E41" s="1017" t="str">
        <f>_xll.GenericSql("SELECT INSTRUMENT FROM FIN.BONDS_LIST WHERE ISIN='"&amp;D41&amp;"'",FALSE)</f>
        <v>BTP 01-mar-32 1.65%</v>
      </c>
      <c r="F41" s="1017"/>
      <c r="G41" s="1017"/>
      <c r="H41" s="929">
        <f>IF(VLOOKUP($D41,Bonds!$E$11:$AM$347,26,FALSE)*100-$H$21&gt;0,VLOOKUP($D41,Bonds!$E$11:$AM$347,26,FALSE)*100-$H$21,$H$21-VLOOKUP($D41,Bonds!$E$11:$AM$347,26,FALSE)*100)</f>
        <v>0.27122483638197403</v>
      </c>
      <c r="J41" s="913" t="str">
        <f t="shared" si="0"/>
        <v>NO DATA</v>
      </c>
      <c r="M41" s="893">
        <v>0.27322959998069374</v>
      </c>
      <c r="N41" s="894"/>
      <c r="O41" s="894"/>
      <c r="P41" s="894"/>
      <c r="Q41" s="894"/>
      <c r="R41" s="894"/>
      <c r="S41" s="894"/>
      <c r="T41" s="894"/>
      <c r="U41" s="894"/>
      <c r="V41" s="894"/>
      <c r="W41" s="894"/>
      <c r="X41" s="894"/>
      <c r="Y41" s="894"/>
      <c r="Z41" s="894"/>
      <c r="AA41" s="894"/>
      <c r="AB41" s="894"/>
      <c r="AC41" s="894"/>
      <c r="AD41" s="894"/>
      <c r="AE41" s="894"/>
      <c r="AF41" s="894"/>
      <c r="AG41" s="894"/>
      <c r="AH41" s="894"/>
      <c r="AI41" s="894"/>
      <c r="AJ41" s="894"/>
      <c r="AK41" s="894"/>
      <c r="AL41" s="894"/>
      <c r="AM41" s="894"/>
      <c r="AN41" s="894"/>
      <c r="AO41" s="894"/>
      <c r="AP41" s="895"/>
      <c r="AU41" s="864"/>
      <c r="AV41" s="864"/>
      <c r="AW41" s="864"/>
      <c r="AX41" s="864"/>
      <c r="AY41" s="864"/>
      <c r="AZ41" s="864"/>
      <c r="BA41" s="864"/>
      <c r="BB41" s="864"/>
      <c r="BC41" s="864"/>
      <c r="BD41" s="864"/>
      <c r="BE41" s="864"/>
      <c r="BF41" s="864"/>
      <c r="BG41" s="864"/>
      <c r="BH41" s="864"/>
      <c r="BI41" s="864"/>
      <c r="BJ41" s="864"/>
      <c r="BK41" s="864"/>
      <c r="BL41" s="864"/>
      <c r="BM41" s="864"/>
      <c r="BN41" s="864"/>
      <c r="BO41" s="864"/>
      <c r="BP41" s="864"/>
      <c r="BQ41" s="864"/>
      <c r="BR41" s="864"/>
      <c r="BS41" s="864"/>
      <c r="BT41" s="864"/>
      <c r="BU41" s="864"/>
      <c r="BV41" s="864"/>
      <c r="BW41" s="864"/>
      <c r="BX41" s="864"/>
      <c r="BY41" s="864"/>
      <c r="BZ41" s="864"/>
      <c r="CA41" s="864"/>
      <c r="CB41" s="864"/>
      <c r="CC41" s="864"/>
      <c r="CD41" s="864"/>
      <c r="CE41" s="864"/>
    </row>
    <row r="42" spans="1:16383" s="862" customFormat="1">
      <c r="B42" s="912">
        <f t="shared" si="1"/>
        <v>20</v>
      </c>
      <c r="D42" s="869" t="s">
        <v>744</v>
      </c>
      <c r="E42" s="1017" t="str">
        <f>_xll.GenericSql("SELECT INSTRUMENT FROM FIN.BONDS_LIST WHERE ISIN='"&amp;D42&amp;"'",FALSE)</f>
        <v>BTP 01-feb-33 5.75%</v>
      </c>
      <c r="F42" s="1017"/>
      <c r="G42" s="1017"/>
      <c r="H42" s="929">
        <f>IF(VLOOKUP($D42,Bonds!$E$11:$AM$347,26,FALSE)*100-$H$21&gt;0,VLOOKUP($D42,Bonds!$E$11:$AM$347,26,FALSE)*100-$H$21,$H$21-VLOOKUP($D42,Bonds!$E$11:$AM$347,26,FALSE)*100)</f>
        <v>0.37321891444599231</v>
      </c>
      <c r="J42" s="913" t="str">
        <f t="shared" si="0"/>
        <v>NO DATA</v>
      </c>
      <c r="M42" s="893">
        <v>0.3746627274488934</v>
      </c>
      <c r="N42" s="894"/>
      <c r="O42" s="894"/>
      <c r="P42" s="894"/>
      <c r="Q42" s="894"/>
      <c r="R42" s="894"/>
      <c r="S42" s="894"/>
      <c r="T42" s="894"/>
      <c r="U42" s="894"/>
      <c r="V42" s="894"/>
      <c r="W42" s="894"/>
      <c r="X42" s="894"/>
      <c r="Y42" s="894"/>
      <c r="Z42" s="894"/>
      <c r="AA42" s="894"/>
      <c r="AB42" s="894"/>
      <c r="AC42" s="894"/>
      <c r="AD42" s="894"/>
      <c r="AE42" s="894"/>
      <c r="AF42" s="894"/>
      <c r="AG42" s="894"/>
      <c r="AH42" s="894"/>
      <c r="AI42" s="894"/>
      <c r="AJ42" s="894"/>
      <c r="AK42" s="894"/>
      <c r="AL42" s="894"/>
      <c r="AM42" s="894"/>
      <c r="AN42" s="894"/>
      <c r="AO42" s="894"/>
      <c r="AP42" s="895"/>
      <c r="AU42" s="864"/>
      <c r="AV42" s="864"/>
      <c r="AW42" s="864"/>
      <c r="AX42" s="864"/>
      <c r="AY42" s="864"/>
      <c r="AZ42" s="864"/>
      <c r="BA42" s="864"/>
      <c r="BB42" s="864"/>
      <c r="BC42" s="864"/>
      <c r="BD42" s="864"/>
      <c r="BE42" s="864"/>
      <c r="BF42" s="864"/>
      <c r="BG42" s="864"/>
      <c r="BH42" s="864"/>
      <c r="BI42" s="864"/>
      <c r="BJ42" s="864"/>
      <c r="BK42" s="864"/>
      <c r="BL42" s="864"/>
      <c r="BM42" s="864"/>
      <c r="BN42" s="864"/>
      <c r="BO42" s="864"/>
      <c r="BP42" s="864"/>
      <c r="BQ42" s="864"/>
      <c r="BR42" s="864"/>
      <c r="BS42" s="864"/>
      <c r="BT42" s="864"/>
      <c r="BU42" s="864"/>
      <c r="BV42" s="864"/>
      <c r="BW42" s="864"/>
      <c r="BX42" s="864"/>
      <c r="BY42" s="864"/>
      <c r="BZ42" s="864"/>
      <c r="CA42" s="864"/>
      <c r="CB42" s="864"/>
      <c r="CC42" s="864"/>
      <c r="CD42" s="864"/>
      <c r="CE42" s="864"/>
    </row>
    <row r="43" spans="1:16383" s="862" customFormat="1">
      <c r="B43" s="912">
        <f t="shared" si="1"/>
        <v>21</v>
      </c>
      <c r="D43" s="869" t="s">
        <v>970</v>
      </c>
      <c r="E43" s="1017" t="str">
        <f>_xll.GenericSql("SELECT INSTRUMENT FROM FIN.BONDS_LIST WHERE ISIN='"&amp;D43&amp;"'",FALSE)</f>
        <v>BTP 01-sep-33 2.45%</v>
      </c>
      <c r="F43" s="1017"/>
      <c r="G43" s="1017"/>
      <c r="H43" s="929">
        <f>IF(VLOOKUP($D43,Bonds!$E$11:$AM$347,26,FALSE)*100-$H$21&gt;0,VLOOKUP($D43,Bonds!$E$11:$AM$347,26,FALSE)*100-$H$21,$H$21-VLOOKUP($D43,Bonds!$E$11:$AM$347,26,FALSE)*100)</f>
        <v>0.41126347215193304</v>
      </c>
      <c r="J43" s="913" t="str">
        <f t="shared" si="0"/>
        <v>NO DATA</v>
      </c>
      <c r="M43" s="893">
        <v>0.41271630825738814</v>
      </c>
      <c r="N43" s="894"/>
      <c r="O43" s="894"/>
      <c r="P43" s="894"/>
      <c r="Q43" s="894"/>
      <c r="R43" s="894"/>
      <c r="S43" s="894"/>
      <c r="T43" s="894"/>
      <c r="U43" s="894"/>
      <c r="V43" s="894"/>
      <c r="W43" s="894"/>
      <c r="X43" s="894"/>
      <c r="Y43" s="894"/>
      <c r="Z43" s="894"/>
      <c r="AA43" s="894"/>
      <c r="AB43" s="894"/>
      <c r="AC43" s="894"/>
      <c r="AD43" s="894"/>
      <c r="AE43" s="894"/>
      <c r="AF43" s="894"/>
      <c r="AG43" s="894"/>
      <c r="AH43" s="894"/>
      <c r="AI43" s="894"/>
      <c r="AJ43" s="894"/>
      <c r="AK43" s="894"/>
      <c r="AL43" s="894"/>
      <c r="AM43" s="894"/>
      <c r="AN43" s="894"/>
      <c r="AO43" s="894"/>
      <c r="AP43" s="895"/>
      <c r="AU43" s="864"/>
      <c r="AV43" s="864"/>
      <c r="AW43" s="864"/>
      <c r="AX43" s="864"/>
      <c r="AY43" s="864"/>
      <c r="AZ43" s="864"/>
      <c r="BA43" s="864"/>
      <c r="BB43" s="864"/>
      <c r="BC43" s="864"/>
      <c r="BD43" s="864"/>
      <c r="BE43" s="864"/>
      <c r="BF43" s="864"/>
      <c r="BG43" s="864"/>
      <c r="BH43" s="864"/>
      <c r="BI43" s="864"/>
      <c r="BJ43" s="864"/>
      <c r="BK43" s="864"/>
      <c r="BL43" s="864"/>
      <c r="BM43" s="864"/>
      <c r="BN43" s="864"/>
      <c r="BO43" s="864"/>
      <c r="BP43" s="864"/>
      <c r="BQ43" s="864"/>
      <c r="BR43" s="864"/>
      <c r="BS43" s="864"/>
      <c r="BT43" s="864"/>
      <c r="BU43" s="864"/>
      <c r="BV43" s="864"/>
      <c r="BW43" s="864"/>
      <c r="BX43" s="864"/>
      <c r="BY43" s="864"/>
      <c r="BZ43" s="864"/>
      <c r="CA43" s="864"/>
      <c r="CB43" s="864"/>
      <c r="CC43" s="864"/>
      <c r="CD43" s="864"/>
      <c r="CE43" s="864"/>
    </row>
    <row r="44" spans="1:16383" s="862" customFormat="1">
      <c r="B44" s="912">
        <f t="shared" si="1"/>
        <v>22</v>
      </c>
      <c r="D44" s="869" t="s">
        <v>745</v>
      </c>
      <c r="E44" s="1017" t="str">
        <f>_xll.GenericSql("SELECT INSTRUMENT FROM FIN.BONDS_LIST WHERE ISIN='"&amp;D44&amp;"'",FALSE)</f>
        <v>BTP 01-aug-34 5%</v>
      </c>
      <c r="F44" s="1017"/>
      <c r="G44" s="1017"/>
      <c r="H44" s="929">
        <f>IF(VLOOKUP($D44,Bonds!$E$11:$AM$347,26,FALSE)*100-$H$21&gt;0,VLOOKUP($D44,Bonds!$E$11:$AM$347,26,FALSE)*100-$H$21,$H$21-VLOOKUP($D44,Bonds!$E$11:$AM$347,26,FALSE)*100)</f>
        <v>0.4429895575717242</v>
      </c>
      <c r="J44" s="913" t="str">
        <f t="shared" si="0"/>
        <v>NO DATA</v>
      </c>
      <c r="M44" s="893">
        <v>0.44587682356385594</v>
      </c>
      <c r="N44" s="894"/>
      <c r="O44" s="894"/>
      <c r="P44" s="894"/>
      <c r="Q44" s="894"/>
      <c r="R44" s="894"/>
      <c r="S44" s="894"/>
      <c r="T44" s="894"/>
      <c r="U44" s="894"/>
      <c r="V44" s="894"/>
      <c r="W44" s="894"/>
      <c r="X44" s="894"/>
      <c r="Y44" s="894"/>
      <c r="Z44" s="894"/>
      <c r="AA44" s="894"/>
      <c r="AB44" s="894"/>
      <c r="AC44" s="894"/>
      <c r="AD44" s="894"/>
      <c r="AE44" s="894"/>
      <c r="AF44" s="894"/>
      <c r="AG44" s="894"/>
      <c r="AH44" s="894"/>
      <c r="AI44" s="894"/>
      <c r="AJ44" s="894"/>
      <c r="AK44" s="894"/>
      <c r="AL44" s="894"/>
      <c r="AM44" s="894"/>
      <c r="AN44" s="894"/>
      <c r="AO44" s="894"/>
      <c r="AP44" s="895"/>
      <c r="AU44" s="864"/>
      <c r="AV44" s="864"/>
      <c r="AW44" s="864"/>
      <c r="AX44" s="864"/>
      <c r="AY44" s="864"/>
      <c r="AZ44" s="864"/>
      <c r="BA44" s="864"/>
      <c r="BB44" s="864"/>
      <c r="BC44" s="864"/>
      <c r="BD44" s="864"/>
      <c r="BE44" s="864"/>
      <c r="BF44" s="864"/>
      <c r="BG44" s="864"/>
      <c r="BH44" s="864"/>
      <c r="BI44" s="864"/>
      <c r="BJ44" s="864"/>
      <c r="BK44" s="864"/>
      <c r="BL44" s="864"/>
      <c r="BM44" s="864"/>
      <c r="BN44" s="864"/>
      <c r="BO44" s="864"/>
      <c r="BP44" s="864"/>
      <c r="BQ44" s="864"/>
      <c r="BR44" s="864"/>
      <c r="BS44" s="864"/>
      <c r="BT44" s="864"/>
      <c r="BU44" s="864"/>
      <c r="BV44" s="864"/>
      <c r="BW44" s="864"/>
      <c r="BX44" s="864"/>
      <c r="BY44" s="864"/>
      <c r="BZ44" s="864"/>
      <c r="CA44" s="864"/>
      <c r="CB44" s="864"/>
      <c r="CC44" s="864"/>
      <c r="CD44" s="864"/>
      <c r="CE44" s="864"/>
    </row>
    <row r="45" spans="1:16383" s="862" customFormat="1">
      <c r="B45" s="912">
        <f t="shared" si="1"/>
        <v>23</v>
      </c>
      <c r="D45" s="869" t="s">
        <v>893</v>
      </c>
      <c r="E45" s="1017" t="str">
        <f>_xll.GenericSql("SELECT INSTRUMENT FROM FIN.BONDS_LIST WHERE ISIN='"&amp;D45&amp;"'",FALSE)</f>
        <v>BTP 01-sep-36 2.25%</v>
      </c>
      <c r="F45" s="1017"/>
      <c r="G45" s="1017"/>
      <c r="H45" s="929">
        <f>IF(VLOOKUP($D45,Bonds!$E$11:$AM$347,26,FALSE)*100-$H$21&gt;0,VLOOKUP($D45,Bonds!$E$11:$AM$347,26,FALSE)*100-$H$21,$H$21-VLOOKUP($D45,Bonds!$E$11:$AM$347,26,FALSE)*100)</f>
        <v>0.52983493769380052</v>
      </c>
      <c r="J45" s="913" t="str">
        <f t="shared" si="0"/>
        <v>NO DATA</v>
      </c>
      <c r="M45" s="893">
        <v>0.53118964227769983</v>
      </c>
      <c r="N45" s="894"/>
      <c r="O45" s="894"/>
      <c r="P45" s="894"/>
      <c r="Q45" s="894"/>
      <c r="R45" s="894"/>
      <c r="S45" s="894"/>
      <c r="T45" s="894"/>
      <c r="U45" s="894"/>
      <c r="V45" s="894"/>
      <c r="W45" s="894"/>
      <c r="X45" s="894"/>
      <c r="Y45" s="894"/>
      <c r="Z45" s="894"/>
      <c r="AA45" s="894"/>
      <c r="AB45" s="894"/>
      <c r="AC45" s="894"/>
      <c r="AD45" s="894"/>
      <c r="AE45" s="894"/>
      <c r="AF45" s="894"/>
      <c r="AG45" s="894"/>
      <c r="AH45" s="894"/>
      <c r="AI45" s="894"/>
      <c r="AJ45" s="894"/>
      <c r="AK45" s="894"/>
      <c r="AL45" s="894"/>
      <c r="AM45" s="894"/>
      <c r="AN45" s="894"/>
      <c r="AO45" s="894"/>
      <c r="AP45" s="895"/>
      <c r="AU45" s="864"/>
      <c r="AV45" s="864"/>
      <c r="AW45" s="864"/>
      <c r="AX45" s="864"/>
      <c r="AY45" s="864"/>
      <c r="AZ45" s="864"/>
      <c r="BA45" s="864"/>
      <c r="BB45" s="864"/>
      <c r="BC45" s="864"/>
      <c r="BD45" s="864"/>
      <c r="BE45" s="864"/>
      <c r="BF45" s="864"/>
      <c r="BG45" s="864"/>
      <c r="BH45" s="864"/>
      <c r="BI45" s="864"/>
      <c r="BJ45" s="864"/>
      <c r="BK45" s="864"/>
      <c r="BL45" s="864"/>
      <c r="BM45" s="864"/>
      <c r="BN45" s="864"/>
      <c r="BO45" s="864"/>
      <c r="BP45" s="864"/>
      <c r="BQ45" s="864"/>
      <c r="BR45" s="864"/>
      <c r="BS45" s="864"/>
      <c r="BT45" s="864"/>
      <c r="BU45" s="864"/>
      <c r="BV45" s="864"/>
      <c r="BW45" s="864"/>
      <c r="BX45" s="864"/>
      <c r="BY45" s="864"/>
      <c r="BZ45" s="864"/>
      <c r="CA45" s="864"/>
      <c r="CB45" s="864"/>
      <c r="CC45" s="864"/>
      <c r="CD45" s="864"/>
      <c r="CE45" s="864"/>
    </row>
    <row r="46" spans="1:16383" s="862" customFormat="1">
      <c r="B46" s="912">
        <f t="shared" si="1"/>
        <v>24</v>
      </c>
      <c r="D46" s="869" t="s">
        <v>746</v>
      </c>
      <c r="E46" s="1017" t="str">
        <f>_xll.GenericSql("SELECT INSTRUMENT FROM FIN.BONDS_LIST WHERE ISIN='"&amp;D46&amp;"'",FALSE)</f>
        <v>BTP 01-feb-37 4%</v>
      </c>
      <c r="F46" s="1017"/>
      <c r="G46" s="1017"/>
      <c r="H46" s="929">
        <f>IF(VLOOKUP($D46,Bonds!$E$11:$AM$347,26,FALSE)*100-$H$21&gt;0,VLOOKUP($D46,Bonds!$E$11:$AM$347,26,FALSE)*100-$H$21,$H$21-VLOOKUP($D46,Bonds!$E$11:$AM$347,26,FALSE)*100)</f>
        <v>0.55837466914778977</v>
      </c>
      <c r="J46" s="913" t="str">
        <f t="shared" si="0"/>
        <v>NO DATA</v>
      </c>
      <c r="M46" s="893">
        <v>0.5591303793749054</v>
      </c>
      <c r="N46" s="894"/>
      <c r="O46" s="894"/>
      <c r="P46" s="894"/>
      <c r="Q46" s="894"/>
      <c r="R46" s="894"/>
      <c r="S46" s="894"/>
      <c r="T46" s="894"/>
      <c r="U46" s="894"/>
      <c r="V46" s="894"/>
      <c r="W46" s="894"/>
      <c r="X46" s="894"/>
      <c r="Y46" s="894"/>
      <c r="Z46" s="894"/>
      <c r="AA46" s="894"/>
      <c r="AB46" s="894"/>
      <c r="AC46" s="894"/>
      <c r="AD46" s="894"/>
      <c r="AE46" s="894"/>
      <c r="AF46" s="894"/>
      <c r="AG46" s="894"/>
      <c r="AH46" s="894"/>
      <c r="AI46" s="894"/>
      <c r="AJ46" s="894"/>
      <c r="AK46" s="894"/>
      <c r="AL46" s="894"/>
      <c r="AM46" s="894"/>
      <c r="AN46" s="894"/>
      <c r="AO46" s="894"/>
      <c r="AP46" s="895"/>
      <c r="AU46" s="864"/>
      <c r="AV46" s="864"/>
      <c r="AW46" s="864"/>
      <c r="AX46" s="864"/>
      <c r="AY46" s="864"/>
      <c r="AZ46" s="864"/>
      <c r="BA46" s="864"/>
      <c r="BB46" s="864"/>
      <c r="BC46" s="864"/>
      <c r="BD46" s="864"/>
      <c r="BE46" s="864"/>
      <c r="BF46" s="864"/>
      <c r="BG46" s="864"/>
      <c r="BH46" s="864"/>
      <c r="BI46" s="864"/>
      <c r="BJ46" s="864"/>
      <c r="BK46" s="864"/>
      <c r="BL46" s="864"/>
      <c r="BM46" s="864"/>
      <c r="BN46" s="864"/>
      <c r="BO46" s="864"/>
      <c r="BP46" s="864"/>
      <c r="BQ46" s="864"/>
      <c r="BR46" s="864"/>
      <c r="BS46" s="864"/>
      <c r="BT46" s="864"/>
      <c r="BU46" s="864"/>
      <c r="BV46" s="864"/>
      <c r="BW46" s="864"/>
      <c r="BX46" s="864"/>
      <c r="BY46" s="864"/>
      <c r="BZ46" s="864"/>
      <c r="CA46" s="864"/>
      <c r="CB46" s="864"/>
      <c r="CC46" s="864"/>
      <c r="CD46" s="864"/>
      <c r="CE46" s="864"/>
    </row>
    <row r="47" spans="1:16383" s="862" customFormat="1" ht="12.75" customHeight="1" thickBot="1">
      <c r="B47" s="912">
        <f t="shared" si="1"/>
        <v>25</v>
      </c>
      <c r="D47" s="869" t="s">
        <v>2010</v>
      </c>
      <c r="E47" s="1017" t="str">
        <f>_xll.GenericSql("SELECT INSTRUMENT FROM FIN.BONDS_LIST WHERE ISIN='"&amp;D47&amp;"'",FALSE)</f>
        <v>BTP 01-sep-38 2.95%</v>
      </c>
      <c r="F47" s="1017"/>
      <c r="G47" s="1017"/>
      <c r="H47" s="931">
        <f>IF(VLOOKUP($D47,Bonds!$E$11:$AM$347,26,FALSE)*100-$H$21&gt;0,VLOOKUP($D47,Bonds!$E$11:$AM$347,26,FALSE)*100-$H$21,$H$21-VLOOKUP($D47,Bonds!$E$11:$AM$347,26,FALSE)*100)</f>
        <v>0.6868006780989333</v>
      </c>
      <c r="J47" s="914" t="str">
        <f t="shared" si="0"/>
        <v>NO DATA</v>
      </c>
      <c r="M47" s="896">
        <v>0.68796097127626954</v>
      </c>
      <c r="N47" s="897"/>
      <c r="O47" s="897"/>
      <c r="P47" s="897"/>
      <c r="Q47" s="897"/>
      <c r="R47" s="897"/>
      <c r="S47" s="897"/>
      <c r="T47" s="897"/>
      <c r="U47" s="897"/>
      <c r="V47" s="897"/>
      <c r="W47" s="897"/>
      <c r="X47" s="897"/>
      <c r="Y47" s="897"/>
      <c r="Z47" s="897"/>
      <c r="AA47" s="897"/>
      <c r="AB47" s="897"/>
      <c r="AC47" s="897"/>
      <c r="AD47" s="897"/>
      <c r="AE47" s="897"/>
      <c r="AF47" s="897"/>
      <c r="AG47" s="897"/>
      <c r="AH47" s="897"/>
      <c r="AI47" s="897"/>
      <c r="AJ47" s="897"/>
      <c r="AK47" s="897"/>
      <c r="AL47" s="897"/>
      <c r="AM47" s="897"/>
      <c r="AN47" s="897"/>
      <c r="AO47" s="897"/>
      <c r="AP47" s="898"/>
      <c r="AU47" s="864"/>
      <c r="AV47" s="864"/>
      <c r="AW47" s="864"/>
      <c r="AX47" s="864"/>
      <c r="AY47" s="864"/>
      <c r="AZ47" s="864"/>
      <c r="BA47" s="864"/>
      <c r="BB47" s="864"/>
      <c r="BC47" s="864"/>
      <c r="BD47" s="864"/>
      <c r="BE47" s="864"/>
      <c r="BF47" s="864"/>
      <c r="BG47" s="864"/>
      <c r="BH47" s="864"/>
      <c r="BI47" s="864"/>
      <c r="BJ47" s="864"/>
      <c r="BK47" s="864"/>
      <c r="BL47" s="864"/>
      <c r="BM47" s="864"/>
      <c r="BN47" s="864"/>
      <c r="BO47" s="864"/>
      <c r="BP47" s="864"/>
      <c r="BQ47" s="864"/>
      <c r="BR47" s="864"/>
      <c r="BS47" s="864"/>
      <c r="BT47" s="864"/>
      <c r="BU47" s="864"/>
      <c r="BV47" s="864"/>
      <c r="BW47" s="864"/>
      <c r="BX47" s="864"/>
      <c r="BY47" s="864"/>
      <c r="BZ47" s="864"/>
      <c r="CA47" s="864"/>
      <c r="CB47" s="864"/>
      <c r="CC47" s="864"/>
      <c r="CD47" s="864"/>
      <c r="CE47" s="864"/>
    </row>
    <row r="48" spans="1:16383" s="862" customFormat="1">
      <c r="C48" s="863"/>
      <c r="D48" s="865"/>
      <c r="E48" s="864"/>
      <c r="F48" s="864"/>
      <c r="G48" s="864"/>
      <c r="H48" s="864"/>
      <c r="I48" s="864"/>
      <c r="J48" s="864"/>
      <c r="K48" s="864"/>
      <c r="L48" s="864"/>
      <c r="M48" s="864"/>
      <c r="N48" s="864"/>
      <c r="O48" s="864"/>
      <c r="P48" s="864"/>
      <c r="Q48" s="864"/>
      <c r="R48" s="872"/>
      <c r="S48" s="872"/>
      <c r="T48" s="872"/>
      <c r="U48" s="872"/>
      <c r="V48" s="872"/>
      <c r="W48" s="872"/>
      <c r="X48" s="872"/>
      <c r="Y48" s="872"/>
      <c r="Z48" s="872"/>
      <c r="AA48" s="872"/>
      <c r="AB48" s="872"/>
      <c r="AC48" s="872"/>
      <c r="AD48" s="872"/>
      <c r="AE48" s="872"/>
      <c r="AF48" s="872"/>
      <c r="AG48" s="872"/>
      <c r="AH48" s="872"/>
      <c r="AI48" s="885"/>
      <c r="AJ48" s="872"/>
      <c r="AK48" s="872"/>
      <c r="AL48" s="872"/>
      <c r="AM48" s="872"/>
      <c r="AN48" s="872"/>
      <c r="AO48" s="872"/>
      <c r="AP48" s="872"/>
      <c r="AQ48" s="872"/>
      <c r="AR48" s="872"/>
      <c r="AS48" s="872"/>
      <c r="AT48" s="872"/>
      <c r="AU48" s="864"/>
      <c r="AV48" s="864"/>
      <c r="AW48" s="864"/>
      <c r="AX48" s="864"/>
      <c r="AY48" s="864"/>
      <c r="AZ48" s="864"/>
      <c r="BA48" s="864"/>
      <c r="BB48" s="864"/>
      <c r="BC48" s="864"/>
      <c r="BD48" s="864"/>
      <c r="BE48" s="864"/>
      <c r="BF48" s="864"/>
      <c r="BG48" s="864"/>
      <c r="BH48" s="864"/>
      <c r="BI48" s="864"/>
      <c r="BJ48" s="864"/>
      <c r="BK48" s="864"/>
      <c r="BL48" s="864"/>
      <c r="BM48" s="864"/>
      <c r="BN48" s="864"/>
      <c r="BO48" s="864"/>
      <c r="BP48" s="864"/>
      <c r="BQ48" s="864"/>
      <c r="BR48" s="864"/>
      <c r="BS48" s="864"/>
      <c r="BT48" s="864"/>
      <c r="BU48" s="864"/>
      <c r="BV48" s="864"/>
      <c r="BW48" s="864"/>
      <c r="BX48" s="864"/>
      <c r="BY48" s="864"/>
      <c r="BZ48" s="864"/>
      <c r="CA48" s="864"/>
      <c r="CB48" s="864"/>
      <c r="CC48" s="864"/>
      <c r="CD48" s="864"/>
      <c r="CE48" s="864"/>
    </row>
    <row r="49" spans="3:83" s="862" customFormat="1">
      <c r="C49" s="863"/>
      <c r="D49" s="907"/>
      <c r="E49" s="907"/>
      <c r="F49" s="907"/>
      <c r="G49" s="907"/>
      <c r="H49" s="864"/>
      <c r="I49" s="864"/>
      <c r="J49" s="864"/>
      <c r="K49" s="864"/>
      <c r="L49" s="864"/>
      <c r="M49" s="864"/>
      <c r="N49" s="864"/>
      <c r="O49" s="864"/>
      <c r="P49" s="864"/>
      <c r="Q49" s="864"/>
      <c r="R49" s="872"/>
      <c r="S49" s="872"/>
      <c r="T49" s="872"/>
      <c r="U49" s="872"/>
      <c r="V49" s="872"/>
      <c r="W49" s="872"/>
      <c r="X49" s="872"/>
      <c r="Y49" s="872"/>
      <c r="Z49" s="872"/>
      <c r="AA49" s="872"/>
      <c r="AB49" s="872"/>
      <c r="AC49" s="872"/>
      <c r="AD49" s="872"/>
      <c r="AE49" s="872"/>
      <c r="AF49" s="872"/>
      <c r="AG49" s="872"/>
      <c r="AH49" s="872"/>
      <c r="AI49" s="872"/>
      <c r="AJ49" s="885"/>
      <c r="AK49" s="872"/>
      <c r="AL49" s="872"/>
      <c r="AM49" s="872"/>
      <c r="AN49" s="872"/>
      <c r="AO49" s="872"/>
      <c r="AP49" s="872"/>
      <c r="AQ49" s="872"/>
      <c r="AR49" s="872"/>
      <c r="AS49" s="872"/>
      <c r="AT49" s="872"/>
      <c r="AU49" s="864"/>
      <c r="AV49" s="864"/>
      <c r="AW49" s="864"/>
      <c r="AX49" s="864"/>
      <c r="AY49" s="864"/>
      <c r="AZ49" s="864"/>
      <c r="BA49" s="864"/>
      <c r="BB49" s="864"/>
      <c r="BC49" s="864"/>
      <c r="BD49" s="864"/>
      <c r="BE49" s="864"/>
      <c r="BF49" s="864"/>
      <c r="BG49" s="864"/>
      <c r="BH49" s="864"/>
      <c r="BI49" s="864"/>
      <c r="BJ49" s="864"/>
      <c r="BK49" s="864"/>
      <c r="BL49" s="864"/>
      <c r="BM49" s="864"/>
      <c r="BN49" s="864"/>
      <c r="BO49" s="864"/>
      <c r="BP49" s="864"/>
      <c r="BQ49" s="864"/>
      <c r="BR49" s="864"/>
      <c r="BS49" s="864"/>
      <c r="BT49" s="864"/>
      <c r="BU49" s="864"/>
      <c r="BV49" s="864"/>
      <c r="BW49" s="864"/>
      <c r="BX49" s="864"/>
      <c r="BY49" s="864"/>
      <c r="BZ49" s="864"/>
      <c r="CA49" s="864"/>
      <c r="CB49" s="864"/>
      <c r="CC49" s="864"/>
      <c r="CD49" s="864"/>
      <c r="CE49" s="864"/>
    </row>
    <row r="50" spans="3:83" s="862" customFormat="1">
      <c r="C50" s="863"/>
      <c r="D50" s="871"/>
      <c r="E50" s="871"/>
      <c r="F50" s="871"/>
      <c r="G50" s="871"/>
      <c r="H50" s="878"/>
      <c r="I50" s="864"/>
      <c r="J50" s="864"/>
      <c r="K50" s="864"/>
      <c r="L50" s="864"/>
      <c r="M50" s="864"/>
      <c r="N50" s="864"/>
      <c r="O50" s="864"/>
      <c r="P50" s="864"/>
      <c r="Q50" s="864"/>
      <c r="R50" s="872"/>
      <c r="S50" s="872"/>
      <c r="T50" s="872"/>
      <c r="U50" s="872"/>
      <c r="V50" s="872"/>
      <c r="W50" s="872"/>
      <c r="X50" s="872"/>
      <c r="Y50" s="872"/>
      <c r="Z50" s="872"/>
      <c r="AA50" s="872"/>
      <c r="AB50" s="872"/>
      <c r="AC50" s="872"/>
      <c r="AD50" s="872"/>
      <c r="AE50" s="872"/>
      <c r="AF50" s="872"/>
      <c r="AG50" s="872"/>
      <c r="AH50" s="872"/>
      <c r="AI50" s="872"/>
      <c r="AJ50" s="872"/>
      <c r="AK50" s="885"/>
      <c r="AL50" s="872"/>
      <c r="AM50" s="872"/>
      <c r="AN50" s="872"/>
      <c r="AO50" s="872"/>
      <c r="AP50" s="872"/>
      <c r="AQ50" s="872"/>
      <c r="AR50" s="872"/>
      <c r="AS50" s="872"/>
      <c r="AT50" s="872"/>
      <c r="AU50" s="864"/>
      <c r="AV50" s="864"/>
      <c r="AW50" s="864"/>
      <c r="AX50" s="864"/>
      <c r="AY50" s="864"/>
      <c r="AZ50" s="864"/>
      <c r="BA50" s="864"/>
      <c r="BB50" s="864"/>
      <c r="BC50" s="864"/>
      <c r="BD50" s="864"/>
      <c r="BE50" s="864"/>
      <c r="BF50" s="864"/>
      <c r="BG50" s="864"/>
      <c r="BH50" s="864"/>
      <c r="BI50" s="864"/>
      <c r="BJ50" s="864"/>
      <c r="BK50" s="864"/>
      <c r="BL50" s="864"/>
      <c r="BM50" s="864"/>
      <c r="BN50" s="864"/>
      <c r="BO50" s="864"/>
      <c r="BP50" s="864"/>
      <c r="BQ50" s="864"/>
      <c r="BR50" s="864"/>
      <c r="BS50" s="864"/>
      <c r="BT50" s="864"/>
      <c r="BU50" s="864"/>
      <c r="BV50" s="864"/>
      <c r="BW50" s="864"/>
      <c r="BX50" s="864"/>
      <c r="BY50" s="864"/>
      <c r="BZ50" s="864"/>
      <c r="CA50" s="864"/>
      <c r="CB50" s="864"/>
      <c r="CC50" s="864"/>
      <c r="CD50" s="864"/>
      <c r="CE50" s="864"/>
    </row>
    <row r="51" spans="3:83" s="862" customFormat="1">
      <c r="C51" s="863"/>
      <c r="D51" s="907"/>
      <c r="E51" s="907"/>
      <c r="F51" s="907"/>
      <c r="G51" s="907"/>
      <c r="H51" s="864"/>
      <c r="I51" s="864"/>
      <c r="J51" s="864"/>
      <c r="K51" s="864"/>
      <c r="L51" s="864"/>
      <c r="M51" s="864"/>
      <c r="N51" s="864"/>
      <c r="O51" s="864"/>
      <c r="P51" s="864"/>
      <c r="Q51" s="864"/>
      <c r="R51" s="872"/>
      <c r="S51" s="872"/>
      <c r="T51" s="872"/>
      <c r="U51" s="872"/>
      <c r="V51" s="872"/>
      <c r="W51" s="872"/>
      <c r="X51" s="872"/>
      <c r="Y51" s="872"/>
      <c r="Z51" s="872"/>
      <c r="AA51" s="872"/>
      <c r="AB51" s="872"/>
      <c r="AC51" s="872"/>
      <c r="AD51" s="872"/>
      <c r="AE51" s="872"/>
      <c r="AF51" s="872"/>
      <c r="AG51" s="872"/>
      <c r="AH51" s="872"/>
      <c r="AI51" s="872"/>
      <c r="AJ51" s="872"/>
      <c r="AK51" s="872"/>
      <c r="AL51" s="885"/>
      <c r="AM51" s="872"/>
      <c r="AN51" s="872"/>
      <c r="AO51" s="872"/>
      <c r="AP51" s="872"/>
      <c r="AQ51" s="872"/>
      <c r="AR51" s="872"/>
      <c r="AS51" s="872"/>
      <c r="AT51" s="872"/>
      <c r="AU51" s="864"/>
      <c r="AV51" s="864"/>
      <c r="AW51" s="864"/>
      <c r="AX51" s="864"/>
      <c r="AY51" s="864"/>
      <c r="AZ51" s="864"/>
      <c r="BA51" s="864"/>
      <c r="BB51" s="864"/>
      <c r="BC51" s="864"/>
      <c r="BD51" s="864"/>
      <c r="BE51" s="864"/>
      <c r="BF51" s="864"/>
      <c r="BG51" s="864"/>
      <c r="BH51" s="864"/>
      <c r="BI51" s="864"/>
      <c r="BJ51" s="864"/>
      <c r="BK51" s="864"/>
      <c r="BL51" s="864"/>
      <c r="BM51" s="864"/>
      <c r="BN51" s="864"/>
      <c r="BO51" s="864"/>
      <c r="BP51" s="864"/>
      <c r="BQ51" s="864"/>
      <c r="BR51" s="864"/>
      <c r="BS51" s="864"/>
      <c r="BT51" s="864"/>
      <c r="BU51" s="864"/>
      <c r="BV51" s="864"/>
      <c r="BW51" s="864"/>
      <c r="BX51" s="864"/>
      <c r="BY51" s="864"/>
      <c r="BZ51" s="864"/>
      <c r="CA51" s="864"/>
      <c r="CB51" s="864"/>
      <c r="CC51" s="864"/>
      <c r="CD51" s="864"/>
      <c r="CE51" s="864"/>
    </row>
    <row r="52" spans="3:83" s="862" customFormat="1">
      <c r="C52" s="863"/>
      <c r="H52" s="864"/>
      <c r="I52" s="864"/>
      <c r="J52" s="864"/>
      <c r="K52" s="864"/>
      <c r="L52" s="864"/>
      <c r="M52" s="864"/>
      <c r="N52" s="864"/>
      <c r="O52" s="864"/>
      <c r="P52" s="864"/>
      <c r="Q52" s="864"/>
      <c r="R52" s="872"/>
      <c r="S52" s="872"/>
      <c r="T52" s="872"/>
      <c r="U52" s="872"/>
      <c r="V52" s="872"/>
      <c r="W52" s="872"/>
      <c r="X52" s="872"/>
      <c r="Y52" s="872"/>
      <c r="Z52" s="872"/>
      <c r="AA52" s="872"/>
      <c r="AB52" s="872"/>
      <c r="AC52" s="872"/>
      <c r="AD52" s="872"/>
      <c r="AE52" s="872"/>
      <c r="AF52" s="872"/>
      <c r="AG52" s="872"/>
      <c r="AH52" s="872"/>
      <c r="AI52" s="872"/>
      <c r="AJ52" s="872"/>
      <c r="AK52" s="872"/>
      <c r="AL52" s="872"/>
      <c r="AM52" s="885"/>
      <c r="AN52" s="872"/>
      <c r="AO52" s="872"/>
      <c r="AP52" s="872"/>
      <c r="AQ52" s="872"/>
      <c r="AR52" s="872"/>
      <c r="AS52" s="872"/>
      <c r="AT52" s="872"/>
      <c r="AU52" s="864"/>
      <c r="AV52" s="864"/>
      <c r="AW52" s="864"/>
      <c r="AX52" s="864"/>
      <c r="AY52" s="864"/>
      <c r="AZ52" s="864"/>
      <c r="BA52" s="864"/>
      <c r="BB52" s="864"/>
      <c r="BC52" s="864"/>
      <c r="BD52" s="864"/>
      <c r="BE52" s="864"/>
      <c r="BF52" s="864"/>
      <c r="BG52" s="864"/>
      <c r="BH52" s="864"/>
      <c r="BI52" s="864"/>
      <c r="BJ52" s="864"/>
      <c r="BK52" s="864"/>
      <c r="BL52" s="864"/>
      <c r="BM52" s="864"/>
      <c r="BN52" s="864"/>
      <c r="BO52" s="864"/>
      <c r="BP52" s="864"/>
      <c r="BQ52" s="864"/>
      <c r="BR52" s="864"/>
      <c r="BS52" s="864"/>
      <c r="BT52" s="864"/>
      <c r="BU52" s="864"/>
      <c r="BV52" s="864"/>
      <c r="BW52" s="864"/>
      <c r="BX52" s="864"/>
      <c r="BY52" s="864"/>
      <c r="BZ52" s="864"/>
      <c r="CA52" s="864"/>
      <c r="CB52" s="864"/>
      <c r="CC52" s="864"/>
      <c r="CD52" s="864"/>
      <c r="CE52" s="864"/>
    </row>
    <row r="53" spans="3:83" s="862" customFormat="1">
      <c r="C53" s="863"/>
      <c r="D53" s="865"/>
      <c r="E53" s="864"/>
      <c r="F53" s="864"/>
      <c r="G53" s="864"/>
      <c r="H53" s="864"/>
      <c r="I53" s="864"/>
      <c r="J53" s="864"/>
      <c r="K53" s="864"/>
      <c r="L53" s="864"/>
      <c r="M53" s="864"/>
      <c r="N53" s="864"/>
      <c r="O53" s="864"/>
      <c r="P53" s="864"/>
      <c r="Q53" s="864"/>
      <c r="R53" s="872"/>
      <c r="S53" s="872"/>
      <c r="T53" s="872"/>
      <c r="U53" s="872"/>
      <c r="V53" s="872"/>
      <c r="W53" s="872"/>
      <c r="X53" s="872"/>
      <c r="Y53" s="872"/>
      <c r="Z53" s="872"/>
      <c r="AA53" s="872"/>
      <c r="AB53" s="872"/>
      <c r="AC53" s="872"/>
      <c r="AD53" s="872"/>
      <c r="AE53" s="872"/>
      <c r="AF53" s="872"/>
      <c r="AG53" s="872"/>
      <c r="AH53" s="872"/>
      <c r="AI53" s="872"/>
      <c r="AJ53" s="872"/>
      <c r="AK53" s="872"/>
      <c r="AL53" s="872"/>
      <c r="AM53" s="872"/>
      <c r="AN53" s="885"/>
      <c r="AO53" s="872"/>
      <c r="AP53" s="872"/>
      <c r="AQ53" s="872"/>
      <c r="AR53" s="872"/>
      <c r="AS53" s="872"/>
      <c r="AT53" s="872"/>
      <c r="AU53" s="864"/>
      <c r="AV53" s="864"/>
      <c r="AW53" s="864"/>
      <c r="AX53" s="864"/>
      <c r="AY53" s="864"/>
      <c r="AZ53" s="864"/>
      <c r="BA53" s="864"/>
      <c r="BB53" s="864"/>
      <c r="BC53" s="864"/>
      <c r="BD53" s="864"/>
      <c r="BE53" s="864"/>
      <c r="BF53" s="864"/>
      <c r="BG53" s="864"/>
      <c r="BH53" s="864"/>
      <c r="BI53" s="864"/>
      <c r="BJ53" s="864"/>
      <c r="BK53" s="864"/>
      <c r="BL53" s="864"/>
      <c r="BM53" s="864"/>
      <c r="BN53" s="864"/>
      <c r="BO53" s="864"/>
      <c r="BP53" s="864"/>
      <c r="BQ53" s="864"/>
      <c r="BR53" s="864"/>
      <c r="BS53" s="864"/>
      <c r="BT53" s="864"/>
      <c r="BU53" s="864"/>
      <c r="BV53" s="864"/>
      <c r="BW53" s="864"/>
      <c r="BX53" s="864"/>
      <c r="BY53" s="864"/>
      <c r="BZ53" s="864"/>
      <c r="CA53" s="864"/>
      <c r="CB53" s="864"/>
      <c r="CC53" s="864"/>
      <c r="CD53" s="864"/>
      <c r="CE53" s="864"/>
    </row>
    <row r="54" spans="3:83" s="862" customFormat="1">
      <c r="C54" s="863"/>
      <c r="D54" s="865"/>
      <c r="E54" s="864"/>
      <c r="F54" s="864"/>
      <c r="G54" s="864"/>
      <c r="H54" s="864"/>
      <c r="I54" s="864"/>
      <c r="J54" s="864"/>
      <c r="K54" s="864"/>
      <c r="L54" s="864"/>
      <c r="M54" s="864"/>
      <c r="N54" s="864"/>
      <c r="O54" s="864"/>
      <c r="P54" s="864"/>
      <c r="Q54" s="864"/>
      <c r="R54" s="872"/>
      <c r="S54" s="872"/>
      <c r="T54" s="872"/>
      <c r="U54" s="872"/>
      <c r="V54" s="872"/>
      <c r="W54" s="872"/>
      <c r="X54" s="872"/>
      <c r="Y54" s="872"/>
      <c r="Z54" s="872"/>
      <c r="AA54" s="872"/>
      <c r="AB54" s="872"/>
      <c r="AC54" s="872"/>
      <c r="AD54" s="872"/>
      <c r="AE54" s="872"/>
      <c r="AF54" s="872"/>
      <c r="AG54" s="872"/>
      <c r="AH54" s="872"/>
      <c r="AI54" s="872"/>
      <c r="AJ54" s="872"/>
      <c r="AK54" s="872"/>
      <c r="AL54" s="872"/>
      <c r="AM54" s="872"/>
      <c r="AN54" s="872"/>
      <c r="AO54" s="885"/>
      <c r="AP54" s="872"/>
      <c r="AQ54" s="872"/>
      <c r="AR54" s="872"/>
      <c r="AS54" s="872"/>
      <c r="AT54" s="872"/>
      <c r="AU54" s="864"/>
      <c r="AV54" s="864"/>
      <c r="AW54" s="864"/>
      <c r="AX54" s="864"/>
      <c r="AY54" s="864"/>
      <c r="AZ54" s="864"/>
      <c r="BA54" s="864"/>
      <c r="BB54" s="864"/>
      <c r="BC54" s="864"/>
      <c r="BD54" s="864"/>
      <c r="BE54" s="864"/>
      <c r="BF54" s="864"/>
      <c r="BG54" s="864"/>
      <c r="BH54" s="864"/>
      <c r="BI54" s="864"/>
      <c r="BJ54" s="864"/>
      <c r="BK54" s="864"/>
      <c r="BL54" s="864"/>
      <c r="BM54" s="864"/>
      <c r="BN54" s="864"/>
      <c r="BO54" s="864"/>
      <c r="BP54" s="864"/>
      <c r="BQ54" s="864"/>
      <c r="BR54" s="864"/>
      <c r="BS54" s="864"/>
      <c r="BT54" s="864"/>
      <c r="BU54" s="864"/>
      <c r="BV54" s="864"/>
      <c r="BW54" s="864"/>
      <c r="BX54" s="864"/>
      <c r="BY54" s="864"/>
      <c r="BZ54" s="864"/>
      <c r="CA54" s="864"/>
      <c r="CB54" s="864"/>
      <c r="CC54" s="864"/>
      <c r="CD54" s="864"/>
      <c r="CE54" s="864"/>
    </row>
    <row r="55" spans="3:83" s="862" customFormat="1">
      <c r="C55" s="863"/>
      <c r="D55" s="865"/>
      <c r="E55" s="864"/>
      <c r="F55" s="864"/>
      <c r="G55" s="864"/>
      <c r="H55" s="864"/>
      <c r="I55" s="864"/>
      <c r="J55" s="864"/>
      <c r="K55" s="864"/>
      <c r="L55" s="864"/>
      <c r="M55" s="864"/>
      <c r="N55" s="864"/>
      <c r="O55" s="864"/>
      <c r="P55" s="864"/>
      <c r="Q55" s="864"/>
      <c r="R55" s="872"/>
      <c r="S55" s="872"/>
      <c r="T55" s="872"/>
      <c r="U55" s="872"/>
      <c r="V55" s="872"/>
      <c r="W55" s="872"/>
      <c r="X55" s="872"/>
      <c r="Y55" s="872"/>
      <c r="Z55" s="872"/>
      <c r="AA55" s="872"/>
      <c r="AB55" s="872"/>
      <c r="AC55" s="872"/>
      <c r="AD55" s="872"/>
      <c r="AE55" s="872"/>
      <c r="AF55" s="872"/>
      <c r="AG55" s="872"/>
      <c r="AH55" s="872"/>
      <c r="AI55" s="872"/>
      <c r="AJ55" s="872"/>
      <c r="AK55" s="872"/>
      <c r="AL55" s="872"/>
      <c r="AM55" s="872"/>
      <c r="AN55" s="872"/>
      <c r="AO55" s="872"/>
      <c r="AP55" s="885"/>
      <c r="AQ55" s="872"/>
      <c r="AR55" s="872"/>
      <c r="AS55" s="872"/>
      <c r="AT55" s="872"/>
      <c r="AU55" s="864"/>
      <c r="AV55" s="864"/>
      <c r="AW55" s="864"/>
      <c r="AX55" s="864"/>
      <c r="AY55" s="864"/>
      <c r="AZ55" s="864"/>
      <c r="BA55" s="864"/>
      <c r="BB55" s="864"/>
      <c r="BC55" s="864"/>
      <c r="BD55" s="864"/>
      <c r="BE55" s="864"/>
      <c r="BF55" s="864"/>
      <c r="BG55" s="864"/>
      <c r="BH55" s="864"/>
      <c r="BI55" s="864"/>
      <c r="BJ55" s="864"/>
      <c r="BK55" s="864"/>
      <c r="BL55" s="864"/>
      <c r="BM55" s="864"/>
      <c r="BN55" s="864"/>
      <c r="BO55" s="864"/>
      <c r="BP55" s="864"/>
      <c r="BQ55" s="864"/>
      <c r="BR55" s="864"/>
      <c r="BS55" s="864"/>
      <c r="BT55" s="864"/>
      <c r="BU55" s="864"/>
      <c r="BV55" s="864"/>
      <c r="BW55" s="864"/>
      <c r="BX55" s="864"/>
      <c r="BY55" s="864"/>
      <c r="BZ55" s="864"/>
      <c r="CA55" s="864"/>
      <c r="CB55" s="864"/>
      <c r="CC55" s="864"/>
      <c r="CD55" s="864"/>
      <c r="CE55" s="864"/>
    </row>
    <row r="56" spans="3:83" s="862" customFormat="1">
      <c r="C56" s="863"/>
      <c r="D56" s="865"/>
      <c r="E56" s="864"/>
      <c r="F56" s="864"/>
      <c r="G56" s="864"/>
      <c r="H56" s="864"/>
      <c r="I56" s="864"/>
      <c r="J56" s="864"/>
      <c r="K56" s="864"/>
      <c r="L56" s="864"/>
      <c r="M56" s="864"/>
      <c r="N56" s="864"/>
      <c r="O56" s="864"/>
      <c r="P56" s="864"/>
      <c r="Q56" s="864"/>
      <c r="R56" s="872"/>
      <c r="S56" s="872"/>
      <c r="T56" s="872"/>
      <c r="U56" s="872"/>
      <c r="V56" s="872"/>
      <c r="W56" s="872"/>
      <c r="X56" s="872"/>
      <c r="Y56" s="872"/>
      <c r="Z56" s="872"/>
      <c r="AA56" s="872"/>
      <c r="AB56" s="872"/>
      <c r="AC56" s="872"/>
      <c r="AD56" s="872"/>
      <c r="AE56" s="872"/>
      <c r="AF56" s="872"/>
      <c r="AG56" s="872"/>
      <c r="AH56" s="872"/>
      <c r="AI56" s="872"/>
      <c r="AJ56" s="872"/>
      <c r="AK56" s="872"/>
      <c r="AL56" s="872"/>
      <c r="AM56" s="872"/>
      <c r="AN56" s="872"/>
      <c r="AO56" s="872"/>
      <c r="AP56" s="872"/>
      <c r="AQ56" s="885"/>
      <c r="AR56" s="872"/>
      <c r="AS56" s="872"/>
      <c r="AT56" s="872"/>
      <c r="AU56" s="864"/>
      <c r="AV56" s="864"/>
      <c r="AW56" s="864"/>
      <c r="AX56" s="864"/>
      <c r="AY56" s="864"/>
      <c r="AZ56" s="864"/>
      <c r="BA56" s="864"/>
      <c r="BB56" s="864"/>
      <c r="BC56" s="864"/>
      <c r="BD56" s="864"/>
      <c r="BE56" s="864"/>
      <c r="BF56" s="864"/>
      <c r="BG56" s="864"/>
      <c r="BH56" s="864"/>
      <c r="BI56" s="864"/>
      <c r="BJ56" s="864"/>
      <c r="BK56" s="864"/>
      <c r="BL56" s="864"/>
      <c r="BM56" s="864"/>
      <c r="BN56" s="864"/>
      <c r="BO56" s="864"/>
      <c r="BP56" s="864"/>
      <c r="BQ56" s="864"/>
      <c r="BR56" s="864"/>
      <c r="BS56" s="864"/>
      <c r="BT56" s="864"/>
      <c r="BU56" s="864"/>
      <c r="BV56" s="864"/>
      <c r="BW56" s="864"/>
      <c r="BX56" s="864"/>
      <c r="BY56" s="864"/>
      <c r="BZ56" s="864"/>
      <c r="CA56" s="864"/>
      <c r="CB56" s="864"/>
      <c r="CC56" s="864"/>
      <c r="CD56" s="864"/>
      <c r="CE56" s="864"/>
    </row>
    <row r="57" spans="3:83" s="862" customFormat="1">
      <c r="C57" s="863"/>
      <c r="D57" s="865"/>
      <c r="E57" s="864"/>
      <c r="F57" s="864"/>
      <c r="G57" s="864"/>
      <c r="H57" s="864"/>
      <c r="I57" s="864"/>
      <c r="J57" s="864"/>
      <c r="K57" s="864"/>
      <c r="L57" s="864"/>
      <c r="M57" s="864"/>
      <c r="N57" s="864"/>
      <c r="O57" s="864"/>
      <c r="P57" s="864"/>
      <c r="Q57" s="864"/>
      <c r="R57" s="872"/>
      <c r="S57" s="872"/>
      <c r="T57" s="872"/>
      <c r="U57" s="872"/>
      <c r="V57" s="872"/>
      <c r="W57" s="872"/>
      <c r="X57" s="872"/>
      <c r="Y57" s="872"/>
      <c r="Z57" s="872"/>
      <c r="AA57" s="872"/>
      <c r="AB57" s="872"/>
      <c r="AC57" s="872"/>
      <c r="AD57" s="872"/>
      <c r="AE57" s="872"/>
      <c r="AF57" s="872"/>
      <c r="AG57" s="872"/>
      <c r="AH57" s="872"/>
      <c r="AI57" s="872"/>
      <c r="AJ57" s="872"/>
      <c r="AK57" s="872"/>
      <c r="AL57" s="872"/>
      <c r="AM57" s="872"/>
      <c r="AN57" s="872"/>
      <c r="AO57" s="872"/>
      <c r="AP57" s="872"/>
      <c r="AQ57" s="872"/>
      <c r="AR57" s="885"/>
      <c r="AS57" s="872"/>
      <c r="AT57" s="872"/>
      <c r="AU57" s="864"/>
      <c r="AV57" s="864"/>
      <c r="AW57" s="864"/>
      <c r="AX57" s="864"/>
      <c r="AY57" s="864"/>
      <c r="AZ57" s="864"/>
      <c r="BA57" s="864"/>
      <c r="BB57" s="864"/>
      <c r="BC57" s="864"/>
      <c r="BD57" s="864"/>
      <c r="BE57" s="864"/>
      <c r="BF57" s="864"/>
      <c r="BG57" s="864"/>
      <c r="BH57" s="864"/>
      <c r="BI57" s="864"/>
      <c r="BJ57" s="864"/>
      <c r="BK57" s="864"/>
      <c r="BL57" s="864"/>
      <c r="BM57" s="864"/>
      <c r="BN57" s="864"/>
      <c r="BO57" s="864"/>
      <c r="BP57" s="864"/>
      <c r="BQ57" s="864"/>
      <c r="BR57" s="864"/>
      <c r="BS57" s="864"/>
      <c r="BT57" s="864"/>
      <c r="BU57" s="864"/>
      <c r="BV57" s="864"/>
      <c r="BW57" s="864"/>
      <c r="BX57" s="864"/>
      <c r="BY57" s="864"/>
      <c r="BZ57" s="864"/>
      <c r="CA57" s="864"/>
      <c r="CB57" s="864"/>
      <c r="CC57" s="864"/>
      <c r="CD57" s="864"/>
      <c r="CE57" s="864"/>
    </row>
    <row r="58" spans="3:83" s="862" customFormat="1">
      <c r="C58" s="863"/>
      <c r="D58" s="865"/>
      <c r="E58" s="864"/>
      <c r="F58" s="864"/>
      <c r="G58" s="864"/>
      <c r="H58" s="864"/>
      <c r="I58" s="864"/>
      <c r="J58" s="864"/>
      <c r="K58" s="864"/>
      <c r="L58" s="864"/>
      <c r="M58" s="864"/>
      <c r="N58" s="864"/>
      <c r="O58" s="864"/>
      <c r="P58" s="864"/>
      <c r="Q58" s="864"/>
      <c r="R58" s="872"/>
      <c r="S58" s="872"/>
      <c r="T58" s="872"/>
      <c r="U58" s="872"/>
      <c r="V58" s="872"/>
      <c r="W58" s="872"/>
      <c r="X58" s="872"/>
      <c r="Y58" s="872"/>
      <c r="Z58" s="872"/>
      <c r="AA58" s="872"/>
      <c r="AB58" s="872"/>
      <c r="AC58" s="872"/>
      <c r="AD58" s="872"/>
      <c r="AE58" s="872"/>
      <c r="AF58" s="872"/>
      <c r="AG58" s="872"/>
      <c r="AH58" s="872"/>
      <c r="AI58" s="872"/>
      <c r="AJ58" s="872"/>
      <c r="AK58" s="872"/>
      <c r="AL58" s="872"/>
      <c r="AM58" s="872"/>
      <c r="AN58" s="872"/>
      <c r="AO58" s="872"/>
      <c r="AP58" s="872"/>
      <c r="AQ58" s="872"/>
      <c r="AR58" s="872"/>
      <c r="AS58" s="885"/>
      <c r="AT58" s="872"/>
      <c r="AU58" s="864"/>
      <c r="AV58" s="864"/>
      <c r="AW58" s="864"/>
      <c r="AX58" s="864"/>
      <c r="AY58" s="864"/>
      <c r="AZ58" s="864"/>
      <c r="BA58" s="864"/>
      <c r="BB58" s="864"/>
      <c r="BC58" s="864"/>
      <c r="BD58" s="864"/>
      <c r="BE58" s="864"/>
      <c r="BF58" s="864"/>
      <c r="BG58" s="864"/>
      <c r="BH58" s="864"/>
      <c r="BI58" s="864"/>
      <c r="BJ58" s="864"/>
      <c r="BK58" s="864"/>
      <c r="BL58" s="864"/>
      <c r="BM58" s="864"/>
      <c r="BN58" s="864"/>
      <c r="BO58" s="864"/>
      <c r="BP58" s="864"/>
      <c r="BQ58" s="864"/>
      <c r="BR58" s="864"/>
      <c r="BS58" s="864"/>
      <c r="BT58" s="864"/>
      <c r="BU58" s="864"/>
      <c r="BV58" s="864"/>
      <c r="BW58" s="864"/>
      <c r="BX58" s="864"/>
      <c r="BY58" s="864"/>
      <c r="BZ58" s="864"/>
      <c r="CA58" s="864"/>
      <c r="CB58" s="864"/>
      <c r="CC58" s="864"/>
      <c r="CD58" s="864"/>
      <c r="CE58" s="864"/>
    </row>
    <row r="59" spans="3:83" s="862" customFormat="1">
      <c r="C59" s="863"/>
      <c r="D59" s="865"/>
      <c r="E59" s="864"/>
      <c r="F59" s="864"/>
      <c r="G59" s="864"/>
      <c r="H59" s="864"/>
      <c r="I59" s="864"/>
      <c r="J59" s="864"/>
      <c r="K59" s="864"/>
      <c r="L59" s="864"/>
      <c r="M59" s="864"/>
      <c r="N59" s="864"/>
      <c r="O59" s="864"/>
      <c r="P59" s="864"/>
      <c r="Q59" s="864"/>
      <c r="R59" s="872"/>
      <c r="S59" s="872"/>
      <c r="T59" s="872"/>
      <c r="U59" s="872"/>
      <c r="V59" s="872"/>
      <c r="W59" s="872"/>
      <c r="X59" s="872"/>
      <c r="Y59" s="872"/>
      <c r="Z59" s="872"/>
      <c r="AA59" s="872"/>
      <c r="AB59" s="872"/>
      <c r="AC59" s="872"/>
      <c r="AD59" s="872"/>
      <c r="AE59" s="872"/>
      <c r="AF59" s="872"/>
      <c r="AG59" s="872"/>
      <c r="AH59" s="872"/>
      <c r="AI59" s="872"/>
      <c r="AJ59" s="872"/>
      <c r="AK59" s="872"/>
      <c r="AL59" s="872"/>
      <c r="AM59" s="872"/>
      <c r="AN59" s="872"/>
      <c r="AO59" s="872"/>
      <c r="AP59" s="872"/>
      <c r="AQ59" s="872"/>
      <c r="AR59" s="872"/>
      <c r="AS59" s="872"/>
      <c r="AT59" s="885"/>
      <c r="AU59" s="864"/>
      <c r="AV59" s="864"/>
      <c r="AW59" s="864"/>
      <c r="AX59" s="864"/>
      <c r="AY59" s="864"/>
      <c r="AZ59" s="864"/>
      <c r="BA59" s="864"/>
      <c r="BB59" s="864"/>
      <c r="BC59" s="864"/>
      <c r="BD59" s="864"/>
      <c r="BE59" s="864"/>
      <c r="BF59" s="864"/>
      <c r="BG59" s="864"/>
      <c r="BH59" s="864"/>
      <c r="BI59" s="864"/>
      <c r="BJ59" s="864"/>
      <c r="BK59" s="864"/>
      <c r="BL59" s="864"/>
      <c r="BM59" s="864"/>
      <c r="BN59" s="864"/>
      <c r="BO59" s="864"/>
      <c r="BP59" s="864"/>
      <c r="BQ59" s="864"/>
      <c r="BR59" s="864"/>
      <c r="BS59" s="864"/>
      <c r="BT59" s="864"/>
      <c r="BU59" s="864"/>
      <c r="BV59" s="864"/>
      <c r="BW59" s="864"/>
      <c r="BX59" s="864"/>
      <c r="BY59" s="864"/>
      <c r="BZ59" s="864"/>
      <c r="CA59" s="864"/>
      <c r="CB59" s="864"/>
      <c r="CC59" s="864"/>
      <c r="CD59" s="864"/>
      <c r="CE59" s="864"/>
    </row>
    <row r="60" spans="3:83" s="862" customFormat="1">
      <c r="C60" s="863"/>
      <c r="D60" s="865"/>
      <c r="E60" s="864"/>
      <c r="F60" s="864"/>
      <c r="G60" s="864"/>
      <c r="H60" s="864"/>
      <c r="I60" s="864"/>
      <c r="J60" s="864"/>
      <c r="K60" s="864"/>
      <c r="L60" s="864"/>
      <c r="M60" s="864"/>
      <c r="N60" s="864"/>
      <c r="O60" s="864"/>
      <c r="P60" s="864"/>
      <c r="Q60" s="864"/>
      <c r="R60" s="872"/>
      <c r="S60" s="872"/>
      <c r="T60" s="872"/>
      <c r="U60" s="872"/>
      <c r="V60" s="872"/>
      <c r="W60" s="872"/>
      <c r="X60" s="872"/>
      <c r="Y60" s="872"/>
      <c r="Z60" s="872"/>
      <c r="AA60" s="872"/>
      <c r="AB60" s="872"/>
      <c r="AC60" s="872"/>
      <c r="AD60" s="872"/>
      <c r="AE60" s="872"/>
      <c r="AF60" s="872"/>
      <c r="AG60" s="872"/>
      <c r="AH60" s="872"/>
      <c r="AI60" s="872"/>
      <c r="AJ60" s="872"/>
      <c r="AK60" s="872"/>
      <c r="AL60" s="872"/>
      <c r="AM60" s="872"/>
      <c r="AN60" s="872"/>
      <c r="AO60" s="872"/>
      <c r="AP60" s="872"/>
      <c r="AQ60" s="872"/>
      <c r="AR60" s="872"/>
      <c r="AS60" s="872"/>
      <c r="AT60" s="872"/>
      <c r="AU60" s="866"/>
      <c r="AV60" s="864"/>
      <c r="AW60" s="864"/>
      <c r="AX60" s="864"/>
      <c r="AY60" s="864"/>
      <c r="AZ60" s="864"/>
      <c r="BA60" s="864"/>
      <c r="BB60" s="864"/>
      <c r="BC60" s="864"/>
      <c r="BD60" s="864"/>
      <c r="BE60" s="864"/>
      <c r="BF60" s="864"/>
      <c r="BG60" s="864"/>
      <c r="BH60" s="864"/>
      <c r="BI60" s="864"/>
      <c r="BJ60" s="864"/>
      <c r="BK60" s="864"/>
      <c r="BL60" s="864"/>
      <c r="BM60" s="864"/>
      <c r="BN60" s="864"/>
      <c r="BO60" s="864"/>
      <c r="BP60" s="864"/>
      <c r="BQ60" s="864"/>
      <c r="BR60" s="864"/>
      <c r="BS60" s="864"/>
      <c r="BT60" s="864"/>
      <c r="BU60" s="864"/>
      <c r="BV60" s="864"/>
      <c r="BW60" s="864"/>
      <c r="BX60" s="864"/>
      <c r="BY60" s="864"/>
      <c r="BZ60" s="864"/>
      <c r="CA60" s="864"/>
      <c r="CB60" s="864"/>
      <c r="CC60" s="864"/>
      <c r="CD60" s="864"/>
      <c r="CE60" s="864"/>
    </row>
    <row r="61" spans="3:83" s="862" customFormat="1">
      <c r="C61" s="863"/>
      <c r="D61" s="865"/>
      <c r="E61" s="864"/>
      <c r="F61" s="864"/>
      <c r="G61" s="864"/>
      <c r="H61" s="864"/>
      <c r="I61" s="864"/>
      <c r="J61" s="864"/>
      <c r="K61" s="864"/>
      <c r="L61" s="864"/>
      <c r="M61" s="864"/>
      <c r="N61" s="864"/>
      <c r="O61" s="864"/>
      <c r="P61" s="864"/>
      <c r="Q61" s="864"/>
      <c r="R61" s="872"/>
      <c r="S61" s="872"/>
      <c r="T61" s="872"/>
      <c r="U61" s="872"/>
      <c r="V61" s="872"/>
      <c r="W61" s="872"/>
      <c r="X61" s="872"/>
      <c r="Y61" s="872"/>
      <c r="Z61" s="872"/>
      <c r="AA61" s="872"/>
      <c r="AB61" s="872"/>
      <c r="AC61" s="872"/>
      <c r="AD61" s="872"/>
      <c r="AE61" s="872"/>
      <c r="AF61" s="872"/>
      <c r="AG61" s="872"/>
      <c r="AH61" s="872"/>
      <c r="AI61" s="872"/>
      <c r="AJ61" s="872"/>
      <c r="AK61" s="872"/>
      <c r="AL61" s="872"/>
      <c r="AM61" s="872"/>
      <c r="AN61" s="872"/>
      <c r="AO61" s="872"/>
      <c r="AP61" s="872"/>
      <c r="AQ61" s="872"/>
      <c r="AR61" s="872"/>
      <c r="AS61" s="872"/>
      <c r="AT61" s="872"/>
      <c r="AU61" s="864"/>
      <c r="AV61" s="866"/>
      <c r="AW61" s="864"/>
      <c r="AX61" s="864"/>
      <c r="AY61" s="864"/>
      <c r="AZ61" s="864"/>
      <c r="BA61" s="864"/>
      <c r="BB61" s="864"/>
      <c r="BC61" s="864"/>
      <c r="BD61" s="864"/>
      <c r="BE61" s="864"/>
      <c r="BF61" s="864"/>
      <c r="BG61" s="864"/>
      <c r="BH61" s="864"/>
      <c r="BI61" s="864"/>
      <c r="BJ61" s="864"/>
      <c r="BK61" s="864"/>
      <c r="BL61" s="864"/>
      <c r="BM61" s="864"/>
      <c r="BN61" s="864"/>
      <c r="BO61" s="864"/>
      <c r="BP61" s="864"/>
      <c r="BQ61" s="864"/>
      <c r="BR61" s="864"/>
      <c r="BS61" s="864"/>
      <c r="BT61" s="864"/>
      <c r="BU61" s="864"/>
      <c r="BV61" s="864"/>
      <c r="BW61" s="864"/>
      <c r="BX61" s="864"/>
      <c r="BY61" s="864"/>
      <c r="BZ61" s="864"/>
      <c r="CA61" s="864"/>
      <c r="CB61" s="864"/>
      <c r="CC61" s="864"/>
      <c r="CD61" s="864"/>
      <c r="CE61" s="864"/>
    </row>
    <row r="62" spans="3:83" s="862" customFormat="1">
      <c r="C62" s="863"/>
      <c r="D62" s="865"/>
      <c r="E62" s="864"/>
      <c r="F62" s="864"/>
      <c r="G62" s="864"/>
      <c r="H62" s="864"/>
      <c r="I62" s="864"/>
      <c r="J62" s="864"/>
      <c r="K62" s="864"/>
      <c r="L62" s="864"/>
      <c r="M62" s="864"/>
      <c r="N62" s="864"/>
      <c r="O62" s="864"/>
      <c r="P62" s="864"/>
      <c r="Q62" s="864"/>
      <c r="R62" s="872"/>
      <c r="S62" s="872"/>
      <c r="T62" s="872"/>
      <c r="U62" s="872"/>
      <c r="V62" s="872"/>
      <c r="W62" s="872"/>
      <c r="X62" s="872"/>
      <c r="Y62" s="872"/>
      <c r="Z62" s="872"/>
      <c r="AA62" s="872"/>
      <c r="AB62" s="872"/>
      <c r="AC62" s="872"/>
      <c r="AD62" s="872"/>
      <c r="AE62" s="872"/>
      <c r="AF62" s="872"/>
      <c r="AG62" s="872"/>
      <c r="AH62" s="872"/>
      <c r="AI62" s="872"/>
      <c r="AJ62" s="872"/>
      <c r="AK62" s="872"/>
      <c r="AL62" s="872"/>
      <c r="AM62" s="872"/>
      <c r="AN62" s="872"/>
      <c r="AO62" s="872"/>
      <c r="AP62" s="872"/>
      <c r="AQ62" s="872"/>
      <c r="AR62" s="872"/>
      <c r="AS62" s="872"/>
      <c r="AT62" s="872"/>
      <c r="AU62" s="864"/>
      <c r="AV62" s="864"/>
      <c r="AW62" s="866"/>
      <c r="AX62" s="864"/>
      <c r="AY62" s="864"/>
      <c r="AZ62" s="864"/>
      <c r="BA62" s="864"/>
      <c r="BB62" s="864"/>
      <c r="BC62" s="864"/>
      <c r="BD62" s="864"/>
      <c r="BE62" s="864"/>
      <c r="BF62" s="864"/>
      <c r="BG62" s="864"/>
      <c r="BH62" s="864"/>
      <c r="BI62" s="864"/>
      <c r="BJ62" s="864"/>
      <c r="BK62" s="864"/>
      <c r="BL62" s="864"/>
      <c r="BM62" s="864"/>
      <c r="BN62" s="864"/>
      <c r="BO62" s="864"/>
      <c r="BP62" s="864"/>
      <c r="BQ62" s="864"/>
      <c r="BR62" s="864"/>
      <c r="BS62" s="864"/>
      <c r="BT62" s="864"/>
      <c r="BU62" s="864"/>
      <c r="BV62" s="864"/>
      <c r="BW62" s="864"/>
      <c r="BX62" s="864"/>
      <c r="BY62" s="864"/>
      <c r="BZ62" s="864"/>
      <c r="CA62" s="864"/>
      <c r="CB62" s="864"/>
      <c r="CC62" s="864"/>
      <c r="CD62" s="864"/>
      <c r="CE62" s="864"/>
    </row>
    <row r="63" spans="3:83" s="862" customFormat="1">
      <c r="C63" s="863"/>
      <c r="D63" s="865"/>
      <c r="E63" s="864"/>
      <c r="F63" s="864"/>
      <c r="G63" s="864"/>
      <c r="H63" s="864"/>
      <c r="I63" s="864"/>
      <c r="J63" s="864"/>
      <c r="K63" s="864"/>
      <c r="L63" s="864"/>
      <c r="M63" s="864"/>
      <c r="N63" s="864"/>
      <c r="O63" s="864"/>
      <c r="P63" s="864"/>
      <c r="Q63" s="864"/>
      <c r="R63" s="872"/>
      <c r="S63" s="872"/>
      <c r="T63" s="872"/>
      <c r="U63" s="872"/>
      <c r="V63" s="872"/>
      <c r="W63" s="872"/>
      <c r="X63" s="872"/>
      <c r="Y63" s="872"/>
      <c r="Z63" s="872"/>
      <c r="AA63" s="872"/>
      <c r="AB63" s="872"/>
      <c r="AC63" s="872"/>
      <c r="AD63" s="872"/>
      <c r="AE63" s="872"/>
      <c r="AF63" s="872"/>
      <c r="AG63" s="872"/>
      <c r="AH63" s="872"/>
      <c r="AI63" s="872"/>
      <c r="AJ63" s="872"/>
      <c r="AK63" s="872"/>
      <c r="AL63" s="872"/>
      <c r="AM63" s="872"/>
      <c r="AN63" s="872"/>
      <c r="AO63" s="872"/>
      <c r="AP63" s="872"/>
      <c r="AQ63" s="872"/>
      <c r="AR63" s="872"/>
      <c r="AS63" s="872"/>
      <c r="AT63" s="872"/>
      <c r="AU63" s="864"/>
      <c r="AV63" s="864"/>
      <c r="AW63" s="864"/>
      <c r="AX63" s="866"/>
      <c r="AY63" s="864"/>
      <c r="AZ63" s="864"/>
      <c r="BA63" s="864"/>
      <c r="BB63" s="864"/>
      <c r="BC63" s="864"/>
      <c r="BD63" s="864"/>
      <c r="BE63" s="864"/>
      <c r="BF63" s="864"/>
      <c r="BG63" s="864"/>
      <c r="BH63" s="864"/>
      <c r="BI63" s="864"/>
      <c r="BJ63" s="864"/>
      <c r="BK63" s="864"/>
      <c r="BL63" s="864"/>
      <c r="BM63" s="864"/>
      <c r="BN63" s="864"/>
      <c r="BO63" s="864"/>
      <c r="BP63" s="864"/>
      <c r="BQ63" s="864"/>
      <c r="BR63" s="864"/>
      <c r="BS63" s="864"/>
      <c r="BT63" s="864"/>
      <c r="BU63" s="864"/>
      <c r="BV63" s="864"/>
      <c r="BW63" s="864"/>
      <c r="BX63" s="864"/>
      <c r="BY63" s="864"/>
      <c r="BZ63" s="864"/>
      <c r="CA63" s="864"/>
      <c r="CB63" s="864"/>
      <c r="CC63" s="864"/>
      <c r="CD63" s="864"/>
      <c r="CE63" s="864"/>
    </row>
    <row r="64" spans="3:83" s="862" customFormat="1">
      <c r="C64" s="863"/>
      <c r="D64" s="865"/>
      <c r="E64" s="864"/>
      <c r="F64" s="864"/>
      <c r="G64" s="864"/>
      <c r="H64" s="864"/>
      <c r="I64" s="864"/>
      <c r="J64" s="864"/>
      <c r="K64" s="864"/>
      <c r="L64" s="864"/>
      <c r="M64" s="864"/>
      <c r="N64" s="864"/>
      <c r="O64" s="864"/>
      <c r="P64" s="864"/>
      <c r="Q64" s="864"/>
      <c r="R64" s="872"/>
      <c r="S64" s="872"/>
      <c r="T64" s="872"/>
      <c r="U64" s="872"/>
      <c r="V64" s="872"/>
      <c r="W64" s="872"/>
      <c r="X64" s="872"/>
      <c r="Y64" s="872"/>
      <c r="Z64" s="872"/>
      <c r="AA64" s="872"/>
      <c r="AB64" s="872"/>
      <c r="AC64" s="872"/>
      <c r="AD64" s="872"/>
      <c r="AE64" s="872"/>
      <c r="AF64" s="872"/>
      <c r="AG64" s="872"/>
      <c r="AH64" s="872"/>
      <c r="AI64" s="872"/>
      <c r="AJ64" s="872"/>
      <c r="AK64" s="872"/>
      <c r="AL64" s="872"/>
      <c r="AM64" s="872"/>
      <c r="AN64" s="872"/>
      <c r="AO64" s="872"/>
      <c r="AP64" s="872"/>
      <c r="AQ64" s="872"/>
      <c r="AR64" s="872"/>
      <c r="AS64" s="872"/>
      <c r="AT64" s="872"/>
      <c r="AU64" s="864"/>
      <c r="AV64" s="864"/>
      <c r="AW64" s="864"/>
      <c r="AX64" s="864"/>
      <c r="AY64" s="866"/>
      <c r="AZ64" s="864"/>
      <c r="BA64" s="864"/>
      <c r="BB64" s="864"/>
      <c r="BC64" s="864"/>
      <c r="BD64" s="864"/>
      <c r="BE64" s="864"/>
      <c r="BF64" s="864"/>
      <c r="BG64" s="864"/>
      <c r="BH64" s="864"/>
      <c r="BI64" s="864"/>
      <c r="BJ64" s="864"/>
      <c r="BK64" s="864"/>
      <c r="BL64" s="864"/>
      <c r="BM64" s="864"/>
      <c r="BN64" s="864"/>
      <c r="BO64" s="864"/>
      <c r="BP64" s="864"/>
      <c r="BQ64" s="864"/>
      <c r="BR64" s="864"/>
      <c r="BS64" s="864"/>
      <c r="BT64" s="864"/>
      <c r="BU64" s="864"/>
      <c r="BV64" s="864"/>
      <c r="BW64" s="864"/>
      <c r="BX64" s="864"/>
      <c r="BY64" s="864"/>
      <c r="BZ64" s="864"/>
      <c r="CA64" s="864"/>
      <c r="CB64" s="864"/>
      <c r="CC64" s="864"/>
      <c r="CD64" s="864"/>
      <c r="CE64" s="864"/>
    </row>
    <row r="65" spans="3:83" s="862" customFormat="1">
      <c r="C65" s="863"/>
      <c r="D65" s="865"/>
      <c r="E65" s="864"/>
      <c r="F65" s="864"/>
      <c r="G65" s="864"/>
      <c r="H65" s="864"/>
      <c r="I65" s="864"/>
      <c r="J65" s="864"/>
      <c r="K65" s="864"/>
      <c r="L65" s="864"/>
      <c r="M65" s="864"/>
      <c r="N65" s="864"/>
      <c r="O65" s="864"/>
      <c r="P65" s="864"/>
      <c r="Q65" s="864"/>
      <c r="R65" s="872"/>
      <c r="S65" s="872"/>
      <c r="T65" s="872"/>
      <c r="U65" s="872"/>
      <c r="V65" s="872"/>
      <c r="W65" s="872"/>
      <c r="X65" s="872"/>
      <c r="Y65" s="872"/>
      <c r="Z65" s="872"/>
      <c r="AA65" s="872"/>
      <c r="AB65" s="872"/>
      <c r="AC65" s="872"/>
      <c r="AD65" s="872"/>
      <c r="AE65" s="872"/>
      <c r="AF65" s="872"/>
      <c r="AG65" s="872"/>
      <c r="AH65" s="872"/>
      <c r="AI65" s="872"/>
      <c r="AJ65" s="872"/>
      <c r="AK65" s="872"/>
      <c r="AL65" s="872"/>
      <c r="AM65" s="872"/>
      <c r="AN65" s="872"/>
      <c r="AO65" s="872"/>
      <c r="AP65" s="872"/>
      <c r="AQ65" s="872"/>
      <c r="AR65" s="872"/>
      <c r="AS65" s="872"/>
      <c r="AT65" s="872"/>
      <c r="AU65" s="864"/>
      <c r="AV65" s="864"/>
      <c r="AW65" s="864"/>
      <c r="AX65" s="864"/>
      <c r="AY65" s="864"/>
      <c r="AZ65" s="866"/>
      <c r="BA65" s="864"/>
      <c r="BB65" s="864"/>
      <c r="BC65" s="864"/>
      <c r="BD65" s="864"/>
      <c r="BE65" s="864"/>
      <c r="BF65" s="864"/>
      <c r="BG65" s="864"/>
      <c r="BH65" s="864"/>
      <c r="BI65" s="864"/>
      <c r="BJ65" s="864"/>
      <c r="BK65" s="864"/>
      <c r="BL65" s="864"/>
      <c r="BM65" s="864"/>
      <c r="BN65" s="864"/>
      <c r="BO65" s="864"/>
      <c r="BP65" s="864"/>
      <c r="BQ65" s="864"/>
      <c r="BR65" s="864"/>
      <c r="BS65" s="864"/>
      <c r="BT65" s="864"/>
      <c r="BU65" s="864"/>
      <c r="BV65" s="864"/>
      <c r="BW65" s="864"/>
      <c r="BX65" s="864"/>
      <c r="BY65" s="864"/>
      <c r="BZ65" s="864"/>
      <c r="CA65" s="864"/>
      <c r="CB65" s="864"/>
      <c r="CC65" s="864"/>
      <c r="CD65" s="864"/>
      <c r="CE65" s="864"/>
    </row>
    <row r="66" spans="3:83" s="862" customFormat="1">
      <c r="C66" s="863"/>
      <c r="D66" s="865"/>
      <c r="E66" s="864"/>
      <c r="F66" s="864"/>
      <c r="G66" s="864"/>
      <c r="H66" s="864"/>
      <c r="I66" s="864"/>
      <c r="J66" s="864"/>
      <c r="K66" s="864"/>
      <c r="L66" s="864"/>
      <c r="M66" s="864"/>
      <c r="N66" s="864"/>
      <c r="O66" s="864"/>
      <c r="P66" s="864"/>
      <c r="Q66" s="864"/>
      <c r="R66" s="872"/>
      <c r="S66" s="872"/>
      <c r="T66" s="872"/>
      <c r="U66" s="872"/>
      <c r="V66" s="872"/>
      <c r="W66" s="872"/>
      <c r="X66" s="872"/>
      <c r="Y66" s="872"/>
      <c r="Z66" s="872"/>
      <c r="AA66" s="872"/>
      <c r="AB66" s="872"/>
      <c r="AC66" s="872"/>
      <c r="AD66" s="872"/>
      <c r="AE66" s="872"/>
      <c r="AF66" s="872"/>
      <c r="AG66" s="872"/>
      <c r="AH66" s="872"/>
      <c r="AI66" s="872"/>
      <c r="AJ66" s="872"/>
      <c r="AK66" s="872"/>
      <c r="AL66" s="872"/>
      <c r="AM66" s="872"/>
      <c r="AN66" s="872"/>
      <c r="AO66" s="872"/>
      <c r="AP66" s="872"/>
      <c r="AQ66" s="872"/>
      <c r="AR66" s="872"/>
      <c r="AS66" s="872"/>
      <c r="AT66" s="872"/>
      <c r="AU66" s="864"/>
      <c r="AV66" s="864"/>
      <c r="AW66" s="864"/>
      <c r="AX66" s="864"/>
      <c r="AY66" s="864"/>
      <c r="AZ66" s="864"/>
      <c r="BA66" s="866"/>
      <c r="BB66" s="864"/>
      <c r="BC66" s="864"/>
      <c r="BD66" s="864"/>
      <c r="BE66" s="864"/>
      <c r="BF66" s="864"/>
      <c r="BG66" s="864"/>
      <c r="BH66" s="864"/>
      <c r="BI66" s="864"/>
      <c r="BJ66" s="864"/>
      <c r="BK66" s="864"/>
      <c r="BL66" s="864"/>
      <c r="BM66" s="864"/>
      <c r="BN66" s="864"/>
      <c r="BO66" s="864"/>
      <c r="BP66" s="864"/>
      <c r="BQ66" s="864"/>
      <c r="BR66" s="864"/>
      <c r="BS66" s="864"/>
      <c r="BT66" s="864"/>
      <c r="BU66" s="864"/>
      <c r="BV66" s="864"/>
      <c r="BW66" s="864"/>
      <c r="BX66" s="864"/>
      <c r="BY66" s="864"/>
      <c r="BZ66" s="864"/>
      <c r="CA66" s="864"/>
      <c r="CB66" s="864"/>
      <c r="CC66" s="864"/>
      <c r="CD66" s="864"/>
      <c r="CE66" s="864"/>
    </row>
    <row r="67" spans="3:83" s="862" customFormat="1">
      <c r="C67" s="863"/>
      <c r="D67" s="865"/>
      <c r="E67" s="864"/>
      <c r="F67" s="864"/>
      <c r="G67" s="864"/>
      <c r="H67" s="864"/>
      <c r="I67" s="864"/>
      <c r="J67" s="864"/>
      <c r="K67" s="864"/>
      <c r="L67" s="864"/>
      <c r="M67" s="864"/>
      <c r="N67" s="864"/>
      <c r="O67" s="864"/>
      <c r="P67" s="864"/>
      <c r="Q67" s="864"/>
      <c r="R67" s="872"/>
      <c r="S67" s="872"/>
      <c r="T67" s="872"/>
      <c r="U67" s="872"/>
      <c r="V67" s="872"/>
      <c r="W67" s="872"/>
      <c r="X67" s="872"/>
      <c r="Y67" s="872"/>
      <c r="Z67" s="872"/>
      <c r="AA67" s="872"/>
      <c r="AB67" s="872"/>
      <c r="AC67" s="872"/>
      <c r="AD67" s="872"/>
      <c r="AE67" s="872"/>
      <c r="AF67" s="872"/>
      <c r="AG67" s="872"/>
      <c r="AH67" s="872"/>
      <c r="AI67" s="872"/>
      <c r="AJ67" s="872"/>
      <c r="AK67" s="872"/>
      <c r="AL67" s="872"/>
      <c r="AM67" s="872"/>
      <c r="AN67" s="872"/>
      <c r="AO67" s="872"/>
      <c r="AP67" s="872"/>
      <c r="AQ67" s="872"/>
      <c r="AR67" s="872"/>
      <c r="AS67" s="872"/>
      <c r="AT67" s="872"/>
      <c r="AU67" s="864"/>
      <c r="AV67" s="864"/>
      <c r="AW67" s="864"/>
      <c r="AX67" s="864"/>
      <c r="AY67" s="864"/>
      <c r="AZ67" s="864"/>
      <c r="BA67" s="864"/>
      <c r="BB67" s="866"/>
      <c r="BC67" s="864"/>
      <c r="BD67" s="864"/>
      <c r="BE67" s="864"/>
      <c r="BF67" s="864"/>
      <c r="BG67" s="864"/>
      <c r="BH67" s="864"/>
      <c r="BI67" s="864"/>
      <c r="BJ67" s="864"/>
      <c r="BK67" s="864"/>
      <c r="BL67" s="864"/>
      <c r="BM67" s="864"/>
      <c r="BN67" s="864"/>
      <c r="BO67" s="864"/>
      <c r="BP67" s="864"/>
      <c r="BQ67" s="864"/>
      <c r="BR67" s="864"/>
      <c r="BS67" s="864"/>
      <c r="BT67" s="864"/>
      <c r="BU67" s="864"/>
      <c r="BV67" s="864"/>
      <c r="BW67" s="864"/>
      <c r="BX67" s="864"/>
      <c r="BY67" s="864"/>
      <c r="BZ67" s="864"/>
      <c r="CA67" s="864"/>
      <c r="CB67" s="864"/>
      <c r="CC67" s="864"/>
      <c r="CD67" s="864"/>
      <c r="CE67" s="864"/>
    </row>
    <row r="68" spans="3:83" s="862" customFormat="1">
      <c r="C68" s="863"/>
      <c r="D68" s="865"/>
      <c r="E68" s="864"/>
      <c r="F68" s="864"/>
      <c r="G68" s="864"/>
      <c r="H68" s="864"/>
      <c r="I68" s="864"/>
      <c r="J68" s="864"/>
      <c r="K68" s="864"/>
      <c r="L68" s="864"/>
      <c r="M68" s="864"/>
      <c r="N68" s="864"/>
      <c r="O68" s="864"/>
      <c r="P68" s="864"/>
      <c r="Q68" s="864"/>
      <c r="R68" s="872"/>
      <c r="S68" s="872"/>
      <c r="T68" s="872"/>
      <c r="U68" s="872"/>
      <c r="V68" s="872"/>
      <c r="W68" s="872"/>
      <c r="X68" s="872"/>
      <c r="Y68" s="872"/>
      <c r="Z68" s="872"/>
      <c r="AA68" s="872"/>
      <c r="AB68" s="872"/>
      <c r="AC68" s="872"/>
      <c r="AD68" s="872"/>
      <c r="AE68" s="872"/>
      <c r="AF68" s="872"/>
      <c r="AG68" s="872"/>
      <c r="AH68" s="872"/>
      <c r="AI68" s="872"/>
      <c r="AJ68" s="872"/>
      <c r="AK68" s="872"/>
      <c r="AL68" s="872"/>
      <c r="AM68" s="872"/>
      <c r="AN68" s="872"/>
      <c r="AO68" s="872"/>
      <c r="AP68" s="872"/>
      <c r="AQ68" s="872"/>
      <c r="AR68" s="872"/>
      <c r="AS68" s="872"/>
      <c r="AT68" s="872"/>
      <c r="AU68" s="864"/>
      <c r="AV68" s="864"/>
      <c r="AW68" s="864"/>
      <c r="AX68" s="864"/>
      <c r="AY68" s="864"/>
      <c r="AZ68" s="864"/>
      <c r="BA68" s="864"/>
      <c r="BB68" s="864"/>
      <c r="BC68" s="866"/>
      <c r="BD68" s="864"/>
      <c r="BE68" s="864"/>
      <c r="BF68" s="864"/>
      <c r="BG68" s="864"/>
      <c r="BH68" s="864"/>
      <c r="BI68" s="864"/>
      <c r="BJ68" s="864"/>
      <c r="BK68" s="864"/>
      <c r="BL68" s="864"/>
      <c r="BM68" s="864"/>
      <c r="BN68" s="864"/>
      <c r="BO68" s="864"/>
      <c r="BP68" s="864"/>
      <c r="BQ68" s="864"/>
      <c r="BR68" s="864"/>
      <c r="BS68" s="864"/>
      <c r="BT68" s="864"/>
      <c r="BU68" s="864"/>
      <c r="BV68" s="864"/>
      <c r="BW68" s="864"/>
      <c r="BX68" s="864"/>
      <c r="BY68" s="864"/>
      <c r="BZ68" s="864"/>
      <c r="CA68" s="864"/>
      <c r="CB68" s="864"/>
      <c r="CC68" s="864"/>
      <c r="CD68" s="864"/>
      <c r="CE68" s="864"/>
    </row>
    <row r="69" spans="3:83" s="862" customFormat="1">
      <c r="C69" s="863"/>
      <c r="D69" s="865"/>
      <c r="E69" s="864"/>
      <c r="F69" s="864"/>
      <c r="G69" s="864"/>
      <c r="H69" s="864"/>
      <c r="I69" s="864"/>
      <c r="J69" s="864"/>
      <c r="K69" s="864"/>
      <c r="L69" s="864"/>
      <c r="M69" s="864"/>
      <c r="N69" s="864"/>
      <c r="O69" s="864"/>
      <c r="P69" s="864"/>
      <c r="Q69" s="864"/>
      <c r="R69" s="872"/>
      <c r="S69" s="872"/>
      <c r="T69" s="872"/>
      <c r="U69" s="872"/>
      <c r="V69" s="872"/>
      <c r="W69" s="872"/>
      <c r="X69" s="872"/>
      <c r="Y69" s="872"/>
      <c r="Z69" s="872"/>
      <c r="AA69" s="872"/>
      <c r="AB69" s="872"/>
      <c r="AC69" s="872"/>
      <c r="AD69" s="872"/>
      <c r="AE69" s="872"/>
      <c r="AF69" s="872"/>
      <c r="AG69" s="872"/>
      <c r="AH69" s="872"/>
      <c r="AI69" s="872"/>
      <c r="AJ69" s="872"/>
      <c r="AK69" s="872"/>
      <c r="AL69" s="872"/>
      <c r="AM69" s="872"/>
      <c r="AN69" s="872"/>
      <c r="AO69" s="872"/>
      <c r="AP69" s="872"/>
      <c r="AQ69" s="872"/>
      <c r="AR69" s="872"/>
      <c r="AS69" s="872"/>
      <c r="AT69" s="872"/>
      <c r="AU69" s="864"/>
      <c r="AV69" s="864"/>
      <c r="AW69" s="864"/>
      <c r="AX69" s="864"/>
      <c r="AY69" s="864"/>
      <c r="AZ69" s="864"/>
      <c r="BA69" s="864"/>
      <c r="BB69" s="864"/>
      <c r="BC69" s="864"/>
      <c r="BD69" s="866"/>
      <c r="BE69" s="864"/>
      <c r="BF69" s="864"/>
      <c r="BG69" s="864"/>
      <c r="BH69" s="864"/>
      <c r="BI69" s="864"/>
      <c r="BJ69" s="864"/>
      <c r="BK69" s="864"/>
      <c r="BL69" s="864"/>
      <c r="BM69" s="864"/>
      <c r="BN69" s="864"/>
      <c r="BO69" s="864"/>
      <c r="BP69" s="864"/>
      <c r="BQ69" s="864"/>
      <c r="BR69" s="864"/>
      <c r="BS69" s="864"/>
      <c r="BT69" s="864"/>
      <c r="BU69" s="864"/>
      <c r="BV69" s="864"/>
      <c r="BW69" s="864"/>
      <c r="BX69" s="864"/>
      <c r="BY69" s="864"/>
      <c r="BZ69" s="864"/>
      <c r="CA69" s="864"/>
      <c r="CB69" s="864"/>
      <c r="CC69" s="864"/>
      <c r="CD69" s="864"/>
      <c r="CE69" s="864"/>
    </row>
    <row r="70" spans="3:83" s="862" customFormat="1">
      <c r="C70" s="863"/>
      <c r="D70" s="865"/>
      <c r="E70" s="864"/>
      <c r="F70" s="864"/>
      <c r="G70" s="864"/>
      <c r="H70" s="864"/>
      <c r="I70" s="864"/>
      <c r="J70" s="864"/>
      <c r="K70" s="864"/>
      <c r="L70" s="864"/>
      <c r="M70" s="864"/>
      <c r="N70" s="864"/>
      <c r="O70" s="864"/>
      <c r="P70" s="864"/>
      <c r="Q70" s="864"/>
      <c r="R70" s="872"/>
      <c r="S70" s="872"/>
      <c r="T70" s="872"/>
      <c r="U70" s="872"/>
      <c r="V70" s="872"/>
      <c r="W70" s="872"/>
      <c r="X70" s="872"/>
      <c r="Y70" s="872"/>
      <c r="Z70" s="872"/>
      <c r="AA70" s="872"/>
      <c r="AB70" s="872"/>
      <c r="AC70" s="872"/>
      <c r="AD70" s="872"/>
      <c r="AE70" s="872"/>
      <c r="AF70" s="872"/>
      <c r="AG70" s="872"/>
      <c r="AH70" s="872"/>
      <c r="AI70" s="872"/>
      <c r="AJ70" s="872"/>
      <c r="AK70" s="872"/>
      <c r="AL70" s="872"/>
      <c r="AM70" s="872"/>
      <c r="AN70" s="872"/>
      <c r="AO70" s="872"/>
      <c r="AP70" s="872"/>
      <c r="AQ70" s="872"/>
      <c r="AR70" s="872"/>
      <c r="AS70" s="872"/>
      <c r="AT70" s="872"/>
      <c r="AU70" s="864"/>
      <c r="AV70" s="864"/>
      <c r="AW70" s="864"/>
      <c r="AX70" s="864"/>
      <c r="AY70" s="864"/>
      <c r="AZ70" s="864"/>
      <c r="BA70" s="864"/>
      <c r="BB70" s="864"/>
      <c r="BC70" s="864"/>
      <c r="BD70" s="864"/>
      <c r="BE70" s="866"/>
      <c r="BF70" s="864"/>
      <c r="BG70" s="864"/>
      <c r="BH70" s="864"/>
      <c r="BI70" s="864"/>
      <c r="BJ70" s="864"/>
      <c r="BK70" s="864"/>
      <c r="BL70" s="864"/>
      <c r="BM70" s="864"/>
      <c r="BN70" s="864"/>
      <c r="BO70" s="864"/>
      <c r="BP70" s="864"/>
      <c r="BQ70" s="864"/>
      <c r="BR70" s="864"/>
      <c r="BS70" s="864"/>
      <c r="BT70" s="864"/>
      <c r="BU70" s="864"/>
      <c r="BV70" s="864"/>
      <c r="BW70" s="864"/>
      <c r="BX70" s="864"/>
      <c r="BY70" s="864"/>
      <c r="BZ70" s="864"/>
      <c r="CA70" s="864"/>
      <c r="CB70" s="864"/>
      <c r="CC70" s="864"/>
      <c r="CD70" s="864"/>
      <c r="CE70" s="864"/>
    </row>
    <row r="71" spans="3:83" s="862" customFormat="1">
      <c r="C71" s="863"/>
      <c r="D71" s="865"/>
      <c r="E71" s="864"/>
      <c r="F71" s="864"/>
      <c r="G71" s="864"/>
      <c r="H71" s="864"/>
      <c r="I71" s="864"/>
      <c r="J71" s="864"/>
      <c r="K71" s="864"/>
      <c r="L71" s="864"/>
      <c r="M71" s="864"/>
      <c r="N71" s="864"/>
      <c r="O71" s="864"/>
      <c r="P71" s="864"/>
      <c r="Q71" s="864"/>
      <c r="R71" s="872"/>
      <c r="S71" s="872"/>
      <c r="T71" s="872"/>
      <c r="U71" s="872"/>
      <c r="V71" s="872"/>
      <c r="W71" s="872"/>
      <c r="X71" s="872"/>
      <c r="Y71" s="872"/>
      <c r="Z71" s="872"/>
      <c r="AA71" s="872"/>
      <c r="AB71" s="872"/>
      <c r="AC71" s="872"/>
      <c r="AD71" s="872"/>
      <c r="AE71" s="872"/>
      <c r="AF71" s="872"/>
      <c r="AG71" s="872"/>
      <c r="AH71" s="872"/>
      <c r="AI71" s="872"/>
      <c r="AJ71" s="872"/>
      <c r="AK71" s="872"/>
      <c r="AL71" s="872"/>
      <c r="AM71" s="872"/>
      <c r="AN71" s="872"/>
      <c r="AO71" s="872"/>
      <c r="AP71" s="872"/>
      <c r="AQ71" s="872"/>
      <c r="AR71" s="872"/>
      <c r="AS71" s="872"/>
      <c r="AT71" s="872"/>
      <c r="AU71" s="864"/>
      <c r="AV71" s="864"/>
      <c r="AW71" s="864"/>
      <c r="AX71" s="864"/>
      <c r="AY71" s="864"/>
      <c r="AZ71" s="864"/>
      <c r="BA71" s="864"/>
      <c r="BB71" s="864"/>
      <c r="BC71" s="864"/>
      <c r="BD71" s="864"/>
      <c r="BE71" s="864"/>
      <c r="BF71" s="866"/>
      <c r="BG71" s="864"/>
      <c r="BH71" s="864"/>
      <c r="BI71" s="864"/>
      <c r="BJ71" s="864"/>
      <c r="BK71" s="864"/>
      <c r="BL71" s="864"/>
      <c r="BM71" s="864"/>
      <c r="BN71" s="864"/>
      <c r="BO71" s="864"/>
      <c r="BP71" s="864"/>
      <c r="BQ71" s="864"/>
      <c r="BR71" s="864"/>
      <c r="BS71" s="864"/>
      <c r="BT71" s="864"/>
      <c r="BU71" s="864"/>
      <c r="BV71" s="864"/>
      <c r="BW71" s="864"/>
      <c r="BX71" s="864"/>
      <c r="BY71" s="864"/>
      <c r="BZ71" s="864"/>
      <c r="CA71" s="864"/>
      <c r="CB71" s="864"/>
      <c r="CC71" s="864"/>
      <c r="CD71" s="864"/>
      <c r="CE71" s="864"/>
    </row>
    <row r="72" spans="3:83" s="862" customFormat="1">
      <c r="C72" s="863"/>
      <c r="D72" s="865"/>
      <c r="E72" s="864"/>
      <c r="F72" s="864"/>
      <c r="G72" s="864"/>
      <c r="H72" s="864"/>
      <c r="I72" s="864"/>
      <c r="J72" s="864"/>
      <c r="K72" s="864"/>
      <c r="L72" s="864"/>
      <c r="M72" s="864"/>
      <c r="N72" s="864"/>
      <c r="O72" s="864"/>
      <c r="P72" s="864"/>
      <c r="Q72" s="864"/>
      <c r="R72" s="872"/>
      <c r="S72" s="872"/>
      <c r="T72" s="872"/>
      <c r="U72" s="872"/>
      <c r="V72" s="872"/>
      <c r="W72" s="872"/>
      <c r="X72" s="872"/>
      <c r="Y72" s="872"/>
      <c r="Z72" s="872"/>
      <c r="AA72" s="872"/>
      <c r="AB72" s="872"/>
      <c r="AC72" s="872"/>
      <c r="AD72" s="872"/>
      <c r="AE72" s="872"/>
      <c r="AF72" s="872"/>
      <c r="AG72" s="872"/>
      <c r="AH72" s="872"/>
      <c r="AI72" s="872"/>
      <c r="AJ72" s="872"/>
      <c r="AK72" s="872"/>
      <c r="AL72" s="872"/>
      <c r="AM72" s="872"/>
      <c r="AN72" s="872"/>
      <c r="AO72" s="872"/>
      <c r="AP72" s="872"/>
      <c r="AQ72" s="872"/>
      <c r="AR72" s="872"/>
      <c r="AS72" s="872"/>
      <c r="AT72" s="872"/>
      <c r="AU72" s="864"/>
      <c r="AV72" s="864"/>
      <c r="AW72" s="864"/>
      <c r="AX72" s="864"/>
      <c r="AY72" s="864"/>
      <c r="AZ72" s="864"/>
      <c r="BA72" s="864"/>
      <c r="BB72" s="864"/>
      <c r="BC72" s="864"/>
      <c r="BD72" s="864"/>
      <c r="BE72" s="864"/>
      <c r="BF72" s="864"/>
      <c r="BG72" s="866"/>
      <c r="BH72" s="864"/>
      <c r="BI72" s="864"/>
      <c r="BJ72" s="864"/>
      <c r="BK72" s="864"/>
      <c r="BL72" s="864"/>
      <c r="BM72" s="864"/>
      <c r="BN72" s="864"/>
      <c r="BO72" s="864"/>
      <c r="BP72" s="864"/>
      <c r="BQ72" s="864"/>
      <c r="BR72" s="864"/>
      <c r="BS72" s="864"/>
      <c r="BT72" s="864"/>
      <c r="BU72" s="864"/>
      <c r="BV72" s="864"/>
      <c r="BW72" s="864"/>
      <c r="BX72" s="864"/>
      <c r="BY72" s="864"/>
      <c r="BZ72" s="864"/>
      <c r="CA72" s="864"/>
      <c r="CB72" s="864"/>
      <c r="CC72" s="864"/>
      <c r="CD72" s="864"/>
      <c r="CE72" s="864"/>
    </row>
    <row r="73" spans="3:83" s="862" customFormat="1">
      <c r="C73" s="863"/>
      <c r="D73" s="865"/>
      <c r="E73" s="864"/>
      <c r="F73" s="864"/>
      <c r="G73" s="864"/>
      <c r="H73" s="864"/>
      <c r="I73" s="864"/>
      <c r="J73" s="864"/>
      <c r="K73" s="864"/>
      <c r="L73" s="864"/>
      <c r="M73" s="864"/>
      <c r="N73" s="864"/>
      <c r="O73" s="864"/>
      <c r="P73" s="864"/>
      <c r="Q73" s="864"/>
      <c r="R73" s="872"/>
      <c r="S73" s="872"/>
      <c r="T73" s="872"/>
      <c r="U73" s="872"/>
      <c r="V73" s="872"/>
      <c r="W73" s="872"/>
      <c r="X73" s="872"/>
      <c r="Y73" s="872"/>
      <c r="Z73" s="872"/>
      <c r="AA73" s="872"/>
      <c r="AB73" s="872"/>
      <c r="AC73" s="872"/>
      <c r="AD73" s="872"/>
      <c r="AE73" s="872"/>
      <c r="AF73" s="872"/>
      <c r="AG73" s="872"/>
      <c r="AH73" s="872"/>
      <c r="AI73" s="872"/>
      <c r="AJ73" s="872"/>
      <c r="AK73" s="872"/>
      <c r="AL73" s="872"/>
      <c r="AM73" s="872"/>
      <c r="AN73" s="872"/>
      <c r="AO73" s="872"/>
      <c r="AP73" s="872"/>
      <c r="AQ73" s="872"/>
      <c r="AR73" s="872"/>
      <c r="AS73" s="872"/>
      <c r="AT73" s="872"/>
      <c r="AU73" s="864"/>
      <c r="AV73" s="864"/>
      <c r="AW73" s="864"/>
      <c r="AX73" s="864"/>
      <c r="AY73" s="864"/>
      <c r="AZ73" s="864"/>
      <c r="BA73" s="864"/>
      <c r="BB73" s="864"/>
      <c r="BC73" s="864"/>
      <c r="BD73" s="864"/>
      <c r="BE73" s="864"/>
      <c r="BF73" s="864"/>
      <c r="BG73" s="864"/>
      <c r="BH73" s="866"/>
      <c r="BI73" s="864"/>
      <c r="BJ73" s="864"/>
      <c r="BK73" s="864"/>
      <c r="BL73" s="864"/>
      <c r="BM73" s="864"/>
      <c r="BN73" s="864"/>
      <c r="BO73" s="864"/>
      <c r="BP73" s="864"/>
      <c r="BQ73" s="864"/>
      <c r="BR73" s="864"/>
      <c r="BS73" s="864"/>
      <c r="BT73" s="864"/>
      <c r="BU73" s="864"/>
      <c r="BV73" s="864"/>
      <c r="BW73" s="864"/>
      <c r="BX73" s="864"/>
      <c r="BY73" s="864"/>
      <c r="BZ73" s="864"/>
      <c r="CA73" s="864"/>
      <c r="CB73" s="864"/>
      <c r="CC73" s="864"/>
      <c r="CD73" s="864"/>
      <c r="CE73" s="864"/>
    </row>
    <row r="74" spans="3:83" s="862" customFormat="1">
      <c r="C74" s="863"/>
      <c r="D74" s="865"/>
      <c r="E74" s="864"/>
      <c r="F74" s="864"/>
      <c r="G74" s="864"/>
      <c r="H74" s="864"/>
      <c r="I74" s="864"/>
      <c r="J74" s="864"/>
      <c r="K74" s="864"/>
      <c r="L74" s="864"/>
      <c r="M74" s="864"/>
      <c r="N74" s="864"/>
      <c r="O74" s="864"/>
      <c r="P74" s="864"/>
      <c r="Q74" s="864"/>
      <c r="R74" s="872"/>
      <c r="S74" s="872"/>
      <c r="T74" s="872"/>
      <c r="U74" s="872"/>
      <c r="V74" s="872"/>
      <c r="W74" s="872"/>
      <c r="X74" s="872"/>
      <c r="Y74" s="872"/>
      <c r="Z74" s="872"/>
      <c r="AA74" s="872"/>
      <c r="AB74" s="872"/>
      <c r="AC74" s="872"/>
      <c r="AD74" s="872"/>
      <c r="AE74" s="872"/>
      <c r="AF74" s="872"/>
      <c r="AG74" s="872"/>
      <c r="AH74" s="872"/>
      <c r="AI74" s="872"/>
      <c r="AJ74" s="872"/>
      <c r="AK74" s="872"/>
      <c r="AL74" s="872"/>
      <c r="AM74" s="872"/>
      <c r="AN74" s="872"/>
      <c r="AO74" s="872"/>
      <c r="AP74" s="872"/>
      <c r="AQ74" s="872"/>
      <c r="AR74" s="872"/>
      <c r="AS74" s="872"/>
      <c r="AT74" s="872"/>
      <c r="AU74" s="864"/>
      <c r="AV74" s="864"/>
      <c r="AW74" s="864"/>
      <c r="AX74" s="864"/>
      <c r="AY74" s="864"/>
      <c r="AZ74" s="864"/>
      <c r="BA74" s="864"/>
      <c r="BB74" s="864"/>
      <c r="BC74" s="864"/>
      <c r="BD74" s="864"/>
      <c r="BE74" s="864"/>
      <c r="BF74" s="864"/>
      <c r="BG74" s="864"/>
      <c r="BH74" s="864"/>
      <c r="BI74" s="866"/>
      <c r="BJ74" s="864"/>
      <c r="BK74" s="864"/>
      <c r="BL74" s="864"/>
      <c r="BM74" s="864"/>
      <c r="BN74" s="864"/>
      <c r="BO74" s="864"/>
      <c r="BP74" s="864"/>
      <c r="BQ74" s="864"/>
      <c r="BR74" s="864"/>
      <c r="BS74" s="864"/>
      <c r="BT74" s="864"/>
      <c r="BU74" s="864"/>
      <c r="BV74" s="864"/>
      <c r="BW74" s="864"/>
      <c r="BX74" s="864"/>
      <c r="BY74" s="864"/>
      <c r="BZ74" s="864"/>
      <c r="CA74" s="864"/>
      <c r="CB74" s="864"/>
      <c r="CC74" s="864"/>
      <c r="CD74" s="864"/>
      <c r="CE74" s="864"/>
    </row>
    <row r="75" spans="3:83" s="862" customFormat="1">
      <c r="C75" s="863"/>
      <c r="D75" s="865"/>
      <c r="E75" s="864"/>
      <c r="F75" s="864"/>
      <c r="G75" s="864"/>
      <c r="H75" s="864"/>
      <c r="I75" s="864"/>
      <c r="J75" s="864"/>
      <c r="K75" s="864"/>
      <c r="L75" s="864"/>
      <c r="M75" s="864"/>
      <c r="N75" s="864"/>
      <c r="O75" s="864"/>
      <c r="P75" s="864"/>
      <c r="Q75" s="864"/>
      <c r="R75" s="872"/>
      <c r="S75" s="872"/>
      <c r="T75" s="872"/>
      <c r="U75" s="872"/>
      <c r="V75" s="872"/>
      <c r="W75" s="872"/>
      <c r="X75" s="872"/>
      <c r="Y75" s="872"/>
      <c r="Z75" s="872"/>
      <c r="AA75" s="872"/>
      <c r="AB75" s="872"/>
      <c r="AC75" s="872"/>
      <c r="AD75" s="872"/>
      <c r="AE75" s="872"/>
      <c r="AF75" s="872"/>
      <c r="AG75" s="872"/>
      <c r="AH75" s="872"/>
      <c r="AI75" s="872"/>
      <c r="AJ75" s="872"/>
      <c r="AK75" s="872"/>
      <c r="AL75" s="872"/>
      <c r="AM75" s="872"/>
      <c r="AN75" s="872"/>
      <c r="AO75" s="872"/>
      <c r="AP75" s="872"/>
      <c r="AQ75" s="872"/>
      <c r="AR75" s="872"/>
      <c r="AS75" s="872"/>
      <c r="AT75" s="872"/>
      <c r="AU75" s="864"/>
      <c r="AV75" s="864"/>
      <c r="AW75" s="864"/>
      <c r="AX75" s="864"/>
      <c r="AY75" s="864"/>
      <c r="AZ75" s="864"/>
      <c r="BA75" s="864"/>
      <c r="BB75" s="864"/>
      <c r="BC75" s="864"/>
      <c r="BD75" s="864"/>
      <c r="BE75" s="864"/>
      <c r="BF75" s="864"/>
      <c r="BG75" s="864"/>
      <c r="BH75" s="864"/>
      <c r="BI75" s="864"/>
      <c r="BJ75" s="866"/>
      <c r="BK75" s="864"/>
      <c r="BL75" s="864"/>
      <c r="BM75" s="864"/>
      <c r="BN75" s="864"/>
      <c r="BO75" s="864"/>
      <c r="BP75" s="864"/>
      <c r="BQ75" s="864"/>
      <c r="BR75" s="864"/>
      <c r="BS75" s="864"/>
      <c r="BT75" s="864"/>
      <c r="BU75" s="864"/>
      <c r="BV75" s="864"/>
      <c r="BW75" s="864"/>
      <c r="BX75" s="864"/>
      <c r="BY75" s="864"/>
      <c r="BZ75" s="864"/>
      <c r="CA75" s="864"/>
      <c r="CB75" s="864"/>
      <c r="CC75" s="864"/>
      <c r="CD75" s="864"/>
      <c r="CE75" s="864"/>
    </row>
    <row r="76" spans="3:83" s="862" customFormat="1">
      <c r="C76" s="863"/>
      <c r="D76" s="865"/>
      <c r="E76" s="864"/>
      <c r="F76" s="864"/>
      <c r="G76" s="864"/>
      <c r="H76" s="864"/>
      <c r="I76" s="864"/>
      <c r="J76" s="864"/>
      <c r="K76" s="864"/>
      <c r="L76" s="864"/>
      <c r="M76" s="864"/>
      <c r="N76" s="864"/>
      <c r="O76" s="864"/>
      <c r="P76" s="864"/>
      <c r="Q76" s="864"/>
      <c r="R76" s="872"/>
      <c r="S76" s="872"/>
      <c r="T76" s="872"/>
      <c r="U76" s="872"/>
      <c r="V76" s="872"/>
      <c r="W76" s="872"/>
      <c r="X76" s="872"/>
      <c r="Y76" s="872"/>
      <c r="Z76" s="872"/>
      <c r="AA76" s="872"/>
      <c r="AB76" s="872"/>
      <c r="AC76" s="872"/>
      <c r="AD76" s="872"/>
      <c r="AE76" s="872"/>
      <c r="AF76" s="872"/>
      <c r="AG76" s="872"/>
      <c r="AH76" s="872"/>
      <c r="AI76" s="872"/>
      <c r="AJ76" s="872"/>
      <c r="AK76" s="872"/>
      <c r="AL76" s="872"/>
      <c r="AM76" s="872"/>
      <c r="AN76" s="872"/>
      <c r="AO76" s="872"/>
      <c r="AP76" s="872"/>
      <c r="AQ76" s="872"/>
      <c r="AR76" s="872"/>
      <c r="AS76" s="872"/>
      <c r="AT76" s="872"/>
      <c r="AU76" s="864"/>
      <c r="AV76" s="864"/>
      <c r="AW76" s="864"/>
      <c r="AX76" s="864"/>
      <c r="AY76" s="864"/>
      <c r="AZ76" s="864"/>
      <c r="BA76" s="864"/>
      <c r="BB76" s="864"/>
      <c r="BC76" s="864"/>
      <c r="BD76" s="864"/>
      <c r="BE76" s="864"/>
      <c r="BF76" s="864"/>
      <c r="BG76" s="864"/>
      <c r="BH76" s="864"/>
      <c r="BI76" s="864"/>
      <c r="BJ76" s="864"/>
      <c r="BK76" s="866"/>
      <c r="BL76" s="864"/>
      <c r="BM76" s="864"/>
      <c r="BN76" s="864"/>
      <c r="BO76" s="864"/>
      <c r="BP76" s="864"/>
      <c r="BQ76" s="864"/>
      <c r="BR76" s="864"/>
      <c r="BS76" s="864"/>
      <c r="BT76" s="864"/>
      <c r="BU76" s="864"/>
      <c r="BV76" s="864"/>
      <c r="BW76" s="864"/>
      <c r="BX76" s="864"/>
      <c r="BY76" s="864"/>
      <c r="BZ76" s="864"/>
      <c r="CA76" s="864"/>
      <c r="CB76" s="864"/>
      <c r="CC76" s="864"/>
      <c r="CD76" s="864"/>
      <c r="CE76" s="864"/>
    </row>
    <row r="77" spans="3:83" s="862" customFormat="1">
      <c r="C77" s="863"/>
      <c r="D77" s="865"/>
      <c r="E77" s="864"/>
      <c r="F77" s="864"/>
      <c r="G77" s="864"/>
      <c r="H77" s="864"/>
      <c r="I77" s="864"/>
      <c r="J77" s="864"/>
      <c r="K77" s="864"/>
      <c r="L77" s="864"/>
      <c r="M77" s="864"/>
      <c r="N77" s="864"/>
      <c r="O77" s="864"/>
      <c r="P77" s="864"/>
      <c r="Q77" s="864"/>
      <c r="R77" s="872"/>
      <c r="S77" s="872"/>
      <c r="T77" s="872"/>
      <c r="U77" s="872"/>
      <c r="V77" s="872"/>
      <c r="W77" s="872"/>
      <c r="X77" s="872"/>
      <c r="Y77" s="872"/>
      <c r="Z77" s="872"/>
      <c r="AA77" s="872"/>
      <c r="AB77" s="872"/>
      <c r="AC77" s="872"/>
      <c r="AD77" s="872"/>
      <c r="AE77" s="872"/>
      <c r="AF77" s="872"/>
      <c r="AG77" s="872"/>
      <c r="AH77" s="872"/>
      <c r="AI77" s="872"/>
      <c r="AJ77" s="872"/>
      <c r="AK77" s="872"/>
      <c r="AL77" s="872"/>
      <c r="AM77" s="872"/>
      <c r="AN77" s="872"/>
      <c r="AO77" s="872"/>
      <c r="AP77" s="872"/>
      <c r="AQ77" s="872"/>
      <c r="AR77" s="872"/>
      <c r="AS77" s="872"/>
      <c r="AT77" s="872"/>
      <c r="AU77" s="864"/>
      <c r="AV77" s="864"/>
      <c r="AW77" s="864"/>
      <c r="AX77" s="864"/>
      <c r="AY77" s="864"/>
      <c r="AZ77" s="864"/>
      <c r="BA77" s="864"/>
      <c r="BB77" s="864"/>
      <c r="BC77" s="864"/>
      <c r="BD77" s="864"/>
      <c r="BE77" s="864"/>
      <c r="BF77" s="864"/>
      <c r="BG77" s="864"/>
      <c r="BH77" s="864"/>
      <c r="BI77" s="864"/>
      <c r="BJ77" s="864"/>
      <c r="BK77" s="864"/>
      <c r="BL77" s="866"/>
      <c r="BM77" s="864"/>
      <c r="BN77" s="864"/>
      <c r="BO77" s="864"/>
      <c r="BP77" s="864"/>
      <c r="BQ77" s="864"/>
      <c r="BR77" s="864"/>
      <c r="BS77" s="864"/>
      <c r="BT77" s="864"/>
      <c r="BU77" s="864"/>
      <c r="BV77" s="864"/>
      <c r="BW77" s="864"/>
      <c r="BX77" s="864"/>
      <c r="BY77" s="864"/>
      <c r="BZ77" s="864"/>
      <c r="CA77" s="864"/>
      <c r="CB77" s="864"/>
      <c r="CC77" s="864"/>
      <c r="CD77" s="864"/>
      <c r="CE77" s="864"/>
    </row>
    <row r="78" spans="3:83" s="862" customFormat="1">
      <c r="C78" s="863"/>
      <c r="D78" s="865"/>
      <c r="E78" s="864"/>
      <c r="F78" s="864"/>
      <c r="G78" s="864"/>
      <c r="H78" s="864"/>
      <c r="I78" s="864"/>
      <c r="J78" s="864"/>
      <c r="K78" s="864"/>
      <c r="L78" s="864"/>
      <c r="M78" s="864"/>
      <c r="N78" s="864"/>
      <c r="O78" s="864"/>
      <c r="P78" s="864"/>
      <c r="Q78" s="864"/>
      <c r="R78" s="872"/>
      <c r="S78" s="872"/>
      <c r="T78" s="872"/>
      <c r="U78" s="872"/>
      <c r="V78" s="872"/>
      <c r="W78" s="872"/>
      <c r="X78" s="872"/>
      <c r="Y78" s="872"/>
      <c r="Z78" s="872"/>
      <c r="AA78" s="872"/>
      <c r="AB78" s="872"/>
      <c r="AC78" s="872"/>
      <c r="AD78" s="872"/>
      <c r="AE78" s="872"/>
      <c r="AF78" s="872"/>
      <c r="AG78" s="872"/>
      <c r="AH78" s="872"/>
      <c r="AI78" s="872"/>
      <c r="AJ78" s="872"/>
      <c r="AK78" s="872"/>
      <c r="AL78" s="872"/>
      <c r="AM78" s="872"/>
      <c r="AN78" s="872"/>
      <c r="AO78" s="872"/>
      <c r="AP78" s="872"/>
      <c r="AQ78" s="872"/>
      <c r="AR78" s="872"/>
      <c r="AS78" s="872"/>
      <c r="AT78" s="872"/>
      <c r="AU78" s="864"/>
      <c r="AV78" s="864"/>
      <c r="AW78" s="864"/>
      <c r="AX78" s="864"/>
      <c r="AY78" s="864"/>
      <c r="AZ78" s="864"/>
      <c r="BA78" s="864"/>
      <c r="BB78" s="864"/>
      <c r="BC78" s="864"/>
      <c r="BD78" s="864"/>
      <c r="BE78" s="864"/>
      <c r="BF78" s="864"/>
      <c r="BG78" s="864"/>
      <c r="BH78" s="864"/>
      <c r="BI78" s="864"/>
      <c r="BJ78" s="864"/>
      <c r="BK78" s="864"/>
      <c r="BL78" s="864"/>
      <c r="BM78" s="866"/>
      <c r="BN78" s="864"/>
      <c r="BO78" s="864"/>
      <c r="BP78" s="864"/>
      <c r="BQ78" s="864"/>
      <c r="BR78" s="864"/>
      <c r="BS78" s="864"/>
      <c r="BT78" s="864"/>
      <c r="BU78" s="864"/>
      <c r="BV78" s="864"/>
      <c r="BW78" s="864"/>
      <c r="BX78" s="864"/>
      <c r="BY78" s="864"/>
      <c r="BZ78" s="864"/>
      <c r="CA78" s="864"/>
      <c r="CB78" s="864"/>
      <c r="CC78" s="864"/>
      <c r="CD78" s="864"/>
      <c r="CE78" s="864"/>
    </row>
    <row r="79" spans="3:83" s="862" customFormat="1">
      <c r="C79" s="863"/>
      <c r="D79" s="865"/>
      <c r="E79" s="864"/>
      <c r="F79" s="864"/>
      <c r="G79" s="864"/>
      <c r="H79" s="864"/>
      <c r="I79" s="864"/>
      <c r="J79" s="864"/>
      <c r="K79" s="864"/>
      <c r="L79" s="864"/>
      <c r="M79" s="864"/>
      <c r="N79" s="864"/>
      <c r="O79" s="864"/>
      <c r="P79" s="864"/>
      <c r="Q79" s="864"/>
      <c r="R79" s="872"/>
      <c r="S79" s="872"/>
      <c r="T79" s="872"/>
      <c r="U79" s="872"/>
      <c r="V79" s="872"/>
      <c r="W79" s="872"/>
      <c r="X79" s="872"/>
      <c r="Y79" s="872"/>
      <c r="Z79" s="872"/>
      <c r="AA79" s="872"/>
      <c r="AB79" s="872"/>
      <c r="AC79" s="872"/>
      <c r="AD79" s="872"/>
      <c r="AE79" s="872"/>
      <c r="AF79" s="872"/>
      <c r="AG79" s="872"/>
      <c r="AH79" s="872"/>
      <c r="AI79" s="872"/>
      <c r="AJ79" s="872"/>
      <c r="AK79" s="872"/>
      <c r="AL79" s="872"/>
      <c r="AM79" s="872"/>
      <c r="AN79" s="872"/>
      <c r="AO79" s="872"/>
      <c r="AP79" s="872"/>
      <c r="AQ79" s="872"/>
      <c r="AR79" s="872"/>
      <c r="AS79" s="872"/>
      <c r="AT79" s="872"/>
      <c r="AU79" s="864"/>
      <c r="AV79" s="864"/>
      <c r="AW79" s="864"/>
      <c r="AX79" s="864"/>
      <c r="AY79" s="864"/>
      <c r="AZ79" s="864"/>
      <c r="BA79" s="864"/>
      <c r="BB79" s="864"/>
      <c r="BC79" s="864"/>
      <c r="BD79" s="864"/>
      <c r="BE79" s="864"/>
      <c r="BF79" s="864"/>
      <c r="BG79" s="864"/>
      <c r="BH79" s="864"/>
      <c r="BI79" s="864"/>
      <c r="BJ79" s="864"/>
      <c r="BK79" s="864"/>
      <c r="BL79" s="864"/>
      <c r="BM79" s="864"/>
      <c r="BN79" s="866"/>
      <c r="BO79" s="864"/>
      <c r="BP79" s="864"/>
      <c r="BQ79" s="864"/>
      <c r="BR79" s="864"/>
      <c r="BS79" s="864"/>
      <c r="BT79" s="864"/>
      <c r="BU79" s="864"/>
      <c r="BV79" s="864"/>
      <c r="BW79" s="864"/>
      <c r="BX79" s="864"/>
      <c r="BY79" s="864"/>
      <c r="BZ79" s="864"/>
      <c r="CA79" s="864"/>
      <c r="CB79" s="864"/>
      <c r="CC79" s="864"/>
      <c r="CD79" s="864"/>
      <c r="CE79" s="864"/>
    </row>
    <row r="80" spans="3:83" s="862" customFormat="1">
      <c r="C80" s="863"/>
      <c r="D80" s="865"/>
      <c r="E80" s="864"/>
      <c r="F80" s="864"/>
      <c r="G80" s="864"/>
      <c r="H80" s="864"/>
      <c r="I80" s="864"/>
      <c r="J80" s="864"/>
      <c r="K80" s="864"/>
      <c r="L80" s="864"/>
      <c r="M80" s="864"/>
      <c r="N80" s="864"/>
      <c r="O80" s="864"/>
      <c r="P80" s="864"/>
      <c r="Q80" s="864"/>
      <c r="R80" s="872"/>
      <c r="S80" s="872"/>
      <c r="T80" s="872"/>
      <c r="U80" s="872"/>
      <c r="V80" s="872"/>
      <c r="W80" s="872"/>
      <c r="X80" s="872"/>
      <c r="Y80" s="872"/>
      <c r="Z80" s="872"/>
      <c r="AA80" s="872"/>
      <c r="AB80" s="872"/>
      <c r="AC80" s="872"/>
      <c r="AD80" s="872"/>
      <c r="AE80" s="872"/>
      <c r="AF80" s="872"/>
      <c r="AG80" s="872"/>
      <c r="AH80" s="872"/>
      <c r="AI80" s="872"/>
      <c r="AJ80" s="872"/>
      <c r="AK80" s="872"/>
      <c r="AL80" s="872"/>
      <c r="AM80" s="872"/>
      <c r="AN80" s="872"/>
      <c r="AO80" s="872"/>
      <c r="AP80" s="872"/>
      <c r="AQ80" s="872"/>
      <c r="AR80" s="872"/>
      <c r="AS80" s="872"/>
      <c r="AT80" s="872"/>
      <c r="AU80" s="864"/>
      <c r="AV80" s="864"/>
      <c r="AW80" s="864"/>
      <c r="AX80" s="864"/>
      <c r="AY80" s="864"/>
      <c r="AZ80" s="864"/>
      <c r="BA80" s="864"/>
      <c r="BB80" s="864"/>
      <c r="BC80" s="864"/>
      <c r="BD80" s="864"/>
      <c r="BE80" s="864"/>
      <c r="BF80" s="864"/>
      <c r="BG80" s="864"/>
      <c r="BH80" s="864"/>
      <c r="BI80" s="864"/>
      <c r="BJ80" s="864"/>
      <c r="BK80" s="864"/>
      <c r="BL80" s="864"/>
      <c r="BM80" s="864"/>
      <c r="BN80" s="864"/>
      <c r="BO80" s="866"/>
      <c r="BP80" s="864"/>
      <c r="BQ80" s="864"/>
      <c r="BR80" s="864"/>
      <c r="BS80" s="864"/>
      <c r="BT80" s="864"/>
      <c r="BU80" s="864"/>
      <c r="BV80" s="864"/>
      <c r="BW80" s="864"/>
      <c r="BX80" s="864"/>
      <c r="BY80" s="864"/>
      <c r="BZ80" s="864"/>
      <c r="CA80" s="864"/>
      <c r="CB80" s="864"/>
      <c r="CC80" s="864"/>
      <c r="CD80" s="864"/>
      <c r="CE80" s="864"/>
    </row>
    <row r="81" spans="3:83" s="862" customFormat="1">
      <c r="C81" s="863"/>
      <c r="D81" s="865"/>
      <c r="E81" s="864"/>
      <c r="F81" s="864"/>
      <c r="G81" s="864"/>
      <c r="H81" s="864"/>
      <c r="I81" s="864"/>
      <c r="J81" s="864"/>
      <c r="K81" s="864"/>
      <c r="L81" s="864"/>
      <c r="M81" s="864"/>
      <c r="N81" s="864"/>
      <c r="O81" s="864"/>
      <c r="P81" s="864"/>
      <c r="Q81" s="864"/>
      <c r="R81" s="872"/>
      <c r="S81" s="872"/>
      <c r="T81" s="872"/>
      <c r="U81" s="872"/>
      <c r="V81" s="872"/>
      <c r="W81" s="872"/>
      <c r="X81" s="872"/>
      <c r="Y81" s="872"/>
      <c r="Z81" s="872"/>
      <c r="AA81" s="872"/>
      <c r="AB81" s="872"/>
      <c r="AC81" s="872"/>
      <c r="AD81" s="872"/>
      <c r="AE81" s="872"/>
      <c r="AF81" s="872"/>
      <c r="AG81" s="872"/>
      <c r="AH81" s="872"/>
      <c r="AI81" s="872"/>
      <c r="AJ81" s="872"/>
      <c r="AK81" s="872"/>
      <c r="AL81" s="872"/>
      <c r="AM81" s="872"/>
      <c r="AN81" s="872"/>
      <c r="AO81" s="872"/>
      <c r="AP81" s="872"/>
      <c r="AQ81" s="872"/>
      <c r="AR81" s="872"/>
      <c r="AS81" s="872"/>
      <c r="AT81" s="872"/>
      <c r="AU81" s="864"/>
      <c r="AV81" s="864"/>
      <c r="AW81" s="864"/>
      <c r="AX81" s="864"/>
      <c r="AY81" s="864"/>
      <c r="AZ81" s="864"/>
      <c r="BA81" s="864"/>
      <c r="BB81" s="864"/>
      <c r="BC81" s="864"/>
      <c r="BD81" s="864"/>
      <c r="BE81" s="864"/>
      <c r="BF81" s="864"/>
      <c r="BG81" s="864"/>
      <c r="BH81" s="864"/>
      <c r="BI81" s="864"/>
      <c r="BJ81" s="864"/>
      <c r="BK81" s="864"/>
      <c r="BL81" s="864"/>
      <c r="BM81" s="864"/>
      <c r="BN81" s="864"/>
      <c r="BO81" s="864"/>
      <c r="BP81" s="866"/>
      <c r="BQ81" s="864"/>
      <c r="BR81" s="864"/>
      <c r="BS81" s="864"/>
      <c r="BT81" s="864"/>
      <c r="BU81" s="864"/>
      <c r="BV81" s="864"/>
      <c r="BW81" s="864"/>
      <c r="BX81" s="864"/>
      <c r="BY81" s="864"/>
      <c r="BZ81" s="864"/>
      <c r="CA81" s="864"/>
      <c r="CB81" s="864"/>
      <c r="CC81" s="864"/>
      <c r="CD81" s="864"/>
      <c r="CE81" s="864"/>
    </row>
    <row r="82" spans="3:83" s="862" customFormat="1">
      <c r="C82" s="863"/>
      <c r="D82" s="865"/>
      <c r="E82" s="864"/>
      <c r="F82" s="864"/>
      <c r="G82" s="864"/>
      <c r="H82" s="864"/>
      <c r="I82" s="864"/>
      <c r="J82" s="864"/>
      <c r="K82" s="864"/>
      <c r="L82" s="864"/>
      <c r="M82" s="864"/>
      <c r="N82" s="864"/>
      <c r="O82" s="864"/>
      <c r="P82" s="864"/>
      <c r="Q82" s="864"/>
      <c r="R82" s="872"/>
      <c r="S82" s="872"/>
      <c r="T82" s="872"/>
      <c r="U82" s="872"/>
      <c r="V82" s="872"/>
      <c r="W82" s="872"/>
      <c r="X82" s="872"/>
      <c r="Y82" s="872"/>
      <c r="Z82" s="872"/>
      <c r="AA82" s="872"/>
      <c r="AB82" s="872"/>
      <c r="AC82" s="872"/>
      <c r="AD82" s="872"/>
      <c r="AE82" s="872"/>
      <c r="AF82" s="872"/>
      <c r="AG82" s="872"/>
      <c r="AH82" s="872"/>
      <c r="AI82" s="872"/>
      <c r="AJ82" s="872"/>
      <c r="AK82" s="872"/>
      <c r="AL82" s="872"/>
      <c r="AM82" s="872"/>
      <c r="AN82" s="872"/>
      <c r="AO82" s="872"/>
      <c r="AP82" s="872"/>
      <c r="AQ82" s="872"/>
      <c r="AR82" s="872"/>
      <c r="AS82" s="872"/>
      <c r="AT82" s="872"/>
      <c r="AU82" s="864"/>
      <c r="AV82" s="864"/>
      <c r="AW82" s="864"/>
      <c r="AX82" s="864"/>
      <c r="AY82" s="864"/>
      <c r="AZ82" s="864"/>
      <c r="BA82" s="864"/>
      <c r="BB82" s="864"/>
      <c r="BC82" s="864"/>
      <c r="BD82" s="864"/>
      <c r="BE82" s="864"/>
      <c r="BF82" s="864"/>
      <c r="BG82" s="864"/>
      <c r="BH82" s="864"/>
      <c r="BI82" s="864"/>
      <c r="BJ82" s="864"/>
      <c r="BK82" s="864"/>
      <c r="BL82" s="864"/>
      <c r="BM82" s="864"/>
      <c r="BN82" s="864"/>
      <c r="BO82" s="864"/>
      <c r="BP82" s="864"/>
      <c r="BQ82" s="866"/>
      <c r="BR82" s="864"/>
      <c r="BS82" s="864"/>
      <c r="BT82" s="864"/>
      <c r="BU82" s="864"/>
      <c r="BV82" s="864"/>
      <c r="BW82" s="864"/>
      <c r="BX82" s="864"/>
      <c r="BY82" s="864"/>
      <c r="BZ82" s="864"/>
      <c r="CA82" s="864"/>
      <c r="CB82" s="864"/>
      <c r="CC82" s="864"/>
      <c r="CD82" s="864"/>
      <c r="CE82" s="864"/>
    </row>
    <row r="83" spans="3:83" s="862" customFormat="1">
      <c r="C83" s="863"/>
      <c r="D83" s="865"/>
      <c r="E83" s="864"/>
      <c r="F83" s="864"/>
      <c r="G83" s="864"/>
      <c r="H83" s="864"/>
      <c r="I83" s="864"/>
      <c r="J83" s="864"/>
      <c r="K83" s="864"/>
      <c r="L83" s="864"/>
      <c r="M83" s="864"/>
      <c r="N83" s="864"/>
      <c r="O83" s="864"/>
      <c r="P83" s="864"/>
      <c r="Q83" s="864"/>
      <c r="R83" s="872"/>
      <c r="S83" s="872"/>
      <c r="T83" s="872"/>
      <c r="U83" s="872"/>
      <c r="V83" s="872"/>
      <c r="W83" s="872"/>
      <c r="X83" s="872"/>
      <c r="Y83" s="872"/>
      <c r="Z83" s="872"/>
      <c r="AA83" s="872"/>
      <c r="AB83" s="872"/>
      <c r="AC83" s="872"/>
      <c r="AD83" s="872"/>
      <c r="AE83" s="872"/>
      <c r="AF83" s="872"/>
      <c r="AG83" s="872"/>
      <c r="AH83" s="872"/>
      <c r="AI83" s="872"/>
      <c r="AJ83" s="872"/>
      <c r="AK83" s="872"/>
      <c r="AL83" s="872"/>
      <c r="AM83" s="872"/>
      <c r="AN83" s="872"/>
      <c r="AO83" s="872"/>
      <c r="AP83" s="872"/>
      <c r="AQ83" s="872"/>
      <c r="AR83" s="872"/>
      <c r="AS83" s="872"/>
      <c r="AT83" s="872"/>
      <c r="AU83" s="864"/>
      <c r="AV83" s="864"/>
      <c r="AW83" s="864"/>
      <c r="AX83" s="864"/>
      <c r="AY83" s="864"/>
      <c r="AZ83" s="864"/>
      <c r="BA83" s="864"/>
      <c r="BB83" s="864"/>
      <c r="BC83" s="864"/>
      <c r="BD83" s="864"/>
      <c r="BE83" s="864"/>
      <c r="BF83" s="864"/>
      <c r="BG83" s="864"/>
      <c r="BH83" s="864"/>
      <c r="BI83" s="864"/>
      <c r="BJ83" s="864"/>
      <c r="BK83" s="864"/>
      <c r="BL83" s="864"/>
      <c r="BM83" s="864"/>
      <c r="BN83" s="864"/>
      <c r="BO83" s="864"/>
      <c r="BP83" s="864"/>
      <c r="BQ83" s="864"/>
      <c r="BR83" s="866"/>
      <c r="BS83" s="864"/>
      <c r="BT83" s="864"/>
      <c r="BU83" s="864"/>
      <c r="BV83" s="864"/>
      <c r="BW83" s="864"/>
      <c r="BX83" s="864"/>
      <c r="BY83" s="864"/>
      <c r="BZ83" s="864"/>
      <c r="CA83" s="864"/>
      <c r="CB83" s="864"/>
      <c r="CC83" s="864"/>
      <c r="CD83" s="864"/>
      <c r="CE83" s="864"/>
    </row>
    <row r="84" spans="3:83" s="862" customFormat="1">
      <c r="C84" s="863"/>
      <c r="D84" s="865"/>
      <c r="E84" s="864"/>
      <c r="F84" s="864"/>
      <c r="G84" s="864"/>
      <c r="H84" s="864"/>
      <c r="I84" s="864"/>
      <c r="J84" s="864"/>
      <c r="K84" s="864"/>
      <c r="L84" s="864"/>
      <c r="M84" s="864"/>
      <c r="N84" s="864"/>
      <c r="O84" s="864"/>
      <c r="P84" s="864"/>
      <c r="Q84" s="864"/>
      <c r="R84" s="872"/>
      <c r="S84" s="872"/>
      <c r="T84" s="872"/>
      <c r="U84" s="872"/>
      <c r="V84" s="872"/>
      <c r="W84" s="872"/>
      <c r="X84" s="872"/>
      <c r="Y84" s="872"/>
      <c r="Z84" s="872"/>
      <c r="AA84" s="872"/>
      <c r="AB84" s="872"/>
      <c r="AC84" s="872"/>
      <c r="AD84" s="872"/>
      <c r="AE84" s="872"/>
      <c r="AF84" s="872"/>
      <c r="AG84" s="872"/>
      <c r="AH84" s="872"/>
      <c r="AI84" s="872"/>
      <c r="AJ84" s="872"/>
      <c r="AK84" s="872"/>
      <c r="AL84" s="872"/>
      <c r="AM84" s="872"/>
      <c r="AN84" s="872"/>
      <c r="AO84" s="872"/>
      <c r="AP84" s="872"/>
      <c r="AQ84" s="872"/>
      <c r="AR84" s="872"/>
      <c r="AS84" s="872"/>
      <c r="AT84" s="872"/>
      <c r="AU84" s="864"/>
      <c r="AV84" s="864"/>
      <c r="AW84" s="864"/>
      <c r="AX84" s="864"/>
      <c r="AY84" s="864"/>
      <c r="AZ84" s="864"/>
      <c r="BA84" s="864"/>
      <c r="BB84" s="864"/>
      <c r="BC84" s="864"/>
      <c r="BD84" s="864"/>
      <c r="BE84" s="864"/>
      <c r="BF84" s="864"/>
      <c r="BG84" s="864"/>
      <c r="BH84" s="864"/>
      <c r="BI84" s="864"/>
      <c r="BJ84" s="864"/>
      <c r="BK84" s="864"/>
      <c r="BL84" s="864"/>
      <c r="BM84" s="864"/>
      <c r="BN84" s="864"/>
      <c r="BO84" s="864"/>
      <c r="BP84" s="864"/>
      <c r="BQ84" s="864"/>
      <c r="BR84" s="864"/>
      <c r="BS84" s="866"/>
      <c r="BT84" s="864"/>
      <c r="BU84" s="864"/>
      <c r="BV84" s="864"/>
      <c r="BW84" s="864"/>
      <c r="BX84" s="864"/>
      <c r="BY84" s="864"/>
      <c r="BZ84" s="864"/>
      <c r="CA84" s="864"/>
      <c r="CB84" s="864"/>
      <c r="CC84" s="864"/>
      <c r="CD84" s="864"/>
      <c r="CE84" s="864"/>
    </row>
    <row r="85" spans="3:83" s="862" customFormat="1">
      <c r="C85" s="863"/>
      <c r="D85" s="865"/>
      <c r="E85" s="864"/>
      <c r="F85" s="864"/>
      <c r="G85" s="864"/>
      <c r="H85" s="864"/>
      <c r="I85" s="864"/>
      <c r="J85" s="864"/>
      <c r="K85" s="864"/>
      <c r="L85" s="864"/>
      <c r="M85" s="864"/>
      <c r="N85" s="864"/>
      <c r="O85" s="864"/>
      <c r="P85" s="864"/>
      <c r="Q85" s="864"/>
      <c r="R85" s="872"/>
      <c r="S85" s="872"/>
      <c r="T85" s="872"/>
      <c r="U85" s="872"/>
      <c r="V85" s="872"/>
      <c r="W85" s="872"/>
      <c r="X85" s="872"/>
      <c r="Y85" s="872"/>
      <c r="Z85" s="872"/>
      <c r="AA85" s="872"/>
      <c r="AB85" s="872"/>
      <c r="AC85" s="872"/>
      <c r="AD85" s="872"/>
      <c r="AE85" s="872"/>
      <c r="AF85" s="872"/>
      <c r="AG85" s="872"/>
      <c r="AH85" s="872"/>
      <c r="AI85" s="872"/>
      <c r="AJ85" s="872"/>
      <c r="AK85" s="872"/>
      <c r="AL85" s="872"/>
      <c r="AM85" s="872"/>
      <c r="AN85" s="872"/>
      <c r="AO85" s="872"/>
      <c r="AP85" s="872"/>
      <c r="AQ85" s="872"/>
      <c r="AR85" s="872"/>
      <c r="AS85" s="872"/>
      <c r="AT85" s="872"/>
      <c r="AU85" s="864"/>
      <c r="AV85" s="864"/>
      <c r="AW85" s="864"/>
      <c r="AX85" s="864"/>
      <c r="AY85" s="864"/>
      <c r="AZ85" s="864"/>
      <c r="BA85" s="864"/>
      <c r="BB85" s="864"/>
      <c r="BC85" s="864"/>
      <c r="BD85" s="864"/>
      <c r="BE85" s="864"/>
      <c r="BF85" s="864"/>
      <c r="BG85" s="864"/>
      <c r="BH85" s="864"/>
      <c r="BI85" s="864"/>
      <c r="BJ85" s="864"/>
      <c r="BK85" s="864"/>
      <c r="BL85" s="864"/>
      <c r="BM85" s="864"/>
      <c r="BN85" s="864"/>
      <c r="BO85" s="864"/>
      <c r="BP85" s="864"/>
      <c r="BQ85" s="864"/>
      <c r="BR85" s="864"/>
      <c r="BS85" s="864"/>
      <c r="BT85" s="866"/>
      <c r="BU85" s="864"/>
      <c r="BV85" s="864"/>
      <c r="BW85" s="864"/>
      <c r="BX85" s="864"/>
      <c r="BY85" s="864"/>
      <c r="BZ85" s="864"/>
      <c r="CA85" s="864"/>
      <c r="CB85" s="864"/>
      <c r="CC85" s="864"/>
      <c r="CD85" s="864"/>
      <c r="CE85" s="864"/>
    </row>
    <row r="86" spans="3:83" s="862" customFormat="1">
      <c r="C86" s="863"/>
      <c r="D86" s="865"/>
      <c r="E86" s="864"/>
      <c r="F86" s="864"/>
      <c r="G86" s="864"/>
      <c r="H86" s="864"/>
      <c r="I86" s="864"/>
      <c r="J86" s="864"/>
      <c r="K86" s="864"/>
      <c r="L86" s="864"/>
      <c r="M86" s="864"/>
      <c r="N86" s="864"/>
      <c r="O86" s="864"/>
      <c r="P86" s="864"/>
      <c r="Q86" s="864"/>
      <c r="R86" s="872"/>
      <c r="S86" s="872"/>
      <c r="T86" s="872"/>
      <c r="U86" s="872"/>
      <c r="V86" s="872"/>
      <c r="W86" s="872"/>
      <c r="X86" s="872"/>
      <c r="Y86" s="872"/>
      <c r="Z86" s="872"/>
      <c r="AA86" s="872"/>
      <c r="AB86" s="872"/>
      <c r="AC86" s="872"/>
      <c r="AD86" s="872"/>
      <c r="AE86" s="872"/>
      <c r="AF86" s="872"/>
      <c r="AG86" s="872"/>
      <c r="AH86" s="872"/>
      <c r="AI86" s="872"/>
      <c r="AJ86" s="872"/>
      <c r="AK86" s="872"/>
      <c r="AL86" s="872"/>
      <c r="AM86" s="872"/>
      <c r="AN86" s="872"/>
      <c r="AO86" s="872"/>
      <c r="AP86" s="872"/>
      <c r="AQ86" s="872"/>
      <c r="AR86" s="872"/>
      <c r="AS86" s="872"/>
      <c r="AT86" s="872"/>
      <c r="AU86" s="864"/>
      <c r="AV86" s="864"/>
      <c r="AW86" s="864"/>
      <c r="AX86" s="864"/>
      <c r="AY86" s="864"/>
      <c r="AZ86" s="864"/>
      <c r="BA86" s="864"/>
      <c r="BB86" s="864"/>
      <c r="BC86" s="864"/>
      <c r="BD86" s="864"/>
      <c r="BE86" s="864"/>
      <c r="BF86" s="864"/>
      <c r="BG86" s="864"/>
      <c r="BH86" s="864"/>
      <c r="BI86" s="864"/>
      <c r="BJ86" s="864"/>
      <c r="BK86" s="864"/>
      <c r="BL86" s="864"/>
      <c r="BM86" s="864"/>
      <c r="BN86" s="864"/>
      <c r="BO86" s="864"/>
      <c r="BP86" s="864"/>
      <c r="BQ86" s="864"/>
      <c r="BR86" s="864"/>
      <c r="BS86" s="864"/>
      <c r="BT86" s="864"/>
      <c r="BU86" s="866"/>
      <c r="BV86" s="864"/>
      <c r="BW86" s="864"/>
      <c r="BX86" s="864"/>
      <c r="BY86" s="864"/>
      <c r="BZ86" s="864"/>
      <c r="CA86" s="864"/>
      <c r="CB86" s="864"/>
      <c r="CC86" s="864"/>
      <c r="CD86" s="864"/>
      <c r="CE86" s="864"/>
    </row>
    <row r="87" spans="3:83" s="862" customFormat="1">
      <c r="C87" s="863"/>
      <c r="D87" s="865"/>
      <c r="E87" s="864"/>
      <c r="F87" s="864"/>
      <c r="G87" s="864"/>
      <c r="H87" s="864"/>
      <c r="I87" s="864"/>
      <c r="J87" s="864"/>
      <c r="K87" s="864"/>
      <c r="L87" s="864"/>
      <c r="M87" s="864"/>
      <c r="N87" s="864"/>
      <c r="O87" s="864"/>
      <c r="P87" s="864"/>
      <c r="Q87" s="864"/>
      <c r="R87" s="872"/>
      <c r="S87" s="872"/>
      <c r="T87" s="872"/>
      <c r="U87" s="872"/>
      <c r="V87" s="872"/>
      <c r="W87" s="872"/>
      <c r="X87" s="872"/>
      <c r="Y87" s="872"/>
      <c r="Z87" s="872"/>
      <c r="AA87" s="872"/>
      <c r="AB87" s="872"/>
      <c r="AC87" s="872"/>
      <c r="AD87" s="872"/>
      <c r="AE87" s="872"/>
      <c r="AF87" s="872"/>
      <c r="AG87" s="872"/>
      <c r="AH87" s="872"/>
      <c r="AI87" s="872"/>
      <c r="AJ87" s="872"/>
      <c r="AK87" s="872"/>
      <c r="AL87" s="872"/>
      <c r="AM87" s="872"/>
      <c r="AN87" s="872"/>
      <c r="AO87" s="872"/>
      <c r="AP87" s="872"/>
      <c r="AQ87" s="872"/>
      <c r="AR87" s="872"/>
      <c r="AS87" s="872"/>
      <c r="AT87" s="872"/>
      <c r="AU87" s="864"/>
      <c r="AV87" s="864"/>
      <c r="AW87" s="864"/>
      <c r="AX87" s="864"/>
      <c r="AY87" s="864"/>
      <c r="AZ87" s="864"/>
      <c r="BA87" s="864"/>
      <c r="BB87" s="864"/>
      <c r="BC87" s="864"/>
      <c r="BD87" s="864"/>
      <c r="BE87" s="864"/>
      <c r="BF87" s="864"/>
      <c r="BG87" s="864"/>
      <c r="BH87" s="864"/>
      <c r="BI87" s="864"/>
      <c r="BJ87" s="864"/>
      <c r="BK87" s="864"/>
      <c r="BL87" s="864"/>
      <c r="BM87" s="864"/>
      <c r="BN87" s="864"/>
      <c r="BO87" s="864"/>
      <c r="BP87" s="864"/>
      <c r="BQ87" s="864"/>
      <c r="BR87" s="864"/>
      <c r="BS87" s="864"/>
      <c r="BT87" s="864"/>
      <c r="BU87" s="864"/>
      <c r="BV87" s="866"/>
      <c r="BW87" s="864"/>
      <c r="BX87" s="864"/>
      <c r="BY87" s="864"/>
      <c r="BZ87" s="864"/>
      <c r="CA87" s="864"/>
      <c r="CB87" s="864"/>
      <c r="CC87" s="864"/>
      <c r="CD87" s="864"/>
      <c r="CE87" s="864"/>
    </row>
    <row r="88" spans="3:83" s="862" customFormat="1">
      <c r="C88" s="863"/>
      <c r="D88" s="865"/>
      <c r="E88" s="864"/>
      <c r="F88" s="864"/>
      <c r="G88" s="864"/>
      <c r="H88" s="864"/>
      <c r="I88" s="864"/>
      <c r="J88" s="864"/>
      <c r="K88" s="864"/>
      <c r="L88" s="864"/>
      <c r="M88" s="864"/>
      <c r="N88" s="864"/>
      <c r="O88" s="864"/>
      <c r="P88" s="864"/>
      <c r="Q88" s="864"/>
      <c r="R88" s="872"/>
      <c r="S88" s="872"/>
      <c r="T88" s="872"/>
      <c r="U88" s="872"/>
      <c r="V88" s="872"/>
      <c r="W88" s="872"/>
      <c r="X88" s="872"/>
      <c r="Y88" s="872"/>
      <c r="Z88" s="872"/>
      <c r="AA88" s="872"/>
      <c r="AB88" s="872"/>
      <c r="AC88" s="872"/>
      <c r="AD88" s="872"/>
      <c r="AE88" s="872"/>
      <c r="AF88" s="872"/>
      <c r="AG88" s="872"/>
      <c r="AH88" s="872"/>
      <c r="AI88" s="872"/>
      <c r="AJ88" s="872"/>
      <c r="AK88" s="872"/>
      <c r="AL88" s="872"/>
      <c r="AM88" s="872"/>
      <c r="AN88" s="872"/>
      <c r="AO88" s="872"/>
      <c r="AP88" s="872"/>
      <c r="AQ88" s="872"/>
      <c r="AR88" s="872"/>
      <c r="AS88" s="872"/>
      <c r="AT88" s="872"/>
      <c r="AU88" s="864"/>
      <c r="AV88" s="864"/>
      <c r="AW88" s="864"/>
      <c r="AX88" s="864"/>
      <c r="AY88" s="864"/>
      <c r="AZ88" s="864"/>
      <c r="BA88" s="864"/>
      <c r="BB88" s="864"/>
      <c r="BC88" s="864"/>
      <c r="BD88" s="864"/>
      <c r="BE88" s="864"/>
      <c r="BF88" s="864"/>
      <c r="BG88" s="864"/>
      <c r="BH88" s="864"/>
      <c r="BI88" s="864"/>
      <c r="BJ88" s="864"/>
      <c r="BK88" s="864"/>
      <c r="BL88" s="864"/>
      <c r="BM88" s="864"/>
      <c r="BN88" s="864"/>
      <c r="BO88" s="864"/>
      <c r="BP88" s="864"/>
      <c r="BQ88" s="864"/>
      <c r="BR88" s="864"/>
      <c r="BS88" s="864"/>
      <c r="BT88" s="864"/>
      <c r="BU88" s="864"/>
      <c r="BV88" s="864"/>
      <c r="BW88" s="866"/>
      <c r="BX88" s="864"/>
      <c r="BY88" s="864"/>
      <c r="BZ88" s="864"/>
      <c r="CA88" s="864"/>
      <c r="CB88" s="864"/>
      <c r="CC88" s="864"/>
      <c r="CD88" s="864"/>
      <c r="CE88" s="864"/>
    </row>
    <row r="89" spans="3:83" s="862" customFormat="1">
      <c r="C89" s="863"/>
      <c r="D89" s="865"/>
      <c r="E89" s="864"/>
      <c r="F89" s="864"/>
      <c r="G89" s="864"/>
      <c r="H89" s="864"/>
      <c r="I89" s="864"/>
      <c r="J89" s="864"/>
      <c r="K89" s="864"/>
      <c r="L89" s="864"/>
      <c r="M89" s="864"/>
      <c r="N89" s="864"/>
      <c r="O89" s="864"/>
      <c r="P89" s="864"/>
      <c r="Q89" s="864"/>
      <c r="R89" s="872"/>
      <c r="S89" s="872"/>
      <c r="T89" s="872"/>
      <c r="U89" s="872"/>
      <c r="V89" s="872"/>
      <c r="W89" s="872"/>
      <c r="X89" s="872"/>
      <c r="Y89" s="872"/>
      <c r="Z89" s="872"/>
      <c r="AA89" s="872"/>
      <c r="AB89" s="872"/>
      <c r="AC89" s="872"/>
      <c r="AD89" s="872"/>
      <c r="AE89" s="872"/>
      <c r="AF89" s="872"/>
      <c r="AG89" s="872"/>
      <c r="AH89" s="872"/>
      <c r="AI89" s="872"/>
      <c r="AJ89" s="872"/>
      <c r="AK89" s="872"/>
      <c r="AL89" s="872"/>
      <c r="AM89" s="872"/>
      <c r="AN89" s="872"/>
      <c r="AO89" s="872"/>
      <c r="AP89" s="872"/>
      <c r="AQ89" s="872"/>
      <c r="AR89" s="872"/>
      <c r="AS89" s="872"/>
      <c r="AT89" s="872"/>
      <c r="AU89" s="864"/>
      <c r="AV89" s="864"/>
      <c r="AW89" s="864"/>
      <c r="AX89" s="864"/>
      <c r="AY89" s="864"/>
      <c r="AZ89" s="864"/>
      <c r="BA89" s="864"/>
      <c r="BB89" s="864"/>
      <c r="BC89" s="864"/>
      <c r="BD89" s="864"/>
      <c r="BE89" s="864"/>
      <c r="BF89" s="864"/>
      <c r="BG89" s="864"/>
      <c r="BH89" s="864"/>
      <c r="BI89" s="864"/>
      <c r="BJ89" s="864"/>
      <c r="BK89" s="864"/>
      <c r="BL89" s="864"/>
      <c r="BM89" s="864"/>
      <c r="BN89" s="864"/>
      <c r="BO89" s="864"/>
      <c r="BP89" s="864"/>
      <c r="BQ89" s="864"/>
      <c r="BR89" s="864"/>
      <c r="BS89" s="864"/>
      <c r="BT89" s="864"/>
      <c r="BU89" s="864"/>
      <c r="BV89" s="864"/>
      <c r="BW89" s="864"/>
      <c r="BX89" s="866"/>
      <c r="BY89" s="864"/>
      <c r="BZ89" s="864"/>
      <c r="CA89" s="864"/>
      <c r="CB89" s="864"/>
      <c r="CC89" s="864"/>
      <c r="CD89" s="864"/>
      <c r="CE89" s="864"/>
    </row>
    <row r="90" spans="3:83" s="862" customFormat="1">
      <c r="C90" s="863"/>
      <c r="D90" s="865"/>
      <c r="E90" s="864"/>
      <c r="F90" s="864"/>
      <c r="G90" s="864"/>
      <c r="H90" s="864"/>
      <c r="I90" s="864"/>
      <c r="J90" s="864"/>
      <c r="K90" s="864"/>
      <c r="L90" s="864"/>
      <c r="M90" s="864"/>
      <c r="N90" s="864"/>
      <c r="O90" s="864"/>
      <c r="P90" s="864"/>
      <c r="Q90" s="864"/>
      <c r="R90" s="872"/>
      <c r="S90" s="872"/>
      <c r="T90" s="872"/>
      <c r="U90" s="872"/>
      <c r="V90" s="872"/>
      <c r="W90" s="872"/>
      <c r="X90" s="872"/>
      <c r="Y90" s="872"/>
      <c r="Z90" s="872"/>
      <c r="AA90" s="872"/>
      <c r="AB90" s="872"/>
      <c r="AC90" s="872"/>
      <c r="AD90" s="872"/>
      <c r="AE90" s="872"/>
      <c r="AF90" s="872"/>
      <c r="AG90" s="872"/>
      <c r="AH90" s="872"/>
      <c r="AI90" s="872"/>
      <c r="AJ90" s="872"/>
      <c r="AK90" s="872"/>
      <c r="AL90" s="872"/>
      <c r="AM90" s="872"/>
      <c r="AN90" s="872"/>
      <c r="AO90" s="872"/>
      <c r="AP90" s="872"/>
      <c r="AQ90" s="872"/>
      <c r="AR90" s="872"/>
      <c r="AS90" s="872"/>
      <c r="AT90" s="872"/>
      <c r="AU90" s="864"/>
      <c r="AV90" s="864"/>
      <c r="AW90" s="864"/>
      <c r="AX90" s="864"/>
      <c r="AY90" s="864"/>
      <c r="AZ90" s="864"/>
      <c r="BA90" s="864"/>
      <c r="BB90" s="864"/>
      <c r="BC90" s="864"/>
      <c r="BD90" s="864"/>
      <c r="BE90" s="864"/>
      <c r="BF90" s="864"/>
      <c r="BG90" s="864"/>
      <c r="BH90" s="864"/>
      <c r="BI90" s="864"/>
      <c r="BJ90" s="864"/>
      <c r="BK90" s="864"/>
      <c r="BL90" s="864"/>
      <c r="BM90" s="864"/>
      <c r="BN90" s="864"/>
      <c r="BO90" s="864"/>
      <c r="BP90" s="864"/>
      <c r="BQ90" s="864"/>
      <c r="BR90" s="864"/>
      <c r="BS90" s="864"/>
      <c r="BT90" s="864"/>
      <c r="BU90" s="864"/>
      <c r="BV90" s="864"/>
      <c r="BW90" s="864"/>
      <c r="BX90" s="864"/>
      <c r="BY90" s="866"/>
      <c r="BZ90" s="864"/>
      <c r="CA90" s="864"/>
      <c r="CB90" s="864"/>
      <c r="CC90" s="864"/>
      <c r="CD90" s="864"/>
      <c r="CE90" s="864"/>
    </row>
    <row r="91" spans="3:83" s="862" customFormat="1">
      <c r="C91" s="863"/>
      <c r="D91" s="865"/>
      <c r="E91" s="864"/>
      <c r="F91" s="864"/>
      <c r="G91" s="864"/>
      <c r="H91" s="864"/>
      <c r="I91" s="864"/>
      <c r="J91" s="864"/>
      <c r="K91" s="864"/>
      <c r="L91" s="864"/>
      <c r="M91" s="864"/>
      <c r="N91" s="864"/>
      <c r="O91" s="864"/>
      <c r="P91" s="864"/>
      <c r="Q91" s="864"/>
      <c r="R91" s="872"/>
      <c r="S91" s="872"/>
      <c r="T91" s="872"/>
      <c r="U91" s="872"/>
      <c r="V91" s="872"/>
      <c r="W91" s="872"/>
      <c r="X91" s="872"/>
      <c r="Y91" s="872"/>
      <c r="Z91" s="872"/>
      <c r="AA91" s="872"/>
      <c r="AB91" s="872"/>
      <c r="AC91" s="872"/>
      <c r="AD91" s="872"/>
      <c r="AE91" s="872"/>
      <c r="AF91" s="872"/>
      <c r="AG91" s="872"/>
      <c r="AH91" s="872"/>
      <c r="AI91" s="872"/>
      <c r="AJ91" s="872"/>
      <c r="AK91" s="872"/>
      <c r="AL91" s="872"/>
      <c r="AM91" s="872"/>
      <c r="AN91" s="872"/>
      <c r="AO91" s="872"/>
      <c r="AP91" s="872"/>
      <c r="AQ91" s="872"/>
      <c r="AR91" s="872"/>
      <c r="AS91" s="872"/>
      <c r="AT91" s="872"/>
      <c r="AU91" s="864"/>
      <c r="AV91" s="864"/>
      <c r="AW91" s="864"/>
      <c r="AX91" s="864"/>
      <c r="AY91" s="864"/>
      <c r="AZ91" s="864"/>
      <c r="BA91" s="864"/>
      <c r="BB91" s="864"/>
      <c r="BC91" s="864"/>
      <c r="BD91" s="864"/>
      <c r="BE91" s="864"/>
      <c r="BF91" s="864"/>
      <c r="BG91" s="864"/>
      <c r="BH91" s="864"/>
      <c r="BI91" s="864"/>
      <c r="BJ91" s="864"/>
      <c r="BK91" s="864"/>
      <c r="BL91" s="864"/>
      <c r="BM91" s="864"/>
      <c r="BN91" s="864"/>
      <c r="BO91" s="864"/>
      <c r="BP91" s="864"/>
      <c r="BQ91" s="864"/>
      <c r="BR91" s="864"/>
      <c r="BS91" s="864"/>
      <c r="BT91" s="864"/>
      <c r="BU91" s="864"/>
      <c r="BV91" s="864"/>
      <c r="BW91" s="864"/>
      <c r="BX91" s="864"/>
      <c r="BY91" s="864"/>
      <c r="BZ91" s="866"/>
      <c r="CA91" s="864"/>
      <c r="CB91" s="864"/>
      <c r="CC91" s="864"/>
      <c r="CD91" s="864"/>
      <c r="CE91" s="864"/>
    </row>
    <row r="92" spans="3:83" s="862" customFormat="1">
      <c r="C92" s="863"/>
      <c r="D92" s="865"/>
      <c r="E92" s="864"/>
      <c r="F92" s="864"/>
      <c r="G92" s="864"/>
      <c r="H92" s="864"/>
      <c r="I92" s="864"/>
      <c r="J92" s="864"/>
      <c r="K92" s="864"/>
      <c r="L92" s="864"/>
      <c r="M92" s="864"/>
      <c r="N92" s="864"/>
      <c r="O92" s="864"/>
      <c r="P92" s="864"/>
      <c r="Q92" s="864"/>
      <c r="R92" s="872"/>
      <c r="S92" s="872"/>
      <c r="T92" s="872"/>
      <c r="U92" s="872"/>
      <c r="V92" s="872"/>
      <c r="W92" s="872"/>
      <c r="X92" s="872"/>
      <c r="Y92" s="872"/>
      <c r="Z92" s="872"/>
      <c r="AA92" s="872"/>
      <c r="AB92" s="872"/>
      <c r="AC92" s="872"/>
      <c r="AD92" s="872"/>
      <c r="AE92" s="872"/>
      <c r="AF92" s="872"/>
      <c r="AG92" s="872"/>
      <c r="AH92" s="872"/>
      <c r="AI92" s="872"/>
      <c r="AJ92" s="872"/>
      <c r="AK92" s="872"/>
      <c r="AL92" s="872"/>
      <c r="AM92" s="872"/>
      <c r="AN92" s="872"/>
      <c r="AO92" s="872"/>
      <c r="AP92" s="872"/>
      <c r="AQ92" s="872"/>
      <c r="AR92" s="872"/>
      <c r="AS92" s="872"/>
      <c r="AT92" s="872"/>
      <c r="AU92" s="864"/>
      <c r="AV92" s="864"/>
      <c r="AW92" s="864"/>
      <c r="AX92" s="864"/>
      <c r="AY92" s="864"/>
      <c r="AZ92" s="864"/>
      <c r="BA92" s="864"/>
      <c r="BB92" s="864"/>
      <c r="BC92" s="864"/>
      <c r="BD92" s="864"/>
      <c r="BE92" s="864"/>
      <c r="BF92" s="864"/>
      <c r="BG92" s="864"/>
      <c r="BH92" s="864"/>
      <c r="BI92" s="864"/>
      <c r="BJ92" s="864"/>
      <c r="BK92" s="864"/>
      <c r="BL92" s="864"/>
      <c r="BM92" s="864"/>
      <c r="BN92" s="864"/>
      <c r="BO92" s="864"/>
      <c r="BP92" s="864"/>
      <c r="BQ92" s="864"/>
      <c r="BR92" s="864"/>
      <c r="BS92" s="864"/>
      <c r="BT92" s="864"/>
      <c r="BU92" s="864"/>
      <c r="BV92" s="864"/>
      <c r="BW92" s="864"/>
      <c r="BX92" s="864"/>
      <c r="BY92" s="864"/>
      <c r="BZ92" s="864"/>
      <c r="CA92" s="866"/>
      <c r="CB92" s="864"/>
      <c r="CC92" s="864"/>
      <c r="CD92" s="864"/>
      <c r="CE92" s="864"/>
    </row>
    <row r="93" spans="3:83" s="862" customFormat="1">
      <c r="C93" s="863"/>
      <c r="D93" s="865"/>
      <c r="E93" s="864"/>
      <c r="F93" s="864"/>
      <c r="G93" s="864"/>
      <c r="H93" s="864"/>
      <c r="I93" s="864"/>
      <c r="J93" s="864"/>
      <c r="K93" s="864"/>
      <c r="L93" s="864"/>
      <c r="M93" s="864"/>
      <c r="N93" s="864"/>
      <c r="O93" s="864"/>
      <c r="P93" s="864"/>
      <c r="Q93" s="864"/>
      <c r="R93" s="872"/>
      <c r="S93" s="872"/>
      <c r="T93" s="872"/>
      <c r="U93" s="872"/>
      <c r="V93" s="872"/>
      <c r="W93" s="872"/>
      <c r="X93" s="872"/>
      <c r="Y93" s="872"/>
      <c r="Z93" s="872"/>
      <c r="AA93" s="872"/>
      <c r="AB93" s="872"/>
      <c r="AC93" s="872"/>
      <c r="AD93" s="872"/>
      <c r="AE93" s="872"/>
      <c r="AF93" s="872"/>
      <c r="AG93" s="872"/>
      <c r="AH93" s="872"/>
      <c r="AI93" s="872"/>
      <c r="AJ93" s="872"/>
      <c r="AK93" s="872"/>
      <c r="AL93" s="872"/>
      <c r="AM93" s="872"/>
      <c r="AN93" s="872"/>
      <c r="AO93" s="872"/>
      <c r="AP93" s="872"/>
      <c r="AQ93" s="872"/>
      <c r="AR93" s="872"/>
      <c r="AS93" s="872"/>
      <c r="AT93" s="872"/>
      <c r="AU93" s="864"/>
      <c r="AV93" s="864"/>
      <c r="AW93" s="864"/>
      <c r="AX93" s="864"/>
      <c r="AY93" s="864"/>
      <c r="AZ93" s="864"/>
      <c r="BA93" s="864"/>
      <c r="BB93" s="864"/>
      <c r="BC93" s="864"/>
      <c r="BD93" s="864"/>
      <c r="BE93" s="864"/>
      <c r="BF93" s="864"/>
      <c r="BG93" s="864"/>
      <c r="BH93" s="864"/>
      <c r="BI93" s="864"/>
      <c r="BJ93" s="864"/>
      <c r="BK93" s="864"/>
      <c r="BL93" s="864"/>
      <c r="BM93" s="864"/>
      <c r="BN93" s="864"/>
      <c r="BO93" s="864"/>
      <c r="BP93" s="864"/>
      <c r="BQ93" s="864"/>
      <c r="BR93" s="864"/>
      <c r="BS93" s="864"/>
      <c r="BT93" s="864"/>
      <c r="BU93" s="864"/>
      <c r="BV93" s="864"/>
      <c r="BW93" s="864"/>
      <c r="BX93" s="864"/>
      <c r="BY93" s="864"/>
      <c r="BZ93" s="864"/>
      <c r="CA93" s="864"/>
      <c r="CB93" s="866"/>
      <c r="CC93" s="864"/>
      <c r="CD93" s="864"/>
      <c r="CE93" s="864"/>
    </row>
    <row r="94" spans="3:83" s="862" customFormat="1">
      <c r="C94" s="863"/>
      <c r="D94" s="865"/>
      <c r="E94" s="864"/>
      <c r="F94" s="864"/>
      <c r="G94" s="864"/>
      <c r="H94" s="864"/>
      <c r="I94" s="864"/>
      <c r="J94" s="864"/>
      <c r="K94" s="864"/>
      <c r="L94" s="864"/>
      <c r="M94" s="864"/>
      <c r="N94" s="864"/>
      <c r="O94" s="864"/>
      <c r="P94" s="864"/>
      <c r="Q94" s="864"/>
      <c r="R94" s="872"/>
      <c r="S94" s="872"/>
      <c r="T94" s="872"/>
      <c r="U94" s="872"/>
      <c r="V94" s="872"/>
      <c r="W94" s="872"/>
      <c r="X94" s="872"/>
      <c r="Y94" s="872"/>
      <c r="Z94" s="872"/>
      <c r="AA94" s="872"/>
      <c r="AB94" s="872"/>
      <c r="AC94" s="872"/>
      <c r="AD94" s="872"/>
      <c r="AE94" s="872"/>
      <c r="AF94" s="872"/>
      <c r="AG94" s="872"/>
      <c r="AH94" s="872"/>
      <c r="AI94" s="872"/>
      <c r="AJ94" s="872"/>
      <c r="AK94" s="872"/>
      <c r="AL94" s="872"/>
      <c r="AM94" s="872"/>
      <c r="AN94" s="872"/>
      <c r="AO94" s="872"/>
      <c r="AP94" s="872"/>
      <c r="AQ94" s="872"/>
      <c r="AR94" s="872"/>
      <c r="AS94" s="872"/>
      <c r="AT94" s="872"/>
      <c r="AU94" s="864"/>
      <c r="AV94" s="864"/>
      <c r="AW94" s="864"/>
      <c r="AX94" s="864"/>
      <c r="AY94" s="864"/>
      <c r="AZ94" s="864"/>
      <c r="BA94" s="864"/>
      <c r="BB94" s="864"/>
      <c r="BC94" s="864"/>
      <c r="BD94" s="864"/>
      <c r="BE94" s="864"/>
      <c r="BF94" s="864"/>
      <c r="BG94" s="864"/>
      <c r="BH94" s="864"/>
      <c r="BI94" s="864"/>
      <c r="BJ94" s="864"/>
      <c r="BK94" s="864"/>
      <c r="BL94" s="864"/>
      <c r="BM94" s="864"/>
      <c r="BN94" s="864"/>
      <c r="BO94" s="864"/>
      <c r="BP94" s="864"/>
      <c r="BQ94" s="864"/>
      <c r="BR94" s="864"/>
      <c r="BS94" s="864"/>
      <c r="BT94" s="864"/>
      <c r="BU94" s="864"/>
      <c r="BV94" s="864"/>
      <c r="BW94" s="864"/>
      <c r="BX94" s="864"/>
      <c r="BY94" s="864"/>
      <c r="BZ94" s="864"/>
      <c r="CA94" s="864"/>
      <c r="CB94" s="864"/>
      <c r="CC94" s="866"/>
      <c r="CD94" s="864"/>
      <c r="CE94" s="864"/>
    </row>
    <row r="95" spans="3:83" s="862" customFormat="1">
      <c r="C95" s="863"/>
      <c r="D95" s="865"/>
      <c r="E95" s="864"/>
      <c r="F95" s="864"/>
      <c r="G95" s="864"/>
      <c r="H95" s="864"/>
      <c r="I95" s="864"/>
      <c r="J95" s="864"/>
      <c r="K95" s="864"/>
      <c r="L95" s="864"/>
      <c r="M95" s="864"/>
      <c r="N95" s="864"/>
      <c r="O95" s="864"/>
      <c r="P95" s="864"/>
      <c r="Q95" s="864"/>
      <c r="R95" s="872"/>
      <c r="S95" s="872"/>
      <c r="T95" s="872"/>
      <c r="U95" s="872"/>
      <c r="V95" s="872"/>
      <c r="W95" s="872"/>
      <c r="X95" s="872"/>
      <c r="Y95" s="872"/>
      <c r="Z95" s="872"/>
      <c r="AA95" s="872"/>
      <c r="AB95" s="872"/>
      <c r="AC95" s="872"/>
      <c r="AD95" s="872"/>
      <c r="AE95" s="872"/>
      <c r="AF95" s="872"/>
      <c r="AG95" s="872"/>
      <c r="AH95" s="872"/>
      <c r="AI95" s="872"/>
      <c r="AJ95" s="872"/>
      <c r="AK95" s="872"/>
      <c r="AL95" s="872"/>
      <c r="AM95" s="872"/>
      <c r="AN95" s="872"/>
      <c r="AO95" s="872"/>
      <c r="AP95" s="872"/>
      <c r="AQ95" s="872"/>
      <c r="AR95" s="872"/>
      <c r="AS95" s="872"/>
      <c r="AT95" s="872"/>
      <c r="AU95" s="864"/>
      <c r="AV95" s="864"/>
      <c r="AW95" s="864"/>
      <c r="AX95" s="864"/>
      <c r="AY95" s="864"/>
      <c r="AZ95" s="864"/>
      <c r="BA95" s="864"/>
      <c r="BB95" s="864"/>
      <c r="BC95" s="864"/>
      <c r="BD95" s="864"/>
      <c r="BE95" s="864"/>
      <c r="BF95" s="864"/>
      <c r="BG95" s="864"/>
      <c r="BH95" s="864"/>
      <c r="BI95" s="864"/>
      <c r="BJ95" s="864"/>
      <c r="BK95" s="864"/>
      <c r="BL95" s="864"/>
      <c r="BM95" s="864"/>
      <c r="BN95" s="864"/>
      <c r="BO95" s="864"/>
      <c r="BP95" s="864"/>
      <c r="BQ95" s="864"/>
      <c r="BR95" s="864"/>
      <c r="BS95" s="864"/>
      <c r="BT95" s="864"/>
      <c r="BU95" s="864"/>
      <c r="BV95" s="864"/>
      <c r="BW95" s="864"/>
      <c r="BX95" s="864"/>
      <c r="BY95" s="864"/>
      <c r="BZ95" s="864"/>
      <c r="CA95" s="864"/>
      <c r="CB95" s="864"/>
      <c r="CC95" s="864"/>
      <c r="CD95" s="866"/>
      <c r="CE95" s="864"/>
    </row>
    <row r="96" spans="3:83" s="862" customFormat="1">
      <c r="C96" s="863"/>
      <c r="D96" s="865"/>
      <c r="E96" s="864"/>
      <c r="F96" s="864"/>
      <c r="G96" s="864"/>
      <c r="H96" s="864"/>
      <c r="I96" s="864"/>
      <c r="J96" s="864"/>
      <c r="K96" s="864"/>
      <c r="L96" s="864"/>
      <c r="M96" s="864"/>
      <c r="N96" s="864"/>
      <c r="O96" s="864"/>
      <c r="P96" s="864"/>
      <c r="Q96" s="864"/>
      <c r="R96" s="872"/>
      <c r="S96" s="872"/>
      <c r="T96" s="872"/>
      <c r="U96" s="872"/>
      <c r="V96" s="872"/>
      <c r="W96" s="872"/>
      <c r="X96" s="872"/>
      <c r="Y96" s="872"/>
      <c r="Z96" s="872"/>
      <c r="AA96" s="872"/>
      <c r="AB96" s="872"/>
      <c r="AC96" s="872"/>
      <c r="AD96" s="872"/>
      <c r="AE96" s="872"/>
      <c r="AF96" s="872"/>
      <c r="AG96" s="872"/>
      <c r="AH96" s="872"/>
      <c r="AI96" s="872"/>
      <c r="AJ96" s="872"/>
      <c r="AK96" s="872"/>
      <c r="AL96" s="872"/>
      <c r="AM96" s="872"/>
      <c r="AN96" s="872"/>
      <c r="AO96" s="872"/>
      <c r="AP96" s="872"/>
      <c r="AQ96" s="872"/>
      <c r="AR96" s="872"/>
      <c r="AS96" s="872"/>
      <c r="AT96" s="872"/>
      <c r="AU96" s="864"/>
      <c r="AV96" s="864"/>
      <c r="AW96" s="864"/>
      <c r="AX96" s="864"/>
      <c r="AY96" s="864"/>
      <c r="AZ96" s="864"/>
      <c r="BA96" s="864"/>
      <c r="BB96" s="864"/>
      <c r="BC96" s="864"/>
      <c r="BD96" s="864"/>
      <c r="BE96" s="864"/>
      <c r="BF96" s="864"/>
      <c r="BG96" s="864"/>
      <c r="BH96" s="864"/>
      <c r="BI96" s="864"/>
      <c r="BJ96" s="864"/>
      <c r="BK96" s="864"/>
      <c r="BL96" s="864"/>
      <c r="BM96" s="864"/>
      <c r="BN96" s="864"/>
      <c r="BO96" s="864"/>
      <c r="BP96" s="864"/>
      <c r="BQ96" s="864"/>
      <c r="BR96" s="864"/>
      <c r="BS96" s="864"/>
      <c r="BT96" s="864"/>
      <c r="BU96" s="864"/>
      <c r="BV96" s="864"/>
      <c r="BW96" s="864"/>
      <c r="BX96" s="864"/>
      <c r="BY96" s="864"/>
      <c r="BZ96" s="864"/>
      <c r="CA96" s="864"/>
      <c r="CB96" s="864"/>
      <c r="CC96" s="864"/>
      <c r="CD96" s="864"/>
      <c r="CE96" s="866"/>
    </row>
  </sheetData>
  <dataConsolidate/>
  <mergeCells count="28">
    <mergeCell ref="H9:I9"/>
    <mergeCell ref="H10:I10"/>
    <mergeCell ref="H11:I11"/>
    <mergeCell ref="E23:G23"/>
    <mergeCell ref="E24:G24"/>
    <mergeCell ref="E25:G25"/>
    <mergeCell ref="E26:G26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8:G38"/>
    <mergeCell ref="E39:G39"/>
    <mergeCell ref="E45:G45"/>
    <mergeCell ref="E46:G46"/>
    <mergeCell ref="E47:G47"/>
    <mergeCell ref="E40:G40"/>
    <mergeCell ref="E41:G41"/>
    <mergeCell ref="E42:G42"/>
    <mergeCell ref="E43:G43"/>
    <mergeCell ref="E44:G44"/>
  </mergeCells>
  <phoneticPr fontId="32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676"/>
  <sheetViews>
    <sheetView showGridLines="0" tabSelected="1" zoomScaleNormal="100" workbookViewId="0">
      <pane xSplit="14" ySplit="10" topLeftCell="O37" activePane="bottomRight" state="frozen"/>
      <selection activeCell="D1" sqref="D1"/>
      <selection pane="topRight" activeCell="O1" sqref="O1"/>
      <selection pane="bottomLeft" activeCell="D11" sqref="D11"/>
      <selection pane="bottomRight" activeCell="H9" sqref="H9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0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0.5703125" style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700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709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58" ht="16.5" thickBot="1">
      <c r="D1" s="3" t="s">
        <v>22</v>
      </c>
      <c r="E1" s="1000">
        <f>AD49-AD45</f>
        <v>2.1802870827862027E-3</v>
      </c>
      <c r="F1" s="323">
        <f>VLOOKUP(Isin!$E$15,$E:$AD,COLUMN($AD:$AD)-4,FALSE)-VLOOKUP(Isin!$B12,$E:$AD,COLUMN($AD:$AD)-4,FALSE)</f>
        <v>-5.9440996905413268E-5</v>
      </c>
      <c r="G1" s="303">
        <f>VLOOKUP(Isin!$B$55,$E:$AD,COLUMN($AD:$AD)-4,FALSE)-VLOOKUP(Isin!B52,$E:$AD,COLUMN($AD:$AD)-4,FALSE)</f>
        <v>1.2731828010228291E-3</v>
      </c>
      <c r="H1" s="309">
        <f>VLOOKUP(Isin!B$43,E:AD,COLUMN(AD:AD)-4,FALSE)-VLOOKUP(Isin!B40,E:AD,COLUMN(AD:AD)-4,FALSE)</f>
        <v>1.9932061935971478E-3</v>
      </c>
      <c r="Q1" s="347">
        <f>VLOOKUP(Isin!$B$51,$E:$AD,COLUMN($AD:$AD)-4,FALSE)-VLOOKUP(Isin!B46,$E:$AD,COLUMN($AD:$AD)-4,FALSE)</f>
        <v>2.7594796685165915E-3</v>
      </c>
      <c r="S1" s="345">
        <f>VLOOKUP(Isin!$B$52,$E:$AD,COLUMN($AD:$AD)-4,FALSE)-VLOOKUP(Isin!$B48,$E:$AD,COLUMN($AD:$AD)-4,FALSE)</f>
        <v>2.5445371835015433E-3</v>
      </c>
      <c r="T1" s="394">
        <f>VLOOKUP(Isin!$B$53,$E:$AD,COLUMN($AD:$AD)-4,FALSE)-VLOOKUP(Isin!$B48,$E:$AD,COLUMN($AD:$AD)-4,FALSE)</f>
        <v>2.8954588664625129E-3</v>
      </c>
      <c r="U1" s="299">
        <f>VLOOKUP(Isin!$B$41,$E:$AD,COLUMN($AD:$AD)-4,FALSE)-VLOOKUP(Isin!$B38,$E:$AD,COLUMN($AD:$AD)-4,FALSE)</f>
        <v>2.0412400580307154E-3</v>
      </c>
      <c r="V1" s="298">
        <f>VLOOKUP(Isin!$B$41,$E:$AD,COLUMN($AD:$AD)-4,FALSE)-VLOOKUP(Isin!$B40,$E:$AD,COLUMN($AD:$AD)-4,FALSE)</f>
        <v>5.6405405324987112E-4</v>
      </c>
      <c r="W1" s="295">
        <f>VLOOKUP(Isin!$B$49,$E:$AD,COLUMN($AD:$AD)-4,FALSE)-VLOOKUP(Isin!$B45,$E:$AD,COLUMN($AD:$AD)-4,FALSE)</f>
        <v>3.1226616284561748E-3</v>
      </c>
      <c r="AQ1" s="1"/>
      <c r="AR1" s="254" t="s">
        <v>1995</v>
      </c>
      <c r="AS1" s="253">
        <f>AD4</f>
        <v>111.97750000000001</v>
      </c>
      <c r="AT1" s="134" t="e">
        <f>AS1*'DB Basis'!#REF!</f>
        <v>#REF!</v>
      </c>
    </row>
    <row r="2" spans="1:58" ht="16.5" thickBot="1">
      <c r="D2" s="251" t="s">
        <v>578</v>
      </c>
      <c r="E2" s="369">
        <f>AD49-AD46</f>
        <v>2.1174563206908976E-3</v>
      </c>
      <c r="F2" s="220">
        <f>VLOOKUP(Isin!$E$26,$E:$AD,COLUMN($AD:$AD)-4,FALSE)-VLOOKUP(Isin!$B32,$E:$AD,COLUMN($AD:$AD)-4,FALSE)</f>
        <v>-3.7131002253702307E-3</v>
      </c>
      <c r="G2" s="304">
        <f>VLOOKUP(Isin!$B$55,$E:$AD,COLUMN($AD:$AD)-4,FALSE)-VLOOKUP(Isin!B53,$E:$AD,COLUMN($AD:$AD)-4,FALSE)</f>
        <v>9.2226111806185951E-4</v>
      </c>
      <c r="H2" s="306">
        <f>VLOOKUP(Isin!B$43,E:AD,COLUMN(AD:AD)-4,FALSE)-VLOOKUP(Isin!B41,E:AD,COLUMN(AD:AD)-4,FALSE)</f>
        <v>1.4291521403472767E-3</v>
      </c>
      <c r="Q2" s="348">
        <f>VLOOKUP(Isin!$B$51,$E:$AD,COLUMN($AD:$AD)-4,FALSE)-VLOOKUP(Isin!B47,$E:$AD,COLUMN($AD:$AD)-4,FALSE)</f>
        <v>1.4710471844009698E-3</v>
      </c>
      <c r="S2" s="345">
        <f>VLOOKUP(Isin!$B$52,$E:$AD,COLUMN($AD:$AD)-4,FALSE)-VLOOKUP(Isin!$B49,$E:$AD,COLUMN($AD:$AD)-4,FALSE)</f>
        <v>1.573383564921909E-3</v>
      </c>
      <c r="T2" s="395">
        <f>VLOOKUP(Isin!$B$53,$E:$AD,COLUMN($AD:$AD)-4,FALSE)-VLOOKUP(Isin!$B50,$E:$AD,COLUMN($AD:$AD)-4,FALSE)</f>
        <v>1.7639515562286358E-3</v>
      </c>
      <c r="U2" s="298">
        <f>VLOOKUP(Isin!$B$42,$E:$AD,COLUMN($AD:$AD)-4,FALSE)-VLOOKUP(Isin!$B41,$E:$AD,COLUMN($AD:$AD)-4,FALSE)</f>
        <v>7.0918597303828296E-4</v>
      </c>
      <c r="V2" s="298">
        <f>VLOOKUP(Isin!$B$44,$E:$AD,COLUMN($AD:$AD)-4,FALSE)-VLOOKUP(Isin!$B41,$E:$AD,COLUMN($AD:$AD)-4,FALSE)</f>
        <v>1.5130550175770294E-3</v>
      </c>
      <c r="W2" s="295">
        <f>VLOOKUP(Isin!$B$49,$E:$AD,COLUMN($AD:$AD)-4,FALSE)-VLOOKUP(Isin!$B46,$E:$AD,COLUMN($AD:$AD)-4,FALSE)</f>
        <v>2.2609886157221003E-3</v>
      </c>
      <c r="AD2" s="31" t="s">
        <v>299</v>
      </c>
      <c r="AL2" s="1" t="s">
        <v>298</v>
      </c>
      <c r="AQ2" s="1" t="s">
        <v>297</v>
      </c>
      <c r="AR2" s="254" t="s">
        <v>1996</v>
      </c>
      <c r="AS2" s="253">
        <f>AK4</f>
        <v>131.10500000000002</v>
      </c>
      <c r="AT2" s="134" t="e">
        <f>AS2*'DB Basis'!#REF!</f>
        <v>#REF!</v>
      </c>
    </row>
    <row r="3" spans="1:58" ht="17.25" customHeight="1">
      <c r="D3" s="3" t="s">
        <v>20</v>
      </c>
      <c r="E3" s="369">
        <f>AD49-AD47</f>
        <v>1.7178512939756679E-3</v>
      </c>
      <c r="F3" s="323">
        <f>VLOOKUP(Isin!$E$31,$E:$AD,COLUMN($AD:$AD)-4,FALSE)-VLOOKUP(Isin!$B43,$E:$AD,COLUMN($AD:$AD)-4,FALSE)</f>
        <v>-5.6642715240179577E-3</v>
      </c>
      <c r="G3" s="303">
        <f>VLOOKUP(Isin!$B$55,$E:$AD,COLUMN($AD:$AD)-4,FALSE)-VLOOKUP(Isin!B54,$E:$AD,COLUMN($AD:$AD)-4,FALSE)</f>
        <v>1.1164620360969053E-3</v>
      </c>
      <c r="H3" s="309">
        <f>VLOOKUP(Isin!B$43,E:AD,COLUMN(AD:AD)-4,FALSE)-VLOOKUP(Isin!B42,E:AD,COLUMN(AD:AD)-4,FALSE)</f>
        <v>7.1996616730899375E-4</v>
      </c>
      <c r="Q3" s="347">
        <f>VLOOKUP(Isin!$B$51,$E:$AD,COLUMN($AD:$AD)-4,FALSE)-VLOOKUP(Isin!B48,$E:$AD,COLUMN($AD:$AD)-4,FALSE)</f>
        <v>1.4696446713741255E-3</v>
      </c>
      <c r="S3" s="345">
        <f>VLOOKUP(Isin!$B$52,$E:$AD,COLUMN($AD:$AD)-4,FALSE)-VLOOKUP(Isin!$B50,$E:$AD,COLUMN($AD:$AD)-4,FALSE)</f>
        <v>1.4130298732676662E-3</v>
      </c>
      <c r="T3" s="385">
        <f>VLOOKUP(Isin!$B$53,$E:$AD,COLUMN($AD:$AD)-4,FALSE)-VLOOKUP(Isin!$B51,$E:$AD,COLUMN($AD:$AD)-4,FALSE)</f>
        <v>1.4258141950883874E-3</v>
      </c>
      <c r="U3" s="3" t="s">
        <v>61</v>
      </c>
      <c r="V3" s="3" t="s">
        <v>63</v>
      </c>
      <c r="W3" s="299">
        <f>VLOOKUP(Isin!$B$49,$E:$AD,COLUMN($AD:$AD)-4,FALSE)-VLOOKUP(Isin!$B47,$E:$AD,COLUMN($AD:$AD)-4,FALSE)</f>
        <v>9.7255613160647861E-4</v>
      </c>
      <c r="AD3" s="46" t="s">
        <v>88</v>
      </c>
      <c r="AK3" s="46" t="s">
        <v>85</v>
      </c>
      <c r="AL3" s="46" t="s">
        <v>90</v>
      </c>
      <c r="AM3" s="265"/>
      <c r="AN3" s="278"/>
      <c r="AO3" s="265"/>
      <c r="AQ3" s="133"/>
      <c r="AR3" s="254" t="s">
        <v>1997</v>
      </c>
      <c r="AS3" s="253">
        <f>AL4</f>
        <v>159.565</v>
      </c>
      <c r="AT3" s="134" t="e">
        <f>AS3*'DB Basis'!#REF!</f>
        <v>#REF!</v>
      </c>
    </row>
    <row r="4" spans="1:58" ht="16.5" thickBot="1">
      <c r="D4" s="259">
        <f>Today</f>
        <v>43160</v>
      </c>
      <c r="E4" s="369">
        <f>AD49-AD48</f>
        <v>1.2895074023970242E-3</v>
      </c>
      <c r="F4" s="220">
        <f>VLOOKUP(Isin!$E$39,$E:$AD,COLUMN($AD:$AD)-4,FALSE)-VLOOKUP(Isin!$B53,$E:$AD,COLUMN($AD:$AD)-4,FALSE)</f>
        <v>-5.2337455246938506E-3</v>
      </c>
      <c r="G4" s="304">
        <f>VLOOKUP(Isin!$B$56,$E:$AD,COLUMN($AD:$AD)-4,FALSE)-VLOOKUP(Isin!B55,$E:$AD,COLUMN($AD:$AD)-4,FALSE)</f>
        <v>6.080226236710902E-4</v>
      </c>
      <c r="H4" s="309">
        <f>VLOOKUP(Isin!B$44,E:AD,COLUMN(AD:AD)-4,FALSE)-VLOOKUP(Isin!B43,E:AD,COLUMN(AD:AD)-4,FALSE)</f>
        <v>8.3902877229752662E-5</v>
      </c>
      <c r="O4" s="1" t="s">
        <v>825</v>
      </c>
      <c r="Q4" s="348">
        <f>VLOOKUP(Isin!$B$51,$E:$AD,COLUMN($AD:$AD)-4,FALSE)-VLOOKUP(Isin!B49,$E:$AD,COLUMN($AD:$AD)-4,FALSE)</f>
        <v>4.9849105279449121E-4</v>
      </c>
      <c r="S4" s="346">
        <f>VLOOKUP(Isin!$B$52,$E:$AD,COLUMN($AD:$AD)-4,FALSE)-VLOOKUP(Isin!$B51,$E:$AD,COLUMN($AD:$AD)-4,FALSE)</f>
        <v>1.0748925121274178E-3</v>
      </c>
      <c r="T4" s="386">
        <f>VLOOKUP(Isin!$B$53,$E:$AD,COLUMN($AD:$AD)-4,FALSE)-VLOOKUP(Isin!$B52,$E:$AD,COLUMN($AD:$AD)-4,FALSE)</f>
        <v>3.5092168296096959E-4</v>
      </c>
      <c r="U4" s="2" t="s">
        <v>64</v>
      </c>
      <c r="V4" s="4" t="s">
        <v>62</v>
      </c>
      <c r="W4" s="295">
        <f>VLOOKUP(Isin!$B$49,$E:$AD,COLUMN($AD:$AD)-4,FALSE)-VLOOKUP(Isin!$B48,$E:$AD,COLUMN($AD:$AD)-4,FALSE)</f>
        <v>9.7115361857963434E-4</v>
      </c>
      <c r="AD4" s="45">
        <f>AVERAGE(_xll.RtGet("IDN_SELECTFEED","FGBS"&amp;$D$6,"BID"),_xll.RtGet("IDN_SELECTFEED",AR1,"ASK"))</f>
        <v>111.97750000000001</v>
      </c>
      <c r="AK4" s="45">
        <f>AVERAGE(_xll.RtGet("IDN_SELECTFEED","FGBM"&amp;$D$6,"BID"),_xll.RtGet("IDN_SELECTFEED",AR2,"ASK"))</f>
        <v>131.10500000000002</v>
      </c>
      <c r="AL4" s="45">
        <f>AVERAGE(_xll.RtGet("IDN_SELECTFEED","FGBL"&amp;$D$6,"BID"),_xll.RtGet("IDN_SELECTFEED",AR3,"ASK"))</f>
        <v>159.565</v>
      </c>
      <c r="AM4" s="265"/>
      <c r="AN4" s="274"/>
      <c r="AO4" s="265"/>
      <c r="AQ4" s="133"/>
      <c r="AR4" s="254" t="s">
        <v>1998</v>
      </c>
      <c r="AS4" s="253">
        <f>AVERAGE(_xll.RtGet("IDN_SELECTFEED","FBTS"&amp;$D$6,"BID"),_xll.RtGet("IDN_SELECTFEED","FBTSH8","ASK"))</f>
        <v>113.355</v>
      </c>
      <c r="AT4" s="134" t="e">
        <f>AS4*'DB Basis'!#REF!</f>
        <v>#REF!</v>
      </c>
    </row>
    <row r="5" spans="1:58" ht="16.5" thickBot="1">
      <c r="D5" s="260" t="str">
        <f>_xll.BDP("IK"&amp;D6&amp;" Comdty","FUT_DLV_DT_LAST")</f>
        <v>3/12/2018</v>
      </c>
      <c r="E5" s="369">
        <f>AD49-AD50</f>
        <v>1.1057877449769E-4</v>
      </c>
      <c r="F5" s="323">
        <f>VLOOKUP(Isin!$E$44,$E:$AD,COLUMN($AD:$AD)-4,FALSE)-VLOOKUP(Isin!$B62,$E:$AD,COLUMN($AD:$AD)-4,FALSE)</f>
        <v>-5.0163720780369882E-3</v>
      </c>
      <c r="G5" s="303">
        <f>VLOOKUP(Isin!$B$57,$E:$AD,COLUMN($AD:$AD)-4,FALSE)-VLOOKUP(Isin!B55,$E:$AD,COLUMN($AD:$AD)-4,FALSE)</f>
        <v>1.7234587265998504E-3</v>
      </c>
      <c r="H5" s="309">
        <f>VLOOKUP(Isin!B$45,E:AD,COLUMN(AD:AD)-4,FALSE)-VLOOKUP(Isin!B43,E:AD,COLUMN(AD:AD)-4,FALSE)</f>
        <v>4.6236218931539931E-4</v>
      </c>
      <c r="Q5" s="347">
        <f>VLOOKUP(Isin!$B$51,$E:$AD,COLUMN($AD:$AD)-4,FALSE)-VLOOKUP(Isin!B50,$E:$AD,COLUMN($AD:$AD)-4,FALSE)</f>
        <v>3.3813736114024842E-4</v>
      </c>
      <c r="S5" s="379">
        <f>VLOOKUP(Isin!$B$54,$E:$AD,COLUMN($AD:$AD)-4,FALSE)-VLOOKUP(Isin!$B52,$E:$AD,COLUMN($AD:$AD)-4,FALSE)</f>
        <v>1.5672076492592377E-4</v>
      </c>
      <c r="T5" s="395">
        <f>VLOOKUP(Isin!$B$54,$E:$AD,COLUMN($AD:$AD)-4,FALSE)-VLOOKUP(Isin!$B53,$E:$AD,COLUMN($AD:$AD)-4,FALSE)</f>
        <v>-1.9420091803504583E-4</v>
      </c>
      <c r="U5" s="322">
        <f>VLOOKUP(Isin!$B$38,$E:$AD,COLUMN($AD:$AD)-4,FALSE)-VLOOKUP(Isin!$B34,$E:$AD,COLUMN($AD:$AD)-4,FALSE)</f>
        <v>1.6236862903339522E-3</v>
      </c>
      <c r="V5" s="316">
        <f>VLOOKUP(Isin!$B$38,$E:$AD,COLUMN($AD:$AD)-4,FALSE)-VLOOKUP(Isin!$B37,$E:$AD,COLUMN($AD:$AD)-4,FALSE)</f>
        <v>7.9187945025413833E-4</v>
      </c>
      <c r="W5" s="295">
        <f>VLOOKUP(Isin!$B$50,$E:$AD,COLUMN($AD:$AD)-4,FALSE)-VLOOKUP(Isin!$B49,$E:$AD,COLUMN($AD:$AD)-4,FALSE)</f>
        <v>1.6035369165424279E-4</v>
      </c>
      <c r="AD5" s="72">
        <f>_xll.BDP(_xll.BDP(AD2&amp;$D$6&amp;" Comdty","FUT_CTD_CUSIP")&amp;" Govt","YAS_ASW_SPREAD")</f>
        <v>-60.692999215853902</v>
      </c>
      <c r="AK5" s="72">
        <f>_xll.BDP(_xll.BDP(AL2&amp;$D$6&amp;" Comdty","FUT_CTD_CUSIP")&amp;" Govt","YAS_ASW_SPREAD")</f>
        <v>-48.739810390337766</v>
      </c>
      <c r="AL5" s="72">
        <f>_xll.BDP(_xll.BDP(AQ2&amp;$D$6&amp;" Comdty","FUT_CTD_CUSIP")&amp;" Govt","YAS_ASW_SPREAD")</f>
        <v>-44.18496110795418</v>
      </c>
      <c r="AM5" s="265"/>
      <c r="AN5" s="398">
        <f>AD59</f>
        <v>1.4311027749646543E-2</v>
      </c>
      <c r="AO5" s="399">
        <v>70</v>
      </c>
      <c r="AP5" s="651">
        <f>+AO5*AN5/100</f>
        <v>1.001771942475258E-2</v>
      </c>
      <c r="AQ5" s="404"/>
      <c r="AR5" s="397" t="s">
        <v>1999</v>
      </c>
      <c r="AS5" s="253">
        <f>AVERAGE(_xll.RtGet("IDN_SELECTFEED","FOAT"&amp;$D$6,"BID"),_xll.RtGet("IDN_SELECTFEED","FOATH8","ASK"))</f>
        <v>153.78</v>
      </c>
      <c r="AT5" s="134" t="e">
        <f>AS5*'DB Basis'!#REF!</f>
        <v>#REF!</v>
      </c>
    </row>
    <row r="6" spans="1:58" ht="14.25" customHeight="1">
      <c r="D6" s="241" t="s">
        <v>1994</v>
      </c>
      <c r="E6" s="369">
        <f>AD51-AD50</f>
        <v>3.5720317829313585E-4</v>
      </c>
      <c r="F6" s="323">
        <f>VLOOKUP(Isin!$E$49,$E:$AD,COLUMN($AD:$AD)-4,FALSE)-VLOOKUP(Isin!$B69,$E:$AD,COLUMN($AD:$AD)-4,FALSE)</f>
        <v>-4.3780659531674482E-3</v>
      </c>
      <c r="G6" s="324">
        <f>AD76-AD67</f>
        <v>5.6133945691538394E-3</v>
      </c>
      <c r="H6" s="309">
        <f>VLOOKUP(Isin!B$46,E:AD,COLUMN(AD:AD)-4,FALSE)-VLOOKUP(Isin!B43,E:AD,COLUMN(AD:AD)-4,FALSE)</f>
        <v>1.3240352020494738E-3</v>
      </c>
      <c r="Q6" s="347">
        <f>VLOOKUP(Isin!$B$54,$E:$AD,COLUMN($AD:$AD)-4,FALSE)-VLOOKUP(Isin!B51,$E:$AD,COLUMN($AD:$AD)-4,FALSE)</f>
        <v>1.2316132770533415E-3</v>
      </c>
      <c r="R6" s="250"/>
      <c r="S6" s="346">
        <f>VLOOKUP(Isin!$B$56,$E:$AD,COLUMN($AD:$AD)-4,FALSE)-VLOOKUP(Isin!$B52,$E:$AD,COLUMN($AD:$AD)-4,FALSE)</f>
        <v>1.8812054246939193E-3</v>
      </c>
      <c r="T6" s="385">
        <f>VLOOKUP(Isin!$B$56,$E:$AD,COLUMN($AD:$AD)-4,FALSE)-VLOOKUP(Isin!$B53,$E:$AD,COLUMN($AD:$AD)-4,FALSE)</f>
        <v>1.5302837417329497E-3</v>
      </c>
      <c r="U6" s="316">
        <f>VLOOKUP(Isin!$B$38,$E:$AD,COLUMN($AD:$AD)-4,FALSE)-VLOOKUP(Isin!$B36,$E:$AD,COLUMN($AD:$AD)-4,FALSE)</f>
        <v>1.2664831120408164E-3</v>
      </c>
      <c r="V6" s="316">
        <f>VLOOKUP(Isin!$B$39,$E:$AD,COLUMN($AD:$AD)-4,FALSE)-VLOOKUP(Isin!$B38,$E:$AD,COLUMN($AD:$AD)-4,FALSE)</f>
        <v>3.9454923715143836E-5</v>
      </c>
      <c r="W6" s="310">
        <f>VLOOKUP(Isin!$B$60,$E:$AD,COLUMN($AD:$AD)-4,FALSE)-VLOOKUP(Isin!$B58,$E:$AD,COLUMN($AD:$AD)-4,FALSE)</f>
        <v>6.6059972390809102E-4</v>
      </c>
      <c r="AD6" s="74">
        <f>AVERAGE(_xll.BDP(_xll.BDP(AD2&amp;$D$6&amp;" Comdty","FUT_CTD_CUSIP")&amp;" Govt","BID_YIELD"),_xll.BDP(_xll.BDP(AD2&amp;$D$6&amp;" Comdty","FUT_CTD_CUSIP")&amp;" Govt","ASK_YIELD"))</f>
        <v>-0.61349999999999993</v>
      </c>
      <c r="AK6" s="74">
        <f>AVERAGE(_xll.BDP(_xll.BDP(AL2&amp;$D$6&amp;" Comdty","FUT_CTD_CUSIP")&amp;" Govt","BID_YIELD"),_xll.BDP(_xll.BDP(AL2&amp;$D$6&amp;" Comdty","FUT_CTD_CUSIP")&amp;" Govt","ASK_YIELD"))</f>
        <v>-9.8000000000000004E-2</v>
      </c>
      <c r="AL6" s="74">
        <f>AVERAGE(_xll.BDP(_xll.BDP(AQ2&amp;$D$6&amp;" Comdty","FUT_CTD_CUSIP")&amp;" Govt","BID_YIELD"),_xll.BDP(_xll.BDP(AQ2&amp;$D$6&amp;" Comdty","FUT_CTD_CUSIP")&amp;" Govt","ASK_YIELD"))</f>
        <v>0.53350000000000009</v>
      </c>
      <c r="AM6" s="265"/>
      <c r="AN6" s="400">
        <f>AD64</f>
        <v>1.7812148690188365E-2</v>
      </c>
      <c r="AO6" s="401">
        <v>200</v>
      </c>
      <c r="AP6" s="652">
        <f>+AO6*AN6/100</f>
        <v>3.5624297380376729E-2</v>
      </c>
      <c r="AQ6" s="406">
        <f>(AP6-AP5-AP7)*100*100</f>
        <v>4.0538602398079364</v>
      </c>
      <c r="AR6" s="397" t="s">
        <v>2000</v>
      </c>
      <c r="AS6" s="253">
        <f>AVERAGE(_xll.RtGet("IDN_SELECTFEED","FBTP"&amp;$D$6,"BID"),_xll.RtGet("IDN_SELECTFEED","FBTPH8","ASK"))</f>
        <v>136.905</v>
      </c>
      <c r="AT6" s="134" t="e">
        <f>AS6*'DB Basis'!#REF!</f>
        <v>#REF!</v>
      </c>
    </row>
    <row r="7" spans="1:58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1671</v>
      </c>
      <c r="AL7" s="128" t="s">
        <v>368</v>
      </c>
      <c r="AM7" s="269"/>
      <c r="AN7" s="402">
        <f>AD67</f>
        <v>1.9385532255110274E-2</v>
      </c>
      <c r="AO7" s="403">
        <v>130</v>
      </c>
      <c r="AP7" s="653">
        <f>+AO7*AN7/100</f>
        <v>2.5201191931643354E-2</v>
      </c>
      <c r="AQ7" s="405"/>
      <c r="AR7" s="133"/>
      <c r="AS7" s="1"/>
      <c r="AT7" s="1"/>
    </row>
    <row r="8" spans="1:58" ht="16.5" thickBot="1">
      <c r="D8" s="380">
        <f>AD73-AD71</f>
        <v>2.0516486399116476E-3</v>
      </c>
      <c r="E8" s="380">
        <f>AD72-AD71</f>
        <v>1.1154361029287602E-3</v>
      </c>
      <c r="F8" s="412">
        <f>AD61-AD60</f>
        <v>8.6167301273407451E-4</v>
      </c>
      <c r="G8" s="395">
        <f>AD44-AD43</f>
        <v>1.6823005791656576E-4</v>
      </c>
      <c r="H8" s="395">
        <f>AD46-AD45</f>
        <v>6.2830762095305095E-5</v>
      </c>
      <c r="P8" s="657"/>
      <c r="Q8" s="395">
        <f>AD46-AD44</f>
        <v>9.3376188016718736E-4</v>
      </c>
      <c r="S8" s="385">
        <f>AD71-AD67</f>
        <v>1.8812054246939193E-3</v>
      </c>
      <c r="T8" s="385">
        <f>AD71-AD68</f>
        <v>1.5302837417329497E-3</v>
      </c>
      <c r="U8" s="385">
        <f>AD71-AD69</f>
        <v>1.7244846597679955E-3</v>
      </c>
      <c r="V8" s="379">
        <f>AD68-AD65</f>
        <v>1.7639515562286358E-3</v>
      </c>
      <c r="W8" s="379">
        <f>AD67-AD65</f>
        <v>1.4130298732676662E-3</v>
      </c>
      <c r="X8" s="268"/>
      <c r="Y8" s="268"/>
      <c r="Z8" s="268"/>
      <c r="AA8" s="268"/>
      <c r="AB8" s="268"/>
      <c r="AC8" s="268"/>
      <c r="AD8" s="853" t="s">
        <v>2006</v>
      </c>
      <c r="AE8" s="268"/>
      <c r="AF8" s="268"/>
      <c r="AG8" s="268"/>
      <c r="AH8" s="268"/>
      <c r="AI8" s="268"/>
      <c r="AJ8" s="268"/>
      <c r="AK8" s="268"/>
      <c r="AL8" s="270" t="s">
        <v>777</v>
      </c>
      <c r="AM8" s="270" t="s">
        <v>778</v>
      </c>
      <c r="AN8" s="650" t="s">
        <v>779</v>
      </c>
      <c r="AO8" s="382"/>
      <c r="AP8" s="382"/>
      <c r="AQ8" s="396"/>
      <c r="AR8" s="130"/>
      <c r="AS8" s="1"/>
      <c r="AT8" s="384"/>
    </row>
    <row r="9" spans="1:58">
      <c r="D9" s="380">
        <f>AD71-AD63</f>
        <v>4.4257426081954626E-3</v>
      </c>
      <c r="E9" s="412">
        <f>AD62-AD60</f>
        <v>2.1501054968496962E-3</v>
      </c>
      <c r="F9" s="412">
        <f>AD62-AD61</f>
        <v>1.2884324841156217E-3</v>
      </c>
      <c r="G9" s="412"/>
      <c r="H9" s="316">
        <f>((2*AD44)-(AD30+AD56))*10</f>
        <v>8.8658583177660816E-4</v>
      </c>
      <c r="P9" s="3"/>
      <c r="S9" s="41" t="s">
        <v>18</v>
      </c>
      <c r="T9" s="41" t="s">
        <v>19</v>
      </c>
      <c r="U9" s="3"/>
      <c r="V9" s="851">
        <f>AD82-AD79</f>
        <v>1.9679468373458298E-3</v>
      </c>
      <c r="W9" s="851">
        <f>AD82-AD80</f>
        <v>1.6825495228059359E-3</v>
      </c>
      <c r="X9" s="182"/>
      <c r="Y9" s="182"/>
      <c r="Z9" s="182"/>
      <c r="AA9" s="182"/>
      <c r="AB9" s="182"/>
      <c r="AC9" s="182"/>
      <c r="AD9" s="852">
        <f>AD87-AD86</f>
        <v>9.087650231398188E-4</v>
      </c>
      <c r="AE9" s="182"/>
      <c r="AF9" s="182"/>
      <c r="AG9" s="182"/>
      <c r="AH9" s="182"/>
      <c r="AI9" s="182"/>
      <c r="AJ9" s="182"/>
      <c r="AK9" s="373"/>
      <c r="AL9" s="271"/>
      <c r="AM9" s="272"/>
      <c r="AN9" s="272"/>
      <c r="AO9" s="1"/>
      <c r="AQ9" s="1"/>
      <c r="AR9" s="130"/>
      <c r="AS9" s="1"/>
      <c r="AT9" s="1"/>
      <c r="AW9" s="135"/>
    </row>
    <row r="10" spans="1:58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81" t="s">
        <v>29</v>
      </c>
      <c r="AM10" s="131" t="s">
        <v>87</v>
      </c>
      <c r="AO10" s="367" t="s">
        <v>70</v>
      </c>
      <c r="AP10" s="368" t="s">
        <v>958</v>
      </c>
      <c r="AQ10" s="368" t="s">
        <v>1009</v>
      </c>
      <c r="AR10" s="368" t="s">
        <v>1010</v>
      </c>
      <c r="AS10" s="132"/>
      <c r="AT10" s="126"/>
      <c r="AU10" s="700" t="s">
        <v>331</v>
      </c>
      <c r="AV10" s="716" t="s">
        <v>1670</v>
      </c>
      <c r="BB10" s="368" t="s">
        <v>1669</v>
      </c>
    </row>
    <row r="11" spans="1:58" ht="14.25" customHeight="1">
      <c r="A11" s="26" t="s">
        <v>57</v>
      </c>
      <c r="B11" s="20"/>
      <c r="C11" s="26"/>
      <c r="D11" s="735">
        <f>MAX(_xll.xlDateSettle("TARGET",$D$4,2),L11)</f>
        <v>43164</v>
      </c>
      <c r="E11" s="725" t="s">
        <v>846</v>
      </c>
      <c r="F11" s="22" t="s">
        <v>1204</v>
      </c>
      <c r="G11" s="688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1205</v>
      </c>
      <c r="O11" s="21" t="s">
        <v>1203</v>
      </c>
      <c r="P11" s="21" t="s">
        <v>1206</v>
      </c>
      <c r="Q11" s="24">
        <v>10752516000</v>
      </c>
      <c r="R11" s="21"/>
      <c r="S11" s="42">
        <f>_xll.RtGet("IDN",$N11,IF(OR($F11="BTP",$F11="CTZ",$F11="GGB"),S$10,S$9))</f>
        <v>100.026</v>
      </c>
      <c r="T11" s="42">
        <f>_xll.RtGet("IDN",$N11,IF(OR($F11="BTP",$F11="CTZ",$F11="GGB"),T$10,T$9))</f>
        <v>100.02800000000001</v>
      </c>
      <c r="U11" s="95">
        <f>IF($U$4="B",AVERAGE(S11:T11),AVERAGE(S11:T11))</f>
        <v>100.027</v>
      </c>
      <c r="V11" s="21"/>
      <c r="W11" s="25">
        <f>IF(V11="",U11,V11)</f>
        <v>100.027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6.3030712328767127E-2</v>
      </c>
      <c r="Z11" s="23">
        <v>-6.3047730621095893E-2</v>
      </c>
      <c r="AA11" s="23">
        <v>7.9435966222555823E-5</v>
      </c>
      <c r="AB11" s="23">
        <v>7.9478867435197944E-5</v>
      </c>
      <c r="AC11" s="23">
        <v>6.3047730623821963E-2</v>
      </c>
      <c r="AD11" s="33">
        <v>-4.2836260296672101E-3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-2.849376574133089E-3</v>
      </c>
      <c r="AI11" s="14">
        <v>6.3889766568470202E-2</v>
      </c>
      <c r="AJ11" s="14">
        <v>6.3907016805443695E-2</v>
      </c>
      <c r="AK11" s="246">
        <v>-4.4586286711013785E-2</v>
      </c>
      <c r="AL11" s="213">
        <f>IF(U11&gt;0,_xll.xlBondZSpread(F11,H11,G11,J11,K11,L11,M11,D11,U11,"annual",5)*100,"-")</f>
        <v>-4.5021819368412253</v>
      </c>
      <c r="AM11" s="266" t="e">
        <f>(-IF($AL$9="",VLOOKUP(VLOOKUP(E11,'DB Basis'!$D$2:$H$65205,4,0),Bonds!$AR$1:$AS$6,2,0),$AL$9)*VLOOKUP(E11,'DB Basis'!$D$2:$E$65205,2,0))+IF(V11="",W11,V11)</f>
        <v>#N/A</v>
      </c>
      <c r="AN11" s="275" t="str">
        <f>IF($AN$9+(($AL$9-$AM$9))*('DB Basis'!F170/10-'DB Basis'!E170),," ")</f>
        <v xml:space="preserve"> </v>
      </c>
      <c r="AO11" s="648">
        <f>IF(U11&gt;0,_xll.xlShmImplSwap2(curveName,curveName,D11,G11,,1,8,2,4),"-")</f>
        <v>-3.7792037044123592E-3</v>
      </c>
      <c r="AP11" s="649">
        <f>IF(AND(ISNUMBER(AD11),ISNUMBER(AO11)),AD11-AO11,"-")</f>
        <v>-5.0442232525485086E-4</v>
      </c>
      <c r="AQ11" s="389"/>
      <c r="AR11" s="390"/>
      <c r="AS11" s="393"/>
      <c r="AT11" s="242">
        <f>IF(ISNUMBER(AD11),AD11*360/365*100,"-")</f>
        <v>-0.42249462210416322</v>
      </c>
      <c r="AU11" s="713" t="str">
        <f t="shared" ref="AU11:AU74" si="0">F11&amp;"  "&amp;TEXT(G11,"dd-mmm-yy")&amp;"  "&amp;H11</f>
        <v>CTZ  28-Mar-18  0</v>
      </c>
      <c r="AV11" s="718">
        <f>AD11-BB11</f>
        <v>1.3303227416425981E-4</v>
      </c>
      <c r="AW11" s="703"/>
      <c r="AX11" s="702"/>
      <c r="AY11" s="702"/>
      <c r="AZ11" s="702"/>
      <c r="BA11" s="702"/>
      <c r="BB11" s="704">
        <f t="array" ref="BB11:BB87">_xll.xlInterpKruger(_xll.ohFilter(G11:G87,BC11:BC87),_xll.ohFilter(AD11:AD87,BC11:BC87),G11:G87)</f>
        <v>-4.4166583038314699E-3</v>
      </c>
      <c r="BC11" s="710" t="b">
        <v>0</v>
      </c>
      <c r="BE11" s="721">
        <f>G11</f>
        <v>43187</v>
      </c>
      <c r="BF11" s="722">
        <f t="array" ref="BF11:BF599">_xll.xlInterpKruger(_xll.ohFilter(G11:G87,BC11:BC87),_xll.ohFilter(AD11:AD87,BC11:BC87),BE11:BE599)</f>
        <v>-4.4166583038314699E-3</v>
      </c>
    </row>
    <row r="12" spans="1:58">
      <c r="A12" s="28" t="s">
        <v>58</v>
      </c>
      <c r="B12" s="28"/>
      <c r="C12" s="30"/>
      <c r="D12" s="735">
        <f>MAX(_xll.xlDateSettle("TARGET",$D$4,2),L12)</f>
        <v>43164</v>
      </c>
      <c r="E12" s="726" t="s">
        <v>603</v>
      </c>
      <c r="F12" s="102" t="s">
        <v>1202</v>
      </c>
      <c r="G12" s="689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1207</v>
      </c>
      <c r="O12" s="83" t="s">
        <v>1203</v>
      </c>
      <c r="P12" s="83" t="s">
        <v>1208</v>
      </c>
      <c r="Q12" s="104">
        <v>13607659000</v>
      </c>
      <c r="R12" s="83"/>
      <c r="S12" s="105">
        <f>_xll.RtGet("IDN",$N12,IF(OR($F12="BTP",$F12="CTZ",$F12="GGB"),S$10,S$9))</f>
        <v>100.13</v>
      </c>
      <c r="T12" s="105">
        <f>_xll.RtGet("IDN",$N12,IF(OR($F12="BTP",$F12="CTZ",$F12="GGB"),T$10,T$9))</f>
        <v>100.14</v>
      </c>
      <c r="U12" s="95">
        <f>IF($U$4="B",AVERAGE(S12:T12),AVERAGE(S12:T12))</f>
        <v>100.13499999999999</v>
      </c>
      <c r="V12" s="21"/>
      <c r="W12" s="25">
        <f t="shared" ref="W12:W75" si="1">IF(V12="",U12,V12)</f>
        <v>100.13499999999999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7.5969999999999996E-2</v>
      </c>
      <c r="Y12" s="23">
        <v>0.19630113457724915</v>
      </c>
      <c r="Z12" s="23">
        <v>-0.19646981729501592</v>
      </c>
      <c r="AA12" s="23">
        <v>7.700210251372758E-4</v>
      </c>
      <c r="AB12" s="23">
        <v>7.7134496090392943E-4</v>
      </c>
      <c r="AC12" s="23">
        <v>0.19671513789987216</v>
      </c>
      <c r="AD12" s="33">
        <v>-4.3740342291030618E-3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-1.9327051667835812E-2</v>
      </c>
      <c r="AI12" s="14">
        <v>0.19694632976150064</v>
      </c>
      <c r="AJ12" s="14">
        <v>0.19736182743339845</v>
      </c>
      <c r="AK12" s="246">
        <v>-9.7926999963312333E-2</v>
      </c>
      <c r="AL12" s="213">
        <f>IF(U12&gt;0,_xll.xlBondZSpread(F12,H12,G12,J12,K12,L12,M12,D12,U12,"annual",5)*100,"-")</f>
        <v>-9.8766018942042137</v>
      </c>
      <c r="AM12" s="266">
        <f>(-IF($AL$9="",VLOOKUP(VLOOKUP(E12,'DB Basis'!$D$2:$H$65205,4,0),Bonds!$AR$1:$AS$6,2,0),$AL$9)*VLOOKUP(E12,'DB Basis'!$D$2:$E$65205,2,0))+IF(V12="",W12,V12)</f>
        <v>80.524584999999988</v>
      </c>
      <c r="AN12" s="275" t="str">
        <f>IF($AN$9+(($AL$9-$AM$9))*('DB Basis'!F171/10-'DB Basis'!E171),," ")</f>
        <v xml:space="preserve"> </v>
      </c>
      <c r="AO12" s="648">
        <f>IF(U12&gt;0,_xll.xlShmImplSwap2(curveName,curveName,D12,G12,,1,8,2,4),"-")</f>
        <v>-3.4208377732069454E-3</v>
      </c>
      <c r="AP12" s="649">
        <f t="shared" ref="AP12:AP75" si="2">IF(AND(ISNUMBER(AD12),ISNUMBER(AO12)),AD12-AO12,"-")</f>
        <v>-9.5319645589611634E-4</v>
      </c>
      <c r="AQ12" s="391">
        <f t="shared" ref="AQ12:AQ75" si="3">IF(ISNUMBER(((AD12-AD11)/(G12-G11)*365)*10000),((AD12-AD11)/(G12-G11)*365)*10000,"-")</f>
        <v>-6.874790165434554</v>
      </c>
      <c r="AR12" s="391">
        <f t="shared" ref="AR12:AR75" si="4">IF(ISNUMBER(((AP12-AP11)/(G12-G11)*365)*10000),((AP12-AP11)/(G12-G11)*365)*10000,"-")</f>
        <v>-34.125532850846227</v>
      </c>
      <c r="AS12" s="393"/>
      <c r="AT12" s="242">
        <f t="shared" ref="AT12:AT75" si="5">IF(ISNUMBER(AD12),AD12*360/365*100,"-")</f>
        <v>-0.43141159519920608</v>
      </c>
      <c r="AU12" s="714" t="str">
        <f t="shared" si="0"/>
        <v>BTP  15-May-18  0.25</v>
      </c>
      <c r="AV12" s="718">
        <f t="shared" ref="AV12:AV75" si="6">AD12-BB12</f>
        <v>0</v>
      </c>
      <c r="AW12" s="705"/>
      <c r="AX12" s="702"/>
      <c r="AY12" s="702"/>
      <c r="AZ12" s="702"/>
      <c r="BA12" s="702"/>
      <c r="BB12" s="704">
        <v>-4.3740342291030618E-3</v>
      </c>
      <c r="BC12" s="710" t="b">
        <v>1</v>
      </c>
      <c r="BE12" s="721">
        <f>_xll.xlDateShiftMonth(BE11,1)</f>
        <v>43218</v>
      </c>
      <c r="BF12" s="722">
        <v>-4.3888251475139774E-3</v>
      </c>
    </row>
    <row r="13" spans="1:58">
      <c r="A13" s="11" t="s">
        <v>59</v>
      </c>
      <c r="B13" s="11"/>
      <c r="C13" s="21"/>
      <c r="D13" s="735">
        <f>MAX(_xll.xlDateSettle("TARGET",$D$4,2),L13)</f>
        <v>43164</v>
      </c>
      <c r="E13" s="725" t="s">
        <v>426</v>
      </c>
      <c r="F13" s="22" t="s">
        <v>1202</v>
      </c>
      <c r="G13" s="688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1209</v>
      </c>
      <c r="O13" s="21" t="s">
        <v>1203</v>
      </c>
      <c r="P13" s="21" t="s">
        <v>1210</v>
      </c>
      <c r="Q13" s="24">
        <v>18499649000</v>
      </c>
      <c r="R13" s="21"/>
      <c r="S13" s="42">
        <f>_xll.RtGet("IDN",$N13,IF(OR($F13="BTP",$F13="CTZ",$F13="GGB"),S$10,S$9))</f>
        <v>100.944</v>
      </c>
      <c r="T13" s="42">
        <f>_xll.RtGet("IDN",$N13,IF(OR($F13="BTP",$F13="CTZ",$F13="GGB"),T$10,T$9))</f>
        <v>100.95700000000001</v>
      </c>
      <c r="U13" s="95">
        <f t="shared" ref="U13:U76" si="7">IF($U$4="B",AVERAGE(S13:T13),AVERAGE(S13:T13))</f>
        <v>100.95050000000001</v>
      </c>
      <c r="V13" s="21"/>
      <c r="W13" s="25">
        <f t="shared" si="1"/>
        <v>100.95050000000001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0.90385000000000004</v>
      </c>
      <c r="Y13" s="23">
        <v>0.24200619894633008</v>
      </c>
      <c r="Z13" s="23">
        <v>-0.24225441044950061</v>
      </c>
      <c r="AA13" s="23">
        <v>1.1701398630372005E-3</v>
      </c>
      <c r="AB13" s="23">
        <v>1.1725413810173549E-3</v>
      </c>
      <c r="AC13" s="23">
        <v>0.24649381934906955</v>
      </c>
      <c r="AD13" s="33">
        <v>-4.2377137891551828E-3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-2.1859811153374542E-2</v>
      </c>
      <c r="AI13" s="14">
        <v>0.24019882410367221</v>
      </c>
      <c r="AJ13" s="14">
        <v>0.24465295099843867</v>
      </c>
      <c r="AK13" s="246">
        <v>-8.9350286044643068E-2</v>
      </c>
      <c r="AL13" s="213">
        <f>IF(U13&gt;0,_xll.xlBondZSpread(F13,H13,G13,J13,K13,L13,M13,D13,U13,"annual",5)*100,"-")</f>
        <v>-8.8685413784478442</v>
      </c>
      <c r="AM13" s="266">
        <f>(-IF($AL$9="",VLOOKUP(VLOOKUP(E13,'DB Basis'!$D$2:$H$65205,4,0),Bonds!$AR$1:$AS$6,2,0),$AL$9)*VLOOKUP(E13,'DB Basis'!$D$2:$E$65205,2,0))+IF(V13="",W13,V13)</f>
        <v>79.072985000000003</v>
      </c>
      <c r="AN13" s="275" t="str">
        <f>IF($AN$9+(($AL$9-$AM$9))*('DB Basis'!F172/10-'DB Basis'!E172),," ")</f>
        <v xml:space="preserve"> </v>
      </c>
      <c r="AO13" s="648">
        <f>IF(U13&gt;0,_xll.xlShmImplSwap2(curveName,curveName,D13,G13,,1,8,2,4),"-")</f>
        <v>-3.3767441860468512E-3</v>
      </c>
      <c r="AP13" s="649">
        <f t="shared" si="2"/>
        <v>-8.6096960310833156E-4</v>
      </c>
      <c r="AQ13" s="391">
        <f t="shared" si="3"/>
        <v>29.268800341750492</v>
      </c>
      <c r="AR13" s="391">
        <f t="shared" si="4"/>
        <v>19.801647804436143</v>
      </c>
      <c r="AS13" s="393"/>
      <c r="AT13" s="242">
        <f t="shared" si="5"/>
        <v>-0.41796629153311399</v>
      </c>
      <c r="AU13" s="714" t="str">
        <f t="shared" si="0"/>
        <v>BTP  01-Jun-18  3.5</v>
      </c>
      <c r="AV13" s="718">
        <f t="shared" si="6"/>
        <v>1.2152952153696335E-4</v>
      </c>
      <c r="AW13" s="702"/>
      <c r="AX13" s="702"/>
      <c r="AY13" s="702"/>
      <c r="AZ13" s="702"/>
      <c r="BA13" s="702"/>
      <c r="BB13" s="704">
        <v>-4.3592433106921461E-3</v>
      </c>
      <c r="BC13" s="710" t="b">
        <v>0</v>
      </c>
      <c r="BE13" s="721">
        <f>_xll.xlDateShiftMonth(BE12,1)</f>
        <v>43248</v>
      </c>
      <c r="BF13" s="722">
        <v>-4.3627374216528353E-3</v>
      </c>
    </row>
    <row r="14" spans="1:58">
      <c r="A14" s="28" t="s">
        <v>50</v>
      </c>
      <c r="B14" s="28"/>
      <c r="C14" s="84"/>
      <c r="D14" s="735">
        <f>MAX(_xll.xlDateSettle("TARGET",$D$4,2),L14)</f>
        <v>43164</v>
      </c>
      <c r="E14" s="725" t="s">
        <v>721</v>
      </c>
      <c r="F14" s="22" t="s">
        <v>1202</v>
      </c>
      <c r="G14" s="688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1704</v>
      </c>
      <c r="O14" s="21" t="s">
        <v>1203</v>
      </c>
      <c r="P14" s="21" t="s">
        <v>1705</v>
      </c>
      <c r="Q14" s="24">
        <v>23821553000</v>
      </c>
      <c r="R14" s="21"/>
      <c r="S14" s="42">
        <f>_xll.RtGet("IDN",$N14,IF(OR($F14="BTP",$F14="CTZ",$F14="GGB"),S$10,S$9))</f>
        <v>102.02200000000001</v>
      </c>
      <c r="T14" s="42">
        <f>_xll.RtGet("IDN",$N14,IF(OR($F14="BTP",$F14="CTZ",$F14="GGB"),T$10,T$9))</f>
        <v>102.04</v>
      </c>
      <c r="U14" s="95">
        <f t="shared" si="7"/>
        <v>102.03100000000001</v>
      </c>
      <c r="V14" s="21"/>
      <c r="W14" s="25">
        <f t="shared" si="1"/>
        <v>102.03100000000001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0.39778999999999998</v>
      </c>
      <c r="Y14" s="23">
        <v>0.41232223895062031</v>
      </c>
      <c r="Z14" s="23">
        <v>-0.41304352752642542</v>
      </c>
      <c r="AA14" s="23">
        <v>3.3942548952288639E-3</v>
      </c>
      <c r="AB14" s="23">
        <v>3.4061406410751584E-3</v>
      </c>
      <c r="AC14" s="23">
        <v>0.42233635548001303</v>
      </c>
      <c r="AD14" s="33">
        <v>-4.2407612177105466E-3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-5.459164882638351E-2</v>
      </c>
      <c r="AI14" s="14">
        <v>0.404582663785929</v>
      </c>
      <c r="AJ14" s="14">
        <v>0.41440912706569527</v>
      </c>
      <c r="AK14" s="246">
        <v>-0.13173370290595499</v>
      </c>
      <c r="AL14" s="213">
        <f>IF(U14&gt;0,_xll.xlBondZSpread(F14,H14,G14,J14,K14,L14,M14,D14,U14,"annual",5)*100,"-")</f>
        <v>-13.011673751992928</v>
      </c>
      <c r="AM14" s="266">
        <f>(-IF($AL$9="",VLOOKUP(VLOOKUP(E14,'DB Basis'!$D$2:$H$65205,4,0),Bonds!$AR$1:$AS$6,2,0),$AL$9)*VLOOKUP(E14,'DB Basis'!$D$2:$E$65205,2,0))+IF(V14="",W14,V14)</f>
        <v>72.785409999999999</v>
      </c>
      <c r="AN14" s="275" t="str">
        <f>IF($AN$9+(($AL$9-$AM$9))*('DB Basis'!F173/10-'DB Basis'!E173),," ")</f>
        <v xml:space="preserve"> </v>
      </c>
      <c r="AO14" s="648">
        <f>IF(U14&gt;0,_xll.xlShmImplSwap2(curveName,curveName,D14,G14,,1,8,2,4),"-")</f>
        <v>-2.9595890410956788E-3</v>
      </c>
      <c r="AP14" s="649">
        <f t="shared" si="2"/>
        <v>-1.2811721766148678E-3</v>
      </c>
      <c r="AQ14" s="391">
        <f t="shared" si="3"/>
        <v>-0.1823461348701341</v>
      </c>
      <c r="AR14" s="391">
        <f t="shared" si="4"/>
        <v>-25.143268742604217</v>
      </c>
      <c r="AS14" s="393"/>
      <c r="AT14" s="242">
        <f t="shared" si="5"/>
        <v>-0.41826685982898548</v>
      </c>
      <c r="AU14" s="714" t="str">
        <f t="shared" si="0"/>
        <v>BTP  01-Aug-18  4.5</v>
      </c>
      <c r="AV14" s="718">
        <f t="shared" si="6"/>
        <v>6.1382760662315704E-5</v>
      </c>
      <c r="AW14" s="702"/>
      <c r="AX14" s="702"/>
      <c r="AY14" s="702"/>
      <c r="AZ14" s="702"/>
      <c r="BA14" s="702"/>
      <c r="BB14" s="704">
        <v>-4.3021439783728624E-3</v>
      </c>
      <c r="BC14" s="710" t="b">
        <v>0</v>
      </c>
      <c r="BE14" s="721">
        <f>_xll.xlDateShiftMonth(BE13,1)</f>
        <v>43279</v>
      </c>
      <c r="BF14" s="722">
        <v>-4.335106382164799E-3</v>
      </c>
    </row>
    <row r="15" spans="1:58">
      <c r="A15" s="20" t="s">
        <v>51</v>
      </c>
      <c r="B15" s="20"/>
      <c r="C15" s="21"/>
      <c r="D15" s="735">
        <f>MAX(_xll.xlDateSettle("TARGET",$D$4,2),L15)</f>
        <v>43164</v>
      </c>
      <c r="E15" s="727" t="s">
        <v>776</v>
      </c>
      <c r="F15" s="118" t="s">
        <v>1202</v>
      </c>
      <c r="G15" s="690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1211</v>
      </c>
      <c r="O15" s="117" t="s">
        <v>1203</v>
      </c>
      <c r="P15" s="117" t="s">
        <v>1212</v>
      </c>
      <c r="Q15" s="120">
        <v>12199233000</v>
      </c>
      <c r="R15" s="117"/>
      <c r="S15" s="121">
        <f>_xll.RtGet("IDN",$N15,IF(OR($F15="BTP",$F15="CTZ",$F15="GGB"),S$10,S$9))</f>
        <v>100.44</v>
      </c>
      <c r="T15" s="121">
        <f>_xll.RtGet("IDN",$N15,IF(OR($F15="BTP",$F15="CTZ",$F15="GGB"),T$10,T$9))</f>
        <v>100.45700000000001</v>
      </c>
      <c r="U15" s="95">
        <f t="shared" si="7"/>
        <v>100.4485</v>
      </c>
      <c r="V15" s="21"/>
      <c r="W15" s="25">
        <f t="shared" si="1"/>
        <v>100.4485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0.11620999999999999</v>
      </c>
      <c r="Y15" s="23">
        <v>0.61189528084095557</v>
      </c>
      <c r="Z15" s="23">
        <v>-0.61453667495685138</v>
      </c>
      <c r="AA15" s="23">
        <v>9.8667957822330659E-3</v>
      </c>
      <c r="AB15" s="23">
        <v>9.9521644680649456E-3</v>
      </c>
      <c r="AC15" s="23">
        <v>0.61800702937588881</v>
      </c>
      <c r="AD15" s="33">
        <v>-4.2981879017438118E-3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-0.10012463909804854</v>
      </c>
      <c r="AI15" s="14">
        <v>0.6196289019306187</v>
      </c>
      <c r="AJ15" s="14">
        <v>0.62312800830271098</v>
      </c>
      <c r="AK15" s="246">
        <v>-0.16068069122872047</v>
      </c>
      <c r="AL15" s="213">
        <f>IF(U15&gt;0,_xll.xlBondZSpread(F15,H15,G15,J15,K15,L15,M15,D15,U15,"annual",5)*100,"-")</f>
        <v>-16.193874840930221</v>
      </c>
      <c r="AM15" s="266">
        <f>(-IF($AL$9="",VLOOKUP(VLOOKUP(E15,'DB Basis'!$D$2:$H$65205,4,0),Bonds!$AR$1:$AS$6,2,0),$AL$9)*VLOOKUP(E15,'DB Basis'!$D$2:$E$65205,2,0))+IF(V15="",W15,V15)</f>
        <v>63.608124999999994</v>
      </c>
      <c r="AN15" s="275" t="str">
        <f>IF($AN$9+(($AL$9-$AM$9))*('DB Basis'!F174/10-'DB Basis'!E174),," ")</f>
        <v xml:space="preserve"> </v>
      </c>
      <c r="AO15" s="648">
        <f>IF(U15&gt;0,_xll.xlShmImplSwap2(curveName,curveName,D15,G15,,1,8,2,4),"-")</f>
        <v>-2.6859420753277295E-3</v>
      </c>
      <c r="AP15" s="649">
        <f t="shared" si="2"/>
        <v>-1.6122458264160823E-3</v>
      </c>
      <c r="AQ15" s="391">
        <f t="shared" si="3"/>
        <v>-2.7947652896189021</v>
      </c>
      <c r="AR15" s="391">
        <f t="shared" si="4"/>
        <v>-16.112250956992437</v>
      </c>
      <c r="AS15" s="393"/>
      <c r="AT15" s="242">
        <f t="shared" si="5"/>
        <v>-0.42393086154185544</v>
      </c>
      <c r="AU15" s="714" t="str">
        <f t="shared" si="0"/>
        <v>BTP  15-Oct-18  0.3</v>
      </c>
      <c r="AV15" s="718">
        <f t="shared" si="6"/>
        <v>-8.8779076883270351E-5</v>
      </c>
      <c r="AW15" s="702"/>
      <c r="AX15" s="702"/>
      <c r="AY15" s="702"/>
      <c r="AZ15" s="702"/>
      <c r="BA15" s="702"/>
      <c r="BB15" s="704">
        <v>-4.2094088248605414E-3</v>
      </c>
      <c r="BC15" s="710" t="b">
        <v>0</v>
      </c>
      <c r="BE15" s="721">
        <f>_xll.xlDateShiftMonth(BE14,1)</f>
        <v>43309</v>
      </c>
      <c r="BF15" s="722">
        <v>-4.3062314000264727E-3</v>
      </c>
    </row>
    <row r="16" spans="1:58">
      <c r="A16" s="28" t="s">
        <v>54</v>
      </c>
      <c r="B16" s="28"/>
      <c r="C16" s="29"/>
      <c r="D16" s="735">
        <f>MAX(_xll.xlDateSettle("TARGET",$D$4,2),L16)</f>
        <v>43164</v>
      </c>
      <c r="E16" s="725" t="s">
        <v>427</v>
      </c>
      <c r="F16" s="22" t="s">
        <v>1202</v>
      </c>
      <c r="G16" s="688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1213</v>
      </c>
      <c r="O16" s="21" t="s">
        <v>1203</v>
      </c>
      <c r="P16" s="21" t="s">
        <v>1214</v>
      </c>
      <c r="Q16" s="24">
        <v>18763736000</v>
      </c>
      <c r="R16" s="21"/>
      <c r="S16" s="42">
        <f>_xll.RtGet("IDN",$N16,IF(OR($F16="BTP",$F16="CTZ",$F16="GGB"),S$10,S$9))</f>
        <v>102.904</v>
      </c>
      <c r="T16" s="42">
        <f>_xll.RtGet("IDN",$N16,IF(OR($F16="BTP",$F16="CTZ",$F16="GGB"),T$10,T$9))</f>
        <v>102.922</v>
      </c>
      <c r="U16" s="95">
        <f t="shared" si="7"/>
        <v>102.913</v>
      </c>
      <c r="V16" s="21"/>
      <c r="W16" s="25">
        <f t="shared" si="1"/>
        <v>102.913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0.90385000000000004</v>
      </c>
      <c r="Y16" s="23">
        <v>0.73872329606912002</v>
      </c>
      <c r="Z16" s="23">
        <v>-0.74178634582154634</v>
      </c>
      <c r="AA16" s="23">
        <v>1.288674243395058E-2</v>
      </c>
      <c r="AB16" s="23">
        <v>1.2993831430609183E-2</v>
      </c>
      <c r="AC16" s="23">
        <v>0.77009921959785288</v>
      </c>
      <c r="AD16" s="33">
        <v>-4.1292825339589306E-3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-0.10750664477285254</v>
      </c>
      <c r="AI16" s="14">
        <v>0.7316863588279473</v>
      </c>
      <c r="AJ16" s="14">
        <v>0.75961372961487184</v>
      </c>
      <c r="AK16" s="246">
        <v>-0.14152804324292687</v>
      </c>
      <c r="AL16" s="213">
        <f>IF(U16&gt;0,_xll.xlBondZSpread(F16,H16,G16,J16,K16,L16,M16,D16,U16,"annual",5)*100,"-")</f>
        <v>-13.964011479598412</v>
      </c>
      <c r="AM16" s="266">
        <f>(-IF($AL$9="",VLOOKUP(VLOOKUP(E16,'DB Basis'!$D$2:$H$65205,4,0),Bonds!$AR$1:$AS$6,2,0),$AL$9)*VLOOKUP(E16,'DB Basis'!$D$2:$E$65205,2,0))+IF(V16="",W16,V16)</f>
        <v>59.384679999999996</v>
      </c>
      <c r="AN16" s="275" t="str">
        <f>IF($AN$9+(($AL$9-$AM$9))*('DB Basis'!F175/10-'DB Basis'!E175),," ")</f>
        <v xml:space="preserve"> </v>
      </c>
      <c r="AO16" s="648">
        <f>IF(U16&gt;0,_xll.xlShmImplSwap2(curveName,curveName,D16,G16,,1,8,2,4),"-")</f>
        <v>-2.7348799060775363E-3</v>
      </c>
      <c r="AP16" s="649">
        <f t="shared" si="2"/>
        <v>-1.3944026278813943E-3</v>
      </c>
      <c r="AQ16" s="391">
        <f t="shared" si="3"/>
        <v>13.117118987549278</v>
      </c>
      <c r="AR16" s="391">
        <f t="shared" si="4"/>
        <v>16.917610098970446</v>
      </c>
      <c r="AS16" s="393"/>
      <c r="AT16" s="242">
        <f t="shared" si="5"/>
        <v>-0.40727170197951101</v>
      </c>
      <c r="AU16" s="714" t="str">
        <f t="shared" si="0"/>
        <v>BTP  01-Dec-18  3.5</v>
      </c>
      <c r="AV16" s="718">
        <f t="shared" si="6"/>
        <v>0</v>
      </c>
      <c r="AW16" s="702"/>
      <c r="AX16" s="702"/>
      <c r="AY16" s="702"/>
      <c r="AZ16" s="702"/>
      <c r="BA16" s="702"/>
      <c r="BB16" s="704">
        <v>-4.1292825339589306E-3</v>
      </c>
      <c r="BC16" s="710" t="b">
        <v>1</v>
      </c>
      <c r="BE16" s="721">
        <f>_xll.xlDateShiftMonth(BE15,1)</f>
        <v>43340</v>
      </c>
      <c r="BF16" s="722">
        <v>-4.2726379140694652E-3</v>
      </c>
    </row>
    <row r="17" spans="1:58">
      <c r="A17" s="20" t="s">
        <v>53</v>
      </c>
      <c r="B17" s="20"/>
      <c r="C17" s="83"/>
      <c r="D17" s="735">
        <f>MAX(_xll.xlDateSettle("TARGET",$D$4,2),L17)</f>
        <v>43164</v>
      </c>
      <c r="E17" s="725" t="s">
        <v>1652</v>
      </c>
      <c r="F17" s="22" t="s">
        <v>1204</v>
      </c>
      <c r="G17" s="688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1215</v>
      </c>
      <c r="O17" s="21" t="s">
        <v>1203</v>
      </c>
      <c r="P17" s="21" t="s">
        <v>1216</v>
      </c>
      <c r="Q17" s="24">
        <v>12980000000</v>
      </c>
      <c r="R17" s="21"/>
      <c r="S17" s="42">
        <f>_xll.RtGet("IDN",$N17,IF(OR($F17="BTP",$F17="CTZ",$F17="GGB"),S$10,S$9))</f>
        <v>100.331</v>
      </c>
      <c r="T17" s="42">
        <f>_xll.RtGet("IDN",$N17,IF(OR($F17="BTP",$F17="CTZ",$F17="GGB"),T$10,T$9))</f>
        <v>100.33500000000001</v>
      </c>
      <c r="U17" s="95">
        <f t="shared" si="7"/>
        <v>100.333</v>
      </c>
      <c r="V17" s="21"/>
      <c r="W17" s="25">
        <f t="shared" si="1"/>
        <v>100.333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0.81915709589041097</v>
      </c>
      <c r="Z17" s="23">
        <v>-0.82188488901972601</v>
      </c>
      <c r="AA17" s="23">
        <v>1.3375825456183148E-2</v>
      </c>
      <c r="AB17" s="23">
        <v>1.346505677691223E-2</v>
      </c>
      <c r="AC17" s="23">
        <v>0.82188489453542957</v>
      </c>
      <c r="AD17" s="33">
        <v>-4.0651543113111319E-3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-0.10863157583077054</v>
      </c>
      <c r="AI17" s="14">
        <v>0.82652245077298481</v>
      </c>
      <c r="AJ17" s="14">
        <v>0.82927477053405885</v>
      </c>
      <c r="AK17" s="246">
        <v>-0.1309958769887706</v>
      </c>
      <c r="AL17" s="213">
        <f>IF(U17&gt;0,_xll.xlBondZSpread(F17,H17,G17,J17,K17,L17,M17,D17,U17,"annual",5)*100,"-")</f>
        <v>-13.222862586648265</v>
      </c>
      <c r="AM17" s="266" t="e">
        <f>(-IF($AL$9="",VLOOKUP(VLOOKUP(E17,'DB Basis'!$D$2:$H$65205,4,0),Bonds!$AR$1:$AS$6,2,0),$AL$9)*VLOOKUP(E17,'DB Basis'!$D$2:$E$65205,2,0))+IF(V17="",W17,V17)</f>
        <v>#N/A</v>
      </c>
      <c r="AN17" s="275" t="str">
        <f>IF($AN$9+(($AL$9-$AM$9))*('DB Basis'!F176/10-'DB Basis'!E176),," ")</f>
        <v xml:space="preserve"> </v>
      </c>
      <c r="AO17" s="648">
        <f>IF(U17&gt;0,_xll.xlShmImplSwap2(curveName,curveName,D17,G17,,1,8,2,4),"-")</f>
        <v>-2.750629826914831E-3</v>
      </c>
      <c r="AP17" s="649">
        <f t="shared" si="2"/>
        <v>-1.3145244843963009E-3</v>
      </c>
      <c r="AQ17" s="391">
        <f t="shared" si="3"/>
        <v>8.6691856542394596</v>
      </c>
      <c r="AR17" s="391">
        <f t="shared" si="4"/>
        <v>10.798341619281146</v>
      </c>
      <c r="AS17" s="393"/>
      <c r="AT17" s="242">
        <f t="shared" si="5"/>
        <v>-0.40094672659507052</v>
      </c>
      <c r="AU17" s="715" t="str">
        <f t="shared" si="0"/>
        <v>CTZ  28-Dec-18  0</v>
      </c>
      <c r="AV17" s="718">
        <f t="shared" si="6"/>
        <v>-6.6403063214304919E-6</v>
      </c>
      <c r="AW17" s="702"/>
      <c r="AX17" s="702"/>
      <c r="AY17" s="702"/>
      <c r="AZ17" s="702"/>
      <c r="BA17" s="702"/>
      <c r="BB17" s="704">
        <v>-4.0585140049897014E-3</v>
      </c>
      <c r="BC17" s="710" t="b">
        <v>0</v>
      </c>
      <c r="BE17" s="721">
        <f>_xll.xlDateShiftMonth(BE16,1)</f>
        <v>43371</v>
      </c>
      <c r="BF17" s="722">
        <v>-4.2336518848347408E-3</v>
      </c>
    </row>
    <row r="18" spans="1:58">
      <c r="A18" s="28" t="s">
        <v>52</v>
      </c>
      <c r="B18" s="28"/>
      <c r="C18" s="29"/>
      <c r="D18" s="735">
        <f>MAX(_xll.xlDateSettle("TARGET",$D$4,2),L18)</f>
        <v>43164</v>
      </c>
      <c r="E18" s="726" t="s">
        <v>575</v>
      </c>
      <c r="F18" s="102" t="s">
        <v>1202</v>
      </c>
      <c r="G18" s="689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1217</v>
      </c>
      <c r="O18" s="83" t="s">
        <v>1203</v>
      </c>
      <c r="P18" s="83" t="s">
        <v>1218</v>
      </c>
      <c r="Q18" s="104">
        <v>23653755000</v>
      </c>
      <c r="R18" s="83"/>
      <c r="S18" s="105">
        <f>_xll.RtGet("IDN",$N18,IF(OR($F18="BTP",$F18="CTZ",$F18="GGB"),S$10,S$9))</f>
        <v>104.246</v>
      </c>
      <c r="T18" s="105">
        <f>_xll.RtGet("IDN",$N18,IF(OR($F18="BTP",$F18="CTZ",$F18="GGB"),T$10,T$9))</f>
        <v>104.259</v>
      </c>
      <c r="U18" s="95">
        <f t="shared" si="7"/>
        <v>104.2525</v>
      </c>
      <c r="V18" s="21"/>
      <c r="W18" s="25">
        <f t="shared" si="1"/>
        <v>104.2525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0.37569000000000002</v>
      </c>
      <c r="Y18" s="23">
        <v>0.90143039802308411</v>
      </c>
      <c r="Z18" s="23">
        <v>-0.90505887979230604</v>
      </c>
      <c r="AA18" s="23">
        <v>1.7189896007062038E-2</v>
      </c>
      <c r="AB18" s="23">
        <v>1.7328561750510414E-2</v>
      </c>
      <c r="AC18" s="23">
        <v>0.94694673234272386</v>
      </c>
      <c r="AD18" s="33">
        <v>-4.0091104049798307E-3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-0.12021110481049241</v>
      </c>
      <c r="AI18" s="14">
        <v>0.88582255199024973</v>
      </c>
      <c r="AJ18" s="14">
        <v>0.92682010275920734</v>
      </c>
      <c r="AK18" s="246">
        <v>-0.12970273783727518</v>
      </c>
      <c r="AL18" s="213">
        <f>IF(U18&gt;0,_xll.xlBondZSpread(F18,H18,G18,J18,K18,L18,M18,D18,U18,"annual",5)*100,"-")</f>
        <v>-12.700493544376515</v>
      </c>
      <c r="AM18" s="266">
        <f>(-IF($AL$9="",VLOOKUP(VLOOKUP(E18,'DB Basis'!$D$2:$H$65205,4,0),Bonds!$AR$1:$AS$6,2,0),$AL$9)*VLOOKUP(E18,'DB Basis'!$D$2:$E$65205,2,0))+IF(V18="",W18,V18)</f>
        <v>53.356104999999992</v>
      </c>
      <c r="AN18" s="275" t="str">
        <f>IF($AN$9+(($AL$9-$AM$9))*('DB Basis'!F177/10-'DB Basis'!E177),," ")</f>
        <v xml:space="preserve"> </v>
      </c>
      <c r="AO18" s="648">
        <f>IF(U18&gt;0,_xll.xlShmImplSwap2(curveName,curveName,D18,G18,,1,8,2,4),"-")</f>
        <v>-2.7405683513039175E-3</v>
      </c>
      <c r="AP18" s="649">
        <f t="shared" si="2"/>
        <v>-1.2685420536759132E-3</v>
      </c>
      <c r="AQ18" s="391">
        <f t="shared" si="3"/>
        <v>5.8445788031214132</v>
      </c>
      <c r="AR18" s="391">
        <f t="shared" si="4"/>
        <v>4.795310632269004</v>
      </c>
      <c r="AS18" s="393"/>
      <c r="AT18" s="242">
        <f t="shared" si="5"/>
        <v>-0.39541910843636691</v>
      </c>
      <c r="AU18" s="714" t="str">
        <f t="shared" si="0"/>
        <v>BTP  01-Feb-19  4.25</v>
      </c>
      <c r="AV18" s="718">
        <f t="shared" si="6"/>
        <v>-8.9243346547447991E-5</v>
      </c>
      <c r="AW18" s="702"/>
      <c r="AX18" s="702"/>
      <c r="AY18" s="702"/>
      <c r="AZ18" s="702"/>
      <c r="BA18" s="702"/>
      <c r="BB18" s="704">
        <v>-3.9198670584323827E-3</v>
      </c>
      <c r="BC18" s="710" t="b">
        <v>0</v>
      </c>
      <c r="BE18" s="721">
        <f>_xll.xlDateShiftMonth(BE17,1)</f>
        <v>43401</v>
      </c>
      <c r="BF18" s="722">
        <v>-4.189289473511713E-3</v>
      </c>
    </row>
    <row r="19" spans="1:58">
      <c r="A19" s="20" t="s">
        <v>42</v>
      </c>
      <c r="B19" s="20"/>
      <c r="C19" s="21"/>
      <c r="D19" s="735">
        <f>MAX(_xll.xlDateSettle("TARGET",$D$4,2),L19)</f>
        <v>43164</v>
      </c>
      <c r="E19" s="725" t="s">
        <v>722</v>
      </c>
      <c r="F19" s="22" t="s">
        <v>1202</v>
      </c>
      <c r="G19" s="688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1219</v>
      </c>
      <c r="O19" s="21" t="s">
        <v>1203</v>
      </c>
      <c r="P19" s="21" t="s">
        <v>1220</v>
      </c>
      <c r="Q19" s="24">
        <v>23861490000</v>
      </c>
      <c r="R19" s="21"/>
      <c r="S19" s="42">
        <f>_xll.RtGet("IDN",$N19,IF(OR($F19="BTP",$F19="CTZ",$F19="GGB"),S$10,S$9))</f>
        <v>104.825</v>
      </c>
      <c r="T19" s="42">
        <f>_xll.RtGet("IDN",$N19,IF(OR($F19="BTP",$F19="CTZ",$F19="GGB"),T$10,T$9))</f>
        <v>104.836</v>
      </c>
      <c r="U19" s="95">
        <f t="shared" si="7"/>
        <v>104.8305</v>
      </c>
      <c r="V19" s="21"/>
      <c r="W19" s="25">
        <f t="shared" si="1"/>
        <v>104.8305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4.8910000000000002E-2</v>
      </c>
      <c r="Y19" s="23">
        <v>0.97850290292500042</v>
      </c>
      <c r="Z19" s="23">
        <v>-0.98213380073296952</v>
      </c>
      <c r="AA19" s="23">
        <v>1.9411129398074507E-2</v>
      </c>
      <c r="AB19" s="23">
        <v>1.9555453120635974E-2</v>
      </c>
      <c r="AC19" s="23">
        <v>1.0300561458045365</v>
      </c>
      <c r="AD19" s="33">
        <v>-3.6969481680717425E-3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-9.9692191933017371E-2</v>
      </c>
      <c r="AI19" s="14">
        <v>0.95810974900190704</v>
      </c>
      <c r="AJ19" s="14">
        <v>1.0048598519056811</v>
      </c>
      <c r="AK19" s="246">
        <v>-9.921004580285854E-2</v>
      </c>
      <c r="AL19" s="213">
        <f>IF(U19&gt;0,_xll.xlBondZSpread(F19,H19,G19,J19,K19,L19,M19,D19,U19,"annual",5)*100,"-")</f>
        <v>-9.6872729784518015</v>
      </c>
      <c r="AM19" s="266">
        <f>(-IF($AL$9="",VLOOKUP(VLOOKUP(E19,'DB Basis'!$D$2:$H$65205,4,0),Bonds!$AR$1:$AS$6,2,0),$AL$9)*VLOOKUP(E19,'DB Basis'!$D$2:$E$65205,2,0))+IF(V19="",W19,V19)</f>
        <v>50.306744999999999</v>
      </c>
      <c r="AN19" s="275" t="str">
        <f>IF($AN$9+(($AL$9-$AM$9))*('DB Basis'!F178/10-'DB Basis'!E178),," ")</f>
        <v xml:space="preserve"> </v>
      </c>
      <c r="AO19" s="648">
        <f>IF(U19&gt;0,_xll.xlShmImplSwap2(curveName,curveName,D19,G19,,1,8,2,4),"-")</f>
        <v>-2.7211636638021699E-3</v>
      </c>
      <c r="AP19" s="649">
        <f t="shared" si="2"/>
        <v>-9.7578450426957265E-4</v>
      </c>
      <c r="AQ19" s="391">
        <f t="shared" si="3"/>
        <v>40.692577311232917</v>
      </c>
      <c r="AR19" s="391">
        <f t="shared" si="4"/>
        <v>38.163037690469395</v>
      </c>
      <c r="AS19" s="393"/>
      <c r="AT19" s="242">
        <f t="shared" si="5"/>
        <v>-0.36463050424817189</v>
      </c>
      <c r="AU19" s="714" t="str">
        <f t="shared" si="0"/>
        <v>BTP  01-Mar-19  4.5</v>
      </c>
      <c r="AV19" s="718">
        <f t="shared" si="6"/>
        <v>8.3453292365437675E-5</v>
      </c>
      <c r="AW19" s="702"/>
      <c r="AX19" s="702"/>
      <c r="AY19" s="702"/>
      <c r="AZ19" s="702"/>
      <c r="BA19" s="702"/>
      <c r="BB19" s="704">
        <v>-3.7804014604371802E-3</v>
      </c>
      <c r="BC19" s="710" t="b">
        <v>0</v>
      </c>
      <c r="BE19" s="721">
        <f>_xll.xlDateShiftMonth(BE18,1)</f>
        <v>43432</v>
      </c>
      <c r="BF19" s="722">
        <v>-4.1350436236530118E-3</v>
      </c>
    </row>
    <row r="20" spans="1:58">
      <c r="A20" s="51" t="s">
        <v>43</v>
      </c>
      <c r="B20" s="51"/>
      <c r="C20" s="29"/>
      <c r="D20" s="735">
        <f>MAX(_xll.xlDateSettle("TARGET",$D$4,2),L20)</f>
        <v>43164</v>
      </c>
      <c r="E20" s="725" t="s">
        <v>889</v>
      </c>
      <c r="F20" s="22" t="s">
        <v>1202</v>
      </c>
      <c r="G20" s="688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1221</v>
      </c>
      <c r="O20" s="21" t="s">
        <v>1203</v>
      </c>
      <c r="P20" s="21" t="s">
        <v>1223</v>
      </c>
      <c r="Q20" s="24">
        <v>11127336000</v>
      </c>
      <c r="R20" s="21"/>
      <c r="S20" s="42">
        <f>_xll.RtGet("IDN",$N20,IF(OR($F20="BTP",$F20="CTZ",LEFT($F20,3)="GGB"),S$10,S$9))</f>
        <v>100.503</v>
      </c>
      <c r="T20" s="42">
        <f>_xll.RtGet("IDN",$N20,IF(OR($F20="BTP",$F20="CTZ",$F20="GGB"),T$10,T$9))</f>
        <v>100.529</v>
      </c>
      <c r="U20" s="95">
        <f t="shared" si="7"/>
        <v>100.51599999999999</v>
      </c>
      <c r="V20" s="21"/>
      <c r="W20" s="25">
        <f t="shared" si="1"/>
        <v>100.51599999999999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3.8739999999999997E-2</v>
      </c>
      <c r="Y20" s="23">
        <v>1.1118920981471476</v>
      </c>
      <c r="Z20" s="23">
        <v>-1.1159326196629531</v>
      </c>
      <c r="AA20" s="23">
        <v>2.3488149027467081E-2</v>
      </c>
      <c r="AB20" s="23">
        <v>2.3659167076585379E-2</v>
      </c>
      <c r="AC20" s="23">
        <v>1.1221231566629797</v>
      </c>
      <c r="AD20" s="33">
        <v>-3.6207576019003174E-3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-0.10517670446955452</v>
      </c>
      <c r="AI20" s="14">
        <v>1.1239829943110808</v>
      </c>
      <c r="AJ20" s="14">
        <v>1.1302181775737221</v>
      </c>
      <c r="AK20" s="246">
        <v>-9.3058762066049086E-2</v>
      </c>
      <c r="AL20" s="213">
        <f>IF(U20&gt;0,_xll.xlBondZSpread(F20,H20,G20,J20,K20,L20,M20,D20,U20,"annual",5)*100,"-")</f>
        <v>-9.384526101523079</v>
      </c>
      <c r="AM20" s="266">
        <f>(-IF($AL$9="",VLOOKUP(VLOOKUP(E20,'DB Basis'!$D$2:$H$65205,4,0),Bonds!$AR$1:$AS$6,2,0),$AL$9)*VLOOKUP(E20,'DB Basis'!$D$2:$E$65205,2,0))+IF(V20="",W20,V20)</f>
        <v>43.045014999999985</v>
      </c>
      <c r="AN20" s="275" t="str">
        <f>IF($AN$9+(($AL$9-$AM$9))*('DB Basis'!F179/10-'DB Basis'!E179),," ")</f>
        <v xml:space="preserve"> </v>
      </c>
      <c r="AO20" s="648">
        <f>IF(U20&gt;0,_xll.xlShmImplSwap2(curveName,curveName,D20,G20,,1,8,2,4),"-")</f>
        <v>-2.6876719254930459E-3</v>
      </c>
      <c r="AP20" s="649">
        <f t="shared" si="2"/>
        <v>-9.330856764072715E-4</v>
      </c>
      <c r="AQ20" s="391">
        <f t="shared" si="3"/>
        <v>6.1799014783489268</v>
      </c>
      <c r="AR20" s="391">
        <f t="shared" si="4"/>
        <v>3.4633493710533156</v>
      </c>
      <c r="AS20" s="393"/>
      <c r="AT20" s="242">
        <f t="shared" si="5"/>
        <v>-0.35711581826962036</v>
      </c>
      <c r="AU20" s="714" t="str">
        <f t="shared" si="0"/>
        <v>BTP  15-Apr-19  0.1</v>
      </c>
      <c r="AV20" s="718">
        <f t="shared" si="6"/>
        <v>-9.6240690174013033E-5</v>
      </c>
      <c r="AW20" s="702"/>
      <c r="AX20" s="702"/>
      <c r="AY20" s="702"/>
      <c r="AZ20" s="702"/>
      <c r="BA20" s="702"/>
      <c r="BB20" s="704">
        <v>-3.5245169117263044E-3</v>
      </c>
      <c r="BC20" s="710" t="b">
        <v>0</v>
      </c>
      <c r="BE20" s="721">
        <f>_xll.xlDateShiftMonth(BE19,1)</f>
        <v>43462</v>
      </c>
      <c r="BF20" s="722">
        <v>-4.0585140049897014E-3</v>
      </c>
    </row>
    <row r="21" spans="1:58">
      <c r="A21" s="20" t="s">
        <v>44</v>
      </c>
      <c r="B21" s="20"/>
      <c r="C21" s="21"/>
      <c r="D21" s="735">
        <f>MAX(_xll.xlDateSettle("TARGET",$D$4,2),L21)</f>
        <v>43164</v>
      </c>
      <c r="E21" s="725" t="s">
        <v>723</v>
      </c>
      <c r="F21" s="22" t="s">
        <v>1202</v>
      </c>
      <c r="G21" s="688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1224</v>
      </c>
      <c r="O21" s="21" t="s">
        <v>1203</v>
      </c>
      <c r="P21" s="21" t="s">
        <v>1225</v>
      </c>
      <c r="Q21" s="24">
        <v>17220568000</v>
      </c>
      <c r="R21" s="21"/>
      <c r="S21" s="42">
        <f>_xll.RtGet("IDN",$N21,IF(OR($F21="BTP",$F21="CTZ",LEFT($F21,3)="GGB"),S$10,S$9))</f>
        <v>103.29300000000001</v>
      </c>
      <c r="T21" s="42">
        <f>_xll.RtGet("IDN",$N21,IF(OR($F21="BTP",$F21="CTZ",$F21="GGB"),T$10,T$9))</f>
        <v>103.31</v>
      </c>
      <c r="U21" s="95">
        <f t="shared" si="7"/>
        <v>103.3015</v>
      </c>
      <c r="V21" s="21"/>
      <c r="W21" s="25">
        <f t="shared" si="1"/>
        <v>103.3015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0.85634999999999994</v>
      </c>
      <c r="Y21" s="23">
        <v>1.1421215730605503</v>
      </c>
      <c r="Z21" s="23">
        <v>-1.146051784471793</v>
      </c>
      <c r="AA21" s="23">
        <v>2.461284732845433E-2</v>
      </c>
      <c r="AB21" s="23">
        <v>2.4782531770607404E-2</v>
      </c>
      <c r="AC21" s="23">
        <v>1.1937029123281206</v>
      </c>
      <c r="AD21" s="33">
        <v>-3.4293489768667529E-3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-9.2201461668532048E-2</v>
      </c>
      <c r="AI21" s="14">
        <v>1.1305971762198257</v>
      </c>
      <c r="AJ21" s="14">
        <v>1.1776057109112819</v>
      </c>
      <c r="AK21" s="246">
        <v>-7.8295698478897433E-2</v>
      </c>
      <c r="AL21" s="213">
        <f>IF(U21&gt;0,_xll.xlBondZSpread(F21,H21,G21,J21,K21,L21,M21,D21,U21,"annual",5)*100,"-")</f>
        <v>-7.7383875570158116</v>
      </c>
      <c r="AM21" s="266">
        <f>(-IF($AL$9="",VLOOKUP(VLOOKUP(E21,'DB Basis'!$D$2:$H$65205,4,0),Bonds!$AR$1:$AS$6,2,0),$AL$9)*VLOOKUP(E21,'DB Basis'!$D$2:$E$65205,2,0))+IF(V21="",W21,V21)</f>
        <v>42.429864999999999</v>
      </c>
      <c r="AN21" s="275" t="str">
        <f>IF($AN$9+(($AL$9-$AM$9))*('DB Basis'!F180/10-'DB Basis'!E180),," ")</f>
        <v xml:space="preserve"> </v>
      </c>
      <c r="AO21" s="648">
        <f>IF(U21&gt;0,_xll.xlShmImplSwap2(curveName,curveName,D21,G21,,1,8,2,4),"-")</f>
        <v>-2.6540772690468047E-3</v>
      </c>
      <c r="AP21" s="649">
        <f t="shared" si="2"/>
        <v>-7.7527170781994817E-4</v>
      </c>
      <c r="AQ21" s="391">
        <f t="shared" si="3"/>
        <v>43.665092585781906</v>
      </c>
      <c r="AR21" s="391">
        <f t="shared" si="4"/>
        <v>36.001311583983131</v>
      </c>
      <c r="AS21" s="393"/>
      <c r="AT21" s="242">
        <f t="shared" si="5"/>
        <v>-0.33823715936220028</v>
      </c>
      <c r="AU21" s="714" t="str">
        <f t="shared" si="0"/>
        <v>BTP  01-May-19  2.5</v>
      </c>
      <c r="AV21" s="718">
        <f t="shared" si="6"/>
        <v>0</v>
      </c>
      <c r="AW21" s="702"/>
      <c r="AX21" s="702"/>
      <c r="AY21" s="702"/>
      <c r="AZ21" s="702"/>
      <c r="BA21" s="702"/>
      <c r="BB21" s="704">
        <v>-3.4293489768667529E-3</v>
      </c>
      <c r="BC21" s="710" t="b">
        <v>1</v>
      </c>
      <c r="BE21" s="721">
        <f>_xll.xlDateShiftMonth(BE20,1)</f>
        <v>43493</v>
      </c>
      <c r="BF21" s="722">
        <v>-3.9379587722714509E-3</v>
      </c>
    </row>
    <row r="22" spans="1:58">
      <c r="A22" s="28" t="s">
        <v>48</v>
      </c>
      <c r="B22" s="28"/>
      <c r="C22" s="29"/>
      <c r="D22" s="735">
        <f>MAX(_xll.xlDateSettle("TARGET",$D$4,2),L22)</f>
        <v>43164</v>
      </c>
      <c r="E22" s="728" t="s">
        <v>1653</v>
      </c>
      <c r="F22" s="79" t="s">
        <v>1204</v>
      </c>
      <c r="G22" s="691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1226</v>
      </c>
      <c r="O22" s="77" t="s">
        <v>1203</v>
      </c>
      <c r="P22" s="77" t="s">
        <v>1227</v>
      </c>
      <c r="Q22" s="81">
        <v>11059547000</v>
      </c>
      <c r="R22" s="77"/>
      <c r="S22" s="82">
        <f>_xll.RtGet("IDN",$N22,IF(OR($F22="BTP",$F22="CTZ",$F22="GGB"),S$10,S$9))</f>
        <v>100.35900000000001</v>
      </c>
      <c r="T22" s="82">
        <f>_xll.RtGet("IDN",$N22,IF(OR($F22="BTP",$F22="CTZ",$F22="GGB"),T$10,T$9))</f>
        <v>100.379</v>
      </c>
      <c r="U22" s="95">
        <f t="shared" si="7"/>
        <v>100.369</v>
      </c>
      <c r="V22" s="21"/>
      <c r="W22" s="25">
        <f t="shared" si="1"/>
        <v>100.369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1.2356164383561643</v>
      </c>
      <c r="Z22" s="23">
        <v>-1.2393051420443819</v>
      </c>
      <c r="AA22" s="23">
        <v>2.762364421092137E-2</v>
      </c>
      <c r="AB22" s="23">
        <v>2.7788820927709065E-2</v>
      </c>
      <c r="AC22" s="23">
        <v>1.2438781931045639</v>
      </c>
      <c r="AD22" s="33">
        <v>-2.9764289384633315E-3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-4.4916642232152526E-2</v>
      </c>
      <c r="AI22" s="14">
        <v>1.251065187632717</v>
      </c>
      <c r="AJ22" s="14">
        <v>1.2556816181750818</v>
      </c>
      <c r="AK22" s="246">
        <v>-3.5770725303306716E-2</v>
      </c>
      <c r="AL22" s="213">
        <f>IF(U22&gt;0,_xll.xlBondZSpread(F22,H22,G22,J22,K22,L22,M22,D22,U22,"annual",5)*100,"-")</f>
        <v>-3.6123261371540143</v>
      </c>
      <c r="AM22" s="266" t="e">
        <f>(-IF($AL$9="",VLOOKUP(VLOOKUP(E22,'DB Basis'!$D$2:$H$65205,4,0),Bonds!$AR$1:$AS$6,2,0),$AL$9)*VLOOKUP(E22,'DB Basis'!$D$2:$E$65205,2,0))+IF(V22="",W22,V22)</f>
        <v>#N/A</v>
      </c>
      <c r="AN22" s="275" t="str">
        <f>IF($AN$9+(($AL$9-$AM$9))*('DB Basis'!F181/10-'DB Basis'!E181),," ")</f>
        <v xml:space="preserve"> </v>
      </c>
      <c r="AO22" s="648">
        <f>IF(U22&gt;0,_xll.xlShmImplSwap2(curveName,curveName,D22,G22,,1,8,2,4),"-")</f>
        <v>-2.6134007126141375E-3</v>
      </c>
      <c r="AP22" s="649">
        <f t="shared" si="2"/>
        <v>-3.63028225849194E-4</v>
      </c>
      <c r="AQ22" s="391">
        <f t="shared" si="3"/>
        <v>57.005453109396136</v>
      </c>
      <c r="AR22" s="391">
        <f t="shared" si="4"/>
        <v>51.885817558388027</v>
      </c>
      <c r="AS22" s="393"/>
      <c r="AT22" s="242">
        <f t="shared" si="5"/>
        <v>-0.29356559393062992</v>
      </c>
      <c r="AU22" s="713" t="str">
        <f t="shared" si="0"/>
        <v>CTZ  30-May-19  0</v>
      </c>
      <c r="AV22" s="718">
        <f t="shared" si="6"/>
        <v>2.630510159166914E-4</v>
      </c>
      <c r="AW22" s="702"/>
      <c r="AX22" s="702"/>
      <c r="AY22" s="702"/>
      <c r="AZ22" s="702"/>
      <c r="BA22" s="702"/>
      <c r="BB22" s="704">
        <v>-3.2394799543800229E-3</v>
      </c>
      <c r="BC22" s="710" t="b">
        <v>0</v>
      </c>
      <c r="BE22" s="721">
        <f>_xll.xlDateShiftMonth(BE21,1)</f>
        <v>43524</v>
      </c>
      <c r="BF22" s="722">
        <v>-3.7857182658043676E-3</v>
      </c>
    </row>
    <row r="23" spans="1:58">
      <c r="A23" s="11" t="s">
        <v>46</v>
      </c>
      <c r="B23" s="11"/>
      <c r="C23" s="77"/>
      <c r="D23" s="735">
        <f>MAX(_xll.xlDateSettle("TARGET",$D$4,2),L23)</f>
        <v>43164</v>
      </c>
      <c r="E23" s="729" t="s">
        <v>604</v>
      </c>
      <c r="F23" s="107" t="s">
        <v>1202</v>
      </c>
      <c r="G23" s="692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1228</v>
      </c>
      <c r="O23" s="106" t="s">
        <v>1203</v>
      </c>
      <c r="P23" s="106" t="s">
        <v>1229</v>
      </c>
      <c r="Q23" s="109">
        <v>14616619000</v>
      </c>
      <c r="R23" s="106"/>
      <c r="S23" s="110">
        <f>_xll.RtGet("IDN",$N23,IF(OR($F23="BTP",$F23="CTZ",$F23="GGB"),S$10,S$9))</f>
        <v>102.51900000000001</v>
      </c>
      <c r="T23" s="110">
        <f>_xll.RtGet("IDN",$N23,IF(OR($F23="BTP",$F23="CTZ",$F23="GGB"),T$10,T$9))</f>
        <v>102.533</v>
      </c>
      <c r="U23" s="95">
        <f t="shared" si="7"/>
        <v>102.52600000000001</v>
      </c>
      <c r="V23" s="21"/>
      <c r="W23" s="25">
        <f t="shared" si="1"/>
        <v>102.52600000000001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0.1326</v>
      </c>
      <c r="Y23" s="23">
        <v>1.4006254951551504</v>
      </c>
      <c r="Z23" s="23">
        <v>-1.4046193391860946</v>
      </c>
      <c r="AA23" s="23">
        <v>3.3714023100761673E-2</v>
      </c>
      <c r="AB23" s="23">
        <v>3.390656639467516E-2</v>
      </c>
      <c r="AC23" s="23">
        <v>1.4419625696156402</v>
      </c>
      <c r="AD23" s="33">
        <v>-2.8433645600329811E-3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-5.4541993253857363E-2</v>
      </c>
      <c r="AI23" s="14">
        <v>1.3943032168131471</v>
      </c>
      <c r="AJ23" s="14">
        <v>1.4313721621353415</v>
      </c>
      <c r="AK23" s="246">
        <v>-3.8104690517731618E-2</v>
      </c>
      <c r="AL23" s="213">
        <f>IF(U23&gt;0,_xll.xlBondZSpread(F23,H23,G23,J23,K23,L23,M23,D23,U23,"annual",5)*100,"-")</f>
        <v>-3.7931136740371594</v>
      </c>
      <c r="AM23" s="266">
        <f>(-IF($AL$9="",VLOOKUP(VLOOKUP(E23,'DB Basis'!$D$2:$H$65205,4,0),Bonds!$AR$1:$AS$6,2,0),$AL$9)*VLOOKUP(E23,'DB Basis'!$D$2:$E$65205,2,0))+IF(V23="",W23,V23)</f>
        <v>31.679125000000013</v>
      </c>
      <c r="AN23" s="275" t="str">
        <f>IF($AN$9+(($AL$9-$AM$9))*('DB Basis'!F182/10-'DB Basis'!E182),," ")</f>
        <v xml:space="preserve"> </v>
      </c>
      <c r="AO23" s="648">
        <f>IF(U23&gt;0,_xll.xlShmImplSwap2(curveName,curveName,D23,G23,,1,8,2,4),"-")</f>
        <v>-2.4643921308817023E-3</v>
      </c>
      <c r="AP23" s="649">
        <f t="shared" si="2"/>
        <v>-3.7897242915127874E-4</v>
      </c>
      <c r="AQ23" s="391">
        <f t="shared" si="3"/>
        <v>7.7092854169964937</v>
      </c>
      <c r="AR23" s="391">
        <f t="shared" si="4"/>
        <v>-0.92375146115252871</v>
      </c>
      <c r="AS23" s="393"/>
      <c r="AT23" s="242">
        <f t="shared" si="5"/>
        <v>-0.28044143605804744</v>
      </c>
      <c r="AU23" s="714" t="str">
        <f t="shared" si="0"/>
        <v>BTP  01-Aug-19  1.5</v>
      </c>
      <c r="AV23" s="718">
        <f t="shared" si="6"/>
        <v>-1.0761650697338389E-4</v>
      </c>
      <c r="AW23" s="702"/>
      <c r="AX23" s="702"/>
      <c r="AY23" s="702"/>
      <c r="AZ23" s="702"/>
      <c r="BA23" s="702"/>
      <c r="BB23" s="704">
        <v>-2.7357480530595972E-3</v>
      </c>
      <c r="BC23" s="710" t="b">
        <v>0</v>
      </c>
      <c r="BE23" s="721">
        <f>_xll.xlDateShiftMonth(BE22,1)</f>
        <v>43552</v>
      </c>
      <c r="BF23" s="722">
        <v>-3.6299531781991108E-3</v>
      </c>
    </row>
    <row r="24" spans="1:58">
      <c r="A24" s="28" t="s">
        <v>56</v>
      </c>
      <c r="B24" s="28"/>
      <c r="C24" s="29"/>
      <c r="D24" s="735">
        <f>MAX(_xll.xlDateSettle("TARGET",$D$4,2),L24)</f>
        <v>43164</v>
      </c>
      <c r="E24" s="730" t="s">
        <v>340</v>
      </c>
      <c r="F24" s="98" t="s">
        <v>1202</v>
      </c>
      <c r="G24" s="693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1230</v>
      </c>
      <c r="O24" s="97" t="s">
        <v>1203</v>
      </c>
      <c r="P24" s="97" t="s">
        <v>1231</v>
      </c>
      <c r="Q24" s="100">
        <v>24176078000</v>
      </c>
      <c r="R24" s="97"/>
      <c r="S24" s="73">
        <f>_xll.RtGet("IDN",$N24,IF(OR($F24="BTP",$F24="CTZ",$F24="GGB"),S$10,S$9))</f>
        <v>106.724</v>
      </c>
      <c r="T24" s="73">
        <f>_xll.RtGet("IDN",$N24,IF(OR($F24="BTP",$F24="CTZ",$F24="GGB"),T$10,T$9))</f>
        <v>106.74000000000001</v>
      </c>
      <c r="U24" s="95">
        <f t="shared" si="7"/>
        <v>106.732</v>
      </c>
      <c r="V24" s="21"/>
      <c r="W24" s="25">
        <f t="shared" si="1"/>
        <v>106.732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4.6199999999999998E-2</v>
      </c>
      <c r="Y24" s="23">
        <v>1.4619756292399955</v>
      </c>
      <c r="Z24" s="23">
        <v>-1.4657637658435345</v>
      </c>
      <c r="AA24" s="23">
        <v>3.6233132332211468E-2</v>
      </c>
      <c r="AB24" s="23">
        <v>3.6421143506575618E-2</v>
      </c>
      <c r="AC24" s="23">
        <v>1.5651162336595803</v>
      </c>
      <c r="AD24" s="33">
        <v>-2.5844400085420216E-3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-2.9709543485222777E-2</v>
      </c>
      <c r="AI24" s="14">
        <v>1.4240793483838936</v>
      </c>
      <c r="AJ24" s="14">
        <v>1.5206062947760506</v>
      </c>
      <c r="AK24" s="246">
        <v>-1.953795902811304E-2</v>
      </c>
      <c r="AL24" s="213">
        <f>IF(U24&gt;0,_xll.xlBondZSpread(F24,H24,G24,J24,K24,L24,M24,D24,U24,"annual",5)*100,"-")</f>
        <v>-1.8935316186980349</v>
      </c>
      <c r="AM24" s="266">
        <f>(-IF($AL$9="",VLOOKUP(VLOOKUP(E24,'DB Basis'!$D$2:$H$65205,4,0),Bonds!$AR$1:$AS$6,2,0),$AL$9)*VLOOKUP(E24,'DB Basis'!$D$2:$E$65205,2,0))+IF(V24="",W24,V24)</f>
        <v>29.990664999999993</v>
      </c>
      <c r="AN24" s="275" t="str">
        <f>IF($AN$9+(($AL$9-$AM$9))*('DB Basis'!F183/10-'DB Basis'!E183),," ")</f>
        <v xml:space="preserve"> </v>
      </c>
      <c r="AO24" s="648">
        <f>IF(U24&gt;0,_xll.xlShmImplSwap2(curveName,curveName,D24,G24,,1,8,2,4),"-")</f>
        <v>-2.3832294000230149E-3</v>
      </c>
      <c r="AP24" s="649">
        <f t="shared" si="2"/>
        <v>-2.0121060851900673E-4</v>
      </c>
      <c r="AQ24" s="391">
        <f t="shared" si="3"/>
        <v>30.486277836838774</v>
      </c>
      <c r="AR24" s="391">
        <f t="shared" si="4"/>
        <v>20.930020816380413</v>
      </c>
      <c r="AS24" s="393"/>
      <c r="AT24" s="242">
        <f t="shared" si="5"/>
        <v>-0.25490367207537745</v>
      </c>
      <c r="AU24" s="714" t="str">
        <f t="shared" si="0"/>
        <v>BTP  01-Sep-19  4.25</v>
      </c>
      <c r="AV24" s="718">
        <f t="shared" si="6"/>
        <v>-1.2458708887273058E-4</v>
      </c>
      <c r="AW24" s="702"/>
      <c r="AX24" s="702"/>
      <c r="AY24" s="702"/>
      <c r="AZ24" s="702"/>
      <c r="BA24" s="702"/>
      <c r="BB24" s="704">
        <v>-2.459852919669291E-3</v>
      </c>
      <c r="BC24" s="710" t="b">
        <v>0</v>
      </c>
      <c r="BE24" s="721">
        <f>_xll.xlDateShiftMonth(BE23,1)</f>
        <v>43583</v>
      </c>
      <c r="BF24" s="722">
        <v>-3.447223694071736E-3</v>
      </c>
    </row>
    <row r="25" spans="1:58">
      <c r="A25" s="20" t="s">
        <v>49</v>
      </c>
      <c r="B25" s="20"/>
      <c r="C25" s="21"/>
      <c r="D25" s="735">
        <f>MAX(_xll.xlDateSettle("TARGET",$D$4,2),L25)</f>
        <v>43164</v>
      </c>
      <c r="E25" s="725" t="s">
        <v>920</v>
      </c>
      <c r="F25" s="22" t="s">
        <v>1202</v>
      </c>
      <c r="G25" s="688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1232</v>
      </c>
      <c r="O25" s="21" t="s">
        <v>1222</v>
      </c>
      <c r="P25" s="21" t="s">
        <v>1233</v>
      </c>
      <c r="Q25" s="24">
        <v>14207500000</v>
      </c>
      <c r="R25" s="21"/>
      <c r="S25" s="73">
        <f>_xll.RtGet("IDN",$N25,IF(OR($F25="BTP",$F25="CTZ",$F25="GGB"),S$10,S$9))</f>
        <v>100.39</v>
      </c>
      <c r="T25" s="73">
        <f>_xll.RtGet("IDN",$N25,IF(OR($F25="BTP",$F25="CTZ",$F25="GGB"),T$10,T$9))</f>
        <v>100.43</v>
      </c>
      <c r="U25" s="95">
        <f t="shared" si="7"/>
        <v>100.41</v>
      </c>
      <c r="V25" s="21"/>
      <c r="W25" s="25">
        <f t="shared" si="1"/>
        <v>100.41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1.9369999999999998E-2</v>
      </c>
      <c r="Y25" s="23">
        <v>1.6118905680934095</v>
      </c>
      <c r="Z25" s="23">
        <v>-1.6151789276134705</v>
      </c>
      <c r="AA25" s="23">
        <v>4.2109510179117723E-2</v>
      </c>
      <c r="AB25" s="23">
        <v>4.2281497603665182E-2</v>
      </c>
      <c r="AC25" s="23">
        <v>1.6221140469951933</v>
      </c>
      <c r="AD25" s="33">
        <v>-2.0359103660464633E-3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3.2520968898219482E-2</v>
      </c>
      <c r="AI25" s="14">
        <v>1.6333982335859956</v>
      </c>
      <c r="AJ25" s="14">
        <v>1.6404115555815437</v>
      </c>
      <c r="AK25" s="246">
        <v>1.9824884058864421E-2</v>
      </c>
      <c r="AL25" s="213">
        <f>IF(U25&gt;0,_xll.xlBondZSpread(F25,H25,G25,J25,K25,L25,M25,D25,U25,"annual",5)*100,"-")</f>
        <v>2.0029256254929355</v>
      </c>
      <c r="AM25" s="266">
        <f>(-IF($AL$9="",VLOOKUP(VLOOKUP(E25,'DB Basis'!$D$2:$H$65205,4,0),Bonds!$AR$1:$AS$6,2,0),$AL$9)*VLOOKUP(E25,'DB Basis'!$D$2:$E$65205,2,0))+IF(V25="",W25,V25)</f>
        <v>22.308404999999993</v>
      </c>
      <c r="AN25" s="275" t="str">
        <f>IF($AN$9+(($AL$9-$AM$9))*('DB Basis'!F184/10-'DB Basis'!E184),," ")</f>
        <v xml:space="preserve"> </v>
      </c>
      <c r="AO25" s="648">
        <f>IF(U25&gt;0,_xll.xlShmImplSwap2(curveName,curveName,D25,G25,,1,8,2,4),"-")</f>
        <v>-2.2392523144074057E-3</v>
      </c>
      <c r="AP25" s="649">
        <f t="shared" si="2"/>
        <v>2.0334194836094241E-4</v>
      </c>
      <c r="AQ25" s="391">
        <f t="shared" si="3"/>
        <v>45.503027161563367</v>
      </c>
      <c r="AR25" s="391">
        <f t="shared" si="4"/>
        <v>33.559473468450328</v>
      </c>
      <c r="AS25" s="393"/>
      <c r="AT25" s="242">
        <f t="shared" si="5"/>
        <v>-0.20080211829499364</v>
      </c>
      <c r="AU25" s="714" t="str">
        <f t="shared" si="0"/>
        <v>BTP  15-Oct-19  0.05</v>
      </c>
      <c r="AV25" s="718">
        <f t="shared" si="6"/>
        <v>2.329428820073854E-5</v>
      </c>
      <c r="AW25" s="702"/>
      <c r="AX25" s="702"/>
      <c r="AY25" s="702"/>
      <c r="AZ25" s="702"/>
      <c r="BA25" s="702"/>
      <c r="BB25" s="704">
        <v>-2.0592046542472018E-3</v>
      </c>
      <c r="BC25" s="710" t="b">
        <v>0</v>
      </c>
      <c r="BE25" s="721">
        <f>_xll.xlDateShiftMonth(BE24,1)</f>
        <v>43613</v>
      </c>
      <c r="BF25" s="722">
        <v>-3.2535994385181561E-3</v>
      </c>
    </row>
    <row r="26" spans="1:58">
      <c r="A26" s="28" t="s">
        <v>47</v>
      </c>
      <c r="B26" s="28"/>
      <c r="C26" s="29"/>
      <c r="D26" s="735">
        <f>MAX(_xll.xlDateSettle("TARGET",$D$4,2),L26)</f>
        <v>43164</v>
      </c>
      <c r="E26" s="725" t="s">
        <v>1654</v>
      </c>
      <c r="F26" s="22" t="s">
        <v>1204</v>
      </c>
      <c r="G26" s="688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1234</v>
      </c>
      <c r="O26" s="21" t="s">
        <v>1203</v>
      </c>
      <c r="P26" s="21" t="s">
        <v>1235</v>
      </c>
      <c r="Q26" s="24">
        <v>12701000000</v>
      </c>
      <c r="R26" s="21"/>
      <c r="S26" s="42">
        <f>_xll.RtGet("IDN",$N26,IF(OR($F26="BTP",$F26="CTZ",$F26="GGB"),S$10,S$9))</f>
        <v>100.25700000000001</v>
      </c>
      <c r="T26" s="42">
        <f>_xll.RtGet("IDN",$N26,IF(OR($F26="BTP",$F26="CTZ",$F26="GGB"),T$10,T$9))</f>
        <v>100.28100000000001</v>
      </c>
      <c r="U26" s="95">
        <f t="shared" si="7"/>
        <v>100.26900000000001</v>
      </c>
      <c r="V26" s="21"/>
      <c r="W26" s="25">
        <f t="shared" si="1"/>
        <v>100.26900000000001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1.6547945205479453</v>
      </c>
      <c r="Z26" s="23">
        <v>-1.6574830906907305</v>
      </c>
      <c r="AA26" s="23">
        <v>4.3931394257834488E-2</v>
      </c>
      <c r="AB26" s="23">
        <v>4.4074262249205291E-2</v>
      </c>
      <c r="AC26" s="23">
        <v>1.6619417471673614</v>
      </c>
      <c r="AD26" s="33">
        <v>-1.6220799827536172E-3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9.2323586337045072E-2</v>
      </c>
      <c r="AI26" s="14">
        <v>1.6777089593041263</v>
      </c>
      <c r="AJ26" s="14">
        <v>1.6822219964046545</v>
      </c>
      <c r="AK26" s="246">
        <v>5.4881927911039421E-2</v>
      </c>
      <c r="AL26" s="213">
        <f>IF(U26&gt;0,_xll.xlBondZSpread(F26,H26,G26,J26,K26,L26,M26,D26,U26,"annual",5)*100,"-")</f>
        <v>5.5508300331348455</v>
      </c>
      <c r="AM26" s="266" t="e">
        <f>(-IF($AL$9="",VLOOKUP(VLOOKUP(E26,'DB Basis'!$D$2:$H$65205,4,0),Bonds!$AR$1:$AS$6,2,0),$AL$9)*VLOOKUP(E26,'DB Basis'!$D$2:$E$65205,2,0))+IF(V26="",W26,V26)</f>
        <v>#N/A</v>
      </c>
      <c r="AN26" s="275" t="str">
        <f>IF($AN$9+(($AL$9-$AM$9))*('DB Basis'!F185/10-'DB Basis'!E185),," ")</f>
        <v xml:space="preserve"> </v>
      </c>
      <c r="AO26" s="648">
        <f>IF(U26&gt;0,_xll.xlShmImplSwap2(curveName,curveName,D26,G26,,1,8,2,4),"-")</f>
        <v>-2.1787074815886919E-3</v>
      </c>
      <c r="AP26" s="649">
        <f t="shared" si="2"/>
        <v>5.5662749883507467E-4</v>
      </c>
      <c r="AQ26" s="391">
        <f t="shared" si="3"/>
        <v>100.6987266012592</v>
      </c>
      <c r="AR26" s="391">
        <f t="shared" si="4"/>
        <v>85.966150615372186</v>
      </c>
      <c r="AS26" s="393"/>
      <c r="AT26" s="242">
        <f t="shared" si="5"/>
        <v>-0.15998597090172662</v>
      </c>
      <c r="AU26" s="714" t="str">
        <f t="shared" si="0"/>
        <v>CTZ  30-Oct-19  0</v>
      </c>
      <c r="AV26" s="718">
        <f t="shared" si="6"/>
        <v>3.0207914125487479E-4</v>
      </c>
      <c r="AW26" s="702"/>
      <c r="AX26" s="702"/>
      <c r="AY26" s="702"/>
      <c r="AZ26" s="702"/>
      <c r="BA26" s="702"/>
      <c r="BB26" s="704">
        <v>-1.924159124008492E-3</v>
      </c>
      <c r="BC26" s="710" t="b">
        <v>0</v>
      </c>
      <c r="BE26" s="721">
        <f>_xll.xlDateShiftMonth(BE25,1)</f>
        <v>43644</v>
      </c>
      <c r="BF26" s="722">
        <v>-3.0202792427972617E-3</v>
      </c>
    </row>
    <row r="27" spans="1:58">
      <c r="A27" s="20" t="s">
        <v>45</v>
      </c>
      <c r="B27" s="20"/>
      <c r="C27" s="77"/>
      <c r="D27" s="735">
        <f>MAX(_xll.xlDateSettle("TARGET",$D$4,2),L27)</f>
        <v>43164</v>
      </c>
      <c r="E27" s="729" t="s">
        <v>606</v>
      </c>
      <c r="F27" s="107" t="s">
        <v>1202</v>
      </c>
      <c r="G27" s="692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1236</v>
      </c>
      <c r="O27" s="106" t="s">
        <v>1203</v>
      </c>
      <c r="P27" s="106" t="s">
        <v>1237</v>
      </c>
      <c r="Q27" s="109">
        <v>15470969000</v>
      </c>
      <c r="R27" s="106"/>
      <c r="S27" s="110">
        <f>_xll.RtGet("IDN",$N27,IF(OR($F27="BTP",$F27="CTZ",$F27="GGB"),S$10,S$9))</f>
        <v>102.10000000000001</v>
      </c>
      <c r="T27" s="110">
        <f>_xll.RtGet("IDN",$N27,IF(OR($F27="BTP",$F27="CTZ",$F27="GGB"),T$10,T$9))</f>
        <v>102.14</v>
      </c>
      <c r="U27" s="95">
        <f t="shared" si="7"/>
        <v>102.12</v>
      </c>
      <c r="V27" s="21"/>
      <c r="W27" s="25">
        <f t="shared" si="1"/>
        <v>102.12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0.27115</v>
      </c>
      <c r="Y27" s="23">
        <v>1.7291078495949892</v>
      </c>
      <c r="Z27" s="23">
        <v>-1.7319577761904295</v>
      </c>
      <c r="AA27" s="23">
        <v>4.7366443711034538E-2</v>
      </c>
      <c r="AB27" s="23">
        <v>4.7522711735746272E-2</v>
      </c>
      <c r="AC27" s="23">
        <v>1.7733715164254704</v>
      </c>
      <c r="AD27" s="33">
        <v>-1.6454950942330782E-3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7.2819334623960175E-2</v>
      </c>
      <c r="AI27" s="14">
        <v>1.7327973368054621</v>
      </c>
      <c r="AJ27" s="14">
        <v>1.7742311203244863</v>
      </c>
      <c r="AK27" s="246">
        <v>4.1042755811114412E-2</v>
      </c>
      <c r="AL27" s="213">
        <f>IF(U27&gt;0,_xll.xlBondZSpread(F27,H27,G27,J27,K27,L27,M27,D27,U27,"annual",5)*100,"-")</f>
        <v>4.1021365979395341</v>
      </c>
      <c r="AM27" s="266">
        <f>(-IF($AL$9="",VLOOKUP(VLOOKUP(E27,'DB Basis'!$D$2:$H$65205,4,0),Bonds!$AR$1:$AS$6,2,0),$AL$9)*VLOOKUP(E27,'DB Basis'!$D$2:$E$65205,2,0))+IF(V27="",W27,V27)</f>
        <v>17.557169999999999</v>
      </c>
      <c r="AN27" s="275" t="str">
        <f>IF($AN$9+(($AL$9-$AM$9))*('DB Basis'!F186/10-'DB Basis'!E186),," ")</f>
        <v xml:space="preserve"> </v>
      </c>
      <c r="AO27" s="648">
        <f>IF(U27&gt;0,_xll.xlShmImplSwap2(curveName,curveName,D27,G27,,1,8,2,4),"-")</f>
        <v>-2.0508915063283577E-3</v>
      </c>
      <c r="AP27" s="649">
        <f t="shared" si="2"/>
        <v>4.0539641209527948E-4</v>
      </c>
      <c r="AQ27" s="391">
        <f t="shared" si="3"/>
        <v>-2.6707861531260222</v>
      </c>
      <c r="AR27" s="391">
        <f t="shared" si="4"/>
        <v>-17.249795831257888</v>
      </c>
      <c r="AS27" s="393"/>
      <c r="AT27" s="242">
        <f t="shared" si="5"/>
        <v>-0.1622954065544954</v>
      </c>
      <c r="AU27" s="714" t="str">
        <f t="shared" si="0"/>
        <v>BTP  01-Dec-19  1.05</v>
      </c>
      <c r="AV27" s="718">
        <f t="shared" si="6"/>
        <v>0</v>
      </c>
      <c r="AW27" s="702"/>
      <c r="AX27" s="702"/>
      <c r="AY27" s="702"/>
      <c r="AZ27" s="702"/>
      <c r="BA27" s="702"/>
      <c r="BB27" s="704">
        <v>-1.6454950942330782E-3</v>
      </c>
      <c r="BC27" s="710" t="b">
        <v>1</v>
      </c>
      <c r="BE27" s="721">
        <f>_xll.xlDateShiftMonth(BE26,1)</f>
        <v>43674</v>
      </c>
      <c r="BF27" s="722">
        <v>-2.7704123437880227E-3</v>
      </c>
    </row>
    <row r="28" spans="1:58">
      <c r="A28" s="28" t="s">
        <v>578</v>
      </c>
      <c r="B28" s="28"/>
      <c r="C28" s="29"/>
      <c r="D28" s="735">
        <f>MAX(_xll.xlDateSettle("TARGET",$D$4,2),L28)</f>
        <v>43164</v>
      </c>
      <c r="E28" s="725" t="s">
        <v>724</v>
      </c>
      <c r="F28" s="22" t="s">
        <v>1202</v>
      </c>
      <c r="G28" s="688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1238</v>
      </c>
      <c r="O28" s="21" t="s">
        <v>1203</v>
      </c>
      <c r="P28" s="21" t="s">
        <v>1239</v>
      </c>
      <c r="Q28" s="24">
        <v>23409650000</v>
      </c>
      <c r="R28" s="21"/>
      <c r="S28" s="42">
        <f>_xll.RtGet("IDN",$N28,IF(OR($F28="BTP",$F28="CTZ",$F28="GGB"),S$10,S$9))</f>
        <v>108.85000000000001</v>
      </c>
      <c r="T28" s="42">
        <f>_xll.RtGet("IDN",$N28,IF(OR($F28="BTP",$F28="CTZ",$F28="GGB"),T$10,T$9))</f>
        <v>108.87</v>
      </c>
      <c r="U28" s="95">
        <f t="shared" si="7"/>
        <v>108.86000000000001</v>
      </c>
      <c r="V28" s="21"/>
      <c r="W28" s="25">
        <f>IF(V28="",U28,V28)</f>
        <v>108.86000000000001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0.39778999999999998</v>
      </c>
      <c r="Y28" s="23">
        <v>1.8549177168271123</v>
      </c>
      <c r="Z28" s="23">
        <v>-1.8572811811476881</v>
      </c>
      <c r="AA28" s="23">
        <v>5.3645873815131612E-2</v>
      </c>
      <c r="AB28" s="23">
        <v>5.378266789831973E-2</v>
      </c>
      <c r="AC28" s="23">
        <v>2.0292248075222119</v>
      </c>
      <c r="AD28" s="33">
        <v>-1.2727280834366403E-3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0.10841087353819528</v>
      </c>
      <c r="AI28" s="14">
        <v>1.7846134514202243</v>
      </c>
      <c r="AJ28" s="14">
        <v>1.9498292170644609</v>
      </c>
      <c r="AK28" s="246">
        <v>5.5600189282939805E-2</v>
      </c>
      <c r="AL28" s="213">
        <f>IF(U28&gt;0,_xll.xlBondZSpread(F28,H28,G28,J28,K28,L28,M28,D28,U28,"annual",5)*100,"-")</f>
        <v>5.3366839978407379</v>
      </c>
      <c r="AM28" s="266">
        <f>(-IF($AL$9="",VLOOKUP(VLOOKUP(E28,'DB Basis'!$D$2:$H$65205,4,0),Bonds!$AR$1:$AS$6,2,0),$AL$9)*VLOOKUP(E28,'DB Basis'!$D$2:$E$65205,2,0))+IF(V28="",W28,V28)</f>
        <v>12.961670000000012</v>
      </c>
      <c r="AN28" s="275" t="str">
        <f>IF($AN$9+(($AL$9-$AM$9))*('DB Basis'!F187/10-'DB Basis'!E187),," ")</f>
        <v xml:space="preserve"> </v>
      </c>
      <c r="AO28" s="648">
        <f>IF(U28&gt;0,_xll.xlShmImplSwap2(curveName,curveName,D28,G28,,1,8,2,4),"-")</f>
        <v>-1.7789687376166166E-3</v>
      </c>
      <c r="AP28" s="649">
        <f t="shared" si="2"/>
        <v>5.0624065417997628E-4</v>
      </c>
      <c r="AQ28" s="391">
        <f t="shared" si="3"/>
        <v>21.945154667854816</v>
      </c>
      <c r="AR28" s="391">
        <f t="shared" si="4"/>
        <v>5.9367981227281179</v>
      </c>
      <c r="AS28" s="393"/>
      <c r="AT28" s="242">
        <f t="shared" si="5"/>
        <v>-0.12552934521566861</v>
      </c>
      <c r="AU28" s="714" t="str">
        <f t="shared" si="0"/>
        <v>BTP  01-Feb-20  4.5</v>
      </c>
      <c r="AV28" s="718">
        <f t="shared" si="6"/>
        <v>-1.6204859611307571E-4</v>
      </c>
      <c r="AW28" s="702"/>
      <c r="AX28" s="702"/>
      <c r="AY28" s="702"/>
      <c r="AZ28" s="702"/>
      <c r="BA28" s="702"/>
      <c r="BB28" s="704">
        <v>-1.1106794873235646E-3</v>
      </c>
      <c r="BC28" s="710" t="b">
        <v>0</v>
      </c>
      <c r="BE28" s="721">
        <f>_xll.xlDateShiftMonth(BE27,1)</f>
        <v>43705</v>
      </c>
      <c r="BF28" s="722">
        <v>-2.4960068690613535E-3</v>
      </c>
    </row>
    <row r="29" spans="1:58">
      <c r="A29" s="10"/>
      <c r="B29" s="11"/>
      <c r="C29" s="85"/>
      <c r="D29" s="735">
        <f>MAX(_xll.xlDateSettle("TARGET",$D$4,2),L29)</f>
        <v>43164</v>
      </c>
      <c r="E29" s="731" t="s">
        <v>725</v>
      </c>
      <c r="F29" s="87" t="s">
        <v>1202</v>
      </c>
      <c r="G29" s="694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1240</v>
      </c>
      <c r="O29" s="85" t="s">
        <v>1203</v>
      </c>
      <c r="P29" s="85" t="s">
        <v>1241</v>
      </c>
      <c r="Q29" s="89">
        <v>24330808000</v>
      </c>
      <c r="R29" s="85"/>
      <c r="S29" s="90">
        <f>_xll.RtGet("IDN",$N29,IF(OR($F29="BTP",$F29="CTZ",$F29="GGB"),S$10,S$9))</f>
        <v>108.60000000000001</v>
      </c>
      <c r="T29" s="90">
        <f>_xll.RtGet("IDN",$N29,IF(OR($F29="BTP",$F29="CTZ",$F29="GGB"),T$10,T$9))</f>
        <v>108.73</v>
      </c>
      <c r="U29" s="95">
        <f t="shared" si="7"/>
        <v>108.66500000000001</v>
      </c>
      <c r="V29" s="21"/>
      <c r="W29" s="25">
        <f>IF(V29="",U29,V29)</f>
        <v>108.66500000000001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4.6199999999999998E-2</v>
      </c>
      <c r="Y29" s="23">
        <v>1.933159788650709</v>
      </c>
      <c r="Z29" s="23">
        <v>-1.9351050667547389</v>
      </c>
      <c r="AA29" s="23">
        <v>5.735227529851037E-2</v>
      </c>
      <c r="AB29" s="23">
        <v>5.7467756966148358E-2</v>
      </c>
      <c r="AC29" s="23">
        <v>2.1036764133057773</v>
      </c>
      <c r="AD29" s="33">
        <v>-1.0054558275287076E-3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0.14210247107787913</v>
      </c>
      <c r="AI29" s="14">
        <v>1.8653567646779758</v>
      </c>
      <c r="AJ29" s="14">
        <v>2.0278517231626036</v>
      </c>
      <c r="AK29" s="246">
        <v>7.0075375558650815E-2</v>
      </c>
      <c r="AL29" s="213">
        <f>IF(U29&gt;0,_xll.xlBondZSpread(F29,H29,G29,J29,K29,L29,M29,D29,U29,"annual",5)*100,"-")</f>
        <v>6.7387723190040578</v>
      </c>
      <c r="AM29" s="266">
        <f>(-IF($AL$9="",VLOOKUP(VLOOKUP(E29,'DB Basis'!$D$2:$H$65205,4,0),Bonds!$AR$1:$AS$6,2,0),$AL$9)*VLOOKUP(E29,'DB Basis'!$D$2:$E$65205,2,0))+IF(V29="",W29,V29)</f>
        <v>9.5927300000000031</v>
      </c>
      <c r="AN29" s="275" t="str">
        <f>IF($AN$9+(($AL$9-$AM$9))*('DB Basis'!F188/10-'DB Basis'!E188),," ")</f>
        <v xml:space="preserve"> </v>
      </c>
      <c r="AO29" s="648">
        <f>IF(U29&gt;0,_xll.xlShmImplSwap2(curveName,curveName,D29,G29,,1,8,2,4),"-")</f>
        <v>-1.6484406987100802E-3</v>
      </c>
      <c r="AP29" s="649">
        <f t="shared" si="2"/>
        <v>6.4298487118137257E-4</v>
      </c>
      <c r="AQ29" s="391">
        <f t="shared" si="3"/>
        <v>33.639439105653594</v>
      </c>
      <c r="AR29" s="391">
        <f t="shared" si="4"/>
        <v>17.210910070865395</v>
      </c>
      <c r="AS29" s="393"/>
      <c r="AT29" s="242">
        <f t="shared" si="5"/>
        <v>-9.9168246002831431E-2</v>
      </c>
      <c r="AU29" s="713" t="str">
        <f t="shared" si="0"/>
        <v>BTP  01-Mar-20  4.25</v>
      </c>
      <c r="AV29" s="718">
        <f t="shared" si="6"/>
        <v>-1.4851067326948099E-4</v>
      </c>
      <c r="AW29" s="702"/>
      <c r="AX29" s="702"/>
      <c r="AY29" s="702"/>
      <c r="AZ29" s="702"/>
      <c r="BA29" s="702"/>
      <c r="BB29" s="704">
        <v>-8.5694515425922661E-4</v>
      </c>
      <c r="BC29" s="710" t="b">
        <v>0</v>
      </c>
      <c r="BE29" s="721">
        <f>_xll.xlDateShiftMonth(BE28,1)</f>
        <v>43736</v>
      </c>
      <c r="BF29" s="722">
        <v>-2.2139339679211325E-3</v>
      </c>
    </row>
    <row r="30" spans="1:58">
      <c r="A30" s="30"/>
      <c r="B30" s="28"/>
      <c r="C30" s="29"/>
      <c r="D30" s="735">
        <f>MAX(_xll.xlDateSettle("TARGET",$D$4,2),L30)</f>
        <v>43164</v>
      </c>
      <c r="E30" s="730" t="s">
        <v>775</v>
      </c>
      <c r="F30" s="98" t="s">
        <v>1202</v>
      </c>
      <c r="G30" s="693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1242</v>
      </c>
      <c r="O30" s="97" t="s">
        <v>1203</v>
      </c>
      <c r="P30" s="97" t="s">
        <v>1243</v>
      </c>
      <c r="Q30" s="100">
        <v>16458150000</v>
      </c>
      <c r="R30" s="97"/>
      <c r="S30" s="73">
        <f>_xll.RtGet("IDN",$N30,IF(OR($F30="BTP",$F30="CTZ",$F30="GGB"),S$10,S$9))</f>
        <v>101.61</v>
      </c>
      <c r="T30" s="73">
        <f>_xll.RtGet("IDN",$N30,IF(OR($F30="BTP",$F30="CTZ",$F30="GGB"),T$10,T$9))</f>
        <v>101.63</v>
      </c>
      <c r="U30" s="95">
        <f t="shared" si="7"/>
        <v>101.62</v>
      </c>
      <c r="V30" s="21"/>
      <c r="W30" s="25">
        <f t="shared" si="1"/>
        <v>101.62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0.23977999999999999</v>
      </c>
      <c r="Y30" s="23">
        <v>2.1483311542465002</v>
      </c>
      <c r="Z30" s="23">
        <v>-2.1494097643998433</v>
      </c>
      <c r="AA30" s="23">
        <v>6.7893612453163985E-2</v>
      </c>
      <c r="AB30" s="23">
        <v>6.7961804103255738E-2</v>
      </c>
      <c r="AC30" s="23">
        <v>2.1893841064638764</v>
      </c>
      <c r="AD30" s="33">
        <v>-5.0181740055827134E-4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0.17014144959319447</v>
      </c>
      <c r="AI30" s="14">
        <v>2.1628995795626071</v>
      </c>
      <c r="AJ30" s="14">
        <v>2.2031247533633964</v>
      </c>
      <c r="AK30" s="246">
        <v>7.7227333283529417E-2</v>
      </c>
      <c r="AL30" s="213">
        <f>IF(U30&gt;0,_xll.xlBondZSpread(F30,H30,G30,J30,K30,L30,M30,D30,U30,"annual",5)*100,"-")</f>
        <v>7.7559765334590347</v>
      </c>
      <c r="AM30" s="266">
        <f>(-IF($AL$9="",VLOOKUP(VLOOKUP(E30,'DB Basis'!$D$2:$H$65205,4,0),Bonds!$AR$1:$AS$6,2,0),$AL$9)*VLOOKUP(E30,'DB Basis'!$D$2:$E$65205,2,0))+IF(V30="",W30,V30)</f>
        <v>2.0140209999993886E-2</v>
      </c>
      <c r="AN30" s="275" t="str">
        <f>IF($AN$9+(($AL$9-$AM$9))*('DB Basis'!F189/10-'DB Basis'!E189),," ")</f>
        <v xml:space="preserve"> </v>
      </c>
      <c r="AO30" s="648">
        <f>IF(U30&gt;0,_xll.xlShmImplSwap2(curveName,curveName,D30,G30,,1,8,2,4),"-")</f>
        <v>-1.2637136650707815E-3</v>
      </c>
      <c r="AP30" s="649">
        <f t="shared" si="2"/>
        <v>7.6189626451251017E-4</v>
      </c>
      <c r="AQ30" s="391">
        <f t="shared" si="3"/>
        <v>30.135741941673647</v>
      </c>
      <c r="AR30" s="391">
        <f t="shared" si="4"/>
        <v>7.1151899288303637</v>
      </c>
      <c r="AS30" s="393"/>
      <c r="AT30" s="242">
        <f t="shared" si="5"/>
        <v>-4.9494318959171966E-2</v>
      </c>
      <c r="AU30" s="714" t="str">
        <f t="shared" si="0"/>
        <v>BTP  01-May-20  0.7</v>
      </c>
      <c r="AV30" s="718">
        <f t="shared" si="6"/>
        <v>-1.6986018203288635E-4</v>
      </c>
      <c r="AW30" s="702"/>
      <c r="AX30" s="702"/>
      <c r="AY30" s="702"/>
      <c r="AZ30" s="702"/>
      <c r="BA30" s="702"/>
      <c r="BB30" s="704">
        <v>-3.3195721852538498E-4</v>
      </c>
      <c r="BC30" s="710" t="b">
        <v>0</v>
      </c>
      <c r="BE30" s="721">
        <f>_xll.xlDateShiftMonth(BE29,1)</f>
        <v>43766</v>
      </c>
      <c r="BF30" s="722">
        <v>-1.9420461564234415E-3</v>
      </c>
    </row>
    <row r="31" spans="1:58" s="136" customFormat="1">
      <c r="A31" s="52"/>
      <c r="B31" s="53"/>
      <c r="C31" s="91" t="s">
        <v>86</v>
      </c>
      <c r="D31" s="735">
        <f>MAX(_xll.xlDateSettle("TARGET",$D$4,2),L31)</f>
        <v>43164</v>
      </c>
      <c r="E31" s="725" t="s">
        <v>1018</v>
      </c>
      <c r="F31" s="22" t="s">
        <v>1202</v>
      </c>
      <c r="G31" s="688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1244</v>
      </c>
      <c r="O31" s="21" t="s">
        <v>1203</v>
      </c>
      <c r="P31" s="21" t="s">
        <v>1245</v>
      </c>
      <c r="Q31" s="24">
        <v>15882720000</v>
      </c>
      <c r="R31" s="21"/>
      <c r="S31" s="42">
        <f>_xll.RtGet("IDN",$N31,IF(OR($F31="BTP",$F31="CTZ",$F31="GGB"),S$10,S$9))</f>
        <v>100.77</v>
      </c>
      <c r="T31" s="42">
        <f>_xll.RtGet("IDN",$N31,IF(OR($F31="BTP",$F31="CTZ",$F31="GGB"),T$10,T$9))</f>
        <v>100.81</v>
      </c>
      <c r="U31" s="95">
        <f t="shared" si="7"/>
        <v>100.78999999999999</v>
      </c>
      <c r="V31" s="21"/>
      <c r="W31" s="25">
        <f t="shared" si="1"/>
        <v>100.78999999999999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7.6920000000000002E-2</v>
      </c>
      <c r="Y31" s="23">
        <v>2.2715689760801476</v>
      </c>
      <c r="Z31" s="23">
        <v>-2.2714888750859581</v>
      </c>
      <c r="AA31" s="23">
        <v>7.4444794840059794E-2</v>
      </c>
      <c r="AB31" s="23">
        <v>7.4439544727027754E-2</v>
      </c>
      <c r="AC31" s="23">
        <v>2.2911809200536482</v>
      </c>
      <c r="AD31" s="33">
        <v>3.5263619929642998E-5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0.23630673116248063</v>
      </c>
      <c r="AI31" s="14">
        <v>2.3000518861725285</v>
      </c>
      <c r="AJ31" s="14">
        <v>2.319991495984135</v>
      </c>
      <c r="AK31" s="246">
        <v>0.10185672299727343</v>
      </c>
      <c r="AL31" s="213">
        <f>IF(U31&gt;0,_xll.xlBondZSpread(F31,H31,G31,J31,K31,L31,M31,D31,U31,"annual",5)*100,"-")</f>
        <v>10.287109763448827</v>
      </c>
      <c r="AM31" s="266">
        <f>(-IF($AL$9="",VLOOKUP(VLOOKUP(E31,'DB Basis'!$D$2:$H$65205,4,0),Bonds!$AR$1:$AS$6,2,0),$AL$9)*VLOOKUP(E31,'DB Basis'!$D$2:$E$65205,2,0))+IF(V31="",W31,V31)</f>
        <v>0.59970963499999641</v>
      </c>
      <c r="AN31" s="275" t="str">
        <f>IF($AN$9+(($AL$9-$AM$9))*('DB Basis'!F190/10-'DB Basis'!E190),," ")</f>
        <v xml:space="preserve"> </v>
      </c>
      <c r="AO31" s="648">
        <f>IF(U31&gt;0,_xll.xlShmImplSwap2(curveName,curveName,D31,G31,,1,8,2,4),"-")</f>
        <v>-9.8643300100878344E-4</v>
      </c>
      <c r="AP31" s="649">
        <f t="shared" si="2"/>
        <v>1.0216966209384264E-3</v>
      </c>
      <c r="AQ31" s="391">
        <f t="shared" si="3"/>
        <v>43.563238328464166</v>
      </c>
      <c r="AR31" s="391">
        <f t="shared" si="4"/>
        <v>21.072695576768762</v>
      </c>
      <c r="AS31" s="393"/>
      <c r="AT31" s="242">
        <f t="shared" si="5"/>
        <v>3.4780556642935558E-3</v>
      </c>
      <c r="AU31" s="714" t="str">
        <f t="shared" si="0"/>
        <v>BTP  15-Jun-20  0.35</v>
      </c>
      <c r="AV31" s="718">
        <f t="shared" si="6"/>
        <v>0</v>
      </c>
      <c r="AW31" s="706"/>
      <c r="AX31" s="706"/>
      <c r="AY31" s="706"/>
      <c r="AZ31" s="706"/>
      <c r="BA31" s="706"/>
      <c r="BB31" s="704">
        <v>3.5263619929642998E-5</v>
      </c>
      <c r="BC31" s="710" t="b">
        <v>1</v>
      </c>
      <c r="BE31" s="721">
        <f>_xll.xlDateShiftMonth(BE30,1)</f>
        <v>43797</v>
      </c>
      <c r="BF31" s="723">
        <v>-1.6708835013066314E-3</v>
      </c>
    </row>
    <row r="32" spans="1:58">
      <c r="A32" s="59"/>
      <c r="B32" s="60"/>
      <c r="C32" s="29"/>
      <c r="D32" s="735">
        <f>MAX(_xll.xlDateSettle("TARGET",$D$4,2),L32)</f>
        <v>43164</v>
      </c>
      <c r="E32" s="732" t="s">
        <v>726</v>
      </c>
      <c r="F32" s="112" t="s">
        <v>1202</v>
      </c>
      <c r="G32" s="695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1246</v>
      </c>
      <c r="O32" s="76" t="s">
        <v>1203</v>
      </c>
      <c r="P32" s="76" t="s">
        <v>1247</v>
      </c>
      <c r="Q32" s="114">
        <v>24922124000</v>
      </c>
      <c r="R32" s="76"/>
      <c r="S32" s="115">
        <f>_xll.RtGet("IDN",$N32,IF(OR($F32="BTP",$F32="CTZ",$F32="GGB"),S$10,S$9))</f>
        <v>109.77</v>
      </c>
      <c r="T32" s="115">
        <f>_xll.RtGet("IDN",$N32,IF(OR($F32="BTP",$F32="CTZ",$F32="GGB"),T$10,T$9))</f>
        <v>109.86</v>
      </c>
      <c r="U32" s="95">
        <f t="shared" si="7"/>
        <v>109.815</v>
      </c>
      <c r="V32" s="21"/>
      <c r="W32" s="25">
        <f t="shared" si="1"/>
        <v>109.815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4.3479999999999998E-2</v>
      </c>
      <c r="Y32" s="23">
        <v>2.3983526421853498</v>
      </c>
      <c r="Z32" s="23">
        <v>-2.3970656322528452</v>
      </c>
      <c r="AA32" s="23">
        <v>8.2781354619813619E-2</v>
      </c>
      <c r="AB32" s="23">
        <v>8.2692533786917793E-2</v>
      </c>
      <c r="AC32" s="23">
        <v>2.6333799357587395</v>
      </c>
      <c r="AD32" s="33">
        <v>5.3691059389365109E-4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0.2820227012733123</v>
      </c>
      <c r="AI32" s="14">
        <v>2.3091527196462893</v>
      </c>
      <c r="AJ32" s="14">
        <v>2.536800078682075</v>
      </c>
      <c r="AK32" s="246">
        <v>0.11117261610139291</v>
      </c>
      <c r="AL32" s="213">
        <f>IF(U32&gt;0,_xll.xlBondZSpread(F32,H32,G32,J32,K32,L32,M32,D32,U32,"annual",5)*100,"-")</f>
        <v>10.661381103142048</v>
      </c>
      <c r="AM32" s="266">
        <f>(-IF($AL$9="",VLOOKUP(VLOOKUP(E32,'DB Basis'!$D$2:$H$65205,4,0),Bonds!$AR$1:$AS$6,2,0),$AL$9)*VLOOKUP(E32,'DB Basis'!$D$2:$E$65205,2,0))+IF(V32="",W32,V32)</f>
        <v>1.3785868049999834</v>
      </c>
      <c r="AN32" s="275" t="str">
        <f>IF($AN$9+(($AL$9-$AM$9))*('DB Basis'!F191/10-'DB Basis'!E191),," ")</f>
        <v xml:space="preserve"> </v>
      </c>
      <c r="AO32" s="648">
        <f>IF(U32&gt;0,_xll.xlShmImplSwap2(curveName,curveName,D32,G32,,1,8,2,4),"-")</f>
        <v>-4.616690916490313E-4</v>
      </c>
      <c r="AP32" s="649">
        <f t="shared" si="2"/>
        <v>9.9857968554268239E-4</v>
      </c>
      <c r="AQ32" s="391">
        <f t="shared" si="3"/>
        <v>23.474505832931147</v>
      </c>
      <c r="AR32" s="391">
        <f t="shared" si="4"/>
        <v>-1.0817540281341764</v>
      </c>
      <c r="AS32" s="393"/>
      <c r="AT32" s="242">
        <f t="shared" si="5"/>
        <v>5.2955565425127235E-2</v>
      </c>
      <c r="AU32" s="714" t="str">
        <f t="shared" si="0"/>
        <v>BTP  01-Sep-20  4</v>
      </c>
      <c r="AV32" s="718">
        <f t="shared" si="6"/>
        <v>-5.8354801550442492E-5</v>
      </c>
      <c r="AW32" s="702"/>
      <c r="AX32" s="702"/>
      <c r="AY32" s="702"/>
      <c r="AZ32" s="702"/>
      <c r="BA32" s="702"/>
      <c r="BB32" s="704">
        <v>5.9526539544409358E-4</v>
      </c>
      <c r="BC32" s="710" t="b">
        <v>0</v>
      </c>
      <c r="BE32" s="721">
        <f>_xll.xlDateShiftMonth(BE31,1)</f>
        <v>43827</v>
      </c>
      <c r="BF32" s="722">
        <v>-1.4150452244948155E-3</v>
      </c>
    </row>
    <row r="33" spans="1:58" s="137" customFormat="1">
      <c r="A33" s="61"/>
      <c r="B33" s="62"/>
      <c r="C33" s="92"/>
      <c r="D33" s="735">
        <f>MAX(_xll.xlDateSettle("TARGET",$D$4,2),L33)</f>
        <v>43164</v>
      </c>
      <c r="E33" s="725" t="s">
        <v>1655</v>
      </c>
      <c r="F33" s="22" t="s">
        <v>1202</v>
      </c>
      <c r="G33" s="688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1248</v>
      </c>
      <c r="O33" s="21" t="s">
        <v>1222</v>
      </c>
      <c r="P33" s="21" t="s">
        <v>1249</v>
      </c>
      <c r="Q33" s="24">
        <v>12701500000</v>
      </c>
      <c r="R33" s="21"/>
      <c r="S33" s="42">
        <f>_xll.RtGet("IDN",$N33,IF(OR($F33="BTP",$F33="CTZ",$F33="GGB"),S$10,S$9))</f>
        <v>100.26</v>
      </c>
      <c r="T33" s="42">
        <f>_xll.RtGet("IDN",$N33,IF(OR($F33="BTP",$F33="CTZ",$F33="GGB"),T$10,T$9))</f>
        <v>100.29</v>
      </c>
      <c r="U33" s="95">
        <f t="shared" si="7"/>
        <v>100.27500000000001</v>
      </c>
      <c r="V33" s="21"/>
      <c r="W33" s="25">
        <f t="shared" si="1"/>
        <v>100.27500000000001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7.7469999999999997E-2</v>
      </c>
      <c r="Y33" s="23">
        <v>2.6051719381568486</v>
      </c>
      <c r="Z33" s="23">
        <v>-2.6027095398272464</v>
      </c>
      <c r="AA33" s="23">
        <v>9.4057177728216756E-2</v>
      </c>
      <c r="AB33" s="23">
        <v>9.3879456805248507E-2</v>
      </c>
      <c r="AC33" s="23">
        <v>2.6118833824796184</v>
      </c>
      <c r="AD33" s="33">
        <v>9.4609033026292607E-4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0.2939082200392184</v>
      </c>
      <c r="AI33" s="14">
        <v>2.6495174719107246</v>
      </c>
      <c r="AJ33" s="14">
        <v>2.6588562261439685</v>
      </c>
      <c r="AK33" s="246">
        <v>0.11053934287581121</v>
      </c>
      <c r="AL33" s="213">
        <f>IF(U33&gt;0,_xll.xlBondZSpread(F33,H33,G33,J33,K33,L33,M33,D33,U33,"annual",5)*100,"-")</f>
        <v>11.213228423963303</v>
      </c>
      <c r="AM33" s="266">
        <f>(-IF($AL$9="",VLOOKUP(VLOOKUP(E33,'DB Basis'!$D$2:$H$65205,4,0),Bonds!$AR$1:$AS$6,2,0),$AL$9)*VLOOKUP(E33,'DB Basis'!$D$2:$E$65205,2,0))+IF(V33="",W33,V33)</f>
        <v>2.2806226950000053</v>
      </c>
      <c r="AN33" s="275" t="str">
        <f>IF($AN$9+(($AL$9-$AM$9))*('DB Basis'!F192/10-'DB Basis'!E192),," ")</f>
        <v xml:space="preserve"> </v>
      </c>
      <c r="AO33" s="648">
        <f>IF(U33&gt;0,_xll.xlShmImplSwap2(curveName,curveName,D33,G33,,1,8,2,4),"-")</f>
        <v>-1.7310559014932384E-4</v>
      </c>
      <c r="AP33" s="649">
        <f t="shared" si="2"/>
        <v>1.1191959204122498E-3</v>
      </c>
      <c r="AQ33" s="391">
        <f t="shared" si="3"/>
        <v>33.943319039723946</v>
      </c>
      <c r="AR33" s="391">
        <f t="shared" si="4"/>
        <v>10.005664938043662</v>
      </c>
      <c r="AS33" s="393"/>
      <c r="AT33" s="242">
        <f t="shared" si="5"/>
        <v>9.3313018875247497E-2</v>
      </c>
      <c r="AU33" s="715" t="str">
        <f t="shared" si="0"/>
        <v>BTP  15-Oct-20  0.2</v>
      </c>
      <c r="AV33" s="718">
        <f t="shared" si="6"/>
        <v>3.0074336416289625E-5</v>
      </c>
      <c r="AW33" s="707"/>
      <c r="AX33" s="707"/>
      <c r="AY33" s="707"/>
      <c r="AZ33" s="707"/>
      <c r="BA33" s="707"/>
      <c r="BB33" s="704">
        <v>9.1601599384663645E-4</v>
      </c>
      <c r="BC33" s="710" t="b">
        <v>0</v>
      </c>
      <c r="BE33" s="721">
        <f>_xll.xlDateShiftMonth(BE32,1)</f>
        <v>43858</v>
      </c>
      <c r="BF33" s="722">
        <v>-1.1456467148142104E-3</v>
      </c>
    </row>
    <row r="34" spans="1:58" s="137" customFormat="1">
      <c r="A34" s="57"/>
      <c r="B34" s="58"/>
      <c r="C34" s="94"/>
      <c r="D34" s="735">
        <f>MAX(_xll.xlDateSettle("TARGET",$D$4,2),L34)</f>
        <v>43164</v>
      </c>
      <c r="E34" s="725" t="s">
        <v>826</v>
      </c>
      <c r="F34" s="22" t="s">
        <v>1202</v>
      </c>
      <c r="G34" s="688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1250</v>
      </c>
      <c r="O34" s="21" t="s">
        <v>1203</v>
      </c>
      <c r="P34" s="21" t="s">
        <v>1251</v>
      </c>
      <c r="Q34" s="24">
        <v>15068700000</v>
      </c>
      <c r="R34" s="21"/>
      <c r="S34" s="42">
        <f>_xll.RtGet("IDN",$N34,IF(OR($F34="BTP",$F34="CTZ",$F34="GGB"),S$10,S$9))</f>
        <v>101.42</v>
      </c>
      <c r="T34" s="42">
        <f>_xll.RtGet("IDN",$N34,IF(OR($F34="BTP",$F34="CTZ",$F34="GGB"),T$10,T$9))</f>
        <v>101.47</v>
      </c>
      <c r="U34" s="95">
        <f t="shared" si="7"/>
        <v>101.44499999999999</v>
      </c>
      <c r="V34" s="21"/>
      <c r="W34" s="25">
        <f t="shared" si="1"/>
        <v>101.44499999999999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0.22264999999999999</v>
      </c>
      <c r="Y34" s="23">
        <v>2.6362659008564284</v>
      </c>
      <c r="Z34" s="23">
        <v>-2.6334940450253552</v>
      </c>
      <c r="AA34" s="23">
        <v>9.6295531107099624E-2</v>
      </c>
      <c r="AB34" s="23">
        <v>9.609314104733209E-2</v>
      </c>
      <c r="AC34" s="23">
        <v>2.677411585283096</v>
      </c>
      <c r="AD34" s="33">
        <v>1.0525388420611886E-3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0.29982798613453865</v>
      </c>
      <c r="AI34" s="14">
        <v>2.6643355720646844</v>
      </c>
      <c r="AJ34" s="14">
        <v>2.7087673642322212</v>
      </c>
      <c r="AK34" s="246">
        <v>0.11068797937157999</v>
      </c>
      <c r="AL34" s="213">
        <f>IF(U34&gt;0,_xll.xlBondZSpread(F34,H34,G34,J34,K34,L34,M34,D34,U34,"annual",5)*100,"-")</f>
        <v>11.152218786693995</v>
      </c>
      <c r="AM34" s="266">
        <f>(-IF($AL$9="",VLOOKUP(VLOOKUP(E34,'DB Basis'!$D$2:$H$65205,4,0),Bonds!$AR$1:$AS$6,2,0),$AL$9)*VLOOKUP(E34,'DB Basis'!$D$2:$E$65205,2,0))+IF(V34="",W34,V34)</f>
        <v>2.483137769999999</v>
      </c>
      <c r="AN34" s="275" t="str">
        <f>IF($AN$9+(($AL$9-$AM$9))*('DB Basis'!F193/10-'DB Basis'!E193),," ")</f>
        <v xml:space="preserve"> </v>
      </c>
      <c r="AO34" s="648">
        <f>IF(U34&gt;0,_xll.xlShmImplSwap2(curveName,curveName,D34,G34,,1,8,2,4),"-")</f>
        <v>-4.2572026223433288E-5</v>
      </c>
      <c r="AP34" s="649">
        <f t="shared" si="2"/>
        <v>1.0951108682846218E-3</v>
      </c>
      <c r="AQ34" s="391">
        <f t="shared" si="3"/>
        <v>22.855121650803419</v>
      </c>
      <c r="AR34" s="391">
        <f t="shared" si="4"/>
        <v>-5.1712023685789594</v>
      </c>
      <c r="AS34" s="393"/>
      <c r="AT34" s="242">
        <f t="shared" si="5"/>
        <v>0.10381205017589805</v>
      </c>
      <c r="AU34" s="714" t="str">
        <f t="shared" si="0"/>
        <v>BTP  01-Nov-20  0.65</v>
      </c>
      <c r="AV34" s="718">
        <f t="shared" si="6"/>
        <v>0</v>
      </c>
      <c r="AW34" s="707"/>
      <c r="AX34" s="707"/>
      <c r="AY34" s="707"/>
      <c r="AZ34" s="707"/>
      <c r="BA34" s="707"/>
      <c r="BB34" s="704">
        <v>1.0525388420611886E-3</v>
      </c>
      <c r="BC34" s="710" t="b">
        <v>1</v>
      </c>
      <c r="BE34" s="721">
        <f>_xll.xlDateShiftMonth(BE33,1)</f>
        <v>43889</v>
      </c>
      <c r="BF34" s="722">
        <v>-8.7442415123035859E-4</v>
      </c>
    </row>
    <row r="35" spans="1:58" s="135" customFormat="1">
      <c r="A35" s="63"/>
      <c r="B35" s="64"/>
      <c r="C35" s="93"/>
      <c r="D35" s="735">
        <f>MAX(_xll.xlDateSettle("TARGET",$D$4,2),L35)</f>
        <v>43164</v>
      </c>
      <c r="E35" s="725" t="s">
        <v>727</v>
      </c>
      <c r="F35" s="22" t="s">
        <v>1202</v>
      </c>
      <c r="G35" s="688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1252</v>
      </c>
      <c r="O35" s="21" t="s">
        <v>1203</v>
      </c>
      <c r="P35" s="21" t="s">
        <v>1253</v>
      </c>
      <c r="Q35" s="24">
        <v>24268782000</v>
      </c>
      <c r="R35" s="21"/>
      <c r="S35" s="42">
        <f>_xll.RtGet("IDN",$N35,IF(OR($F35="BTP",$F35="CTZ",$F35="GGB"),S$10,S$9))</f>
        <v>110.54</v>
      </c>
      <c r="T35" s="42">
        <f>_xll.RtGet("IDN",$N35,IF(OR($F35="BTP",$F35="CTZ",$F35="GGB"),T$10,T$9))</f>
        <v>110.67</v>
      </c>
      <c r="U35" s="95">
        <f t="shared" si="7"/>
        <v>110.605</v>
      </c>
      <c r="V35" s="21"/>
      <c r="W35" s="25">
        <f>IF(V35="",U35,V35)</f>
        <v>110.605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4.0759999999999998E-2</v>
      </c>
      <c r="Y35" s="23">
        <v>2.8625012063759194</v>
      </c>
      <c r="Z35" s="23">
        <v>-2.8570605991474367</v>
      </c>
      <c r="AA35" s="23">
        <v>0.11272269363738179</v>
      </c>
      <c r="AB35" s="23">
        <v>0.11229460851669108</v>
      </c>
      <c r="AC35" s="23">
        <v>3.1612165160375127</v>
      </c>
      <c r="AD35" s="33">
        <v>1.9042673540390284E-3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0.40037325256401973</v>
      </c>
      <c r="AI35" s="14">
        <v>2.7461379835142199</v>
      </c>
      <c r="AJ35" s="14">
        <v>3.0384852425079836</v>
      </c>
      <c r="AK35" s="246">
        <v>0.13176738427518334</v>
      </c>
      <c r="AL35" s="213">
        <f>IF(U35&gt;0,_xll.xlBondZSpread(F35,H35,G35,J35,K35,L35,M35,D35,U35,"annual",5)*100,"-")</f>
        <v>12.622948707110481</v>
      </c>
      <c r="AM35" s="266">
        <f>(-IF($AL$9="",VLOOKUP(VLOOKUP(E35,'DB Basis'!$D$2:$H$65205,4,0),Bonds!$AR$1:$AS$6,2,0),$AL$9)*VLOOKUP(E35,'DB Basis'!$D$2:$E$65205,2,0))+IF(V35="",W35,V35)</f>
        <v>3.8418199599999951</v>
      </c>
      <c r="AN35" s="275" t="str">
        <f>IF($AN$9+(($AL$9-$AM$9))*('DB Basis'!F194/10-'DB Basis'!E194),," ")</f>
        <v xml:space="preserve"> </v>
      </c>
      <c r="AO35" s="648">
        <f>IF(U35&gt;0,_xll.xlShmImplSwap2(curveName,curveName,D35,G35,,1,8,2,4),"-")</f>
        <v>7.470038880652086E-4</v>
      </c>
      <c r="AP35" s="649">
        <f t="shared" si="2"/>
        <v>1.1572634659738198E-3</v>
      </c>
      <c r="AQ35" s="391">
        <f t="shared" si="3"/>
        <v>25.906742239325961</v>
      </c>
      <c r="AR35" s="391">
        <f t="shared" si="4"/>
        <v>1.8904748463797736</v>
      </c>
      <c r="AS35" s="393"/>
      <c r="AT35" s="242">
        <f t="shared" si="5"/>
        <v>0.18781814998741103</v>
      </c>
      <c r="AU35" s="714" t="str">
        <f t="shared" si="0"/>
        <v>BTP  01-Mar-21  3.75</v>
      </c>
      <c r="AV35" s="718">
        <f t="shared" si="6"/>
        <v>-3.3986893731385815E-4</v>
      </c>
      <c r="AW35" s="708"/>
      <c r="AX35" s="708"/>
      <c r="AY35" s="708"/>
      <c r="AZ35" s="708"/>
      <c r="BA35" s="708"/>
      <c r="BB35" s="704">
        <v>2.2441362913528866E-3</v>
      </c>
      <c r="BC35" s="710" t="b">
        <v>0</v>
      </c>
      <c r="BE35" s="721">
        <f>_xll.xlDateShiftMonth(BE34,1)</f>
        <v>43918</v>
      </c>
      <c r="BF35" s="724">
        <v>-6.2211743381834924E-4</v>
      </c>
    </row>
    <row r="36" spans="1:58">
      <c r="A36" s="30"/>
      <c r="B36" s="28"/>
      <c r="C36" s="29"/>
      <c r="D36" s="735">
        <f>MAX(_xll.xlDateSettle("TARGET",$D$4,2),L36)</f>
        <v>43164</v>
      </c>
      <c r="E36" s="725" t="s">
        <v>428</v>
      </c>
      <c r="F36" s="22" t="s">
        <v>1202</v>
      </c>
      <c r="G36" s="688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1254</v>
      </c>
      <c r="O36" s="21" t="s">
        <v>1203</v>
      </c>
      <c r="P36" s="21" t="s">
        <v>1255</v>
      </c>
      <c r="Q36" s="24">
        <v>18397553000</v>
      </c>
      <c r="R36" s="21"/>
      <c r="S36" s="42">
        <f>_xll.RtGet("IDN",$N36,IF(OR($F36="BTP",$F36="CTZ",$F36="GGB"),S$10,S$9))</f>
        <v>110.86</v>
      </c>
      <c r="T36" s="42">
        <f>_xll.RtGet("IDN",$N36,IF(OR($F36="BTP",$F36="CTZ",$F36="GGB"),T$10,T$9))</f>
        <v>110.94</v>
      </c>
      <c r="U36" s="95">
        <f t="shared" si="7"/>
        <v>110.9</v>
      </c>
      <c r="V36" s="21"/>
      <c r="W36" s="25">
        <f t="shared" si="1"/>
        <v>110.9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1.2845299999999999</v>
      </c>
      <c r="Y36" s="23">
        <v>2.9876161027180439</v>
      </c>
      <c r="Z36" s="23">
        <v>-2.9792808174337675</v>
      </c>
      <c r="AA36" s="23">
        <v>0.1226332959977872</v>
      </c>
      <c r="AB36" s="23">
        <v>0.12194997019259733</v>
      </c>
      <c r="AC36" s="23">
        <v>3.3422922989942094</v>
      </c>
      <c r="AD36" s="33">
        <v>2.797750797568159E-3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0.61031933475066369</v>
      </c>
      <c r="AI36" s="14">
        <v>2.8636739003920209</v>
      </c>
      <c r="AJ36" s="14">
        <v>3.212599105887457</v>
      </c>
      <c r="AK36" s="246">
        <v>0.189976811495773</v>
      </c>
      <c r="AL36" s="213">
        <f>IF(U36&gt;0,_xll.xlBondZSpread(F36,H36,G36,J36,K36,L36,M36,D36,U36,"annual",5)*100,"-")</f>
        <v>18.185690568236168</v>
      </c>
      <c r="AM36" s="266">
        <f>(-IF($AL$9="",VLOOKUP(VLOOKUP(E36,'DB Basis'!$D$2:$H$65205,4,0),Bonds!$AR$1:$AS$6,2,0),$AL$9)*VLOOKUP(E36,'DB Basis'!$D$2:$E$65205,2,0))+IF(V36="",W36,V36)</f>
        <v>4.5120250100000021</v>
      </c>
      <c r="AN36" s="275" t="str">
        <f>IF($AN$9+(($AL$9-$AM$9))*('DB Basis'!F195/10-'DB Basis'!E195),," ")</f>
        <v xml:space="preserve"> </v>
      </c>
      <c r="AO36" s="648">
        <f>IF(U36&gt;0,_xll.xlShmImplSwap2(curveName,curveName,D36,G36,,1,8,2,4),"-")</f>
        <v>1.1010071848144324E-3</v>
      </c>
      <c r="AP36" s="649">
        <f t="shared" si="2"/>
        <v>1.6967436127537266E-3</v>
      </c>
      <c r="AQ36" s="391">
        <f t="shared" si="3"/>
        <v>53.462533916087317</v>
      </c>
      <c r="AR36" s="391">
        <f t="shared" si="4"/>
        <v>32.280369438469826</v>
      </c>
      <c r="AS36" s="393"/>
      <c r="AT36" s="242">
        <f t="shared" si="5"/>
        <v>0.27594254441768146</v>
      </c>
      <c r="AU36" s="715" t="str">
        <f t="shared" si="0"/>
        <v>BTP  01-May-21  3.75</v>
      </c>
      <c r="AV36" s="718">
        <f t="shared" si="6"/>
        <v>0</v>
      </c>
      <c r="AW36" s="702"/>
      <c r="AX36" s="702"/>
      <c r="AY36" s="702"/>
      <c r="AZ36" s="702"/>
      <c r="BA36" s="702"/>
      <c r="BB36" s="704">
        <v>2.797750797568159E-3</v>
      </c>
      <c r="BC36" s="710" t="b">
        <v>1</v>
      </c>
      <c r="BE36" s="721">
        <f>_xll.xlDateShiftMonth(BE35,1)</f>
        <v>43949</v>
      </c>
      <c r="BF36" s="722">
        <v>-3.5720623239539838E-4</v>
      </c>
    </row>
    <row r="37" spans="1:58">
      <c r="A37" s="26"/>
      <c r="B37" s="20"/>
      <c r="C37" s="76"/>
      <c r="D37" s="735">
        <f>MAX(_xll.xlDateSettle("TARGET",$D$4,2),L37)</f>
        <v>43164</v>
      </c>
      <c r="E37" s="731" t="s">
        <v>847</v>
      </c>
      <c r="F37" s="87" t="s">
        <v>1202</v>
      </c>
      <c r="G37" s="694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1256</v>
      </c>
      <c r="O37" s="85" t="s">
        <v>1203</v>
      </c>
      <c r="P37" s="85" t="s">
        <v>1257</v>
      </c>
      <c r="Q37" s="89">
        <v>17414767000</v>
      </c>
      <c r="R37" s="85"/>
      <c r="S37" s="90">
        <f>_xll.RtGet("IDN",$N37,IF(OR($F37="BTP",$F37="CTZ",$F37="GGB"),S$10,S$9))</f>
        <v>100.51</v>
      </c>
      <c r="T37" s="90">
        <f>_xll.RtGet("IDN",$N37,IF(OR($F37="BTP",$F37="CTZ",$F37="GGB"),T$10,T$9))</f>
        <v>100.60000000000001</v>
      </c>
      <c r="U37" s="95">
        <f t="shared" si="7"/>
        <v>100.55500000000001</v>
      </c>
      <c r="V37" s="21"/>
      <c r="W37" s="25">
        <f t="shared" si="1"/>
        <v>100.55500000000001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0.11620999999999999</v>
      </c>
      <c r="Y37" s="23">
        <v>3.2183913461462832</v>
      </c>
      <c r="Z37" s="23">
        <v>-3.2094663549310174</v>
      </c>
      <c r="AA37" s="23">
        <v>0.13626490591238702</v>
      </c>
      <c r="AB37" s="23">
        <v>0.13551019545401918</v>
      </c>
      <c r="AC37" s="23">
        <v>3.2310087328255577</v>
      </c>
      <c r="AD37" s="33">
        <v>2.7808333832856497E-3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0.50084780589522615</v>
      </c>
      <c r="AI37" s="14">
        <v>3.270772089718383</v>
      </c>
      <c r="AJ37" s="14">
        <v>3.2927258390617817</v>
      </c>
      <c r="AK37" s="246">
        <v>0.15210735128738478</v>
      </c>
      <c r="AL37" s="213">
        <f>IF(U37&gt;0,_xll.xlBondZSpread(F37,H37,G37,J37,K37,L37,M37,D37,U37,"annual",5)*100,"-")</f>
        <v>15.440566972989473</v>
      </c>
      <c r="AM37" s="266">
        <f>(-IF($AL$9="",VLOOKUP(VLOOKUP(E37,'DB Basis'!$D$2:$H$65205,4,0),Bonds!$AR$1:$AS$6,2,0),$AL$9)*VLOOKUP(E37,'DB Basis'!$D$2:$E$65205,2,0))+IF(V37="",W37,V37)</f>
        <v>5.1301538350000015</v>
      </c>
      <c r="AN37" s="275" t="str">
        <f>IF($AN$9+(($AL$9-$AM$9))*('DB Basis'!F196/10-'DB Basis'!E196),," ")</f>
        <v xml:space="preserve"> </v>
      </c>
      <c r="AO37" s="648">
        <f>IF(U37&gt;0,_xll.xlShmImplSwap2(curveName,curveName,D37,G37,,1,8,2,4),"-")</f>
        <v>1.2524905495959072E-3</v>
      </c>
      <c r="AP37" s="649">
        <f t="shared" si="2"/>
        <v>1.5283428336897425E-3</v>
      </c>
      <c r="AQ37" s="391">
        <f t="shared" si="3"/>
        <v>-1.9918891010051287</v>
      </c>
      <c r="AR37" s="391">
        <f t="shared" si="4"/>
        <v>-19.827833663985224</v>
      </c>
      <c r="AS37" s="393"/>
      <c r="AT37" s="242">
        <f t="shared" si="5"/>
        <v>0.27427397752954358</v>
      </c>
      <c r="AU37" s="714" t="str">
        <f t="shared" si="0"/>
        <v>BTP  01-Jun-21  0.45</v>
      </c>
      <c r="AV37" s="718">
        <f t="shared" si="6"/>
        <v>-2.3491203497929755E-4</v>
      </c>
      <c r="AW37" s="702"/>
      <c r="AX37" s="702"/>
      <c r="AY37" s="702"/>
      <c r="AZ37" s="702"/>
      <c r="BA37" s="702"/>
      <c r="BB37" s="704">
        <v>3.0157454182649472E-3</v>
      </c>
      <c r="BC37" s="710" t="b">
        <v>0</v>
      </c>
      <c r="BE37" s="721">
        <f>_xll.xlDateShiftMonth(BE36,1)</f>
        <v>43979</v>
      </c>
      <c r="BF37" s="722">
        <v>-1.0875139281642438E-4</v>
      </c>
    </row>
    <row r="38" spans="1:58" s="136" customFormat="1">
      <c r="A38" s="65"/>
      <c r="B38" s="66"/>
      <c r="C38" s="71"/>
      <c r="D38" s="735">
        <f>MAX(_xll.xlDateSettle("TARGET",$D$4,2),L38)</f>
        <v>43164</v>
      </c>
      <c r="E38" s="725" t="s">
        <v>728</v>
      </c>
      <c r="F38" s="22" t="s">
        <v>1202</v>
      </c>
      <c r="G38" s="688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1258</v>
      </c>
      <c r="O38" s="21" t="s">
        <v>1203</v>
      </c>
      <c r="P38" s="21" t="s">
        <v>1259</v>
      </c>
      <c r="Q38" s="24">
        <v>28148325000</v>
      </c>
      <c r="R38" s="21"/>
      <c r="S38" s="42">
        <f>_xll.RtGet("IDN",$N38,IF(OR($F38="BTP",$F38="CTZ",$F38="GGB"),S$10,S$9))</f>
        <v>111.44</v>
      </c>
      <c r="T38" s="42">
        <f>_xll.RtGet("IDN",$N38,IF(OR($F38="BTP",$F38="CTZ",$F38="GGB"),T$10,T$9))</f>
        <v>111.52</v>
      </c>
      <c r="U38" s="95">
        <f t="shared" si="7"/>
        <v>111.47999999999999</v>
      </c>
      <c r="V38" s="21"/>
      <c r="W38" s="25">
        <f t="shared" si="1"/>
        <v>111.47999999999999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0.33149000000000001</v>
      </c>
      <c r="Y38" s="23">
        <v>3.2389407437741538</v>
      </c>
      <c r="Z38" s="23">
        <v>-3.227284960932145</v>
      </c>
      <c r="AA38" s="23">
        <v>0.14079562531703588</v>
      </c>
      <c r="AB38" s="23">
        <v>0.13978410301439417</v>
      </c>
      <c r="AC38" s="23">
        <v>3.6084755408147373</v>
      </c>
      <c r="AD38" s="33">
        <v>3.6116373300610766E-3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0.78281388975433153</v>
      </c>
      <c r="AI38" s="14">
        <v>3.0979067889779763</v>
      </c>
      <c r="AJ38" s="14">
        <v>3.4638157395674307</v>
      </c>
      <c r="AK38" s="246">
        <v>0.22599755547392267</v>
      </c>
      <c r="AL38" s="213">
        <f>IF(U38&gt;0,_xll.xlBondZSpread(F38,H38,G38,J38,K38,L38,M38,D38,U38,"annual",5)*100,"-")</f>
        <v>21.600133721412938</v>
      </c>
      <c r="AM38" s="266">
        <f>(-IF($AL$9="",VLOOKUP(VLOOKUP(E38,'DB Basis'!$D$2:$H$65205,4,0),Bonds!$AR$1:$AS$6,2,0),$AL$9)*VLOOKUP(E38,'DB Basis'!$D$2:$E$65205,2,0))+IF(V38="",W38,V38)</f>
        <v>67.122779999999977</v>
      </c>
      <c r="AN38" s="275" t="str">
        <f>IF($AN$9+(($AL$9-$AM$9))*('DB Basis'!F197/10-'DB Basis'!E197),," ")</f>
        <v xml:space="preserve"> </v>
      </c>
      <c r="AO38" s="648">
        <f>IF(U38&gt;0,_xll.xlShmImplSwap2(curveName,curveName,D38,G38,,1,8,2,4),"-")</f>
        <v>1.591422312066697E-3</v>
      </c>
      <c r="AP38" s="649">
        <f t="shared" si="2"/>
        <v>2.0202150179943795E-3</v>
      </c>
      <c r="AQ38" s="391">
        <f t="shared" si="3"/>
        <v>49.712039438201771</v>
      </c>
      <c r="AR38" s="391">
        <f t="shared" si="4"/>
        <v>29.43169627396599</v>
      </c>
      <c r="AS38" s="393"/>
      <c r="AT38" s="242">
        <f t="shared" si="5"/>
        <v>0.35621628460876376</v>
      </c>
      <c r="AU38" s="714" t="str">
        <f t="shared" si="0"/>
        <v>BTP  01-Aug-21  3.75</v>
      </c>
      <c r="AV38" s="718">
        <f t="shared" si="6"/>
        <v>2.3764268131089413E-4</v>
      </c>
      <c r="AW38" s="706"/>
      <c r="AX38" s="706"/>
      <c r="AY38" s="706"/>
      <c r="AZ38" s="706"/>
      <c r="BA38" s="706"/>
      <c r="BB38" s="704">
        <v>3.3739946487501824E-3</v>
      </c>
      <c r="BC38" s="710" t="b">
        <v>0</v>
      </c>
      <c r="BE38" s="721">
        <f>_xll.xlDateShiftMonth(BE37,1)</f>
        <v>44010</v>
      </c>
      <c r="BF38" s="723">
        <v>1.3528344231669085E-4</v>
      </c>
    </row>
    <row r="39" spans="1:58">
      <c r="A39" s="47"/>
      <c r="B39" s="48"/>
      <c r="C39" s="85"/>
      <c r="D39" s="735">
        <f>MAX(_xll.xlDateSettle("TARGET",$D$4,2),L39)</f>
        <v>43164</v>
      </c>
      <c r="E39" s="725" t="s">
        <v>729</v>
      </c>
      <c r="F39" s="22" t="s">
        <v>1202</v>
      </c>
      <c r="G39" s="688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1260</v>
      </c>
      <c r="O39" s="21" t="s">
        <v>1203</v>
      </c>
      <c r="P39" s="21" t="s">
        <v>1261</v>
      </c>
      <c r="Q39" s="24">
        <v>24986368000</v>
      </c>
      <c r="R39" s="21"/>
      <c r="S39" s="42">
        <f>_xll.RtGet("IDN",$N39,IF(OR($F39="BTP",$F39="CTZ",$F39="GGB"),S$10,S$9))</f>
        <v>115.07000000000001</v>
      </c>
      <c r="T39" s="42">
        <f>_xll.RtGet("IDN",$N39,IF(OR($F39="BTP",$F39="CTZ",$F39="GGB"),T$10,T$9))</f>
        <v>115.16</v>
      </c>
      <c r="U39" s="95">
        <f t="shared" si="7"/>
        <v>115.11500000000001</v>
      </c>
      <c r="V39" s="21"/>
      <c r="W39" s="25">
        <f t="shared" si="1"/>
        <v>115.11500000000001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5.1630000000000002E-2</v>
      </c>
      <c r="Y39" s="23">
        <v>3.2739207838909121</v>
      </c>
      <c r="Z39" s="23">
        <v>-3.2613643929431544</v>
      </c>
      <c r="AA39" s="23">
        <v>0.14412324588499112</v>
      </c>
      <c r="AB39" s="23">
        <v>0.14301986089120317</v>
      </c>
      <c r="AC39" s="23">
        <v>3.7560036120176221</v>
      </c>
      <c r="AD39" s="33">
        <v>3.8500423200214587E-3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0.8554440937033494</v>
      </c>
      <c r="AI39" s="14">
        <v>3.0794344465588841</v>
      </c>
      <c r="AJ39" s="14">
        <v>3.5464808751610182</v>
      </c>
      <c r="AK39" s="246">
        <v>0.24120927866684622</v>
      </c>
      <c r="AL39" s="213">
        <f>IF(U39&gt;0,_xll.xlBondZSpread(F39,H39,G39,J39,K39,L39,M39,D39,U39,"annual",5)*100,"-")</f>
        <v>22.623801090340574</v>
      </c>
      <c r="AM39" s="266">
        <f>(-IF($AL$9="",VLOOKUP(VLOOKUP(E39,'DB Basis'!$D$2:$H$65205,4,0),Bonds!$AR$1:$AS$6,2,0),$AL$9)*VLOOKUP(E39,'DB Basis'!$D$2:$E$65205,2,0))+IF(V39="",W39,V39)</f>
        <v>68.978014999999999</v>
      </c>
      <c r="AN39" s="275" t="str">
        <f>IF($AN$9+(($AL$9-$AM$9))*('DB Basis'!F198/10-'DB Basis'!E198),," ")</f>
        <v xml:space="preserve"> </v>
      </c>
      <c r="AO39" s="648">
        <f>IF(U39&gt;0,_xll.xlShmImplSwap2(curveName,curveName,D39,G39,,1,8,2,4),"-")</f>
        <v>1.7573826980379834E-3</v>
      </c>
      <c r="AP39" s="649">
        <f t="shared" si="2"/>
        <v>2.0926596219834753E-3</v>
      </c>
      <c r="AQ39" s="391">
        <f t="shared" si="3"/>
        <v>28.070264946948217</v>
      </c>
      <c r="AR39" s="391">
        <f t="shared" si="4"/>
        <v>8.5297678890386965</v>
      </c>
      <c r="AS39" s="393"/>
      <c r="AT39" s="242">
        <f t="shared" si="5"/>
        <v>0.37973020142677399</v>
      </c>
      <c r="AU39" s="714" t="str">
        <f t="shared" si="0"/>
        <v>BTP  01-Sep-21  4.75</v>
      </c>
      <c r="AV39" s="718">
        <f t="shared" si="6"/>
        <v>2.9802568876374086E-4</v>
      </c>
      <c r="AW39" s="702"/>
      <c r="AX39" s="702"/>
      <c r="AY39" s="702"/>
      <c r="AZ39" s="702"/>
      <c r="BA39" s="702"/>
      <c r="BB39" s="704">
        <v>3.5520166312577178E-3</v>
      </c>
      <c r="BC39" s="710" t="b">
        <v>0</v>
      </c>
      <c r="BE39" s="721">
        <f>_xll.xlDateShiftMonth(BE38,1)</f>
        <v>44040</v>
      </c>
      <c r="BF39" s="722">
        <v>3.5223909577699632E-4</v>
      </c>
    </row>
    <row r="40" spans="1:58">
      <c r="A40" s="30"/>
      <c r="B40" s="28"/>
      <c r="C40" s="29"/>
      <c r="D40" s="735">
        <f>MAX(_xll.xlDateSettle("TARGET",$D$4,2),L40)</f>
        <v>43164</v>
      </c>
      <c r="E40" s="725" t="s">
        <v>908</v>
      </c>
      <c r="F40" s="22" t="s">
        <v>1202</v>
      </c>
      <c r="G40" s="688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1262</v>
      </c>
      <c r="O40" s="21" t="s">
        <v>1222</v>
      </c>
      <c r="P40" s="21" t="s">
        <v>1263</v>
      </c>
      <c r="Q40" s="24">
        <v>13955000000</v>
      </c>
      <c r="R40" s="21"/>
      <c r="S40" s="42">
        <f>_xll.RtGet("IDN",$N40,IF(OR($F40="BTP",$F40="CTZ",$F40="GGB"),S$10,S$9))</f>
        <v>99.79</v>
      </c>
      <c r="T40" s="42">
        <f>_xll.RtGet("IDN",$N40,IF(OR($F40="BTP",$F40="CTZ",$F40="GGB"),T$10,T$9))</f>
        <v>99.87</v>
      </c>
      <c r="U40" s="95">
        <f t="shared" si="7"/>
        <v>99.830000000000013</v>
      </c>
      <c r="V40" s="21"/>
      <c r="W40" s="25">
        <f t="shared" si="1"/>
        <v>99.830000000000013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0.11989</v>
      </c>
      <c r="Y40" s="23">
        <v>3.6330964214480597</v>
      </c>
      <c r="Z40" s="23">
        <v>-3.6187212777798075</v>
      </c>
      <c r="AA40" s="23">
        <v>0.16892846816062274</v>
      </c>
      <c r="AB40" s="23">
        <v>0.16759430769428069</v>
      </c>
      <c r="AC40" s="23">
        <v>3.6169080937391129</v>
      </c>
      <c r="AD40" s="33">
        <v>3.9724373789605449E-3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0.69268455798429629</v>
      </c>
      <c r="AI40" s="14">
        <v>3.716215620384276</v>
      </c>
      <c r="AJ40" s="14">
        <v>3.7143534247369021</v>
      </c>
      <c r="AK40" s="246">
        <v>0.18648859674234097</v>
      </c>
      <c r="AL40" s="213">
        <f>IF(U40&gt;0,_xll.xlBondZSpread(F40,H40,G40,J40,K40,L40,M40,D40,U40,"annual",5)*100,"-")</f>
        <v>19.037586514190483</v>
      </c>
      <c r="AM40" s="266">
        <f>(-IF($AL$9="",VLOOKUP(VLOOKUP(E40,'DB Basis'!$D$2:$H$65205,4,0),Bonds!$AR$1:$AS$6,2,0),$AL$9)*VLOOKUP(E40,'DB Basis'!$D$2:$E$65205,2,0))+IF(V40="",W40,V40)</f>
        <v>55.746590000000012</v>
      </c>
      <c r="AN40" s="275" t="str">
        <f>IF($AN$9+(($AL$9-$AM$9))*('DB Basis'!F199/10-'DB Basis'!E199),," ")</f>
        <v xml:space="preserve"> </v>
      </c>
      <c r="AO40" s="648">
        <f>IF(U40&gt;0,_xll.xlShmImplSwap2(curveName,curveName,D40,G40,,1,8,2,4),"-")</f>
        <v>2.0816618374953789E-3</v>
      </c>
      <c r="AP40" s="649">
        <f t="shared" si="2"/>
        <v>1.890775541465166E-3</v>
      </c>
      <c r="AQ40" s="391">
        <f t="shared" si="3"/>
        <v>7.3236387725846672</v>
      </c>
      <c r="AR40" s="391">
        <f t="shared" si="4"/>
        <v>-12.079949080193916</v>
      </c>
      <c r="AS40" s="393"/>
      <c r="AT40" s="242">
        <f t="shared" si="5"/>
        <v>0.39180204285638243</v>
      </c>
      <c r="AU40" s="714" t="str">
        <f t="shared" si="0"/>
        <v>BTP  01-Nov-21  0.35</v>
      </c>
      <c r="AV40" s="718">
        <f t="shared" si="6"/>
        <v>0</v>
      </c>
      <c r="AW40" s="702"/>
      <c r="AX40" s="702"/>
      <c r="AY40" s="702"/>
      <c r="AZ40" s="702"/>
      <c r="BA40" s="702"/>
      <c r="BB40" s="704">
        <v>3.9724373789605449E-3</v>
      </c>
      <c r="BC40" s="710" t="b">
        <v>1</v>
      </c>
      <c r="BE40" s="721">
        <f>_xll.xlDateShiftMonth(BE39,1)</f>
        <v>44071</v>
      </c>
      <c r="BF40" s="722">
        <v>5.6742902623890291E-4</v>
      </c>
    </row>
    <row r="41" spans="1:58">
      <c r="A41" s="26"/>
      <c r="B41" s="20"/>
      <c r="C41" s="21"/>
      <c r="D41" s="735">
        <f>MAX(_xll.xlDateSettle("TARGET",$D$4,2),L41)</f>
        <v>43164</v>
      </c>
      <c r="E41" s="725" t="s">
        <v>608</v>
      </c>
      <c r="F41" s="22" t="s">
        <v>1202</v>
      </c>
      <c r="G41" s="688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1264</v>
      </c>
      <c r="O41" s="21" t="s">
        <v>1203</v>
      </c>
      <c r="P41" s="21" t="s">
        <v>1265</v>
      </c>
      <c r="Q41" s="24">
        <v>17657877000</v>
      </c>
      <c r="R41" s="21"/>
      <c r="S41" s="42">
        <f>_xll.RtGet("IDN",$N41,IF(OR($F41="BTP",$F41="CTZ",$F41="GGB"),S$10,S$9))</f>
        <v>106.29</v>
      </c>
      <c r="T41" s="42">
        <f>_xll.RtGet("IDN",$N41,IF(OR($F41="BTP",$F41="CTZ",$F41="GGB"),T$10,T$9))</f>
        <v>106.34</v>
      </c>
      <c r="U41" s="95">
        <f t="shared" si="7"/>
        <v>106.315</v>
      </c>
      <c r="V41" s="21"/>
      <c r="W41" s="25">
        <f>IF(V41="",U41,V41)</f>
        <v>106.315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0.47253000000000001</v>
      </c>
      <c r="Y41" s="23">
        <v>3.6402548279073801</v>
      </c>
      <c r="Z41" s="23">
        <v>-3.6234665339925858</v>
      </c>
      <c r="AA41" s="23">
        <v>0.17222147298129367</v>
      </c>
      <c r="AB41" s="23">
        <v>0.17063661822936294</v>
      </c>
      <c r="AC41" s="23">
        <v>3.8694110430711248</v>
      </c>
      <c r="AD41" s="33">
        <v>4.6331046303602318E-3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0.93611934168394861</v>
      </c>
      <c r="AI41" s="14">
        <v>3.5915221585062134</v>
      </c>
      <c r="AJ41" s="14">
        <v>3.8352978024714703</v>
      </c>
      <c r="AK41" s="246">
        <v>0.24407996194733875</v>
      </c>
      <c r="AL41" s="213">
        <f>IF(U41&gt;0,_xll.xlBondZSpread(F41,H41,G41,J41,K41,L41,M41,D41,U41,"annual",5)*100,"-")</f>
        <v>24.038181136668573</v>
      </c>
      <c r="AM41" s="266">
        <f>(-IF($AL$9="",VLOOKUP(VLOOKUP(E41,'DB Basis'!$D$2:$H$65205,4,0),Bonds!$AR$1:$AS$6,2,0),$AL$9)*VLOOKUP(E41,'DB Basis'!$D$2:$E$65205,2,0))+IF(V41="",W41,V41)</f>
        <v>59.219680000000004</v>
      </c>
      <c r="AN41" s="275" t="str">
        <f>IF($AN$9+(($AL$9-$AM$9))*('DB Basis'!F200/10-'DB Basis'!E200),," ")</f>
        <v xml:space="preserve"> </v>
      </c>
      <c r="AO41" s="648">
        <f>IF(U41&gt;0,_xll.xlShmImplSwap2(curveName,curveName,D41,G41,,1,8,2,4),"-")</f>
        <v>2.3202378667907808E-3</v>
      </c>
      <c r="AP41" s="649">
        <f t="shared" si="2"/>
        <v>2.312866763569451E-3</v>
      </c>
      <c r="AQ41" s="391">
        <f t="shared" si="3"/>
        <v>54.805351536564928</v>
      </c>
      <c r="AR41" s="391">
        <f t="shared" si="4"/>
        <v>35.014385470014545</v>
      </c>
      <c r="AS41" s="393"/>
      <c r="AT41" s="242">
        <f t="shared" si="5"/>
        <v>0.45696374436429682</v>
      </c>
      <c r="AU41" s="714" t="str">
        <f t="shared" si="0"/>
        <v>BTP  15-Dec-21  2.15</v>
      </c>
      <c r="AV41" s="718">
        <f t="shared" si="6"/>
        <v>2.5313699344526718E-4</v>
      </c>
      <c r="AW41" s="702"/>
      <c r="AX41" s="702"/>
      <c r="AY41" s="702"/>
      <c r="AZ41" s="702"/>
      <c r="BA41" s="702"/>
      <c r="BB41" s="704">
        <v>4.3799676369149646E-3</v>
      </c>
      <c r="BC41" s="710" t="b">
        <v>0</v>
      </c>
      <c r="BE41" s="721">
        <f>_xll.xlDateShiftMonth(BE40,1)</f>
        <v>44102</v>
      </c>
      <c r="BF41" s="722">
        <v>7.8777643967116169E-4</v>
      </c>
    </row>
    <row r="42" spans="1:58">
      <c r="A42" s="49"/>
      <c r="B42" s="50"/>
      <c r="C42" s="29"/>
      <c r="D42" s="735">
        <f>MAX(_xll.xlDateSettle("TARGET",$D$4,2),L42)</f>
        <v>43164</v>
      </c>
      <c r="E42" s="725" t="s">
        <v>730</v>
      </c>
      <c r="F42" s="22" t="s">
        <v>1202</v>
      </c>
      <c r="G42" s="688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1266</v>
      </c>
      <c r="O42" s="21" t="s">
        <v>1203</v>
      </c>
      <c r="P42" s="21" t="s">
        <v>1267</v>
      </c>
      <c r="Q42" s="24">
        <v>20635579000</v>
      </c>
      <c r="R42" s="21"/>
      <c r="S42" s="42">
        <f>_xll.RtGet("IDN",$N42,IF(OR($F42="BTP",$F42="CTZ",$F42="GGB"),S$10,S$9))</f>
        <v>117.5</v>
      </c>
      <c r="T42" s="42">
        <f>_xll.RtGet("IDN",$N42,IF(OR($F42="BTP",$F42="CTZ",$F42="GGB"),T$10,T$9))</f>
        <v>117.62</v>
      </c>
      <c r="U42" s="95">
        <f t="shared" si="7"/>
        <v>117.56</v>
      </c>
      <c r="V42" s="21"/>
      <c r="W42" s="25">
        <f t="shared" si="1"/>
        <v>117.56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5.4350000000000002E-2</v>
      </c>
      <c r="Y42" s="23">
        <v>3.6941781949372001</v>
      </c>
      <c r="Z42" s="23">
        <v>-3.6741614972860126</v>
      </c>
      <c r="AA42" s="23">
        <v>0.17991957209683604</v>
      </c>
      <c r="AB42" s="23">
        <v>0.1779750862023923</v>
      </c>
      <c r="AC42" s="23">
        <v>4.321341368331133</v>
      </c>
      <c r="AD42" s="33">
        <v>5.447963466617696E-3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1.2819279226790361</v>
      </c>
      <c r="AI42" s="14">
        <v>3.4382134638081787</v>
      </c>
      <c r="AJ42" s="14">
        <v>4.0438324170704751</v>
      </c>
      <c r="AK42" s="246">
        <v>0.31700817206656517</v>
      </c>
      <c r="AL42" s="213">
        <f>IF(U42&gt;0,_xll.xlBondZSpread(F42,H42,G42,J42,K42,L42,M42,D42,U42,"annual",5)*100,"-")</f>
        <v>29.442769190784031</v>
      </c>
      <c r="AM42" s="266">
        <f>(-IF($AL$9="",VLOOKUP(VLOOKUP(E42,'DB Basis'!$D$2:$H$65205,4,0),Bonds!$AR$1:$AS$6,2,0),$AL$9)*VLOOKUP(E42,'DB Basis'!$D$2:$E$65205,2,0))+IF(V42="",W42,V42)</f>
        <v>64.851574999999997</v>
      </c>
      <c r="AN42" s="275" t="str">
        <f>IF($AN$9+(($AL$9-$AM$9))*('DB Basis'!F201/10-'DB Basis'!E201),," ")</f>
        <v xml:space="preserve"> </v>
      </c>
      <c r="AO42" s="648">
        <f>IF(U42&gt;0,_xll.xlShmImplSwap2(curveName,curveName,D42,G42,,1,8,2,4),"-")</f>
        <v>2.7304337822949202E-3</v>
      </c>
      <c r="AP42" s="649">
        <f t="shared" si="2"/>
        <v>2.7175296843227757E-3</v>
      </c>
      <c r="AQ42" s="391">
        <f t="shared" si="3"/>
        <v>39.134667793944004</v>
      </c>
      <c r="AR42" s="391">
        <f t="shared" si="4"/>
        <v>19.434469220389943</v>
      </c>
      <c r="AS42" s="393"/>
      <c r="AT42" s="242">
        <f t="shared" si="5"/>
        <v>0.53733338300886868</v>
      </c>
      <c r="AU42" s="715" t="str">
        <f t="shared" si="0"/>
        <v>BTP  01-Mar-22  5</v>
      </c>
      <c r="AV42" s="718">
        <f t="shared" si="6"/>
        <v>2.0053018525171239E-4</v>
      </c>
      <c r="AW42" s="702"/>
      <c r="AX42" s="702"/>
      <c r="AY42" s="702"/>
      <c r="AZ42" s="702"/>
      <c r="BA42" s="702"/>
      <c r="BB42" s="704">
        <v>5.2474332813659836E-3</v>
      </c>
      <c r="BC42" s="710" t="b">
        <v>0</v>
      </c>
      <c r="BE42" s="721">
        <f>_xll.xlDateShiftMonth(BE41,1)</f>
        <v>44132</v>
      </c>
      <c r="BF42" s="722">
        <v>1.0195444271566198E-3</v>
      </c>
    </row>
    <row r="43" spans="1:58">
      <c r="A43" s="26"/>
      <c r="B43" s="20"/>
      <c r="C43" s="21"/>
      <c r="D43" s="735">
        <f>MAX(_xll.xlDateSettle("TARGET",$D$4,2),L43)</f>
        <v>43164</v>
      </c>
      <c r="E43" s="725" t="s">
        <v>1005</v>
      </c>
      <c r="F43" s="22" t="s">
        <v>1202</v>
      </c>
      <c r="G43" s="688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1268</v>
      </c>
      <c r="O43" s="21" t="s">
        <v>1203</v>
      </c>
      <c r="P43" s="21" t="s">
        <v>1269</v>
      </c>
      <c r="Q43" s="24">
        <v>16650500000</v>
      </c>
      <c r="R43" s="21"/>
      <c r="S43" s="42">
        <f>_xll.RtGet("IDN",$N43,IF(OR($F43="BTP",$F43="CTZ",$F43="GGB"),S$10,S$9))</f>
        <v>102.38</v>
      </c>
      <c r="T43" s="42">
        <f>_xll.RtGet("IDN",$N43,IF(OR($F43="BTP",$F43="CTZ",$F43="GGB"),T$10,T$9))</f>
        <v>102.43</v>
      </c>
      <c r="U43" s="95">
        <f t="shared" si="7"/>
        <v>102.405</v>
      </c>
      <c r="V43" s="21"/>
      <c r="W43" s="25">
        <f t="shared" si="1"/>
        <v>102.405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0.51099000000000006</v>
      </c>
      <c r="Y43" s="23">
        <v>3.9700458169194062</v>
      </c>
      <c r="Z43" s="23">
        <v>-3.9462727601640242</v>
      </c>
      <c r="AA43" s="23">
        <v>0.20015943524848001</v>
      </c>
      <c r="AB43" s="23">
        <v>0.19776946045952712</v>
      </c>
      <c r="AC43" s="23">
        <v>4.061345896055002</v>
      </c>
      <c r="AD43" s="33">
        <v>6.0241768994278855E-3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1.3066336463558106</v>
      </c>
      <c r="AI43" s="14">
        <v>4.0117317002822164</v>
      </c>
      <c r="AJ43" s="14">
        <v>4.1287133954892763</v>
      </c>
      <c r="AK43" s="246">
        <v>0.31647477584259937</v>
      </c>
      <c r="AL43" s="213">
        <f>IF(U43&gt;0,_xll.xlBondZSpread(F43,H43,G43,J43,K43,L43,M43,D43,U43,"annual",5)*100,"-")</f>
        <v>31.898086840779794</v>
      </c>
      <c r="AM43" s="266">
        <f>(-IF($AL$9="",VLOOKUP(VLOOKUP(E43,'DB Basis'!$D$2:$H$65205,4,0),Bonds!$AR$1:$AS$6,2,0),$AL$9)*VLOOKUP(E43,'DB Basis'!$D$2:$E$65205,2,0))+IF(V43="",W43,V43)</f>
        <v>53.256105000000005</v>
      </c>
      <c r="AN43" s="275" t="str">
        <f>IF($AN$9+(($AL$9-$AM$9))*('DB Basis'!F202/10-'DB Basis'!E202),," ")</f>
        <v xml:space="preserve"> </v>
      </c>
      <c r="AO43" s="648">
        <f>IF(U43&gt;0,_xll.xlShmImplSwap2(curveName,curveName,D43,G43,,1,8,2,4),"-")</f>
        <v>2.8836385678081165E-3</v>
      </c>
      <c r="AP43" s="649">
        <f t="shared" si="2"/>
        <v>3.140538331619769E-3</v>
      </c>
      <c r="AQ43" s="391">
        <f t="shared" si="3"/>
        <v>67.84448483087715</v>
      </c>
      <c r="AR43" s="391">
        <f t="shared" si="4"/>
        <v>49.805856859162112</v>
      </c>
      <c r="AS43" s="393"/>
      <c r="AT43" s="242">
        <f t="shared" si="5"/>
        <v>0.59416539282028469</v>
      </c>
      <c r="AU43" s="714" t="str">
        <f t="shared" si="0"/>
        <v>BTP  01-Apr-22  1.2</v>
      </c>
      <c r="AV43" s="718">
        <f t="shared" si="6"/>
        <v>3.9268392004683343E-4</v>
      </c>
      <c r="AW43" s="702"/>
      <c r="AX43" s="702"/>
      <c r="AY43" s="702"/>
      <c r="AZ43" s="702"/>
      <c r="BA43" s="702"/>
      <c r="BB43" s="704">
        <v>5.631492979381052E-3</v>
      </c>
      <c r="BC43" s="710" t="b">
        <v>0</v>
      </c>
      <c r="BE43" s="721">
        <f>_xll.xlDateShiftMonth(BE42,1)</f>
        <v>44163</v>
      </c>
      <c r="BF43" s="722">
        <v>1.2937730448638355E-3</v>
      </c>
    </row>
    <row r="44" spans="1:58" ht="15" customHeight="1">
      <c r="A44" s="30"/>
      <c r="B44" s="28"/>
      <c r="C44" s="29"/>
      <c r="D44" s="735">
        <f>MAX(_xll.xlDateSettle("TARGET",$D$4,2),L44)</f>
        <v>43164</v>
      </c>
      <c r="E44" s="725" t="s">
        <v>610</v>
      </c>
      <c r="F44" s="22" t="s">
        <v>1202</v>
      </c>
      <c r="G44" s="688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1270</v>
      </c>
      <c r="O44" s="21" t="s">
        <v>1203</v>
      </c>
      <c r="P44" s="21" t="s">
        <v>1271</v>
      </c>
      <c r="Q44" s="24">
        <v>17784500000</v>
      </c>
      <c r="R44" s="21"/>
      <c r="S44" s="42">
        <f>_xll.RtGet("IDN",$N44,IF(OR($F44="BTP",$F44="CTZ",$F44="GGB"),S$10,S$9))</f>
        <v>102.93</v>
      </c>
      <c r="T44" s="42">
        <f>_xll.RtGet("IDN",$N44,IF(OR($F44="BTP",$F44="CTZ",$F44="GGB"),T$10,T$9))</f>
        <v>102.99000000000001</v>
      </c>
      <c r="U44" s="95">
        <f t="shared" si="7"/>
        <v>102.96000000000001</v>
      </c>
      <c r="V44" s="21"/>
      <c r="W44" s="25">
        <f t="shared" si="1"/>
        <v>102.96000000000001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0.52293999999999996</v>
      </c>
      <c r="Y44" s="23">
        <v>4.0065315689882262</v>
      </c>
      <c r="Z44" s="23">
        <v>-3.9818741576897483</v>
      </c>
      <c r="AA44" s="23">
        <v>0.20378288127186067</v>
      </c>
      <c r="AB44" s="23">
        <v>0.20128231623750417</v>
      </c>
      <c r="AC44" s="23">
        <v>4.1205606849224807</v>
      </c>
      <c r="AD44" s="33">
        <v>6.1924069573444512E-3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1.3629441261545128</v>
      </c>
      <c r="AI44" s="14">
        <v>4.0373298893968181</v>
      </c>
      <c r="AJ44" s="14">
        <v>4.1779476670465767</v>
      </c>
      <c r="AK44" s="246">
        <v>0.32622336007334252</v>
      </c>
      <c r="AL44" s="213">
        <f>IF(U44&gt;0,_xll.xlBondZSpread(F44,H44,G44,J44,K44,L44,M44,D44,U44,"annual",5)*100,"-")</f>
        <v>32.786472280821918</v>
      </c>
      <c r="AM44" s="266">
        <f>(-IF($AL$9="",VLOOKUP(VLOOKUP(E44,'DB Basis'!$D$2:$H$65205,4,0),Bonds!$AR$1:$AS$6,2,0),$AL$9)*VLOOKUP(E44,'DB Basis'!$D$2:$E$65205,2,0))+IF(V44="",W44,V44)</f>
        <v>53.126580000000011</v>
      </c>
      <c r="AN44" s="275" t="str">
        <f>IF($AN$9+(($AL$9-$AM$9))*('DB Basis'!F203/10-'DB Basis'!E203),," ")</f>
        <v xml:space="preserve"> </v>
      </c>
      <c r="AO44" s="648">
        <f>IF(U44&gt;0,_xll.xlShmImplSwap2(curveName,curveName,D44,G44,,1,8,2,4),"-")</f>
        <v>2.9712805504694519E-3</v>
      </c>
      <c r="AP44" s="649">
        <f t="shared" si="2"/>
        <v>3.2211264068749993E-3</v>
      </c>
      <c r="AQ44" s="391">
        <f t="shared" si="3"/>
        <v>43.859979385390353</v>
      </c>
      <c r="AR44" s="391">
        <f t="shared" si="4"/>
        <v>21.010462477256485</v>
      </c>
      <c r="AS44" s="393"/>
      <c r="AT44" s="242">
        <f t="shared" si="5"/>
        <v>0.6107579464778089</v>
      </c>
      <c r="AU44" s="714" t="str">
        <f t="shared" si="0"/>
        <v>BTP  15-Apr-22  1.35</v>
      </c>
      <c r="AV44" s="718">
        <f t="shared" si="6"/>
        <v>3.8618011169907172E-4</v>
      </c>
      <c r="AW44" s="702"/>
      <c r="AX44" s="702"/>
      <c r="AY44" s="702"/>
      <c r="AZ44" s="702"/>
      <c r="BA44" s="702"/>
      <c r="BB44" s="704">
        <v>5.8062268456453795E-3</v>
      </c>
      <c r="BC44" s="710" t="b">
        <v>0</v>
      </c>
      <c r="BE44" s="721">
        <f>_xll.xlDateShiftMonth(BE43,1)</f>
        <v>44193</v>
      </c>
      <c r="BF44" s="722">
        <v>1.5909023011087646E-3</v>
      </c>
    </row>
    <row r="45" spans="1:58">
      <c r="A45" s="67"/>
      <c r="B45" s="68"/>
      <c r="C45" s="21"/>
      <c r="D45" s="735">
        <f>MAX(_xll.xlDateSettle("TARGET",$D$4,2),L45)</f>
        <v>43164</v>
      </c>
      <c r="E45" s="725" t="s">
        <v>1656</v>
      </c>
      <c r="F45" s="22" t="s">
        <v>1202</v>
      </c>
      <c r="G45" s="688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1272</v>
      </c>
      <c r="O45" s="21" t="s">
        <v>1222</v>
      </c>
      <c r="P45" s="21" t="s">
        <v>1273</v>
      </c>
      <c r="Q45" s="24">
        <v>18303091000</v>
      </c>
      <c r="R45" s="21"/>
      <c r="S45" s="42">
        <f>_xll.RtGet("IDN",$N45,IF(OR($F45="BTP",$F45="CTZ",$F45="GGB"),S$10,S$9))</f>
        <v>100.8</v>
      </c>
      <c r="T45" s="42">
        <f>_xll.RtGet("IDN",$N45,IF(OR($F45="BTP",$F45="CTZ",$F45="GGB"),T$10,T$9))</f>
        <v>100.89</v>
      </c>
      <c r="U45" s="95">
        <f t="shared" si="7"/>
        <v>100.845</v>
      </c>
      <c r="V45" s="21"/>
      <c r="W45" s="25">
        <f t="shared" si="1"/>
        <v>100.845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7.9560000000000006E-2</v>
      </c>
      <c r="Y45" s="23">
        <v>4.3322896254751235</v>
      </c>
      <c r="Z45" s="23">
        <v>-4.3019038241857563</v>
      </c>
      <c r="AA45" s="23">
        <v>0.23319924154407243</v>
      </c>
      <c r="AB45" s="23">
        <v>0.22993948897395416</v>
      </c>
      <c r="AC45" s="23">
        <v>4.3416777519965422</v>
      </c>
      <c r="AD45" s="33">
        <v>7.0633380754163335E-3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1.5875817456935644</v>
      </c>
      <c r="AI45" s="14">
        <v>4.4212851094106407</v>
      </c>
      <c r="AJ45" s="14">
        <v>4.4621625430182084</v>
      </c>
      <c r="AK45" s="246">
        <v>0.35578752015154708</v>
      </c>
      <c r="AL45" s="213">
        <f>IF(U45&gt;0,_xll.xlBondZSpread(F45,H45,G45,J45,K45,L45,M45,D45,U45,"annual",5)*100,"-")</f>
        <v>36.221019778109628</v>
      </c>
      <c r="AM45" s="266">
        <f>(-IF($AL$9="",VLOOKUP(VLOOKUP(E45,'DB Basis'!$D$2:$H$65205,4,0),Bonds!$AR$1:$AS$6,2,0),$AL$9)*VLOOKUP(E45,'DB Basis'!$D$2:$E$65205,2,0))+IF(V45="",W45,V45)</f>
        <v>48.547289999999997</v>
      </c>
      <c r="AN45" s="275" t="str">
        <f>IF($AN$9+(($AL$9-$AM$9))*('DB Basis'!F204/10-'DB Basis'!E204),," ")</f>
        <v xml:space="preserve"> </v>
      </c>
      <c r="AO45" s="648">
        <f>IF(U45&gt;0,_xll.xlShmImplSwap2(curveName,curveName,D45,G45,,1,8,2,4),"-")</f>
        <v>3.4872899705926997E-3</v>
      </c>
      <c r="AP45" s="649">
        <f t="shared" si="2"/>
        <v>3.5760481048236338E-3</v>
      </c>
      <c r="AQ45" s="391">
        <f t="shared" si="3"/>
        <v>29.434246120021946</v>
      </c>
      <c r="AR45" s="391">
        <f t="shared" si="4"/>
        <v>11.995038865856626</v>
      </c>
      <c r="AS45" s="393"/>
      <c r="AT45" s="242">
        <f t="shared" si="5"/>
        <v>0.69665800195887118</v>
      </c>
      <c r="AU45" s="714" t="str">
        <f t="shared" si="0"/>
        <v>BTP  01-Aug-22  0.9</v>
      </c>
      <c r="AV45" s="718">
        <f t="shared" si="6"/>
        <v>0</v>
      </c>
      <c r="AW45" s="702"/>
      <c r="AX45" s="702"/>
      <c r="AY45" s="702"/>
      <c r="AZ45" s="702"/>
      <c r="BA45" s="702"/>
      <c r="BB45" s="704">
        <v>7.0633380754163335E-3</v>
      </c>
      <c r="BC45" s="710" t="b">
        <v>1</v>
      </c>
      <c r="BE45" s="721">
        <f>_xll.xlDateShiftMonth(BE44,1)</f>
        <v>44224</v>
      </c>
      <c r="BF45" s="722">
        <v>1.9134406533886387E-3</v>
      </c>
    </row>
    <row r="46" spans="1:58">
      <c r="A46" s="59"/>
      <c r="B46" s="60"/>
      <c r="C46" s="29"/>
      <c r="D46" s="735">
        <f>MAX(_xll.xlDateSettle("TARGET",$D$4,2),L46)</f>
        <v>43164</v>
      </c>
      <c r="E46" s="731" t="s">
        <v>731</v>
      </c>
      <c r="F46" s="87" t="s">
        <v>1202</v>
      </c>
      <c r="G46" s="694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1274</v>
      </c>
      <c r="O46" s="85" t="s">
        <v>1203</v>
      </c>
      <c r="P46" s="85" t="s">
        <v>1275</v>
      </c>
      <c r="Q46" s="89">
        <v>19586032000</v>
      </c>
      <c r="R46" s="85"/>
      <c r="S46" s="90">
        <f>_xll.RtGet("IDN",$N46,IF(OR($F46="BTP",$F46="CTZ",$F46="GGB"),S$10,S$9))</f>
        <v>121.10000000000001</v>
      </c>
      <c r="T46" s="90">
        <f>_xll.RtGet("IDN",$N46,IF(OR($F46="BTP",$F46="CTZ",$F46="GGB"),T$10,T$9))</f>
        <v>121.14</v>
      </c>
      <c r="U46" s="95">
        <f t="shared" si="7"/>
        <v>121.12</v>
      </c>
      <c r="V46" s="21"/>
      <c r="W46" s="25">
        <f t="shared" si="1"/>
        <v>121.12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5.978E-2</v>
      </c>
      <c r="Y46" s="23">
        <v>4.0856646190336914</v>
      </c>
      <c r="Z46" s="23">
        <v>-4.0567554943092707</v>
      </c>
      <c r="AA46" s="23">
        <v>0.21760494417851825</v>
      </c>
      <c r="AB46" s="23">
        <v>0.21453640423862372</v>
      </c>
      <c r="AC46" s="23">
        <v>4.9159676582654299</v>
      </c>
      <c r="AD46" s="33">
        <v>7.1261688375116386E-3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1.8805328435294624</v>
      </c>
      <c r="AI46" s="14">
        <v>3.7519960648868467</v>
      </c>
      <c r="AJ46" s="14">
        <v>4.546660577038538</v>
      </c>
      <c r="AK46" s="246">
        <v>0.41360748436478811</v>
      </c>
      <c r="AL46" s="213">
        <f>IF(U46&gt;0,_xll.xlBondZSpread(F46,H46,G46,J46,K46,L46,M46,D46,U46,"annual",5)*100,"-")</f>
        <v>37.836830477042547</v>
      </c>
      <c r="AM46" s="266">
        <f>(-IF($AL$9="",VLOOKUP(VLOOKUP(E46,'DB Basis'!$D$2:$H$65205,4,0),Bonds!$AR$1:$AS$6,2,0),$AL$9)*VLOOKUP(E46,'DB Basis'!$D$2:$E$65205,2,0))+IF(V46="",W46,V46)</f>
        <v>61.566325000000006</v>
      </c>
      <c r="AN46" s="275" t="str">
        <f>IF($AN$9+(($AL$9-$AM$9))*('DB Basis'!F205/10-'DB Basis'!E205),," ")</f>
        <v xml:space="preserve"> </v>
      </c>
      <c r="AO46" s="648">
        <f>IF(U46&gt;0,_xll.xlShmImplSwap2(curveName,curveName,D46,G46,,1,8,2,4),"-")</f>
        <v>3.6376833613832871E-3</v>
      </c>
      <c r="AP46" s="649">
        <f t="shared" si="2"/>
        <v>3.4884854761283515E-3</v>
      </c>
      <c r="AQ46" s="391">
        <f t="shared" si="3"/>
        <v>7.3978155370278582</v>
      </c>
      <c r="AR46" s="391">
        <f t="shared" si="4"/>
        <v>-10.309793378638073</v>
      </c>
      <c r="AS46" s="393"/>
      <c r="AT46" s="242">
        <f t="shared" si="5"/>
        <v>0.70285500863128492</v>
      </c>
      <c r="AU46" s="714" t="str">
        <f t="shared" si="0"/>
        <v>BTP  01-Sep-22  5.5</v>
      </c>
      <c r="AV46" s="718">
        <f t="shared" si="6"/>
        <v>-2.4742225051122523E-4</v>
      </c>
      <c r="AW46" s="702"/>
      <c r="AX46" s="702"/>
      <c r="AY46" s="702"/>
      <c r="AZ46" s="702"/>
      <c r="BA46" s="702"/>
      <c r="BB46" s="704">
        <v>7.3735910880228638E-3</v>
      </c>
      <c r="BC46" s="710" t="b">
        <v>0</v>
      </c>
      <c r="BE46" s="721">
        <f>_xll.xlDateShiftMonth(BE45,1)</f>
        <v>44255</v>
      </c>
      <c r="BF46" s="722">
        <v>2.2340290952452E-3</v>
      </c>
    </row>
    <row r="47" spans="1:58">
      <c r="A47" s="26"/>
      <c r="B47" s="20"/>
      <c r="C47" s="21"/>
      <c r="D47" s="735">
        <f>MAX(_xll.xlDateSettle("TARGET",$D$4,2),L47)</f>
        <v>43164</v>
      </c>
      <c r="E47" s="725" t="s">
        <v>844</v>
      </c>
      <c r="F47" s="22" t="s">
        <v>1202</v>
      </c>
      <c r="G47" s="688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1276</v>
      </c>
      <c r="O47" s="21" t="s">
        <v>1203</v>
      </c>
      <c r="P47" s="21" t="s">
        <v>1277</v>
      </c>
      <c r="Q47" s="24">
        <v>17005194000</v>
      </c>
      <c r="R47" s="21"/>
      <c r="S47" s="42">
        <f>_xll.RtGet("IDN",$N47,IF(OR($F47="BTP",$F47="CTZ",$F47="GGB"),S$10,S$9))</f>
        <v>103.07000000000001</v>
      </c>
      <c r="T47" s="42">
        <f>_xll.RtGet("IDN",$N47,IF(OR($F47="BTP",$F47="CTZ",$F47="GGB"),T$10,T$9))</f>
        <v>103.14</v>
      </c>
      <c r="U47" s="95">
        <f t="shared" si="7"/>
        <v>103.105</v>
      </c>
      <c r="V47" s="21"/>
      <c r="W47" s="25">
        <f t="shared" si="1"/>
        <v>103.105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0.68493999999999999</v>
      </c>
      <c r="Y47" s="23">
        <v>4.3721241715226089</v>
      </c>
      <c r="Z47" s="23">
        <v>-4.3394662981451111</v>
      </c>
      <c r="AA47" s="23">
        <v>0.23956978881746629</v>
      </c>
      <c r="AB47" s="23">
        <v>0.23600419041470819</v>
      </c>
      <c r="AC47" s="23">
        <v>4.5039297662398781</v>
      </c>
      <c r="AD47" s="33">
        <v>7.5257738642268684E-3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1.7720247505182567</v>
      </c>
      <c r="AI47" s="14">
        <v>4.4173727277442039</v>
      </c>
      <c r="AJ47" s="14">
        <v>4.5847885037020726</v>
      </c>
      <c r="AK47" s="246">
        <v>0.38650087110613746</v>
      </c>
      <c r="AL47" s="213">
        <f>IF(U47&gt;0,_xll.xlBondZSpread(F47,H47,G47,J47,K47,L47,M47,D47,U47,"annual",5)*100,"-")</f>
        <v>38.877572492523193</v>
      </c>
      <c r="AM47" s="266">
        <f>(-IF($AL$9="",VLOOKUP(VLOOKUP(E47,'DB Basis'!$D$2:$H$65205,4,0),Bonds!$AR$1:$AS$6,2,0),$AL$9)*VLOOKUP(E47,'DB Basis'!$D$2:$E$65205,2,0))+IF(V47="",W47,V47)</f>
        <v>48.753715</v>
      </c>
      <c r="AN47" s="275" t="str">
        <f>IF($AN$9+(($AL$9-$AM$9))*('DB Basis'!F206/10-'DB Basis'!E206),," ")</f>
        <v xml:space="preserve"> </v>
      </c>
      <c r="AO47" s="648">
        <f>IF(U47&gt;0,_xll.xlShmImplSwap2(curveName,curveName,D47,G47,,1,8,2,4),"-")</f>
        <v>3.7043543336209633E-3</v>
      </c>
      <c r="AP47" s="649">
        <f t="shared" si="2"/>
        <v>3.8214195306059051E-3</v>
      </c>
      <c r="AQ47" s="391">
        <f t="shared" si="3"/>
        <v>104.1827391078992</v>
      </c>
      <c r="AR47" s="391">
        <f t="shared" si="4"/>
        <v>86.800664203076465</v>
      </c>
      <c r="AS47" s="393"/>
      <c r="AT47" s="242">
        <f t="shared" si="5"/>
        <v>0.74226810715662261</v>
      </c>
      <c r="AU47" s="714" t="str">
        <f t="shared" si="0"/>
        <v>BTP  15-Sep-22  1.45</v>
      </c>
      <c r="AV47" s="718">
        <f t="shared" si="6"/>
        <v>1.4527898320944831E-5</v>
      </c>
      <c r="AW47" s="702"/>
      <c r="AX47" s="702"/>
      <c r="AY47" s="702"/>
      <c r="AZ47" s="702"/>
      <c r="BA47" s="702"/>
      <c r="BB47" s="704">
        <v>7.5112459659059235E-3</v>
      </c>
      <c r="BC47" s="710" t="b">
        <v>0</v>
      </c>
      <c r="BE47" s="721">
        <f>_xll.xlDateShiftMonth(BE46,1)</f>
        <v>44283</v>
      </c>
      <c r="BF47" s="722">
        <v>2.5070265986416014E-3</v>
      </c>
    </row>
    <row r="48" spans="1:58">
      <c r="A48" s="30"/>
      <c r="B48" s="28"/>
      <c r="C48" s="75"/>
      <c r="D48" s="735">
        <f>MAX(_xll.xlDateSettle("TARGET",$D$4,2),L48)</f>
        <v>43164</v>
      </c>
      <c r="E48" s="725" t="s">
        <v>732</v>
      </c>
      <c r="F48" s="22" t="s">
        <v>1202</v>
      </c>
      <c r="G48" s="688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1278</v>
      </c>
      <c r="O48" s="21" t="s">
        <v>1203</v>
      </c>
      <c r="P48" s="21" t="s">
        <v>1279</v>
      </c>
      <c r="Q48" s="24">
        <v>21378388000</v>
      </c>
      <c r="R48" s="21"/>
      <c r="S48" s="42">
        <f>_xll.RtGet("IDN",$N48,IF(OR($F48="BTP",$F48="CTZ",$F48="GGB"),S$10,S$9))</f>
        <v>121.44</v>
      </c>
      <c r="T48" s="42">
        <f>_xll.RtGet("IDN",$N48,IF(OR($F48="BTP",$F48="CTZ",$F48="GGB"),T$10,T$9))</f>
        <v>121.51</v>
      </c>
      <c r="U48" s="95">
        <f t="shared" si="7"/>
        <v>121.47499999999999</v>
      </c>
      <c r="V48" s="21"/>
      <c r="W48" s="25">
        <f t="shared" si="1"/>
        <v>121.47499999999999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1.88398</v>
      </c>
      <c r="Y48" s="23">
        <v>4.162290264189819</v>
      </c>
      <c r="Z48" s="23">
        <v>-4.1294441788127569</v>
      </c>
      <c r="AA48" s="23">
        <v>0.22813771522804779</v>
      </c>
      <c r="AB48" s="23">
        <v>0.22455129344628158</v>
      </c>
      <c r="AC48" s="23">
        <v>5.0940405188967475</v>
      </c>
      <c r="AD48" s="33">
        <v>7.9541177558055121E-3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2.2355050102430392</v>
      </c>
      <c r="AI48" s="14">
        <v>3.8202623514876621</v>
      </c>
      <c r="AJ48" s="14">
        <v>4.7126366701191946</v>
      </c>
      <c r="AK48" s="246">
        <v>0.47436396368458078</v>
      </c>
      <c r="AL48" s="213">
        <f>IF(U48&gt;0,_xll.xlBondZSpread(F48,H48,G48,J48,K48,L48,M48,D48,U48,"annual",5)*100,"-")</f>
        <v>43.347648115407374</v>
      </c>
      <c r="AM48" s="266">
        <f>(-IF($AL$9="",VLOOKUP(VLOOKUP(E48,'DB Basis'!$D$2:$H$65205,4,0),Bonds!$AR$1:$AS$6,2,0),$AL$9)*VLOOKUP(E48,'DB Basis'!$D$2:$E$65205,2,0))+IF(V48="",W48,V48)</f>
        <v>59.867749999999994</v>
      </c>
      <c r="AN48" s="275" t="str">
        <f>IF($AN$9+(($AL$9-$AM$9))*('DB Basis'!F207/10-'DB Basis'!E207),," ")</f>
        <v xml:space="preserve"> </v>
      </c>
      <c r="AO48" s="648">
        <f>IF(U48&gt;0,_xll.xlShmImplSwap2(curveName,curveName,D48,G48,,1,8,2,4),"-")</f>
        <v>3.9405919970939354E-3</v>
      </c>
      <c r="AP48" s="649">
        <f t="shared" si="2"/>
        <v>4.0135257587115766E-3</v>
      </c>
      <c r="AQ48" s="391">
        <f t="shared" si="3"/>
        <v>33.265004346001056</v>
      </c>
      <c r="AR48" s="391">
        <f t="shared" si="4"/>
        <v>14.918887927355344</v>
      </c>
      <c r="AS48" s="393"/>
      <c r="AT48" s="242">
        <f t="shared" si="5"/>
        <v>0.78451572386026969</v>
      </c>
      <c r="AU48" s="714" t="str">
        <f t="shared" si="0"/>
        <v>BTP  01-Nov-22  5.5</v>
      </c>
      <c r="AV48" s="718">
        <f t="shared" si="6"/>
        <v>-7.3986182948411472E-6</v>
      </c>
      <c r="AW48" s="702"/>
      <c r="AX48" s="702"/>
      <c r="AY48" s="702"/>
      <c r="AZ48" s="702"/>
      <c r="BA48" s="702"/>
      <c r="BB48" s="704">
        <v>7.9615163741003532E-3</v>
      </c>
      <c r="BC48" s="710" t="b">
        <v>0</v>
      </c>
      <c r="BE48" s="721">
        <f>_xll.xlDateShiftMonth(BE47,1)</f>
        <v>44314</v>
      </c>
      <c r="BF48" s="722">
        <v>2.7744469825569168E-3</v>
      </c>
    </row>
    <row r="49" spans="1:58">
      <c r="A49" s="26"/>
      <c r="B49" s="20"/>
      <c r="C49" s="21"/>
      <c r="D49" s="735">
        <f>MAX(_xll.xlDateSettle("TARGET",$D$4,2),L49)</f>
        <v>43164</v>
      </c>
      <c r="E49" s="725" t="s">
        <v>2049</v>
      </c>
      <c r="F49" s="22" t="s">
        <v>1202</v>
      </c>
      <c r="G49" s="688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2050</v>
      </c>
      <c r="O49" s="21" t="s">
        <v>1203</v>
      </c>
      <c r="P49" s="21" t="s">
        <v>2051</v>
      </c>
      <c r="Q49" s="24">
        <v>4000000000</v>
      </c>
      <c r="R49" s="21"/>
      <c r="S49" s="42">
        <f>_xll.RtGet("IDN",$N49,IF(OR($F49="BTP",$F49="CTZ",$F49="GGB"),S$10,S$9))</f>
        <v>100.08</v>
      </c>
      <c r="T49" s="42">
        <f>_xll.RtGet("IDN",$N49,IF(OR($F49="BTP",$F49="CTZ",$F49="GGB"),T$10,T$9))</f>
        <v>100.19</v>
      </c>
      <c r="U49" s="95">
        <f t="shared" si="7"/>
        <v>100.13499999999999</v>
      </c>
      <c r="V49" s="21"/>
      <c r="W49" s="25">
        <f t="shared" si="1"/>
        <v>100.13499999999999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1.0330000000000001E-2</v>
      </c>
      <c r="Y49" s="23">
        <v>4.8842331560772063</v>
      </c>
      <c r="Z49" s="23">
        <v>-4.8394981151547878</v>
      </c>
      <c r="AA49" s="23">
        <v>0.29062076180537233</v>
      </c>
      <c r="AB49" s="23">
        <v>0.28532150887167818</v>
      </c>
      <c r="AC49" s="23">
        <v>4.8465322517259324</v>
      </c>
      <c r="AD49" s="33">
        <v>9.2436251582025362E-3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2.3434951558218287</v>
      </c>
      <c r="AI49" s="14">
        <v>5.0308830531476687</v>
      </c>
      <c r="AJ49" s="14">
        <v>5.0381944354888075</v>
      </c>
      <c r="AK49" s="246">
        <v>0.465145834649484</v>
      </c>
      <c r="AL49" s="213">
        <f>IF(U49&gt;0,_xll.xlBondZSpread(F49,H49,G49,J49,K49,L49,M49,D49,U49,"annual",5)*100,"-")</f>
        <v>47.656696174148252</v>
      </c>
      <c r="AM49" s="266" t="e">
        <f>(-IF($AL$9="",VLOOKUP(VLOOKUP(E49,'DB Basis'!$D$2:$H$65205,4,0),Bonds!$AR$1:$AS$6,2,0),$AL$9)*VLOOKUP(E49,'DB Basis'!$D$2:$E$65205,2,0))+IF(V49="",W49,V49)</f>
        <v>#N/A</v>
      </c>
      <c r="AN49" s="275" t="str">
        <f>IF($AN$9+(($AL$9-$AM$9))*('DB Basis'!F208/10-'DB Basis'!E208),," ")</f>
        <v xml:space="preserve"> </v>
      </c>
      <c r="AO49" s="648">
        <f>IF(U49&gt;0,_xll.xlShmImplSwap2(curveName,curveName,D49,G49,,1,8,2,4),"-")</f>
        <v>4.517993178588791E-3</v>
      </c>
      <c r="AP49" s="649">
        <f t="shared" si="2"/>
        <v>4.7256319796137453E-3</v>
      </c>
      <c r="AQ49" s="391">
        <f t="shared" si="3"/>
        <v>39.222516822909483</v>
      </c>
      <c r="AR49" s="391">
        <f t="shared" si="4"/>
        <v>21.65989755244096</v>
      </c>
      <c r="AS49" s="393"/>
      <c r="AT49" s="242">
        <f t="shared" si="5"/>
        <v>0.91170001560353775</v>
      </c>
      <c r="AU49" s="715" t="str">
        <f t="shared" si="0"/>
        <v>BTP  01-Mar-23  0.95</v>
      </c>
      <c r="AV49" s="718">
        <f t="shared" si="6"/>
        <v>2.2449748122407506E-4</v>
      </c>
      <c r="AW49" s="702"/>
      <c r="AX49" s="702"/>
      <c r="AY49" s="702"/>
      <c r="AZ49" s="702"/>
      <c r="BA49" s="702"/>
      <c r="BB49" s="704">
        <v>9.0191276769784612E-3</v>
      </c>
      <c r="BC49" s="710" t="b">
        <v>0</v>
      </c>
      <c r="BE49" s="721">
        <f>_xll.xlDateShiftMonth(BE48,1)</f>
        <v>44344</v>
      </c>
      <c r="BF49" s="722">
        <v>2.9896160767558353E-3</v>
      </c>
    </row>
    <row r="50" spans="1:58">
      <c r="A50" s="30"/>
      <c r="B50" s="28"/>
      <c r="C50" s="29"/>
      <c r="D50" s="735">
        <f>MAX(_xll.xlDateSettle("TARGET",$D$4,2),L50)</f>
        <v>43164</v>
      </c>
      <c r="E50" s="725" t="s">
        <v>845</v>
      </c>
      <c r="F50" s="22" t="s">
        <v>1202</v>
      </c>
      <c r="G50" s="688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1280</v>
      </c>
      <c r="O50" s="21" t="s">
        <v>1222</v>
      </c>
      <c r="P50" s="21" t="s">
        <v>1281</v>
      </c>
      <c r="Q50" s="24">
        <v>16247343000</v>
      </c>
      <c r="R50" s="21"/>
      <c r="S50" s="42">
        <f>_xll.RtGet("IDN",$N50,IF(OR($F50="BTP",$F50="CTZ",$F50="GGB"),S$10,S$9))</f>
        <v>100.14</v>
      </c>
      <c r="T50" s="42">
        <f>_xll.RtGet("IDN",$N50,IF(OR($F50="BTP",$F50="CTZ",$F50="GGB"),T$10,T$9))</f>
        <v>100.24000000000001</v>
      </c>
      <c r="U50" s="95">
        <f t="shared" si="7"/>
        <v>100.19</v>
      </c>
      <c r="V50" s="21"/>
      <c r="W50" s="25">
        <f t="shared" si="1"/>
        <v>100.19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0.44875999999999999</v>
      </c>
      <c r="Y50" s="23">
        <v>4.899663830970173</v>
      </c>
      <c r="Z50" s="23">
        <v>-4.8553199684897619</v>
      </c>
      <c r="AA50" s="23">
        <v>0.29339377833081948</v>
      </c>
      <c r="AB50" s="23">
        <v>0.28810715456996078</v>
      </c>
      <c r="AC50" s="23">
        <v>4.8863341457462184</v>
      </c>
      <c r="AD50" s="33">
        <v>9.1330463837048462E-3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2.2754153928176879</v>
      </c>
      <c r="AI50" s="14">
        <v>5.0438588132898978</v>
      </c>
      <c r="AJ50" s="14">
        <v>5.0760769658456679</v>
      </c>
      <c r="AK50" s="246">
        <v>0.44826258705843136</v>
      </c>
      <c r="AL50" s="213">
        <f>IF(U50&gt;0,_xll.xlBondZSpread(F50,H50,G50,J50,K50,L50,M50,D50,U50,"annual",5)*100,"-")</f>
        <v>45.916744665171791</v>
      </c>
      <c r="AM50" s="266">
        <f>(-IF($AL$9="",VLOOKUP(VLOOKUP(E50,'DB Basis'!$D$2:$H$65205,4,0),Bonds!$AR$1:$AS$6,2,0),$AL$9)*VLOOKUP(E50,'DB Basis'!$D$2:$E$65205,2,0))+IF(V50="",W50,V50)</f>
        <v>41.594659999999998</v>
      </c>
      <c r="AN50" s="275" t="str">
        <f>IF($AN$9+(($AL$9-$AM$9))*('DB Basis'!F209/10-'DB Basis'!E209),," ")</f>
        <v xml:space="preserve"> </v>
      </c>
      <c r="AO50" s="648">
        <f>IF(U50&gt;0,_xll.xlShmImplSwap2(curveName,curveName,D50,G50,,1,8,2,4),"-")</f>
        <v>4.5800842176378347E-3</v>
      </c>
      <c r="AP50" s="649">
        <f t="shared" si="2"/>
        <v>4.5529621660670115E-3</v>
      </c>
      <c r="AQ50" s="391">
        <f t="shared" si="3"/>
        <v>-28.829466208326327</v>
      </c>
      <c r="AR50" s="391">
        <f t="shared" si="4"/>
        <v>-45.01748710325559</v>
      </c>
      <c r="AS50" s="393"/>
      <c r="AT50" s="242">
        <f t="shared" si="5"/>
        <v>0.90079361592705331</v>
      </c>
      <c r="AU50" s="714" t="str">
        <f t="shared" si="0"/>
        <v>BTP  15-Mar-23  0.95</v>
      </c>
      <c r="AV50" s="718">
        <f t="shared" si="6"/>
        <v>0</v>
      </c>
      <c r="AW50" s="702"/>
      <c r="AX50" s="702"/>
      <c r="AY50" s="702"/>
      <c r="AZ50" s="702"/>
      <c r="BA50" s="702"/>
      <c r="BB50" s="704">
        <v>9.1330463837048462E-3</v>
      </c>
      <c r="BC50" s="710" t="b">
        <v>1</v>
      </c>
      <c r="BE50" s="721">
        <f>_xll.xlDateShiftMonth(BE49,1)</f>
        <v>44375</v>
      </c>
      <c r="BF50" s="722">
        <v>3.1810400603772531E-3</v>
      </c>
    </row>
    <row r="51" spans="1:58">
      <c r="A51" s="26"/>
      <c r="B51" s="20"/>
      <c r="C51" s="21"/>
      <c r="D51" s="735">
        <f>MAX(_xll.xlDateSettle("TARGET",$D$4,2),L51)</f>
        <v>43164</v>
      </c>
      <c r="E51" s="725" t="s">
        <v>733</v>
      </c>
      <c r="F51" s="22" t="s">
        <v>1202</v>
      </c>
      <c r="G51" s="688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1282</v>
      </c>
      <c r="O51" s="21" t="s">
        <v>1203</v>
      </c>
      <c r="P51" s="21" t="s">
        <v>1283</v>
      </c>
      <c r="Q51" s="24">
        <v>20070594000</v>
      </c>
      <c r="R51" s="21"/>
      <c r="S51" s="42">
        <f>_xll.RtGet("IDN",$N51,IF(OR($F51="BTP",$F51="CTZ",$F51="GGB"),S$10,S$9))</f>
        <v>117.8</v>
      </c>
      <c r="T51" s="42">
        <f>_xll.RtGet("IDN",$N51,IF(OR($F51="BTP",$F51="CTZ",$F51="GGB"),T$10,T$9))</f>
        <v>117.88</v>
      </c>
      <c r="U51" s="95">
        <f t="shared" si="7"/>
        <v>117.84</v>
      </c>
      <c r="V51" s="21"/>
      <c r="W51" s="25">
        <f t="shared" si="1"/>
        <v>117.84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1.5414399999999999</v>
      </c>
      <c r="Y51" s="23">
        <v>4.6498594850455239</v>
      </c>
      <c r="Z51" s="23">
        <v>-4.6061460098453395</v>
      </c>
      <c r="AA51" s="23">
        <v>0.27803979340740875</v>
      </c>
      <c r="AB51" s="23">
        <v>0.2728366447177728</v>
      </c>
      <c r="AC51" s="23">
        <v>5.498883814401978</v>
      </c>
      <c r="AD51" s="33">
        <v>9.4902495619979821E-3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2.7914791010998217</v>
      </c>
      <c r="AI51" s="14">
        <v>4.3606437633569328</v>
      </c>
      <c r="AJ51" s="14">
        <v>5.2057993179656989</v>
      </c>
      <c r="AK51" s="246">
        <v>0.53622487741050051</v>
      </c>
      <c r="AL51" s="213">
        <f>IF(U51&gt;0,_xll.xlBondZSpread(F51,H51,G51,J51,K51,L51,M51,D51,U51,"annual",5)*100,"-")</f>
        <v>50.036175485974674</v>
      </c>
      <c r="AM51" s="266">
        <f>(-IF($AL$9="",VLOOKUP(VLOOKUP(E51,'DB Basis'!$D$2:$H$65205,4,0),Bonds!$AR$1:$AS$6,2,0),$AL$9)*VLOOKUP(E51,'DB Basis'!$D$2:$E$65205,2,0))+IF(V51="",W51,V51)</f>
        <v>51.71488500000001</v>
      </c>
      <c r="AN51" s="275" t="str">
        <f>IF($AN$9+(($AL$9-$AM$9))*('DB Basis'!F210/10-'DB Basis'!E210),," ")</f>
        <v xml:space="preserve"> </v>
      </c>
      <c r="AO51" s="648">
        <f>IF(U51&gt;0,_xll.xlShmImplSwap2(curveName,curveName,D51,G51,,1,8,2,4),"-")</f>
        <v>4.7965817745358056E-3</v>
      </c>
      <c r="AP51" s="649">
        <f t="shared" si="2"/>
        <v>4.6936677874621765E-3</v>
      </c>
      <c r="AQ51" s="391">
        <f t="shared" si="3"/>
        <v>27.740246824892466</v>
      </c>
      <c r="AR51" s="391">
        <f t="shared" si="4"/>
        <v>10.927138682816004</v>
      </c>
      <c r="AS51" s="393"/>
      <c r="AT51" s="242">
        <f t="shared" si="5"/>
        <v>0.93602461433404738</v>
      </c>
      <c r="AU51" s="714" t="str">
        <f t="shared" si="0"/>
        <v>BTP  01-May-23  4.5</v>
      </c>
      <c r="AV51" s="718">
        <f t="shared" si="6"/>
        <v>-1.1308332766926665E-6</v>
      </c>
      <c r="AW51" s="702"/>
      <c r="AX51" s="702"/>
      <c r="AY51" s="702"/>
      <c r="AZ51" s="702"/>
      <c r="BA51" s="702"/>
      <c r="BB51" s="704">
        <v>9.4913803952746748E-3</v>
      </c>
      <c r="BC51" s="710" t="b">
        <v>0</v>
      </c>
      <c r="BE51" s="721">
        <f>_xll.xlDateShiftMonth(BE50,1)</f>
        <v>44405</v>
      </c>
      <c r="BF51" s="722">
        <v>3.3515513404957084E-3</v>
      </c>
    </row>
    <row r="52" spans="1:58">
      <c r="A52" s="69"/>
      <c r="B52" s="70"/>
      <c r="C52" s="29"/>
      <c r="D52" s="735">
        <f>MAX(_xll.xlDateSettle("TARGET",$D$4,2),L52)</f>
        <v>43164</v>
      </c>
      <c r="E52" s="725" t="s">
        <v>734</v>
      </c>
      <c r="F52" s="22" t="s">
        <v>1202</v>
      </c>
      <c r="G52" s="688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1284</v>
      </c>
      <c r="O52" s="21" t="s">
        <v>1203</v>
      </c>
      <c r="P52" s="21" t="s">
        <v>1285</v>
      </c>
      <c r="Q52" s="24">
        <v>24799152000</v>
      </c>
      <c r="R52" s="21"/>
      <c r="S52" s="42">
        <f>_xll.RtGet("IDN",$N52,IF(OR($F52="BTP",$F52="CTZ",$F52="GGB"),S$10,S$9))</f>
        <v>119.69</v>
      </c>
      <c r="T52" s="42">
        <f>_xll.RtGet("IDN",$N52,IF(OR($F52="BTP",$F52="CTZ",$F52="GGB"),T$10,T$9))</f>
        <v>119.79</v>
      </c>
      <c r="U52" s="95">
        <f t="shared" si="7"/>
        <v>119.74000000000001</v>
      </c>
      <c r="V52" s="21"/>
      <c r="W52" s="25">
        <f t="shared" si="1"/>
        <v>119.74000000000001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0.41988999999999999</v>
      </c>
      <c r="Y52" s="23">
        <v>4.8784932262353253</v>
      </c>
      <c r="Z52" s="23">
        <v>-4.830359403655212</v>
      </c>
      <c r="AA52" s="23">
        <v>0.30267114411185897</v>
      </c>
      <c r="AB52" s="23">
        <v>0.29672797801848361</v>
      </c>
      <c r="AC52" s="23">
        <v>5.8041549750420529</v>
      </c>
      <c r="AD52" s="33">
        <v>9.9648532237846602E-3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3.0164091424455619</v>
      </c>
      <c r="AI52" s="14">
        <v>4.5365905335564891</v>
      </c>
      <c r="AJ52" s="14">
        <v>5.4511621948718902</v>
      </c>
      <c r="AK52" s="246">
        <v>0.55335156698936883</v>
      </c>
      <c r="AL52" s="213">
        <f>IF(U52&gt;0,_xll.xlBondZSpread(F52,H52,G52,J52,K52,L52,M52,D52,U52,"annual",5)*100,"-")</f>
        <v>51.208323621609821</v>
      </c>
      <c r="AM52" s="266" t="e">
        <f>(-IF($AL$9="",VLOOKUP(VLOOKUP(E52,'DB Basis'!$D$2:$H$65205,4,0),Bonds!$AR$1:$AS$6,2,0),$AL$9)*VLOOKUP(E52,'DB Basis'!$D$2:$E$65205,2,0))+IF(V52="",W52,V52)</f>
        <v>#N/A</v>
      </c>
      <c r="AN52" s="275" t="str">
        <f>IF($AN$9+(($AL$9-$AM$9))*('DB Basis'!F211/10-'DB Basis'!E211),," ")</f>
        <v xml:space="preserve"> </v>
      </c>
      <c r="AO52" s="648">
        <f>IF(U52&gt;0,_xll.xlShmImplSwap2(curveName,curveName,D52,G52,,1,8,2,4),"-")</f>
        <v>5.1956637298569497E-3</v>
      </c>
      <c r="AP52" s="649">
        <f t="shared" si="2"/>
        <v>4.7691894939277104E-3</v>
      </c>
      <c r="AQ52" s="391">
        <f t="shared" si="3"/>
        <v>18.82938440784103</v>
      </c>
      <c r="AR52" s="391">
        <f t="shared" si="4"/>
        <v>2.9962416152086826</v>
      </c>
      <c r="AS52" s="393"/>
      <c r="AT52" s="242">
        <f t="shared" si="5"/>
        <v>0.98283483851026798</v>
      </c>
      <c r="AU52" s="714" t="str">
        <f t="shared" si="0"/>
        <v>BTP  01-Aug-23  4.75</v>
      </c>
      <c r="AV52" s="718">
        <f t="shared" si="6"/>
        <v>-1.6278710714455469E-4</v>
      </c>
      <c r="AW52" s="702"/>
      <c r="AX52" s="702"/>
      <c r="AY52" s="702"/>
      <c r="AZ52" s="702"/>
      <c r="BA52" s="702"/>
      <c r="BB52" s="704">
        <v>1.0127640330929215E-2</v>
      </c>
      <c r="BC52" s="710" t="b">
        <v>0</v>
      </c>
      <c r="BE52" s="721">
        <f>_xll.xlDateShiftMonth(BE51,1)</f>
        <v>44436</v>
      </c>
      <c r="BF52" s="722">
        <v>3.5283349008701486E-3</v>
      </c>
    </row>
    <row r="53" spans="1:58">
      <c r="A53" s="26"/>
      <c r="B53" s="20"/>
      <c r="C53" s="21" t="s">
        <v>86</v>
      </c>
      <c r="D53" s="735">
        <f>MAX(_xll.xlDateSettle("TARGET",$D$4,2),L53)</f>
        <v>43164</v>
      </c>
      <c r="E53" s="725" t="s">
        <v>907</v>
      </c>
      <c r="F53" s="22" t="s">
        <v>1202</v>
      </c>
      <c r="G53" s="688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1286</v>
      </c>
      <c r="O53" s="21" t="s">
        <v>1203</v>
      </c>
      <c r="P53" s="21" t="s">
        <v>1287</v>
      </c>
      <c r="Q53" s="24">
        <v>14381000000</v>
      </c>
      <c r="R53" s="21"/>
      <c r="S53" s="42">
        <f>_xll.RtGet("IDN",$N53,IF(OR($F53="BTP",$F53="CTZ",$F53="GGB"),S$10,S$9))</f>
        <v>97.65</v>
      </c>
      <c r="T53" s="42">
        <f>_xll.RtGet("IDN",$N53,IF(OR($F53="BTP",$F53="CTZ",$F53="GGB"),T$10,T$9))</f>
        <v>97.75</v>
      </c>
      <c r="U53" s="95">
        <f t="shared" si="7"/>
        <v>97.7</v>
      </c>
      <c r="V53" s="21"/>
      <c r="W53" s="25">
        <f t="shared" si="1"/>
        <v>97.7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0.25179000000000001</v>
      </c>
      <c r="Y53" s="23">
        <v>5.5079132698172195</v>
      </c>
      <c r="Z53" s="23">
        <v>-5.44929662687289</v>
      </c>
      <c r="AA53" s="23">
        <v>0.36247719373198978</v>
      </c>
      <c r="AB53" s="23">
        <v>0.3548030942623987</v>
      </c>
      <c r="AC53" s="23">
        <v>5.3376840402108883</v>
      </c>
      <c r="AD53" s="33">
        <v>1.0756732674038798E-2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2.8481567473178382</v>
      </c>
      <c r="AI53" s="14">
        <v>5.7735545327410129</v>
      </c>
      <c r="AJ53" s="14">
        <v>5.6553000114459584</v>
      </c>
      <c r="AK53" s="246">
        <v>0.50362611029536208</v>
      </c>
      <c r="AL53" s="213">
        <f>IF(U53&gt;0,_xll.xlBondZSpread(F53,H53,G53,J53,K53,L53,M53,D53,U53,"annual",5)*100,"-")</f>
        <v>52.423004194844168</v>
      </c>
      <c r="AM53" s="266">
        <f>(-IF($AL$9="",VLOOKUP(VLOOKUP(E53,'DB Basis'!$D$2:$H$65205,4,0),Bonds!$AR$1:$AS$6,2,0),$AL$9)*VLOOKUP(E53,'DB Basis'!$D$2:$E$65205,2,0))+IF(V53="",W53,V53)</f>
        <v>34.039175</v>
      </c>
      <c r="AN53" s="275" t="str">
        <f>IF($AN$9+(($AL$9-$AM$9))*('DB Basis'!F212/10-'DB Basis'!E212),," ")</f>
        <v xml:space="preserve"> </v>
      </c>
      <c r="AO53" s="648">
        <f>IF(U53&gt;0,_xll.xlShmImplSwap2(curveName,curveName,D53,G53,,1,8,2,4),"-")</f>
        <v>5.525186988374238E-3</v>
      </c>
      <c r="AP53" s="649">
        <f t="shared" si="2"/>
        <v>5.2315456856645605E-3</v>
      </c>
      <c r="AQ53" s="391">
        <f t="shared" si="3"/>
        <v>38.538133245701403</v>
      </c>
      <c r="AR53" s="391">
        <f t="shared" si="4"/>
        <v>22.501334664526699</v>
      </c>
      <c r="AS53" s="393"/>
      <c r="AT53" s="242">
        <f t="shared" si="5"/>
        <v>1.0609380171654705</v>
      </c>
      <c r="AU53" s="714" t="str">
        <f t="shared" si="0"/>
        <v>BTP  15-Oct-23  0.65</v>
      </c>
      <c r="AV53" s="718">
        <f t="shared" si="6"/>
        <v>9.2967615153087546E-5</v>
      </c>
      <c r="AW53" s="702"/>
      <c r="AX53" s="702"/>
      <c r="AY53" s="702"/>
      <c r="AZ53" s="702"/>
      <c r="BA53" s="702"/>
      <c r="BB53" s="704">
        <v>1.0663765058885711E-2</v>
      </c>
      <c r="BC53" s="710" t="b">
        <v>0</v>
      </c>
      <c r="BE53" s="721">
        <f>_xll.xlDateShiftMonth(BE52,1)</f>
        <v>44467</v>
      </c>
      <c r="BF53" s="722">
        <v>3.721793550296905E-3</v>
      </c>
    </row>
    <row r="54" spans="1:58">
      <c r="A54" s="30"/>
      <c r="B54" s="28"/>
      <c r="C54" s="29"/>
      <c r="D54" s="735">
        <f>MAX(_xll.xlDateSettle("TARGET",$D$4,2),L54)</f>
        <v>43164</v>
      </c>
      <c r="E54" s="725" t="s">
        <v>735</v>
      </c>
      <c r="F54" s="22" t="s">
        <v>1202</v>
      </c>
      <c r="G54" s="688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1288</v>
      </c>
      <c r="O54" s="21" t="s">
        <v>1203</v>
      </c>
      <c r="P54" s="21" t="s">
        <v>1289</v>
      </c>
      <c r="Q54" s="24">
        <v>12226155009</v>
      </c>
      <c r="R54" s="21"/>
      <c r="S54" s="42">
        <f>_xll.RtGet("IDN",$N54,IF(OR($F54="BTP",$F54="CTZ",$F54="GGB"),S$10,S$9))</f>
        <v>143.24</v>
      </c>
      <c r="T54" s="42">
        <f>_xll.RtGet("IDN",$N54,IF(OR($F54="BTP",$F54="CTZ",$F54="GGB"),T$10,T$9))</f>
        <v>143.33000000000001</v>
      </c>
      <c r="U54" s="95">
        <f t="shared" si="7"/>
        <v>143.28500000000003</v>
      </c>
      <c r="V54" s="21"/>
      <c r="W54" s="25">
        <f t="shared" si="1"/>
        <v>143.28500000000003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3.0828700000000002</v>
      </c>
      <c r="Y54" s="23">
        <v>4.6633089488726256</v>
      </c>
      <c r="Z54" s="23">
        <v>-4.6135007272504858</v>
      </c>
      <c r="AA54" s="23">
        <v>0.2924967681323607</v>
      </c>
      <c r="AB54" s="23">
        <v>0.28628189344093441</v>
      </c>
      <c r="AC54" s="23">
        <v>6.752683265193582</v>
      </c>
      <c r="AD54" s="33">
        <v>1.0796187597753942E-2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4.0155845181077385</v>
      </c>
      <c r="AI54" s="14">
        <v>3.8930025773454782</v>
      </c>
      <c r="AJ54" s="14">
        <v>5.6981049515056803</v>
      </c>
      <c r="AK54" s="246">
        <v>0.70472280736890547</v>
      </c>
      <c r="AL54" s="213">
        <f>IF(U54&gt;0,_xll.xlBondZSpread(F54,H54,G54,J54,K54,L54,M54,D54,U54,"annual",5)*100,"-")</f>
        <v>58.436310264156411</v>
      </c>
      <c r="AM54" s="266">
        <f>(-IF($AL$9="",VLOOKUP(VLOOKUP(E54,'DB Basis'!$D$2:$H$65205,4,0),Bonds!$AR$1:$AS$6,2,0),$AL$9)*VLOOKUP(E54,'DB Basis'!$D$2:$E$65205,2,0))+IF(V54="",W54,V54)</f>
        <v>61.963430000000031</v>
      </c>
      <c r="AN54" s="275" t="str">
        <f>IF($AN$9+(($AL$9-$AM$9))*('DB Basis'!F213/10-'DB Basis'!E213),," ")</f>
        <v xml:space="preserve"> </v>
      </c>
      <c r="AO54" s="648">
        <f>IF(U54&gt;0,_xll.xlShmImplSwap2(curveName,curveName,D54,G54,,1,8,2,4),"-")</f>
        <v>5.6121118200492129E-3</v>
      </c>
      <c r="AP54" s="649">
        <f t="shared" si="2"/>
        <v>5.1840757777047294E-3</v>
      </c>
      <c r="AQ54" s="391">
        <f t="shared" si="3"/>
        <v>8.4712042094279418</v>
      </c>
      <c r="AR54" s="391">
        <f t="shared" si="4"/>
        <v>-10.192068473728439</v>
      </c>
      <c r="AS54" s="393"/>
      <c r="AT54" s="242">
        <f t="shared" si="5"/>
        <v>1.0648294616962792</v>
      </c>
      <c r="AU54" s="715" t="str">
        <f t="shared" si="0"/>
        <v>BTP  01-Nov-23  9</v>
      </c>
      <c r="AV54" s="718">
        <f t="shared" si="6"/>
        <v>0</v>
      </c>
      <c r="AW54" s="702"/>
      <c r="AX54" s="702"/>
      <c r="AY54" s="702"/>
      <c r="AZ54" s="702"/>
      <c r="BA54" s="702"/>
      <c r="BB54" s="704">
        <v>1.0796187597753942E-2</v>
      </c>
      <c r="BC54" s="710" t="b">
        <v>1</v>
      </c>
      <c r="BE54" s="721">
        <f>_xll.xlDateShiftMonth(BE53,1)</f>
        <v>44497</v>
      </c>
      <c r="BF54" s="722">
        <v>3.9401958249880914E-3</v>
      </c>
    </row>
    <row r="55" spans="1:58">
      <c r="A55" s="26"/>
      <c r="B55" s="20"/>
      <c r="C55" s="21"/>
      <c r="D55" s="735">
        <f>MAX(_xll.xlDateSettle("TARGET",$D$4,2),L55)</f>
        <v>43164</v>
      </c>
      <c r="E55" s="725" t="s">
        <v>736</v>
      </c>
      <c r="F55" s="22" t="s">
        <v>1202</v>
      </c>
      <c r="G55" s="688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1290</v>
      </c>
      <c r="O55" s="21" t="s">
        <v>1203</v>
      </c>
      <c r="P55" s="21" t="s">
        <v>1291</v>
      </c>
      <c r="Q55" s="24">
        <v>23264571000</v>
      </c>
      <c r="R55" s="21"/>
      <c r="S55" s="42">
        <f>_xll.RtGet("IDN",$N55,IF(OR($F55="BTP",$F55="CTZ",$F55="GGB"),S$10,S$9))</f>
        <v>118.85000000000001</v>
      </c>
      <c r="T55" s="42">
        <f>_xll.RtGet("IDN",$N55,IF(OR($F55="BTP",$F55="CTZ",$F55="GGB"),T$10,T$9))</f>
        <v>118.93</v>
      </c>
      <c r="U55" s="95">
        <f t="shared" si="7"/>
        <v>118.89000000000001</v>
      </c>
      <c r="V55" s="21"/>
      <c r="W55" s="25">
        <f t="shared" si="1"/>
        <v>118.89000000000001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4.8910000000000002E-2</v>
      </c>
      <c r="Y55" s="23">
        <v>5.381148613349148</v>
      </c>
      <c r="Z55" s="23">
        <v>-5.3161117346170901</v>
      </c>
      <c r="AA55" s="23">
        <v>0.3631092421397753</v>
      </c>
      <c r="AB55" s="23">
        <v>0.35438516320317631</v>
      </c>
      <c r="AC55" s="23">
        <v>6.3229258962664403</v>
      </c>
      <c r="AD55" s="33">
        <v>1.2233918678819643E-2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4.1849708744287986</v>
      </c>
      <c r="AI55" s="14">
        <v>5.0628880205359375</v>
      </c>
      <c r="AJ55" s="14">
        <v>6.0217438261460217</v>
      </c>
      <c r="AK55" s="246">
        <v>0.69497657078302255</v>
      </c>
      <c r="AL55" s="213">
        <f>IF(U55&gt;0,_xll.xlBondZSpread(F55,H55,G55,J55,K55,L55,M55,D55,U55,"annual",5)*100,"-")</f>
        <v>64.77853631731027</v>
      </c>
      <c r="AM55" s="266">
        <f>(-IF($AL$9="",VLOOKUP(VLOOKUP(E55,'DB Basis'!$D$2:$H$65205,4,0),Bonds!$AR$1:$AS$6,2,0),$AL$9)*VLOOKUP(E55,'DB Basis'!$D$2:$E$65205,2,0))+IF(V55="",W55,V55)</f>
        <v>43.181535000000011</v>
      </c>
      <c r="AN55" s="275" t="str">
        <f>IF($AN$9+(($AL$9-$AM$9))*('DB Basis'!F214/10-'DB Basis'!E214),," ")</f>
        <v xml:space="preserve"> </v>
      </c>
      <c r="AO55" s="648">
        <f>IF(U55&gt;0,_xll.xlShmImplSwap2(curveName,curveName,D55,G55,,1,8,2,4),"-")</f>
        <v>6.1245673777827418E-3</v>
      </c>
      <c r="AP55" s="649">
        <f t="shared" si="2"/>
        <v>6.109351301036901E-3</v>
      </c>
      <c r="AQ55" s="391">
        <f t="shared" si="3"/>
        <v>43.369573932973609</v>
      </c>
      <c r="AR55" s="391">
        <f t="shared" si="4"/>
        <v>27.91120380299526</v>
      </c>
      <c r="AS55" s="393"/>
      <c r="AT55" s="242">
        <f t="shared" si="5"/>
        <v>1.2066330751712524</v>
      </c>
      <c r="AU55" s="714" t="str">
        <f t="shared" si="0"/>
        <v>BTP  01-Mar-24  4.5</v>
      </c>
      <c r="AV55" s="718">
        <f t="shared" si="6"/>
        <v>3.8129077978446904E-4</v>
      </c>
      <c r="AW55" s="702"/>
      <c r="AX55" s="702"/>
      <c r="AY55" s="702"/>
      <c r="AZ55" s="702"/>
      <c r="BA55" s="702"/>
      <c r="BB55" s="704">
        <v>1.1852627899035174E-2</v>
      </c>
      <c r="BC55" s="710" t="b">
        <v>0</v>
      </c>
      <c r="BE55" s="721">
        <f>_xll.xlDateShiftMonth(BE54,1)</f>
        <v>44528</v>
      </c>
      <c r="BF55" s="722">
        <v>4.2117878425222662E-3</v>
      </c>
    </row>
    <row r="56" spans="1:58">
      <c r="A56" s="30"/>
      <c r="B56" s="28"/>
      <c r="C56" s="29"/>
      <c r="D56" s="735">
        <f>MAX(_xll.xlDateSettle("TARGET",$D$4,2),L56)</f>
        <v>43164</v>
      </c>
      <c r="E56" s="725" t="s">
        <v>957</v>
      </c>
      <c r="F56" s="22" t="s">
        <v>1202</v>
      </c>
      <c r="G56" s="688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1292</v>
      </c>
      <c r="O56" s="21" t="s">
        <v>1203</v>
      </c>
      <c r="P56" s="21" t="s">
        <v>1293</v>
      </c>
      <c r="Q56" s="24">
        <v>15107458000</v>
      </c>
      <c r="R56" s="21"/>
      <c r="S56" s="42">
        <f>_xll.RtGet("IDN",$N56,IF(OR($F56="BTP",$F56="CTZ",$F56="GGB"),S$10,S$9))</f>
        <v>103.38</v>
      </c>
      <c r="T56" s="42">
        <f>_xll.RtGet("IDN",$N56,IF(OR($F56="BTP",$F56="CTZ",$F56="GGB"),T$10,T$9))</f>
        <v>103.44</v>
      </c>
      <c r="U56" s="95">
        <f t="shared" si="7"/>
        <v>103.41</v>
      </c>
      <c r="V56" s="21"/>
      <c r="W56" s="25">
        <f>IF(V56="",U56,V56)</f>
        <v>103.41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0.56215000000000004</v>
      </c>
      <c r="Y56" s="23">
        <v>5.8580429679536232</v>
      </c>
      <c r="Z56" s="23">
        <v>-5.7840192044190699</v>
      </c>
      <c r="AA56" s="23">
        <v>0.41478117936930431</v>
      </c>
      <c r="AB56" s="23">
        <v>0.40436484260223998</v>
      </c>
      <c r="AC56" s="23">
        <v>6.0137697402772972</v>
      </c>
      <c r="AD56" s="33">
        <v>1.2797972732069514E-2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4.0153905182485357</v>
      </c>
      <c r="AI56" s="14">
        <v>5.9838339163480692</v>
      </c>
      <c r="AJ56" s="14">
        <v>6.2215207752562884</v>
      </c>
      <c r="AK56" s="246">
        <v>0.64540337697146533</v>
      </c>
      <c r="AL56" s="213">
        <f>IF(U56&gt;0,_xll.xlBondZSpread(F56,H56,G56,J56,K56,L56,M56,D56,U56,"annual",5)*100,"-")</f>
        <v>65.251105173622577</v>
      </c>
      <c r="AM56" s="266">
        <f>(-IF($AL$9="",VLOOKUP(VLOOKUP(E56,'DB Basis'!$D$2:$H$65205,4,0),Bonds!$AR$1:$AS$6,2,0),$AL$9)*VLOOKUP(E56,'DB Basis'!$D$2:$E$65205,2,0))+IF(V56="",W56,V56)</f>
        <v>33.588449999999995</v>
      </c>
      <c r="AN56" s="275" t="str">
        <f>IF($AN$9+(($AL$9-$AM$9))*('DB Basis'!F215/10-'DB Basis'!E215),," ")</f>
        <v xml:space="preserve"> </v>
      </c>
      <c r="AO56" s="648">
        <f>IF(U56&gt;0,_xll.xlShmImplSwap2(curveName,curveName,D56,G56,,1,8,2,4),"-")</f>
        <v>6.4063719676251832E-3</v>
      </c>
      <c r="AP56" s="649">
        <f t="shared" si="2"/>
        <v>6.3916007644443306E-3</v>
      </c>
      <c r="AQ56" s="391">
        <f t="shared" si="3"/>
        <v>27.450630591493727</v>
      </c>
      <c r="AR56" s="391">
        <f t="shared" si="4"/>
        <v>13.736140552494909</v>
      </c>
      <c r="AS56" s="393"/>
      <c r="AT56" s="242">
        <f t="shared" si="5"/>
        <v>1.2622658037109658</v>
      </c>
      <c r="AU56" s="714" t="str">
        <f t="shared" si="0"/>
        <v>BTP  15-May-24  1.85</v>
      </c>
      <c r="AV56" s="718">
        <f t="shared" si="6"/>
        <v>2.487718710831744E-4</v>
      </c>
      <c r="AW56" s="702"/>
      <c r="AX56" s="702"/>
      <c r="AY56" s="702"/>
      <c r="AZ56" s="702"/>
      <c r="BA56" s="702"/>
      <c r="BB56" s="704">
        <v>1.2549200860986339E-2</v>
      </c>
      <c r="BC56" s="710" t="b">
        <v>0</v>
      </c>
      <c r="BE56" s="721">
        <f>_xll.xlDateShiftMonth(BE55,1)</f>
        <v>44558</v>
      </c>
      <c r="BF56" s="722">
        <v>4.5163897895985966E-3</v>
      </c>
    </row>
    <row r="57" spans="1:58">
      <c r="A57" s="26"/>
      <c r="B57" s="20"/>
      <c r="C57" s="21"/>
      <c r="D57" s="735">
        <f>MAX(_xll.xlDateSettle("TARGET",$D$4,2),L57)</f>
        <v>43164</v>
      </c>
      <c r="E57" s="725" t="s">
        <v>429</v>
      </c>
      <c r="F57" s="22" t="s">
        <v>1202</v>
      </c>
      <c r="G57" s="688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1294</v>
      </c>
      <c r="O57" s="21" t="s">
        <v>1203</v>
      </c>
      <c r="P57" s="21" t="s">
        <v>1295</v>
      </c>
      <c r="Q57" s="24">
        <v>19826000000</v>
      </c>
      <c r="R57" s="21"/>
      <c r="S57" s="42">
        <f>_xll.RtGet("IDN",$N57,IF(OR($F57="BTP",$F57="CTZ",$F57="GGB"),S$10,S$9))</f>
        <v>114.85000000000001</v>
      </c>
      <c r="T57" s="42">
        <f>_xll.RtGet("IDN",$N57,IF(OR($F57="BTP",$F57="CTZ",$F57="GGB"),T$10,T$9))</f>
        <v>114.92</v>
      </c>
      <c r="U57" s="95">
        <f t="shared" si="7"/>
        <v>114.88500000000001</v>
      </c>
      <c r="V57" s="21"/>
      <c r="W57" s="25">
        <f t="shared" si="1"/>
        <v>114.88500000000001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4.0759999999999998E-2</v>
      </c>
      <c r="Y57" s="23">
        <v>5.8746864150700198</v>
      </c>
      <c r="Z57" s="23">
        <v>-5.7963936066868005</v>
      </c>
      <c r="AA57" s="23">
        <v>0.42595047758764659</v>
      </c>
      <c r="AB57" s="23">
        <v>0.41467272275579481</v>
      </c>
      <c r="AC57" s="23">
        <v>6.6615500596135746</v>
      </c>
      <c r="AD57" s="33">
        <v>1.3507158705107797E-2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4.7771842639053652</v>
      </c>
      <c r="AI57" s="14">
        <v>5.6672541588404899</v>
      </c>
      <c r="AJ57" s="14">
        <v>6.5131349131790408</v>
      </c>
      <c r="AK57" s="246">
        <v>0.73346926289503811</v>
      </c>
      <c r="AL57" s="213">
        <f>IF(U57&gt;0,_xll.xlBondZSpread(F57,H57,G57,J57,K57,L57,M57,D57,U57,"annual",5)*100,"-")</f>
        <v>69.913770862807681</v>
      </c>
      <c r="AM57" s="266">
        <f>(-IF($AL$9="",VLOOKUP(VLOOKUP(E57,'DB Basis'!$D$2:$H$65205,4,0),Bonds!$AR$1:$AS$6,2,0),$AL$9)*VLOOKUP(E57,'DB Basis'!$D$2:$E$65205,2,0))+IF(V57="",W57,V57)</f>
        <v>35.480100000000007</v>
      </c>
      <c r="AN57" s="275" t="str">
        <f>IF($AN$9+(($AL$9-$AM$9))*('DB Basis'!F216/10-'DB Basis'!E216),," ")</f>
        <v xml:space="preserve"> </v>
      </c>
      <c r="AO57" s="648">
        <f>IF(U57&gt;0,_xll.xlShmImplSwap2(curveName,curveName,D57,G57,,1,8,2,4),"-")</f>
        <v>6.8466866414526265E-3</v>
      </c>
      <c r="AP57" s="649">
        <f t="shared" si="2"/>
        <v>6.6604720636551703E-3</v>
      </c>
      <c r="AQ57" s="391">
        <f t="shared" si="3"/>
        <v>23.747970656786539</v>
      </c>
      <c r="AR57" s="391">
        <f t="shared" si="4"/>
        <v>9.0034884598125213</v>
      </c>
      <c r="AS57" s="393"/>
      <c r="AT57" s="242">
        <f t="shared" si="5"/>
        <v>1.332212913380495</v>
      </c>
      <c r="AU57" s="714" t="str">
        <f t="shared" si="0"/>
        <v>BTP  01-Sep-24  3.75</v>
      </c>
      <c r="AV57" s="718">
        <f t="shared" si="6"/>
        <v>0</v>
      </c>
      <c r="AW57" s="702"/>
      <c r="AX57" s="702"/>
      <c r="AY57" s="702"/>
      <c r="AZ57" s="702"/>
      <c r="BA57" s="702"/>
      <c r="BB57" s="704">
        <v>1.3507158705107797E-2</v>
      </c>
      <c r="BC57" s="710" t="b">
        <v>1</v>
      </c>
      <c r="BE57" s="721">
        <f>_xll.xlDateShiftMonth(BE56,1)</f>
        <v>44589</v>
      </c>
      <c r="BF57" s="722">
        <v>4.8641728720483363E-3</v>
      </c>
    </row>
    <row r="58" spans="1:58">
      <c r="A58" s="30"/>
      <c r="B58" s="28"/>
      <c r="C58" s="29"/>
      <c r="D58" s="735">
        <f>MAX(_xll.xlDateSettle("TARGET",$D$4,2),L58)</f>
        <v>43164</v>
      </c>
      <c r="E58" s="725" t="s">
        <v>1019</v>
      </c>
      <c r="F58" s="22" t="s">
        <v>1202</v>
      </c>
      <c r="G58" s="688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1296</v>
      </c>
      <c r="O58" s="21" t="s">
        <v>1222</v>
      </c>
      <c r="P58" s="21" t="s">
        <v>1297</v>
      </c>
      <c r="Q58" s="24">
        <v>15388171000</v>
      </c>
      <c r="R58" s="21"/>
      <c r="S58" s="42">
        <f>_xll.RtGet("IDN",$N58,IF(OR($F58="BTP",$F58="CTZ",$F58="GGB"),S$10,S$9))</f>
        <v>100.16</v>
      </c>
      <c r="T58" s="42">
        <f>_xll.RtGet("IDN",$N58,IF(OR($F58="BTP",$F58="CTZ",$F58="GGB"),T$10,T$9))</f>
        <v>100.25</v>
      </c>
      <c r="U58" s="95">
        <f t="shared" si="7"/>
        <v>100.205</v>
      </c>
      <c r="V58" s="21"/>
      <c r="W58" s="25">
        <f t="shared" si="1"/>
        <v>100.205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0.44061</v>
      </c>
      <c r="Y58" s="23">
        <v>6.3783855446438285</v>
      </c>
      <c r="Z58" s="23">
        <v>-6.2889114822723045</v>
      </c>
      <c r="AA58" s="23">
        <v>0.48402073332017637</v>
      </c>
      <c r="AB58" s="23">
        <v>0.47053658435419193</v>
      </c>
      <c r="AC58" s="23">
        <v>6.3295151165100094</v>
      </c>
      <c r="AD58" s="33">
        <v>1.4227124872416791E-2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4.6761635158589536</v>
      </c>
      <c r="AI58" s="14">
        <v>6.6655281777830035</v>
      </c>
      <c r="AJ58" s="14">
        <v>6.7085614942515885</v>
      </c>
      <c r="AK58" s="246">
        <v>0.69704414573315854</v>
      </c>
      <c r="AL58" s="213">
        <f>IF(U58&gt;0,_xll.xlBondZSpread(F58,H58,G58,J58,K58,L58,M58,D58,U58,"annual",5)*100,"-")</f>
        <v>71.86000600969497</v>
      </c>
      <c r="AM58" s="266">
        <f>(-IF($AL$9="",VLOOKUP(VLOOKUP(E58,'DB Basis'!$D$2:$H$65205,4,0),Bonds!$AR$1:$AS$6,2,0),$AL$9)*VLOOKUP(E58,'DB Basis'!$D$2:$E$65205,2,0))+IF(V58="",W58,V58)</f>
        <v>25.044154999999989</v>
      </c>
      <c r="AN58" s="275" t="str">
        <f>IF($AN$9+(($AL$9-$AM$9))*('DB Basis'!F217/10-'DB Basis'!E217),," ")</f>
        <v xml:space="preserve"> </v>
      </c>
      <c r="AO58" s="648">
        <f>IF(U58&gt;0,_xll.xlShmImplSwap2(curveName,curveName,D58,G58,,1,8,2,4),"-")</f>
        <v>7.1318892831377986E-3</v>
      </c>
      <c r="AP58" s="649">
        <f t="shared" si="2"/>
        <v>7.095235589278992E-3</v>
      </c>
      <c r="AQ58" s="391">
        <f t="shared" si="3"/>
        <v>35.038353475704369</v>
      </c>
      <c r="AR58" s="391">
        <f t="shared" si="4"/>
        <v>21.158491580359325</v>
      </c>
      <c r="AS58" s="393"/>
      <c r="AT58" s="242">
        <f t="shared" si="5"/>
        <v>1.4032232750876834</v>
      </c>
      <c r="AU58" s="714" t="str">
        <f t="shared" si="0"/>
        <v>BTP  15-Nov-24  1.45</v>
      </c>
      <c r="AV58" s="718">
        <f t="shared" si="6"/>
        <v>1.1124698596320579E-4</v>
      </c>
      <c r="AW58" s="702"/>
      <c r="AX58" s="702"/>
      <c r="AY58" s="702"/>
      <c r="AZ58" s="702"/>
      <c r="BA58" s="702"/>
      <c r="BB58" s="704">
        <v>1.4115877886453585E-2</v>
      </c>
      <c r="BC58" s="710" t="b">
        <v>0</v>
      </c>
      <c r="BE58" s="721">
        <f>_xll.xlDateShiftMonth(BE57,1)</f>
        <v>44620</v>
      </c>
      <c r="BF58" s="722">
        <v>5.2351956477131477E-3</v>
      </c>
    </row>
    <row r="59" spans="1:58">
      <c r="A59" s="26"/>
      <c r="B59" s="20"/>
      <c r="C59" s="21"/>
      <c r="D59" s="735">
        <f>MAX(_xll.xlDateSettle("TARGET",$D$4,2),L59)</f>
        <v>43164</v>
      </c>
      <c r="E59" s="725" t="s">
        <v>430</v>
      </c>
      <c r="F59" s="22" t="s">
        <v>1202</v>
      </c>
      <c r="G59" s="688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1298</v>
      </c>
      <c r="O59" s="21" t="s">
        <v>1203</v>
      </c>
      <c r="P59" s="21" t="s">
        <v>1299</v>
      </c>
      <c r="Q59" s="24">
        <v>20383767000</v>
      </c>
      <c r="R59" s="21"/>
      <c r="S59" s="42">
        <f>_xll.RtGet("IDN",$N59,IF(OR($F59="BTP",$F59="CTZ",$F59="GGB"),S$10,S$9))</f>
        <v>106.83</v>
      </c>
      <c r="T59" s="42">
        <f>_xll.RtGet("IDN",$N59,IF(OR($F59="BTP",$F59="CTZ",$F59="GGB"),T$10,T$9))</f>
        <v>106.92</v>
      </c>
      <c r="U59" s="95">
        <f t="shared" si="7"/>
        <v>106.875</v>
      </c>
      <c r="V59" s="21"/>
      <c r="W59" s="25">
        <f t="shared" si="1"/>
        <v>106.875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0.64559999999999995</v>
      </c>
      <c r="Y59" s="23">
        <v>6.2318235648055618</v>
      </c>
      <c r="Z59" s="23">
        <v>-6.1438975396657494</v>
      </c>
      <c r="AA59" s="23">
        <v>0.47129936659296567</v>
      </c>
      <c r="AB59" s="23">
        <v>0.45809387685519981</v>
      </c>
      <c r="AC59" s="23">
        <v>6.6059569549146602</v>
      </c>
      <c r="AD59" s="33">
        <v>1.4311027749646543E-2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4.9788147854497344</v>
      </c>
      <c r="AI59" s="14">
        <v>6.2810034531028283</v>
      </c>
      <c r="AJ59" s="14">
        <v>6.7533725987968793</v>
      </c>
      <c r="AK59" s="246">
        <v>0.73723383577809842</v>
      </c>
      <c r="AL59" s="213">
        <f>IF(U59&gt;0,_xll.xlBondZSpread(F59,H59,G59,J59,K59,L59,M59,D59,U59,"annual",5)*100,"-")</f>
        <v>73.32643306356907</v>
      </c>
      <c r="AM59" s="266">
        <f>(-IF($AL$9="",VLOOKUP(VLOOKUP(E59,'DB Basis'!$D$2:$H$65205,4,0),Bonds!$AR$1:$AS$6,2,0),$AL$9)*VLOOKUP(E59,'DB Basis'!$D$2:$E$65205,2,0))+IF(V59="",W59,V59)</f>
        <v>28.291530000000009</v>
      </c>
      <c r="AN59" s="275" t="str">
        <f>IF($AN$9+(($AL$9-$AM$9))*('DB Basis'!F218/10-'DB Basis'!E218),," ")</f>
        <v xml:space="preserve"> </v>
      </c>
      <c r="AO59" s="648">
        <f>IF(U59&gt;0,_xll.xlShmImplSwap2(curveName,curveName,D59,G59,,1,8,2,4),"-")</f>
        <v>7.1976670251615747E-3</v>
      </c>
      <c r="AP59" s="649">
        <f t="shared" si="2"/>
        <v>7.1133607244849685E-3</v>
      </c>
      <c r="AQ59" s="391">
        <f t="shared" si="3"/>
        <v>19.140343868037323</v>
      </c>
      <c r="AR59" s="391">
        <f t="shared" si="4"/>
        <v>4.1347964688633967</v>
      </c>
      <c r="AS59" s="393"/>
      <c r="AT59" s="242">
        <f t="shared" si="5"/>
        <v>1.4114986273623988</v>
      </c>
      <c r="AU59" s="715" t="str">
        <f t="shared" si="0"/>
        <v>BTP  01-Dec-24  2.5</v>
      </c>
      <c r="AV59" s="718">
        <f t="shared" si="6"/>
        <v>6.6981864648108999E-5</v>
      </c>
      <c r="AW59" s="702"/>
      <c r="AX59" s="702"/>
      <c r="AY59" s="702"/>
      <c r="AZ59" s="702"/>
      <c r="BA59" s="702"/>
      <c r="BB59" s="704">
        <v>1.4244045884998434E-2</v>
      </c>
      <c r="BC59" s="710" t="b">
        <v>0</v>
      </c>
      <c r="BE59" s="721">
        <f>_xll.xlDateShiftMonth(BE58,1)</f>
        <v>44648</v>
      </c>
      <c r="BF59" s="722">
        <v>5.5816026041314E-3</v>
      </c>
    </row>
    <row r="60" spans="1:58">
      <c r="A60" s="30"/>
      <c r="B60" s="28"/>
      <c r="C60" s="29"/>
      <c r="D60" s="735">
        <f>MAX(_xll.xlDateSettle("TARGET",$D$4,2),L60)</f>
        <v>43164</v>
      </c>
      <c r="E60" s="725" t="s">
        <v>737</v>
      </c>
      <c r="F60" s="22" t="s">
        <v>1202</v>
      </c>
      <c r="G60" s="688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1300</v>
      </c>
      <c r="O60" s="21" t="s">
        <v>1203</v>
      </c>
      <c r="P60" s="21" t="s">
        <v>1301</v>
      </c>
      <c r="Q60" s="24">
        <v>24718669000</v>
      </c>
      <c r="R60" s="21"/>
      <c r="S60" s="42">
        <f>_xll.RtGet("IDN",$N60,IF(OR($F60="BTP",$F60="CTZ",$F60="GGB"),S$10,S$9))</f>
        <v>123.37</v>
      </c>
      <c r="T60" s="42">
        <f>_xll.RtGet("IDN",$N60,IF(OR($F60="BTP",$F60="CTZ",$F60="GGB"),T$10,T$9))</f>
        <v>123.44</v>
      </c>
      <c r="U60" s="95">
        <f t="shared" si="7"/>
        <v>123.405</v>
      </c>
      <c r="V60" s="21"/>
      <c r="W60" s="25">
        <f t="shared" si="1"/>
        <v>123.405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5.4350000000000002E-2</v>
      </c>
      <c r="Y60" s="23">
        <v>6.1047467410639085</v>
      </c>
      <c r="Z60" s="23">
        <v>-6.0163693609416731</v>
      </c>
      <c r="AA60" s="23">
        <v>0.46619377136444728</v>
      </c>
      <c r="AB60" s="23">
        <v>0.45279345975188134</v>
      </c>
      <c r="AC60" s="23">
        <v>7.4277713137455237</v>
      </c>
      <c r="AD60" s="33">
        <v>1.468948706173219E-2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5.8376357397308043</v>
      </c>
      <c r="AI60" s="14">
        <v>5.6638028786337591</v>
      </c>
      <c r="AJ60" s="14">
        <v>6.9924942192425288</v>
      </c>
      <c r="AK60" s="246">
        <v>0.83484312702988117</v>
      </c>
      <c r="AL60" s="213">
        <f>IF(U60&gt;0,_xll.xlBondZSpread(F60,H60,G60,J60,K60,L60,M60,D60,U60,"annual",5)*100,"-")</f>
        <v>76.426685561065582</v>
      </c>
      <c r="AM60" s="266">
        <f>(-IF($AL$9="",VLOOKUP(VLOOKUP(E60,'DB Basis'!$D$2:$H$65205,4,0),Bonds!$AR$1:$AS$6,2,0),$AL$9)*VLOOKUP(E60,'DB Basis'!$D$2:$E$65205,2,0))+IF(V60="",W60,V60)</f>
        <v>34.964370000000002</v>
      </c>
      <c r="AN60" s="275" t="str">
        <f>IF($AN$9+(($AL$9-$AM$9))*('DB Basis'!F219/10-'DB Basis'!E219),," ")</f>
        <v xml:space="preserve"> </v>
      </c>
      <c r="AO60" s="648">
        <f>IF(U60&gt;0,_xll.xlShmImplSwap2(curveName,curveName,D60,G60,,1,8,2,4),"-")</f>
        <v>7.54403961343639E-3</v>
      </c>
      <c r="AP60" s="649">
        <f t="shared" si="2"/>
        <v>7.1454474482957999E-3</v>
      </c>
      <c r="AQ60" s="391">
        <f t="shared" si="3"/>
        <v>15.348627656806778</v>
      </c>
      <c r="AR60" s="391">
        <f t="shared" si="4"/>
        <v>1.3012949101059375</v>
      </c>
      <c r="AS60" s="393"/>
      <c r="AT60" s="242">
        <f t="shared" si="5"/>
        <v>1.4488261211571474</v>
      </c>
      <c r="AU60" s="714" t="str">
        <f t="shared" si="0"/>
        <v>BTP  01-Mar-25  5</v>
      </c>
      <c r="AV60" s="718">
        <f t="shared" si="6"/>
        <v>-2.4529963871936823E-4</v>
      </c>
      <c r="AW60" s="702"/>
      <c r="AX60" s="702"/>
      <c r="AY60" s="702"/>
      <c r="AZ60" s="702"/>
      <c r="BA60" s="702"/>
      <c r="BB60" s="704">
        <v>1.4934786700451558E-2</v>
      </c>
      <c r="BC60" s="710" t="b">
        <v>0</v>
      </c>
      <c r="BE60" s="721">
        <f>_xll.xlDateShiftMonth(BE59,1)</f>
        <v>44679</v>
      </c>
      <c r="BF60" s="722">
        <v>5.9680078232605023E-3</v>
      </c>
    </row>
    <row r="61" spans="1:58">
      <c r="A61" s="26"/>
      <c r="B61" s="20"/>
      <c r="C61" s="21"/>
      <c r="D61" s="735">
        <f>MAX(_xll.xlDateSettle("TARGET",$D$4,2),L61)</f>
        <v>43164</v>
      </c>
      <c r="E61" s="725" t="s">
        <v>612</v>
      </c>
      <c r="F61" s="22" t="s">
        <v>1202</v>
      </c>
      <c r="G61" s="688">
        <v>45809</v>
      </c>
      <c r="H61" s="36">
        <v>1.5</v>
      </c>
      <c r="I61" s="20">
        <v>45809</v>
      </c>
      <c r="J61" s="20">
        <v>42065</v>
      </c>
      <c r="K61" s="20">
        <v>42156</v>
      </c>
      <c r="L61" s="20">
        <v>42065</v>
      </c>
      <c r="M61" s="21">
        <v>101.4</v>
      </c>
      <c r="N61" s="21" t="s">
        <v>1302</v>
      </c>
      <c r="O61" s="21" t="s">
        <v>1222</v>
      </c>
      <c r="P61" s="21" t="s">
        <v>1303</v>
      </c>
      <c r="Q61" s="24">
        <v>19786723000</v>
      </c>
      <c r="R61" s="21"/>
      <c r="S61" s="42">
        <f>_xll.RtGet("IDN",$N61,IF(OR($F61="BTP",$F61="CTZ",$F61="GGB"),S$10,S$9))</f>
        <v>99.62</v>
      </c>
      <c r="T61" s="42">
        <f>_xll.RtGet("IDN",$N61,IF(OR($F61="BTP",$F61="CTZ",$F61="GGB"),T$10,T$9))</f>
        <v>99.7</v>
      </c>
      <c r="U61" s="95">
        <f t="shared" si="7"/>
        <v>99.66</v>
      </c>
      <c r="V61" s="21"/>
      <c r="W61" s="25">
        <f t="shared" si="1"/>
        <v>99.66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0.38735999999999998</v>
      </c>
      <c r="Y61" s="23">
        <v>6.865050588020102</v>
      </c>
      <c r="Z61" s="23">
        <v>-6.7599258982758981</v>
      </c>
      <c r="AA61" s="23">
        <v>0.55700921636374634</v>
      </c>
      <c r="AB61" s="23">
        <v>0.54008083688476505</v>
      </c>
      <c r="AC61" s="23">
        <v>6.7631282124366976</v>
      </c>
      <c r="AD61" s="33">
        <v>1.5551160074466264E-2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5.4424261123728801</v>
      </c>
      <c r="AI61" s="14">
        <v>7.2272949022135666</v>
      </c>
      <c r="AJ61" s="14">
        <v>7.2307177490792549</v>
      </c>
      <c r="AK61" s="246">
        <v>0.75268131065770238</v>
      </c>
      <c r="AL61" s="213">
        <f>IF(U61&gt;0,_xll.xlBondZSpread(F61,H61,G61,J61,K61,L61,M61,D61,U61,"annual",5)*100,"-")</f>
        <v>77.988503557280026</v>
      </c>
      <c r="AM61" s="266">
        <f>(-IF($AL$9="",VLOOKUP(VLOOKUP(E61,'DB Basis'!$D$2:$H$65205,4,0),Bonds!$AR$1:$AS$6,2,0),$AL$9)*VLOOKUP(E61,'DB Basis'!$D$2:$E$65205,2,0))+IF(V61="",W61,V61)</f>
        <v>19.570575000000005</v>
      </c>
      <c r="AN61" s="275" t="str">
        <f>IF($AN$9+(($AL$9-$AM$9))*('DB Basis'!F220/10-'DB Basis'!E220),," ")</f>
        <v xml:space="preserve"> </v>
      </c>
      <c r="AO61" s="648">
        <f>IF(U61&gt;0,_xll.xlShmImplSwap2(curveName,curveName,D61,G61,,1,8,2,4),"-")</f>
        <v>7.8574487873154467E-3</v>
      </c>
      <c r="AP61" s="649">
        <f t="shared" si="2"/>
        <v>7.6937112871508177E-3</v>
      </c>
      <c r="AQ61" s="391">
        <f t="shared" si="3"/>
        <v>34.185940179123612</v>
      </c>
      <c r="AR61" s="391">
        <f t="shared" si="4"/>
        <v>21.751771867617553</v>
      </c>
      <c r="AS61" s="393"/>
      <c r="AT61" s="242">
        <f t="shared" si="5"/>
        <v>1.5338130484405081</v>
      </c>
      <c r="AU61" s="714" t="str">
        <f t="shared" si="0"/>
        <v>BTP  01-Jun-25  1.5</v>
      </c>
      <c r="AV61" s="718">
        <f t="shared" si="6"/>
        <v>0</v>
      </c>
      <c r="AW61" s="702"/>
      <c r="AX61" s="702"/>
      <c r="AY61" s="702"/>
      <c r="AZ61" s="702"/>
      <c r="BA61" s="702"/>
      <c r="BB61" s="704">
        <v>1.5551160074466264E-2</v>
      </c>
      <c r="BC61" s="710" t="b">
        <v>1</v>
      </c>
      <c r="BE61" s="721">
        <f>_xll.xlDateShiftMonth(BE60,1)</f>
        <v>44709</v>
      </c>
      <c r="BF61" s="722">
        <v>6.3353188309667671E-3</v>
      </c>
    </row>
    <row r="62" spans="1:58">
      <c r="A62" s="30"/>
      <c r="B62" s="28"/>
      <c r="C62" s="71"/>
      <c r="D62" s="735">
        <f>MAX(_xll.xlDateSettle("TARGET",$D$4,2),L62)</f>
        <v>43164</v>
      </c>
      <c r="E62" s="725" t="s">
        <v>773</v>
      </c>
      <c r="F62" s="22" t="s">
        <v>1202</v>
      </c>
      <c r="G62" s="688">
        <v>45992</v>
      </c>
      <c r="H62" s="36">
        <v>2</v>
      </c>
      <c r="I62" s="20">
        <v>45992</v>
      </c>
      <c r="J62" s="20">
        <v>42248</v>
      </c>
      <c r="K62" s="20">
        <v>42339</v>
      </c>
      <c r="L62" s="20">
        <v>42248</v>
      </c>
      <c r="M62" s="21">
        <v>100.51</v>
      </c>
      <c r="N62" s="21" t="s">
        <v>1304</v>
      </c>
      <c r="O62" s="21" t="s">
        <v>1203</v>
      </c>
      <c r="P62" s="21" t="s">
        <v>1305</v>
      </c>
      <c r="Q62" s="24">
        <v>17829296000</v>
      </c>
      <c r="R62" s="21"/>
      <c r="S62" s="42">
        <f>_xll.RtGet("IDN",$N62,IF(OR($F62="BTP",$F62="CTZ",$F62="GGB"),S$10,S$9))</f>
        <v>102.28</v>
      </c>
      <c r="T62" s="42">
        <f>_xll.RtGet("IDN",$N62,IF(OR($F62="BTP",$F62="CTZ",$F62="GGB"),T$10,T$9))</f>
        <v>102.39</v>
      </c>
      <c r="U62" s="95">
        <f t="shared" si="7"/>
        <v>102.33500000000001</v>
      </c>
      <c r="V62" s="21"/>
      <c r="W62" s="25">
        <f t="shared" si="1"/>
        <v>102.33500000000001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0.51648000000000005</v>
      </c>
      <c r="Y62" s="23">
        <v>7.1829331214845773</v>
      </c>
      <c r="Z62" s="23">
        <v>-7.0639785918137434</v>
      </c>
      <c r="AA62" s="23">
        <v>0.61382245191745699</v>
      </c>
      <c r="AB62" s="23">
        <v>0.59366011622683079</v>
      </c>
      <c r="AC62" s="23">
        <v>7.2654075039636723</v>
      </c>
      <c r="AD62" s="33">
        <v>1.6839592558581886E-2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6.4399585133082198</v>
      </c>
      <c r="AI62" s="14">
        <v>7.4904313172486283</v>
      </c>
      <c r="AJ62" s="14">
        <v>7.7040194681737102</v>
      </c>
      <c r="AK62" s="246">
        <v>0.83592188985405858</v>
      </c>
      <c r="AL62" s="213">
        <f>IF(U62&gt;0,_xll.xlBondZSpread(F62,H62,G62,J62,K62,L62,M62,D62,U62,"annual",5)*100,"-")</f>
        <v>85.511397232313485</v>
      </c>
      <c r="AM62" s="266">
        <f>(-IF($AL$9="",VLOOKUP(VLOOKUP(E62,'DB Basis'!$D$2:$H$65205,4,0),Bonds!$AR$1:$AS$6,2,0),$AL$9)*VLOOKUP(E62,'DB Basis'!$D$2:$E$65205,2,0))+IF(V62="",W62,V62)</f>
        <v>16.35866</v>
      </c>
      <c r="AN62" s="275" t="str">
        <f>IF($AN$9+(($AL$9-$AM$9))*('DB Basis'!F221/10-'DB Basis'!E221),," ")</f>
        <v xml:space="preserve"> </v>
      </c>
      <c r="AO62" s="648">
        <f>IF(U62&gt;0,_xll.xlShmImplSwap2(curveName,curveName,D62,G62,,1,8,2,4),"-")</f>
        <v>8.4675748703601748E-3</v>
      </c>
      <c r="AP62" s="649">
        <f t="shared" si="2"/>
        <v>8.3720176882217112E-3</v>
      </c>
      <c r="AQ62" s="391">
        <f t="shared" si="3"/>
        <v>25.698243535639445</v>
      </c>
      <c r="AR62" s="391">
        <f t="shared" si="4"/>
        <v>13.529062097862084</v>
      </c>
      <c r="AS62" s="393"/>
      <c r="AT62" s="242">
        <f t="shared" si="5"/>
        <v>1.6608913208464324</v>
      </c>
      <c r="AU62" s="715" t="str">
        <f t="shared" si="0"/>
        <v>BTP  01-Dec-25  2</v>
      </c>
      <c r="AV62" s="718">
        <f t="shared" si="6"/>
        <v>2.5491748938545958E-4</v>
      </c>
      <c r="AW62" s="702"/>
      <c r="AX62" s="702"/>
      <c r="AY62" s="702"/>
      <c r="AZ62" s="702"/>
      <c r="BA62" s="702"/>
      <c r="BB62" s="704">
        <v>1.6584675069196426E-2</v>
      </c>
      <c r="BC62" s="710" t="b">
        <v>0</v>
      </c>
      <c r="BE62" s="721">
        <f>_xll.xlDateShiftMonth(BE61,1)</f>
        <v>44740</v>
      </c>
      <c r="BF62" s="722">
        <v>6.697860150079951E-3</v>
      </c>
    </row>
    <row r="63" spans="1:58">
      <c r="A63" s="26"/>
      <c r="B63" s="20"/>
      <c r="C63" s="21"/>
      <c r="D63" s="735">
        <f>MAX(_xll.xlDateSettle("TARGET",$D$4,2),L63)</f>
        <v>43164</v>
      </c>
      <c r="E63" s="733" t="s">
        <v>738</v>
      </c>
      <c r="F63" s="13" t="s">
        <v>1202</v>
      </c>
      <c r="G63" s="696">
        <v>46082</v>
      </c>
      <c r="H63" s="37">
        <v>4.5</v>
      </c>
      <c r="I63" s="11">
        <v>46082</v>
      </c>
      <c r="J63" s="11">
        <v>40422</v>
      </c>
      <c r="K63" s="11">
        <v>40603</v>
      </c>
      <c r="L63" s="11">
        <v>40450</v>
      </c>
      <c r="M63" s="12">
        <v>100.07</v>
      </c>
      <c r="N63" s="12" t="s">
        <v>1306</v>
      </c>
      <c r="O63" s="12" t="s">
        <v>1203</v>
      </c>
      <c r="P63" s="12" t="s">
        <v>1307</v>
      </c>
      <c r="Q63" s="15">
        <v>20733398000</v>
      </c>
      <c r="R63" s="12"/>
      <c r="S63" s="43">
        <f>_xll.RtGet("IDN",$N63,IF(OR($F63="BTP",$F63="CTZ",$F63="GGB"),S$10,S$9))</f>
        <v>120.96000000000001</v>
      </c>
      <c r="T63" s="43">
        <f>_xll.RtGet("IDN",$N63,IF(OR($F63="BTP",$F63="CTZ",$F63="GGB"),T$10,T$9))</f>
        <v>121.08</v>
      </c>
      <c r="U63" s="25">
        <f t="shared" si="7"/>
        <v>121.02000000000001</v>
      </c>
      <c r="V63" s="12"/>
      <c r="W63" s="25">
        <f t="shared" si="1"/>
        <v>121.02000000000001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4.8910000000000002E-2</v>
      </c>
      <c r="Y63" s="14">
        <v>6.9272874232894779</v>
      </c>
      <c r="Z63" s="14">
        <v>-6.8125571812629699</v>
      </c>
      <c r="AA63" s="14">
        <v>0.59340526087793899</v>
      </c>
      <c r="AB63" s="14">
        <v>0.57391199044279706</v>
      </c>
      <c r="AC63" s="14">
        <v>8.2478898326776573</v>
      </c>
      <c r="AD63" s="34">
        <v>1.684099507160873E-2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7.324153800000345</v>
      </c>
      <c r="AI63" s="14">
        <v>6.5571668355471227</v>
      </c>
      <c r="AJ63" s="14">
        <v>7.9386904146783941</v>
      </c>
      <c r="AK63" s="246">
        <v>0.92258967379030132</v>
      </c>
      <c r="AL63" s="213">
        <f>IF(U63&gt;0,_xll.xlBondZSpread(F63,H63,G63,J63,K63,L63,M63,D63,U63,"annual",5)*100,"-")</f>
        <v>85.763909216430832</v>
      </c>
      <c r="AM63" s="266">
        <f>(-IF($AL$9="",VLOOKUP(VLOOKUP(E63,'DB Basis'!$D$2:$H$65205,4,0),Bonds!$AR$1:$AS$6,2,0),$AL$9)*VLOOKUP(E63,'DB Basis'!$D$2:$E$65205,2,0))+IF(V63="",W63,V63)</f>
        <v>23.269830000000013</v>
      </c>
      <c r="AN63" s="275" t="str">
        <f>IF($AN$9+(($AL$9-$AM$9))*('DB Basis'!F222/10-'DB Basis'!E222),," ")</f>
        <v xml:space="preserve"> </v>
      </c>
      <c r="AO63" s="648">
        <f>IF(U63&gt;0,_xll.xlShmImplSwap2(curveName,curveName,D63,G63,,1,8,2,4),"-")</f>
        <v>8.7818702046287816E-3</v>
      </c>
      <c r="AP63" s="649">
        <f t="shared" si="2"/>
        <v>8.0591248669799487E-3</v>
      </c>
      <c r="AQ63" s="391">
        <f t="shared" si="3"/>
        <v>5.6879694977573204E-2</v>
      </c>
      <c r="AR63" s="391">
        <f t="shared" si="4"/>
        <v>-12.689542194804812</v>
      </c>
      <c r="AS63" s="393"/>
      <c r="AT63" s="242">
        <f t="shared" si="5"/>
        <v>1.6610296508983953</v>
      </c>
      <c r="AU63" s="714" t="str">
        <f t="shared" si="0"/>
        <v>BTP  01-Mar-26  4.5</v>
      </c>
      <c r="AV63" s="718">
        <f t="shared" si="6"/>
        <v>-2.0625789418203186E-4</v>
      </c>
      <c r="AW63" s="702"/>
      <c r="AX63" s="702"/>
      <c r="AY63" s="702"/>
      <c r="AZ63" s="702"/>
      <c r="BA63" s="702"/>
      <c r="BB63" s="704">
        <v>1.7047252965790762E-2</v>
      </c>
      <c r="BC63" s="710" t="b">
        <v>0</v>
      </c>
      <c r="BE63" s="721">
        <f>_xll.xlDateShiftMonth(BE62,1)</f>
        <v>44770</v>
      </c>
      <c r="BF63" s="722">
        <v>7.0225138777970653E-3</v>
      </c>
    </row>
    <row r="64" spans="1:58">
      <c r="A64" s="54"/>
      <c r="B64" s="55"/>
      <c r="C64" s="56"/>
      <c r="D64" s="735">
        <f>MAX(_xll.xlDateSettle("TARGET",$D$4,2),L64)</f>
        <v>43164</v>
      </c>
      <c r="E64" s="733" t="s">
        <v>824</v>
      </c>
      <c r="F64" s="13" t="s">
        <v>1202</v>
      </c>
      <c r="G64" s="696">
        <v>46174</v>
      </c>
      <c r="H64" s="37">
        <v>1.6</v>
      </c>
      <c r="I64" s="11">
        <v>46174</v>
      </c>
      <c r="J64" s="11">
        <v>42430</v>
      </c>
      <c r="K64" s="11">
        <v>42522</v>
      </c>
      <c r="L64" s="11">
        <v>42430</v>
      </c>
      <c r="M64" s="12">
        <v>100.97</v>
      </c>
      <c r="N64" s="12" t="s">
        <v>1308</v>
      </c>
      <c r="O64" s="12" t="s">
        <v>1222</v>
      </c>
      <c r="P64" s="12" t="s">
        <v>1309</v>
      </c>
      <c r="Q64" s="15">
        <v>17774500000</v>
      </c>
      <c r="R64" s="12"/>
      <c r="S64" s="43">
        <f>_xll.RtGet("IDN",$N64,IF(OR($F64="BTP",$F64="CTZ",$F64="GGB"),S$10,S$9))</f>
        <v>98.62</v>
      </c>
      <c r="T64" s="43">
        <f>_xll.RtGet("IDN",$N64,IF(OR($F64="BTP",$F64="CTZ",$F64="GGB"),T$10,T$9))</f>
        <v>98.73</v>
      </c>
      <c r="U64" s="25">
        <f t="shared" si="7"/>
        <v>98.675000000000011</v>
      </c>
      <c r="V64" s="12"/>
      <c r="W64" s="25">
        <f t="shared" si="1"/>
        <v>98.675000000000011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0.41319</v>
      </c>
      <c r="Y64" s="14">
        <v>7.7185939644564794</v>
      </c>
      <c r="Z64" s="14">
        <v>-7.5835152615554042</v>
      </c>
      <c r="AA64" s="14">
        <v>0.6993252042637863</v>
      </c>
      <c r="AB64" s="14">
        <v>0.67506240142808782</v>
      </c>
      <c r="AC64" s="14">
        <v>7.5143691237030907</v>
      </c>
      <c r="AD64" s="34">
        <v>1.7812148690188365E-2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6.9377794564686521</v>
      </c>
      <c r="AI64" s="14">
        <v>8.247843126973784</v>
      </c>
      <c r="AJ64" s="14">
        <v>8.1726384685577251</v>
      </c>
      <c r="AK64" s="246">
        <v>0.84890326216681389</v>
      </c>
      <c r="AL64" s="213">
        <f>IF(U64&gt;0,_xll.xlBondZSpread(F64,H64,G64,J64,K64,L64,M64,D64,U64,"annual",5)*100,"-")</f>
        <v>88.760577577002536</v>
      </c>
      <c r="AM64" s="266">
        <f>(-IF($AL$9="",VLOOKUP(VLOOKUP(E64,'DB Basis'!$D$2:$H$65205,4,0),Bonds!$AR$1:$AS$6,2,0),$AL$9)*VLOOKUP(E64,'DB Basis'!$D$2:$E$65205,2,0))+IF(V64="",W64,V64)</f>
        <v>9.8236550000000022</v>
      </c>
      <c r="AN64" s="275" t="str">
        <f>IF($AN$9+(($AL$9-$AM$9))*('DB Basis'!F223/10-'DB Basis'!E223),," ")</f>
        <v xml:space="preserve"> </v>
      </c>
      <c r="AO64" s="648">
        <f>IF(U64&gt;0,_xll.xlShmImplSwap2(curveName,curveName,D64,G64,,1,8,2,4),"-")</f>
        <v>9.0602246612494011E-3</v>
      </c>
      <c r="AP64" s="649">
        <f t="shared" si="2"/>
        <v>8.7519240289389635E-3</v>
      </c>
      <c r="AQ64" s="391">
        <f t="shared" si="3"/>
        <v>38.529464215387669</v>
      </c>
      <c r="AR64" s="391">
        <f t="shared" si="4"/>
        <v>27.486053708156568</v>
      </c>
      <c r="AS64" s="393"/>
      <c r="AT64" s="242">
        <f t="shared" si="5"/>
        <v>1.7568146653336467</v>
      </c>
      <c r="AU64" s="714" t="str">
        <f t="shared" si="0"/>
        <v>BTP  01-Jun-26  1.6</v>
      </c>
      <c r="AV64" s="718">
        <f t="shared" si="6"/>
        <v>3.1911165610376546E-4</v>
      </c>
      <c r="AW64" s="702"/>
      <c r="AX64" s="702"/>
      <c r="AY64" s="702"/>
      <c r="AZ64" s="702"/>
      <c r="BA64" s="702"/>
      <c r="BB64" s="704">
        <v>1.7493037034084599E-2</v>
      </c>
      <c r="BC64" s="710" t="b">
        <v>0</v>
      </c>
      <c r="BE64" s="721">
        <f>_xll.xlDateShiftMonth(BE63,1)</f>
        <v>44801</v>
      </c>
      <c r="BF64" s="722">
        <v>7.3339751525490831E-3</v>
      </c>
    </row>
    <row r="65" spans="1:58">
      <c r="A65" s="10"/>
      <c r="B65" s="11"/>
      <c r="C65" s="12"/>
      <c r="D65" s="735">
        <f>MAX(_xll.xlDateSettle("TARGET",$D$4,2),L65)</f>
        <v>43164</v>
      </c>
      <c r="E65" s="733" t="s">
        <v>739</v>
      </c>
      <c r="F65" s="13" t="s">
        <v>1202</v>
      </c>
      <c r="G65" s="696">
        <v>46327</v>
      </c>
      <c r="H65" s="37">
        <v>7.25</v>
      </c>
      <c r="I65" s="11">
        <v>46327</v>
      </c>
      <c r="J65" s="11">
        <v>35370</v>
      </c>
      <c r="K65" s="11">
        <v>35551</v>
      </c>
      <c r="L65" s="11">
        <v>35464</v>
      </c>
      <c r="M65" s="12">
        <v>99.45</v>
      </c>
      <c r="N65" s="12" t="s">
        <v>1310</v>
      </c>
      <c r="O65" s="12" t="s">
        <v>1203</v>
      </c>
      <c r="P65" s="12" t="s">
        <v>1311</v>
      </c>
      <c r="Q65" s="15">
        <v>12423130223</v>
      </c>
      <c r="R65" s="12"/>
      <c r="S65" s="43">
        <f>_xll.RtGet("IDN",$N65,IF(OR($F65="BTP",$F65="CTZ",$F65="GGB"),S$10,S$9))</f>
        <v>143.55000000000001</v>
      </c>
      <c r="T65" s="43">
        <f>_xll.RtGet("IDN",$N65,IF(OR($F65="BTP",$F65="CTZ",$F65="GGB"),T$10,T$9))</f>
        <v>143.66</v>
      </c>
      <c r="U65" s="25">
        <f t="shared" si="7"/>
        <v>143.60500000000002</v>
      </c>
      <c r="V65" s="12"/>
      <c r="W65" s="25">
        <f t="shared" si="1"/>
        <v>143.60500000000002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2.4834299999999998</v>
      </c>
      <c r="Y65" s="14">
        <v>6.8539538701706784</v>
      </c>
      <c r="Z65" s="14">
        <v>-6.7329459807069219</v>
      </c>
      <c r="AA65" s="14">
        <v>0.61240118444572178</v>
      </c>
      <c r="AB65" s="14">
        <v>0.59096794931784402</v>
      </c>
      <c r="AC65" s="14">
        <v>9.8360565278454715</v>
      </c>
      <c r="AD65" s="34">
        <v>1.7972502381842607E-2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9.5590545976145709</v>
      </c>
      <c r="AI65" s="14">
        <v>5.863590247225706</v>
      </c>
      <c r="AJ65" s="14">
        <v>8.5660269338051531</v>
      </c>
      <c r="AK65" s="246">
        <v>1.1159262831512358</v>
      </c>
      <c r="AL65" s="213">
        <f>IF(U65&gt;0,_xll.xlBondZSpread(F65,H65,G65,J65,K65,L65,M65,D65,U65,"annual",5)*100,"-")</f>
        <v>93.528706688525759</v>
      </c>
      <c r="AM65" s="266">
        <f>(-IF($AL$9="",VLOOKUP(VLOOKUP(E65,'DB Basis'!$D$2:$H$65205,4,0),Bonds!$AR$1:$AS$6,2,0),$AL$9)*VLOOKUP(E65,'DB Basis'!$D$2:$E$65205,2,0))+IF(V65="",W65,V65)</f>
        <v>26.551225000000017</v>
      </c>
      <c r="AN65" s="275" t="str">
        <f>IF($AN$9+(($AL$9-$AM$9))*('DB Basis'!F224/10-'DB Basis'!E224),," ")</f>
        <v xml:space="preserve"> </v>
      </c>
      <c r="AO65" s="648">
        <f>IF(U65&gt;0,_xll.xlShmImplSwap2(curveName,curveName,D65,G65,,1,8,2,4),"-")</f>
        <v>9.5204815804676643E-3</v>
      </c>
      <c r="AP65" s="649">
        <f t="shared" si="2"/>
        <v>8.4520208013749432E-3</v>
      </c>
      <c r="AQ65" s="391">
        <f t="shared" si="3"/>
        <v>3.825431206130629</v>
      </c>
      <c r="AR65" s="391">
        <f t="shared" si="4"/>
        <v>-7.1545541216253232</v>
      </c>
      <c r="AS65" s="393"/>
      <c r="AT65" s="242">
        <f t="shared" si="5"/>
        <v>1.7726303719077641</v>
      </c>
      <c r="AU65" s="714" t="str">
        <f t="shared" si="0"/>
        <v>BTP  01-Nov-26  7.25</v>
      </c>
      <c r="AV65" s="718">
        <f t="shared" si="6"/>
        <v>-2.0965837717360283E-4</v>
      </c>
      <c r="AW65" s="702"/>
      <c r="AX65" s="702"/>
      <c r="AY65" s="702"/>
      <c r="AZ65" s="702"/>
      <c r="BA65" s="702"/>
      <c r="BB65" s="704">
        <v>1.818216075901621E-2</v>
      </c>
      <c r="BC65" s="710" t="b">
        <v>0</v>
      </c>
      <c r="BE65" s="721">
        <f>_xll.xlDateShiftMonth(BE64,1)</f>
        <v>44832</v>
      </c>
      <c r="BF65" s="722">
        <v>7.6376468335097487E-3</v>
      </c>
    </row>
    <row r="66" spans="1:58">
      <c r="A66" s="17"/>
      <c r="B66" s="16"/>
      <c r="C66" s="18"/>
      <c r="D66" s="735">
        <f>MAX(_xll.xlDateSettle("TARGET",$D$4,2),L66)</f>
        <v>43164</v>
      </c>
      <c r="E66" s="733" t="s">
        <v>897</v>
      </c>
      <c r="F66" s="13" t="s">
        <v>1202</v>
      </c>
      <c r="G66" s="696">
        <v>46357</v>
      </c>
      <c r="H66" s="37">
        <v>1.25</v>
      </c>
      <c r="I66" s="11">
        <v>46357</v>
      </c>
      <c r="J66" s="11">
        <v>42583</v>
      </c>
      <c r="K66" s="11">
        <v>42705</v>
      </c>
      <c r="L66" s="11">
        <v>42583</v>
      </c>
      <c r="M66" s="12">
        <v>100.18</v>
      </c>
      <c r="N66" s="12" t="s">
        <v>1312</v>
      </c>
      <c r="O66" s="12" t="s">
        <v>1203</v>
      </c>
      <c r="P66" s="12" t="s">
        <v>1313</v>
      </c>
      <c r="Q66" s="15">
        <v>18039664000</v>
      </c>
      <c r="R66" s="12"/>
      <c r="S66" s="43">
        <f>_xll.RtGet("IDN",$N66,IF(OR($F66="BTP",$F66="CTZ",$F66="GGB"),S$10,S$9))</f>
        <v>95.350000000000009</v>
      </c>
      <c r="T66" s="43">
        <f>_xll.RtGet("IDN",$N66,IF(OR($F66="BTP",$F66="CTZ",$F66="GGB"),T$10,T$9))</f>
        <v>95.43</v>
      </c>
      <c r="U66" s="25">
        <f t="shared" si="7"/>
        <v>95.390000000000015</v>
      </c>
      <c r="V66" s="12"/>
      <c r="W66" s="25">
        <f t="shared" si="1"/>
        <v>95.390000000000015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0.32279999999999998</v>
      </c>
      <c r="Y66" s="14">
        <v>8.2677341341665489</v>
      </c>
      <c r="Z66" s="14">
        <v>-8.1190685592255392</v>
      </c>
      <c r="AA66" s="14">
        <v>0.79198810084434235</v>
      </c>
      <c r="AB66" s="14">
        <v>0.76376203886342708</v>
      </c>
      <c r="AC66" s="14">
        <v>7.770989416732732</v>
      </c>
      <c r="AD66" s="34">
        <v>1.8310639742982856E-2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7.1024269318530129</v>
      </c>
      <c r="AI66" s="14">
        <v>9.0267567338145511</v>
      </c>
      <c r="AJ66" s="14">
        <v>8.6397616191224547</v>
      </c>
      <c r="AK66" s="246">
        <v>0.82206283517512313</v>
      </c>
      <c r="AL66" s="213">
        <f>IF(U66&gt;0,_xll.xlBondZSpread(F66,H66,G66,J66,K66,L66,M66,D66,U66,"annual",5)*100,"-")</f>
        <v>87.69276698892476</v>
      </c>
      <c r="AM66" s="266">
        <f>(-IF($AL$9="",VLOOKUP(VLOOKUP(E66,'DB Basis'!$D$2:$H$65205,4,0),Bonds!$AR$1:$AS$6,2,0),$AL$9)*VLOOKUP(E66,'DB Basis'!$D$2:$E$65205,2,0))+IF(V66="",W66,V66)</f>
        <v>1.5068486300000217</v>
      </c>
      <c r="AN66" s="275" t="str">
        <f>IF($AN$9+(($AL$9-$AM$9))*('DB Basis'!F225/10-'DB Basis'!E225),," ")</f>
        <v xml:space="preserve"> </v>
      </c>
      <c r="AO66" s="648">
        <f>IF(U66&gt;0,_xll.xlShmImplSwap2(curveName,curveName,D66,G66,,1,8,2,4),"-")</f>
        <v>9.6033036500726473E-3</v>
      </c>
      <c r="AP66" s="649">
        <f t="shared" si="2"/>
        <v>8.7073360929102086E-3</v>
      </c>
      <c r="AQ66" s="391">
        <f t="shared" si="3"/>
        <v>41.140045605396885</v>
      </c>
      <c r="AR66" s="391">
        <f t="shared" si="4"/>
        <v>31.063360470123964</v>
      </c>
      <c r="AS66" s="393"/>
      <c r="AT66" s="242">
        <f t="shared" si="5"/>
        <v>1.8059809061572132</v>
      </c>
      <c r="AU66" s="714" t="str">
        <f t="shared" si="0"/>
        <v>BTP  01-Dec-26  1.25</v>
      </c>
      <c r="AV66" s="718">
        <f t="shared" si="6"/>
        <v>0</v>
      </c>
      <c r="AW66" s="702"/>
      <c r="AX66" s="702"/>
      <c r="AY66" s="702"/>
      <c r="AZ66" s="702"/>
      <c r="BA66" s="702"/>
      <c r="BB66" s="704">
        <v>1.8310639742982856E-2</v>
      </c>
      <c r="BC66" s="710" t="b">
        <v>1</v>
      </c>
      <c r="BE66" s="721">
        <f>_xll.xlDateShiftMonth(BE65,1)</f>
        <v>44862</v>
      </c>
      <c r="BF66" s="722">
        <v>7.9239315065890385E-3</v>
      </c>
    </row>
    <row r="67" spans="1:58">
      <c r="A67" s="10"/>
      <c r="B67" s="11"/>
      <c r="C67" s="12"/>
      <c r="D67" s="735">
        <f>MAX(_xll.xlDateSettle("TARGET",$D$4,2),L67)</f>
        <v>43164</v>
      </c>
      <c r="E67" s="733" t="s">
        <v>925</v>
      </c>
      <c r="F67" s="13" t="s">
        <v>1202</v>
      </c>
      <c r="G67" s="696">
        <v>46539</v>
      </c>
      <c r="H67" s="37">
        <v>2.2000000000000002</v>
      </c>
      <c r="I67" s="11">
        <v>46539</v>
      </c>
      <c r="J67" s="11">
        <v>42767</v>
      </c>
      <c r="K67" s="11">
        <v>42887</v>
      </c>
      <c r="L67" s="11">
        <v>42767</v>
      </c>
      <c r="M67" s="12">
        <v>98.58</v>
      </c>
      <c r="N67" s="12" t="s">
        <v>1314</v>
      </c>
      <c r="O67" s="12" t="s">
        <v>1203</v>
      </c>
      <c r="P67" s="12" t="s">
        <v>1315</v>
      </c>
      <c r="Q67" s="15">
        <v>17325000000</v>
      </c>
      <c r="R67" s="12"/>
      <c r="S67" s="43">
        <f>_xll.RtGet("IDN",$N67,IF(OR($F67="BTP",$F67="CTZ",$F67="GGB"),S$10,S$9))</f>
        <v>102.23</v>
      </c>
      <c r="T67" s="43">
        <f>_xll.RtGet("IDN",$N67,IF(OR($F67="BTP",$F67="CTZ",$F67="GGB"),T$10,T$9))</f>
        <v>102.33</v>
      </c>
      <c r="U67" s="25">
        <f t="shared" si="7"/>
        <v>102.28</v>
      </c>
      <c r="V67" s="12"/>
      <c r="W67" s="25">
        <f t="shared" si="1"/>
        <v>102.28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0.56813000000000002</v>
      </c>
      <c r="Y67" s="14">
        <v>8.3792604419393228</v>
      </c>
      <c r="Z67" s="14">
        <v>-8.2199130465210697</v>
      </c>
      <c r="AA67" s="14">
        <v>0.83242016446540334</v>
      </c>
      <c r="AB67" s="14">
        <v>0.80106113258008205</v>
      </c>
      <c r="AC67" s="14">
        <v>8.4540283564940921</v>
      </c>
      <c r="AD67" s="34">
        <v>1.9385532255110274E-2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8.4085841378268231</v>
      </c>
      <c r="AI67" s="14">
        <v>8.8476144807204609</v>
      </c>
      <c r="AJ67" s="14">
        <v>9.0996060430302048</v>
      </c>
      <c r="AK67" s="246">
        <v>0.92406023931852876</v>
      </c>
      <c r="AL67" s="213">
        <f>IF(U67&gt;0,_xll.xlBondZSpread(F67,H67,G67,J67,K67,L67,M67,D67,U67,"annual",5)*100,"-")</f>
        <v>95.046042480456606</v>
      </c>
      <c r="AM67" s="266">
        <f>(-IF($AL$9="",VLOOKUP(VLOOKUP(E67,'DB Basis'!$D$2:$H$65205,4,0),Bonds!$AR$1:$AS$6,2,0),$AL$9)*VLOOKUP(E67,'DB Basis'!$D$2:$E$65205,2,0))+IF(V67="",W67,V67)</f>
        <v>1.1199371649999961</v>
      </c>
      <c r="AN67" s="275" t="str">
        <f>IF($AN$9+(($AL$9-$AM$9))*('DB Basis'!F226/10-'DB Basis'!E226),," ")</f>
        <v xml:space="preserve"> </v>
      </c>
      <c r="AO67" s="648">
        <f>IF(U67&gt;0,_xll.xlShmImplSwap2(curveName,curveName,D67,G67,,1,8,2,4),"-")</f>
        <v>1.0116585951012516E-2</v>
      </c>
      <c r="AP67" s="649">
        <f t="shared" si="2"/>
        <v>9.2689463040977575E-3</v>
      </c>
      <c r="AQ67" s="391">
        <f t="shared" si="3"/>
        <v>21.556910270687226</v>
      </c>
      <c r="AR67" s="391">
        <f t="shared" si="4"/>
        <v>11.263061927662381</v>
      </c>
      <c r="AS67" s="393"/>
      <c r="AT67" s="242">
        <f t="shared" si="5"/>
        <v>1.9119977018738898</v>
      </c>
      <c r="AU67" s="715" t="str">
        <f t="shared" si="0"/>
        <v>BTP  01-Jun-27  2.2</v>
      </c>
      <c r="AV67" s="718">
        <f t="shared" si="6"/>
        <v>3.8858245195919419E-4</v>
      </c>
      <c r="AW67" s="702"/>
      <c r="AX67" s="702"/>
      <c r="AY67" s="702"/>
      <c r="AZ67" s="702"/>
      <c r="BA67" s="702"/>
      <c r="BB67" s="704">
        <v>1.8996949803151079E-2</v>
      </c>
      <c r="BC67" s="710" t="b">
        <v>0</v>
      </c>
      <c r="BE67" s="721">
        <f>_xll.xlDateShiftMonth(BE66,1)</f>
        <v>44893</v>
      </c>
      <c r="BF67" s="722">
        <v>8.2114765134512924E-3</v>
      </c>
    </row>
    <row r="68" spans="1:58">
      <c r="A68" s="17"/>
      <c r="B68" s="16"/>
      <c r="C68" s="18"/>
      <c r="D68" s="735">
        <f>MAX(_xll.xlDateSettle("TARGET",$D$4,2),L68)</f>
        <v>43164</v>
      </c>
      <c r="E68" s="733" t="s">
        <v>1007</v>
      </c>
      <c r="F68" s="13" t="s">
        <v>1202</v>
      </c>
      <c r="G68" s="696">
        <v>46600</v>
      </c>
      <c r="H68" s="37">
        <v>2.0499999999999998</v>
      </c>
      <c r="I68" s="11">
        <v>46600</v>
      </c>
      <c r="J68" s="11">
        <v>42920</v>
      </c>
      <c r="K68" s="11">
        <v>42948</v>
      </c>
      <c r="L68" s="11">
        <v>42920</v>
      </c>
      <c r="M68" s="12">
        <v>100</v>
      </c>
      <c r="N68" s="12" t="s">
        <v>1316</v>
      </c>
      <c r="O68" s="12" t="s">
        <v>1222</v>
      </c>
      <c r="P68" s="12" t="s">
        <v>1317</v>
      </c>
      <c r="Q68" s="15">
        <v>19196628000</v>
      </c>
      <c r="R68" s="12"/>
      <c r="S68" s="43">
        <f>_xll.RtGet("IDN",$N68,IF(OR($F68="BTP",$F68="CTZ",$F68="GGB"),S$10,S$9))</f>
        <v>100.68</v>
      </c>
      <c r="T68" s="43">
        <f>_xll.RtGet("IDN",$N68,IF(OR($F68="BTP",$F68="CTZ",$F68="GGB"),T$10,T$9))</f>
        <v>100.78</v>
      </c>
      <c r="U68" s="25">
        <f t="shared" si="7"/>
        <v>100.73</v>
      </c>
      <c r="V68" s="12"/>
      <c r="W68" s="25">
        <f t="shared" si="1"/>
        <v>100.73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0.18121999999999999</v>
      </c>
      <c r="Y68" s="14">
        <v>8.5983162511493951</v>
      </c>
      <c r="Z68" s="14">
        <v>-8.4319004365253392</v>
      </c>
      <c r="AA68" s="14">
        <v>0.86970816765023273</v>
      </c>
      <c r="AB68" s="14">
        <v>0.83636848294313737</v>
      </c>
      <c r="AC68" s="14">
        <v>8.5087351513408294</v>
      </c>
      <c r="AD68" s="34">
        <v>1.9736453938071243E-2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8.6241692022346186</v>
      </c>
      <c r="AI68" s="14">
        <v>9.1715942774331118</v>
      </c>
      <c r="AJ68" s="14">
        <v>9.255167678807938</v>
      </c>
      <c r="AK68" s="246">
        <v>0.9318220373231979</v>
      </c>
      <c r="AL68" s="213">
        <f>IF(U68&gt;0,_xll.xlBondZSpread(F68,H68,G68,J68,K68,L68,M68,D68,U68,"annual",5)*100,"-")</f>
        <v>96.71967558978659</v>
      </c>
      <c r="AM68" s="266">
        <f>(-IF($AL$9="",VLOOKUP(VLOOKUP(E68,'DB Basis'!$D$2:$H$65205,4,0),Bonds!$AR$1:$AS$6,2,0),$AL$9)*VLOOKUP(E68,'DB Basis'!$D$2:$E$65205,2,0))+IF(V68="",W68,V68)</f>
        <v>1.5387679700000092</v>
      </c>
      <c r="AN68" s="275" t="str">
        <f>IF($AN$9+(($AL$9-$AM$9))*('DB Basis'!F227/10-'DB Basis'!E227),," ")</f>
        <v xml:space="preserve"> </v>
      </c>
      <c r="AO68" s="648">
        <f>IF(U68&gt;0,_xll.xlShmImplSwap2(curveName,curveName,D68,G68,,1,8,2,4),"-")</f>
        <v>1.0282151136934306E-2</v>
      </c>
      <c r="AP68" s="649">
        <f t="shared" si="2"/>
        <v>9.4543028011369375E-3</v>
      </c>
      <c r="AQ68" s="391">
        <f t="shared" si="3"/>
        <v>20.997772832910474</v>
      </c>
      <c r="AR68" s="391">
        <f t="shared" si="4"/>
        <v>11.091003511360771</v>
      </c>
      <c r="AS68" s="393"/>
      <c r="AT68" s="242">
        <f t="shared" si="5"/>
        <v>1.9466091555357938</v>
      </c>
      <c r="AU68" s="714" t="str">
        <f t="shared" si="0"/>
        <v>BTP  01-Aug-27  2.05</v>
      </c>
      <c r="AV68" s="718">
        <f t="shared" si="6"/>
        <v>5.2683165840607463E-4</v>
      </c>
      <c r="AW68" s="702"/>
      <c r="AX68" s="702"/>
      <c r="AY68" s="702"/>
      <c r="AZ68" s="702"/>
      <c r="BA68" s="702"/>
      <c r="BB68" s="704">
        <v>1.9209622279665169E-2</v>
      </c>
      <c r="BC68" s="710" t="b">
        <v>0</v>
      </c>
      <c r="BE68" s="721">
        <f>_xll.xlDateShiftMonth(BE67,1)</f>
        <v>44923</v>
      </c>
      <c r="BF68" s="722">
        <v>8.4813110094192866E-3</v>
      </c>
    </row>
    <row r="69" spans="1:58">
      <c r="A69" s="10"/>
      <c r="B69" s="11"/>
      <c r="C69" s="12"/>
      <c r="D69" s="735">
        <f>MAX(_xll.xlDateSettle("TARGET",$D$4,2),L69)</f>
        <v>43164</v>
      </c>
      <c r="E69" s="733" t="s">
        <v>740</v>
      </c>
      <c r="F69" s="13" t="s">
        <v>1202</v>
      </c>
      <c r="G69" s="696">
        <v>46692</v>
      </c>
      <c r="H69" s="37">
        <v>6.5</v>
      </c>
      <c r="I69" s="11">
        <v>46692</v>
      </c>
      <c r="J69" s="11">
        <v>35735</v>
      </c>
      <c r="K69" s="11">
        <v>35916</v>
      </c>
      <c r="L69" s="11">
        <v>35735</v>
      </c>
      <c r="M69" s="12">
        <v>100.15</v>
      </c>
      <c r="N69" s="12" t="s">
        <v>1318</v>
      </c>
      <c r="O69" s="12" t="s">
        <v>1203</v>
      </c>
      <c r="P69" s="12" t="s">
        <v>1319</v>
      </c>
      <c r="Q69" s="15">
        <v>26763132147</v>
      </c>
      <c r="R69" s="12"/>
      <c r="S69" s="43">
        <f>_xll.RtGet("IDN",$N69,IF(OR($F69="BTP",$F69="CTZ",$F69="GGB"),S$10,S$9))</f>
        <v>139.87</v>
      </c>
      <c r="T69" s="43">
        <f>_xll.RtGet("IDN",$N69,IF(OR($F69="BTP",$F69="CTZ",$F69="GGB"),T$10,T$9))</f>
        <v>139.97999999999999</v>
      </c>
      <c r="U69" s="25">
        <f t="shared" si="7"/>
        <v>139.92500000000001</v>
      </c>
      <c r="V69" s="12"/>
      <c r="W69" s="25">
        <f t="shared" si="1"/>
        <v>139.92500000000001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2.2265199999999998</v>
      </c>
      <c r="Y69" s="14">
        <v>7.6134651287013515</v>
      </c>
      <c r="Z69" s="14">
        <v>-7.4675327139087271</v>
      </c>
      <c r="AA69" s="14">
        <v>0.74888688747847243</v>
      </c>
      <c r="AB69" s="14">
        <v>0.72045318941322234</v>
      </c>
      <c r="AC69" s="14">
        <v>10.615213134194335</v>
      </c>
      <c r="AD69" s="34">
        <v>1.9542253020036197E-2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11.010996804376862</v>
      </c>
      <c r="AI69" s="14">
        <v>6.6707714203226516</v>
      </c>
      <c r="AJ69" s="14">
        <v>9.4826029697142378</v>
      </c>
      <c r="AK69" s="246">
        <v>1.1611787227140118</v>
      </c>
      <c r="AL69" s="213">
        <f>IF(U69&gt;0,_xll.xlBondZSpread(F69,H69,G69,J69,K69,L69,M69,D69,U69,"annual",5)*100,"-")</f>
        <v>99.218266697892147</v>
      </c>
      <c r="AM69" s="266">
        <f>(-IF($AL$9="",VLOOKUP(VLOOKUP(E69,'DB Basis'!$D$2:$H$65205,4,0),Bonds!$AR$1:$AS$6,2,0),$AL$9)*VLOOKUP(E69,'DB Basis'!$D$2:$E$65205,2,0))+IF(V69="",W69,V69)</f>
        <v>14.109305000000006</v>
      </c>
      <c r="AN69" s="275" t="str">
        <f>IF($AN$9+(($AL$9-$AM$9))*('DB Basis'!F228/10-'DB Basis'!E228),," ")</f>
        <v xml:space="preserve"> </v>
      </c>
      <c r="AO69" s="648">
        <f>IF(U69&gt;0,_xll.xlShmImplSwap2(curveName,curveName,D69,G69,,1,8,2,4),"-")</f>
        <v>1.0525955692909046E-2</v>
      </c>
      <c r="AP69" s="649">
        <f t="shared" si="2"/>
        <v>9.0162973271271513E-3</v>
      </c>
      <c r="AQ69" s="391">
        <f t="shared" si="3"/>
        <v>-7.7047103350860571</v>
      </c>
      <c r="AR69" s="391">
        <f t="shared" si="4"/>
        <v>-17.37739108843174</v>
      </c>
      <c r="AS69" s="393"/>
      <c r="AT69" s="242">
        <f t="shared" si="5"/>
        <v>1.9274550923871319</v>
      </c>
      <c r="AU69" s="714" t="str">
        <f t="shared" si="0"/>
        <v>BTP  01-Nov-27  6.5</v>
      </c>
      <c r="AV69" s="718">
        <f t="shared" si="6"/>
        <v>0</v>
      </c>
      <c r="AW69" s="702"/>
      <c r="AX69" s="702"/>
      <c r="AY69" s="702"/>
      <c r="AZ69" s="702"/>
      <c r="BA69" s="702"/>
      <c r="BB69" s="704">
        <v>1.9542253020036197E-2</v>
      </c>
      <c r="BC69" s="710" t="b">
        <v>1</v>
      </c>
      <c r="BE69" s="721">
        <f>_xll.xlDateShiftMonth(BE68,1)</f>
        <v>44954</v>
      </c>
      <c r="BF69" s="722">
        <v>8.7509856576832769E-3</v>
      </c>
    </row>
    <row r="70" spans="1:58">
      <c r="A70" s="17"/>
      <c r="B70" s="16"/>
      <c r="C70" s="18"/>
      <c r="D70" s="735">
        <f>MAX(_xll.xlDateSettle("TARGET",$D$4,2),L70)</f>
        <v>43164</v>
      </c>
      <c r="E70" s="733" t="s">
        <v>2019</v>
      </c>
      <c r="F70" s="13" t="s">
        <v>1202</v>
      </c>
      <c r="G70" s="696">
        <v>46784</v>
      </c>
      <c r="H70" s="37">
        <v>2</v>
      </c>
      <c r="I70" s="11">
        <v>46784</v>
      </c>
      <c r="J70" s="11">
        <v>43132</v>
      </c>
      <c r="K70" s="11">
        <v>43313</v>
      </c>
      <c r="L70" s="11">
        <v>43132</v>
      </c>
      <c r="M70" s="12">
        <v>99.55</v>
      </c>
      <c r="N70" s="12" t="s">
        <v>2020</v>
      </c>
      <c r="O70" s="12" t="s">
        <v>1203</v>
      </c>
      <c r="P70" s="12" t="s">
        <v>2021</v>
      </c>
      <c r="Q70" s="15">
        <v>7462736000</v>
      </c>
      <c r="R70" s="12"/>
      <c r="S70" s="43">
        <f>_xll.RtGet("IDN",$N70,IF(OR($F70="BTP",$F70="CTZ",$F70="GGB"),S$10,S$9))</f>
        <v>99.45</v>
      </c>
      <c r="T70" s="43">
        <f>_xll.RtGet("IDN",$N70,IF(OR($F70="BTP",$F70="CTZ",$F70="GGB"),T$10,T$9))</f>
        <v>99.56</v>
      </c>
      <c r="U70" s="25">
        <f t="shared" si="7"/>
        <v>99.504999999999995</v>
      </c>
      <c r="V70" s="12"/>
      <c r="W70" s="25">
        <f t="shared" si="1"/>
        <v>99.504999999999995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0.17680000000000001</v>
      </c>
      <c r="Y70" s="14">
        <v>9.0221169358937541</v>
      </c>
      <c r="Z70" s="14">
        <v>-8.839504138616018</v>
      </c>
      <c r="AA70" s="14">
        <v>0.95504672964574944</v>
      </c>
      <c r="AB70" s="14">
        <v>0.91677661182794024</v>
      </c>
      <c r="AC70" s="14">
        <v>8.8113785871556161</v>
      </c>
      <c r="AD70" s="34">
        <v>2.0658715056133103E-2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9.3707457880195033</v>
      </c>
      <c r="AI70" s="14">
        <v>9.7423219844617162</v>
      </c>
      <c r="AJ70" s="14">
        <v>9.711321915907158</v>
      </c>
      <c r="AK70" s="246">
        <v>0.96492999296730253</v>
      </c>
      <c r="AL70" s="213">
        <f>IF(U70&gt;0,_xll.xlBondZSpread(F70,H70,G70,J70,K70,L70,M70,D70,U70,"annual",5)*100,"-")</f>
        <v>101.00901870894636</v>
      </c>
      <c r="AM70" s="266">
        <f>(-IF($AL$9="",VLOOKUP(VLOOKUP(E70,'DB Basis'!$D$2:$H$65205,4,0),Bonds!$AR$1:$AS$6,2,0),$AL$9)*VLOOKUP(E70,'DB Basis'!$D$2:$E$65205,2,0))+IF(V70="",W70,V70)</f>
        <v>2.2939618900000056</v>
      </c>
      <c r="AN70" s="275" t="str">
        <f>IF($AN$9+(($AL$9-$AM$9))*('DB Basis'!F229/10-'DB Basis'!E229),," ")</f>
        <v xml:space="preserve"> </v>
      </c>
      <c r="AO70" s="648">
        <f>IF(U70&gt;0,_xll.xlShmImplSwap2(curveName,curveName,D70,G70,,1,8,2,4),"-")</f>
        <v>1.0768727253854643E-2</v>
      </c>
      <c r="AP70" s="649">
        <f t="shared" si="2"/>
        <v>9.8899878022784601E-3</v>
      </c>
      <c r="AQ70" s="391">
        <f>IF(ISNUMBER(((AD70-AD68)/(G70-G68)*365)*10000),((AD70-AD68)/(G70-G68)*365)*10000,"-")</f>
        <v>18.294853700683628</v>
      </c>
      <c r="AR70" s="391">
        <f t="shared" si="4"/>
        <v>34.662719938068236</v>
      </c>
      <c r="AS70" s="393"/>
      <c r="AT70" s="242">
        <f t="shared" si="5"/>
        <v>2.0375718959473743</v>
      </c>
      <c r="AU70" s="714" t="str">
        <f t="shared" si="0"/>
        <v>BTP  01-Feb-28  2</v>
      </c>
      <c r="AV70" s="718">
        <f t="shared" si="6"/>
        <v>7.5519426121353761E-4</v>
      </c>
      <c r="AW70" s="702"/>
      <c r="AX70" s="702"/>
      <c r="AY70" s="702"/>
      <c r="AZ70" s="702"/>
      <c r="BA70" s="702"/>
      <c r="BB70" s="704">
        <v>1.9903520794919565E-2</v>
      </c>
      <c r="BC70" s="710" t="b">
        <v>0</v>
      </c>
      <c r="BE70" s="721">
        <f>_xll.xlDateShiftMonth(BE69,1)</f>
        <v>44985</v>
      </c>
      <c r="BF70" s="722">
        <v>9.0109104155398217E-3</v>
      </c>
    </row>
    <row r="71" spans="1:58">
      <c r="A71" s="10"/>
      <c r="B71" s="11"/>
      <c r="C71" s="12"/>
      <c r="D71" s="735">
        <f>MAX(_xll.xlDateSettle("TARGET",$D$4,2),L71)</f>
        <v>43164</v>
      </c>
      <c r="E71" s="733" t="s">
        <v>741</v>
      </c>
      <c r="F71" s="13" t="s">
        <v>1202</v>
      </c>
      <c r="G71" s="696">
        <v>46997</v>
      </c>
      <c r="H71" s="37">
        <v>4.75</v>
      </c>
      <c r="I71" s="11">
        <v>46997</v>
      </c>
      <c r="J71" s="11">
        <v>41296</v>
      </c>
      <c r="K71" s="11">
        <v>41334</v>
      </c>
      <c r="L71" s="11">
        <v>41296</v>
      </c>
      <c r="M71" s="12">
        <v>100.017</v>
      </c>
      <c r="N71" s="12" t="s">
        <v>1320</v>
      </c>
      <c r="O71" s="12" t="s">
        <v>1203</v>
      </c>
      <c r="P71" s="12" t="s">
        <v>1321</v>
      </c>
      <c r="Q71" s="15">
        <v>21783654000</v>
      </c>
      <c r="R71" s="12"/>
      <c r="S71" s="43">
        <f>_xll.RtGet("IDN",$N71,IF(OR($F71="BTP",$F71="CTZ",$F71="GGB"),S$10,S$9))</f>
        <v>124.54</v>
      </c>
      <c r="T71" s="43">
        <f>_xll.RtGet("IDN",$N71,IF(OR($F71="BTP",$F71="CTZ",$F71="GGB"),T$10,T$9))</f>
        <v>124.79</v>
      </c>
      <c r="U71" s="25">
        <f t="shared" si="7"/>
        <v>124.66500000000001</v>
      </c>
      <c r="V71" s="12"/>
      <c r="W71" s="25">
        <f t="shared" si="1"/>
        <v>124.66500000000001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5.1630000000000002E-2</v>
      </c>
      <c r="Y71" s="14">
        <v>8.6357349452503573</v>
      </c>
      <c r="Z71" s="14">
        <v>-8.4559054226533235</v>
      </c>
      <c r="AA71" s="14">
        <v>0.92662128024532653</v>
      </c>
      <c r="AB71" s="14">
        <v>0.88843139100403445</v>
      </c>
      <c r="AC71" s="14">
        <v>10.545922459394319</v>
      </c>
      <c r="AD71" s="34">
        <v>2.1266737679804193E-2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11.884714851609894</v>
      </c>
      <c r="AI71" s="14">
        <v>8.2072995698706865</v>
      </c>
      <c r="AJ71" s="14">
        <v>10.235867437547217</v>
      </c>
      <c r="AK71" s="246">
        <v>1.1610852645486966</v>
      </c>
      <c r="AL71" s="213">
        <f>IF(U71&gt;0,_xll.xlBondZSpread(F71,H71,G71,J71,K71,L71,M71,D71,U71,"annual",5)*100,"-")</f>
        <v>106.84086871082117</v>
      </c>
      <c r="AM71" s="266">
        <f>(-IF($AL$9="",VLOOKUP(VLOOKUP(E71,'DB Basis'!$D$2:$H$65205,4,0),Bonds!$AR$1:$AS$6,2,0),$AL$9)*VLOOKUP(E71,'DB Basis'!$D$2:$E$65205,2,0))+IF(V71="",W71,V71)</f>
        <v>6.0092820000008373E-2</v>
      </c>
      <c r="AN71" s="275" t="str">
        <f>IF($AN$9+(($AL$9-$AM$9))*('DB Basis'!F230/10-'DB Basis'!E230),," ")</f>
        <v xml:space="preserve"> </v>
      </c>
      <c r="AO71" s="648">
        <f>IF(U71&gt;0,_xll.xlShmImplSwap2(curveName,curveName,D71,G71,,1,8,2,4),"-")</f>
        <v>1.1288734998543746E-2</v>
      </c>
      <c r="AP71" s="649">
        <f t="shared" si="2"/>
        <v>9.9780026812604471E-3</v>
      </c>
      <c r="AQ71" s="391">
        <f t="shared" si="3"/>
        <v>10.419167025349667</v>
      </c>
      <c r="AR71" s="391">
        <f t="shared" si="4"/>
        <v>1.5082361891279461</v>
      </c>
      <c r="AS71" s="393"/>
      <c r="AT71" s="242">
        <f t="shared" si="5"/>
        <v>2.0975412506108246</v>
      </c>
      <c r="AU71" s="715" t="str">
        <f t="shared" si="0"/>
        <v>BTP  01-Sep-28  4.75</v>
      </c>
      <c r="AV71" s="718">
        <f t="shared" si="6"/>
        <v>4.6727121416921882E-4</v>
      </c>
      <c r="AW71" s="702"/>
      <c r="AX71" s="702"/>
      <c r="AY71" s="702"/>
      <c r="AZ71" s="702"/>
      <c r="BA71" s="702"/>
      <c r="BB71" s="704">
        <v>2.0799466465634974E-2</v>
      </c>
      <c r="BC71" s="710" t="b">
        <v>0</v>
      </c>
      <c r="BE71" s="721">
        <f>_xll.xlDateShiftMonth(BE70,1)</f>
        <v>45013</v>
      </c>
      <c r="BF71" s="722">
        <v>9.2361005008514841E-3</v>
      </c>
    </row>
    <row r="72" spans="1:58">
      <c r="A72" s="17"/>
      <c r="B72" s="16"/>
      <c r="C72" s="18"/>
      <c r="D72" s="735">
        <f>MAX(_xll.xlDateSettle("TARGET",$D$4,2),L72)</f>
        <v>43164</v>
      </c>
      <c r="E72" s="733" t="s">
        <v>742</v>
      </c>
      <c r="F72" s="13" t="s">
        <v>1202</v>
      </c>
      <c r="G72" s="696">
        <v>47423</v>
      </c>
      <c r="H72" s="37">
        <v>5.25</v>
      </c>
      <c r="I72" s="11">
        <v>47423</v>
      </c>
      <c r="J72" s="11">
        <v>36100</v>
      </c>
      <c r="K72" s="11">
        <v>36281</v>
      </c>
      <c r="L72" s="11">
        <v>36117</v>
      </c>
      <c r="M72" s="12">
        <v>99.7</v>
      </c>
      <c r="N72" s="12" t="s">
        <v>1322</v>
      </c>
      <c r="O72" s="12" t="s">
        <v>1203</v>
      </c>
      <c r="P72" s="12" t="s">
        <v>1323</v>
      </c>
      <c r="Q72" s="15">
        <v>28148499209</v>
      </c>
      <c r="R72" s="12"/>
      <c r="S72" s="43">
        <f>_xll.RtGet("IDN",$N72,IF(OR($F72="BTP",$F72="CTZ",$F72="GGB"),S$10,S$9))</f>
        <v>130.56</v>
      </c>
      <c r="T72" s="43">
        <f>_xll.RtGet("IDN",$N72,IF(OR($F72="BTP",$F72="CTZ",$F72="GGB"),T$10,T$9))</f>
        <v>131.22999999999999</v>
      </c>
      <c r="U72" s="25">
        <f t="shared" si="7"/>
        <v>130.89499999999998</v>
      </c>
      <c r="V72" s="12"/>
      <c r="W72" s="25">
        <f t="shared" si="1"/>
        <v>130.89499999999998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1.79834</v>
      </c>
      <c r="Y72" s="14">
        <v>9.1456011088166225</v>
      </c>
      <c r="Z72" s="14">
        <v>-8.9453839700354845</v>
      </c>
      <c r="AA72" s="14">
        <v>1.0656729437641379</v>
      </c>
      <c r="AB72" s="14">
        <v>1.0195238799809077</v>
      </c>
      <c r="AC72" s="14">
        <v>11.869931651398247</v>
      </c>
      <c r="AD72" s="34">
        <v>2.2382173782732953E-2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13.859864471357257</v>
      </c>
      <c r="AI72" s="14">
        <v>8.4907337564670993</v>
      </c>
      <c r="AJ72" s="14">
        <v>11.266638211963659</v>
      </c>
      <c r="AK72" s="246">
        <v>1.2301685924946051</v>
      </c>
      <c r="AL72" s="213">
        <f>IF(U72&gt;0,_xll.xlBondZSpread(F72,H72,G72,J72,K72,L72,M72,D72,U72,"annual",5)*100,"-")</f>
        <v>110.14909094912244</v>
      </c>
      <c r="AM72" s="266">
        <f>(-IF($AL$9="",VLOOKUP(VLOOKUP(E72,'DB Basis'!$D$2:$H$65205,4,0),Bonds!$AR$1:$AS$6,2,0),$AL$9)*VLOOKUP(E72,'DB Basis'!$D$2:$E$65205,2,0))+IF(V72="",W72,V72)</f>
        <v>-9.5695300000000145</v>
      </c>
      <c r="AN72" s="275" t="str">
        <f>IF($AN$9+(($AL$9-$AM$9))*('DB Basis'!F231/10-'DB Basis'!E231),," ")</f>
        <v xml:space="preserve"> </v>
      </c>
      <c r="AO72" s="648">
        <f>IF(U72&gt;0,_xll.xlShmImplSwap2(curveName,curveName,D72,G72,,1,8,2,4),"-")</f>
        <v>1.223089479780844E-2</v>
      </c>
      <c r="AP72" s="649">
        <f t="shared" si="2"/>
        <v>1.0151278984924513E-2</v>
      </c>
      <c r="AQ72" s="391">
        <f t="shared" si="3"/>
        <v>9.5571403185210659</v>
      </c>
      <c r="AR72" s="391">
        <f t="shared" si="4"/>
        <v>1.4846443858540874</v>
      </c>
      <c r="AS72" s="393"/>
      <c r="AT72" s="242">
        <f t="shared" si="5"/>
        <v>2.2075568662421543</v>
      </c>
      <c r="AU72" s="714" t="str">
        <f t="shared" si="0"/>
        <v>BTP  01-Nov-29  5.25</v>
      </c>
      <c r="AV72" s="718">
        <f t="shared" si="6"/>
        <v>0</v>
      </c>
      <c r="AW72" s="702"/>
      <c r="AX72" s="702"/>
      <c r="AY72" s="702"/>
      <c r="AZ72" s="702"/>
      <c r="BA72" s="702"/>
      <c r="BB72" s="704">
        <v>2.2382173782732953E-2</v>
      </c>
      <c r="BC72" s="710" t="b">
        <v>1</v>
      </c>
      <c r="BE72" s="721">
        <f>_xll.xlDateShiftMonth(BE71,1)</f>
        <v>45044</v>
      </c>
      <c r="BF72" s="722">
        <v>9.4695607506235825E-3</v>
      </c>
    </row>
    <row r="73" spans="1:58" ht="17.25" customHeight="1">
      <c r="A73" s="10"/>
      <c r="B73" s="11"/>
      <c r="C73" s="12"/>
      <c r="D73" s="735">
        <f>MAX(_xll.xlDateSettle("TARGET",$D$4,2),L73)</f>
        <v>43164</v>
      </c>
      <c r="E73" s="733" t="s">
        <v>431</v>
      </c>
      <c r="F73" s="13" t="s">
        <v>1202</v>
      </c>
      <c r="G73" s="696">
        <v>47543</v>
      </c>
      <c r="H73" s="37">
        <v>3.5</v>
      </c>
      <c r="I73" s="11">
        <v>47543</v>
      </c>
      <c r="J73" s="11">
        <v>41699</v>
      </c>
      <c r="K73" s="11">
        <v>41883</v>
      </c>
      <c r="L73" s="11">
        <v>41780</v>
      </c>
      <c r="M73" s="12">
        <v>99.471000000000004</v>
      </c>
      <c r="N73" s="12" t="s">
        <v>1324</v>
      </c>
      <c r="O73" s="12" t="s">
        <v>1203</v>
      </c>
      <c r="P73" s="12" t="s">
        <v>1325</v>
      </c>
      <c r="Q73" s="15">
        <v>23156449000</v>
      </c>
      <c r="R73" s="12"/>
      <c r="S73" s="43">
        <f>_xll.RtGet("IDN",$N73,IF(OR($F73="BTP",$F73="CTZ",$F73="GGB"),S$10,S$9))</f>
        <v>112.22</v>
      </c>
      <c r="T73" s="43">
        <f>_xll.RtGet("IDN",$N73,IF(OR($F73="BTP",$F73="CTZ",$F73="GGB"),T$10,T$9))</f>
        <v>112.39</v>
      </c>
      <c r="U73" s="25">
        <f t="shared" si="7"/>
        <v>112.30500000000001</v>
      </c>
      <c r="V73" s="12"/>
      <c r="W73" s="25">
        <f t="shared" si="1"/>
        <v>112.30500000000001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3.8039999999999997E-2</v>
      </c>
      <c r="Y73" s="14">
        <v>10.032350436207723</v>
      </c>
      <c r="Z73" s="14">
        <v>-9.8037429702469634</v>
      </c>
      <c r="AA73" s="14">
        <v>1.2251557181159203</v>
      </c>
      <c r="AB73" s="14">
        <v>1.169956559517549</v>
      </c>
      <c r="AC73" s="14">
        <v>11.013825788197096</v>
      </c>
      <c r="AD73" s="34">
        <v>2.3318386319715841E-2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13.403228796230792</v>
      </c>
      <c r="AI73" s="14">
        <v>10.283424410422562</v>
      </c>
      <c r="AJ73" s="14">
        <v>11.552711598770784</v>
      </c>
      <c r="AK73" s="246">
        <v>1.1601803335640184</v>
      </c>
      <c r="AL73" s="213">
        <f>IF(U73&gt;0,_xll.xlBondZSpread(F73,H73,G73,J73,K73,L73,M73,D73,U73,"annual",5)*100,"-")</f>
        <v>114.06172782641913</v>
      </c>
      <c r="AM73" s="266">
        <f>(-IF($AL$9="",VLOOKUP(VLOOKUP(E73,'DB Basis'!$D$2:$H$65205,4,0),Bonds!$AR$1:$AS$6,2,0),$AL$9)*VLOOKUP(E73,'DB Basis'!$D$2:$E$65205,2,0))+IF(V73="",W73,V73)</f>
        <v>-18.028559999999999</v>
      </c>
      <c r="AN73" s="275" t="str">
        <f>IF($AN$9+(($AL$9-$AM$9))*('DB Basis'!F232/10-'DB Basis'!E232),," ")</f>
        <v xml:space="preserve"> </v>
      </c>
      <c r="AO73" s="648">
        <f>IF(U73&gt;0,_xll.xlShmImplSwap2(curveName,curveName,D73,G73,,1,8,2,4),"-")</f>
        <v>1.2463579967145666E-2</v>
      </c>
      <c r="AP73" s="649">
        <f t="shared" si="2"/>
        <v>1.0854806352570174E-2</v>
      </c>
      <c r="AQ73" s="391">
        <f t="shared" si="3"/>
        <v>28.476464666562823</v>
      </c>
      <c r="AR73" s="391">
        <f t="shared" si="4"/>
        <v>21.398957432555527</v>
      </c>
      <c r="AS73" s="393"/>
      <c r="AT73" s="242">
        <f t="shared" si="5"/>
        <v>2.2998956370130692</v>
      </c>
      <c r="AU73" s="714" t="str">
        <f t="shared" si="0"/>
        <v>BTP  01-Mar-30  3.5</v>
      </c>
      <c r="AV73" s="718">
        <f t="shared" si="6"/>
        <v>6.1131024203244996E-4</v>
      </c>
      <c r="AW73" s="702"/>
      <c r="AX73" s="702"/>
      <c r="AY73" s="702"/>
      <c r="AZ73" s="702"/>
      <c r="BA73" s="702"/>
      <c r="BB73" s="704">
        <v>2.2707076077683391E-2</v>
      </c>
      <c r="BC73" s="710" t="b">
        <v>0</v>
      </c>
      <c r="BE73" s="721">
        <f>_xll.xlDateShiftMonth(BE72,1)</f>
        <v>45074</v>
      </c>
      <c r="BF73" s="722">
        <v>9.6831142772664421E-3</v>
      </c>
    </row>
    <row r="74" spans="1:58">
      <c r="A74" s="17"/>
      <c r="B74" s="16"/>
      <c r="C74" s="18"/>
      <c r="D74" s="735">
        <f>MAX(_xll.xlDateSettle("TARGET",$D$4,2),L74)</f>
        <v>43164</v>
      </c>
      <c r="E74" s="733" t="s">
        <v>743</v>
      </c>
      <c r="F74" s="13" t="s">
        <v>1202</v>
      </c>
      <c r="G74" s="696">
        <v>47969</v>
      </c>
      <c r="H74" s="37">
        <v>6</v>
      </c>
      <c r="I74" s="11">
        <v>47969</v>
      </c>
      <c r="J74" s="11">
        <v>36465</v>
      </c>
      <c r="K74" s="11">
        <v>36647</v>
      </c>
      <c r="L74" s="11">
        <v>36602</v>
      </c>
      <c r="M74" s="12">
        <v>102.4</v>
      </c>
      <c r="N74" s="12" t="s">
        <v>1326</v>
      </c>
      <c r="O74" s="12" t="s">
        <v>1203</v>
      </c>
      <c r="P74" s="12" t="s">
        <v>1327</v>
      </c>
      <c r="Q74" s="15">
        <v>29762750000</v>
      </c>
      <c r="R74" s="12"/>
      <c r="S74" s="43">
        <f>_xll.RtGet("IDN",$N74,IF(OR($F74="BTP",$F74="CTZ",$F74="GGB"),S$10,S$9))</f>
        <v>140.9</v>
      </c>
      <c r="T74" s="43">
        <f>_xll.RtGet("IDN",$N74,IF(OR($F74="BTP",$F74="CTZ",$F74="GGB"),T$10,T$9))</f>
        <v>141.07</v>
      </c>
      <c r="U74" s="25">
        <f t="shared" si="7"/>
        <v>140.98500000000001</v>
      </c>
      <c r="V74" s="12"/>
      <c r="W74" s="25">
        <f t="shared" si="1"/>
        <v>140.98500000000001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2.05525</v>
      </c>
      <c r="Y74" s="14">
        <v>9.8254589258972178</v>
      </c>
      <c r="Z74" s="14">
        <v>-9.5978400184505706</v>
      </c>
      <c r="AA74" s="14">
        <v>1.2544532545911344</v>
      </c>
      <c r="AB74" s="14">
        <v>1.1970045655724453</v>
      </c>
      <c r="AC74" s="14">
        <v>13.72877836057711</v>
      </c>
      <c r="AD74" s="34">
        <v>2.3715638787058214E-2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16.944400895275614</v>
      </c>
      <c r="AI74" s="14">
        <v>8.7758779321237839</v>
      </c>
      <c r="AJ74" s="14">
        <v>12.553037733804691</v>
      </c>
      <c r="AK74" s="246">
        <v>1.3498247400025889</v>
      </c>
      <c r="AL74" s="213">
        <f>IF(U74&gt;0,_xll.xlBondZSpread(F74,H74,G74,J74,K74,L74,M74,D74,U74,"annual",5)*100,"-")</f>
        <v>115.61967148537822</v>
      </c>
      <c r="AM74" s="266">
        <f>(-IF($AL$9="",VLOOKUP(VLOOKUP(E74,'DB Basis'!$D$2:$H$65205,4,0),Bonds!$AR$1:$AS$6,2,0),$AL$9)*VLOOKUP(E74,'DB Basis'!$D$2:$E$65205,2,0))+IF(V74="",W74,V74)</f>
        <v>-21.384329999999977</v>
      </c>
      <c r="AN74" s="275" t="str">
        <f>IF($AN$9+(($AL$9-$AM$9))*('DB Basis'!F233/10-'DB Basis'!E233),," ")</f>
        <v xml:space="preserve"> </v>
      </c>
      <c r="AO74" s="648">
        <f>IF(U74&gt;0,_xll.xlShmImplSwap2(curveName,curveName,D74,G74,,1,8,2,4),"-")</f>
        <v>1.322284403552401E-2</v>
      </c>
      <c r="AP74" s="649">
        <f t="shared" si="2"/>
        <v>1.0492794751534204E-2</v>
      </c>
      <c r="AQ74" s="391">
        <f t="shared" si="3"/>
        <v>3.4036889807503861</v>
      </c>
      <c r="AR74" s="391">
        <f t="shared" si="4"/>
        <v>-3.101742591035892</v>
      </c>
      <c r="AS74" s="393"/>
      <c r="AT74" s="242">
        <f t="shared" si="5"/>
        <v>2.3390767022851939</v>
      </c>
      <c r="AU74" s="714" t="str">
        <f t="shared" si="0"/>
        <v>BTP  01-May-31  6</v>
      </c>
      <c r="AV74" s="718">
        <f t="shared" si="6"/>
        <v>-4.2029739664772858E-5</v>
      </c>
      <c r="AW74" s="702"/>
      <c r="AX74" s="702"/>
      <c r="AY74" s="702"/>
      <c r="AZ74" s="702"/>
      <c r="BA74" s="702"/>
      <c r="BB74" s="704">
        <v>2.3757668526722987E-2</v>
      </c>
      <c r="BC74" s="710" t="b">
        <v>0</v>
      </c>
      <c r="BE74" s="721">
        <f>_xll.xlDateShiftMonth(BE73,1)</f>
        <v>45105</v>
      </c>
      <c r="BF74" s="722">
        <v>9.89627191110104E-3</v>
      </c>
    </row>
    <row r="75" spans="1:58">
      <c r="A75" s="10"/>
      <c r="B75" s="11"/>
      <c r="C75" s="12"/>
      <c r="D75" s="735">
        <f>MAX(_xll.xlDateSettle("TARGET",$D$4,2),L75)</f>
        <v>43164</v>
      </c>
      <c r="E75" s="733" t="s">
        <v>848</v>
      </c>
      <c r="F75" s="13" t="s">
        <v>1202</v>
      </c>
      <c r="G75" s="696">
        <v>48274</v>
      </c>
      <c r="H75" s="37">
        <v>1.65</v>
      </c>
      <c r="I75" s="11">
        <v>48274</v>
      </c>
      <c r="J75" s="11">
        <v>42064</v>
      </c>
      <c r="K75" s="11">
        <v>42248</v>
      </c>
      <c r="L75" s="11">
        <v>42087</v>
      </c>
      <c r="M75" s="12">
        <v>99.501000000000005</v>
      </c>
      <c r="N75" s="12" t="s">
        <v>1328</v>
      </c>
      <c r="O75" s="12" t="s">
        <v>1203</v>
      </c>
      <c r="P75" s="12" t="s">
        <v>1329</v>
      </c>
      <c r="Q75" s="15">
        <v>21906727000</v>
      </c>
      <c r="R75" s="12"/>
      <c r="S75" s="43">
        <f>_xll.RtGet("IDN",$N75,IF(OR($F75="BTP",$F75="CTZ",$F75="GGB"),S$10,S$9))</f>
        <v>91.17</v>
      </c>
      <c r="T75" s="43">
        <f>_xll.RtGet("IDN",$N75,IF(OR($F75="BTP",$F75="CTZ",$F75="GGB"),T$10,T$9))</f>
        <v>91.460000000000008</v>
      </c>
      <c r="U75" s="25">
        <f t="shared" si="7"/>
        <v>91.314999999999998</v>
      </c>
      <c r="V75" s="12"/>
      <c r="W75" s="25">
        <f t="shared" si="1"/>
        <v>91.314999999999998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1.7930000000000001E-2</v>
      </c>
      <c r="Y75" s="14">
        <v>12.462171631692728</v>
      </c>
      <c r="Z75" s="14">
        <v>-12.170339236981278</v>
      </c>
      <c r="AA75" s="14">
        <v>1.7980245645875366</v>
      </c>
      <c r="AB75" s="14">
        <v>1.71480022713807</v>
      </c>
      <c r="AC75" s="14">
        <v>11.115531414995417</v>
      </c>
      <c r="AD75" s="34">
        <v>2.3978986043623932E-2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12.41706379526736</v>
      </c>
      <c r="AI75" s="14">
        <v>14.506798364766837</v>
      </c>
      <c r="AJ75" s="14">
        <v>13.249483995733639</v>
      </c>
      <c r="AK75" s="246">
        <v>0.93717338722516941</v>
      </c>
      <c r="AL75" s="213">
        <f>IF(U75&gt;0,_xll.xlBondZSpread(F75,H75,G75,J75,K75,L75,M75,D75,U75,"annual",5)*100,"-")</f>
        <v>104.01661821067982</v>
      </c>
      <c r="AM75" s="266">
        <f>(-IF($AL$9="",VLOOKUP(VLOOKUP(E75,'DB Basis'!$D$2:$H$65205,4,0),Bonds!$AR$1:$AS$6,2,0),$AL$9)*VLOOKUP(E75,'DB Basis'!$D$2:$E$65205,2,0))+IF(V75="",W75,V75)</f>
        <v>-39.292370000000005</v>
      </c>
      <c r="AN75" s="275" t="str">
        <f>IF($AN$9+(($AL$9-$AM$9))*('DB Basis'!F234/10-'DB Basis'!E234),," ")</f>
        <v xml:space="preserve"> </v>
      </c>
      <c r="AO75" s="648">
        <f>IF(U75&gt;0,_xll.xlShmImplSwap2(curveName,curveName,D75,G75,,1,8,2,4),"-")</f>
        <v>1.3692161338547741E-2</v>
      </c>
      <c r="AP75" s="649">
        <f t="shared" si="2"/>
        <v>1.028682470507619E-2</v>
      </c>
      <c r="AQ75" s="391">
        <f t="shared" si="3"/>
        <v>3.1515327425077633</v>
      </c>
      <c r="AR75" s="391">
        <f t="shared" si="4"/>
        <v>-2.4648874412188597</v>
      </c>
      <c r="AS75" s="393"/>
      <c r="AT75" s="242">
        <f t="shared" si="5"/>
        <v>2.365050678275237</v>
      </c>
      <c r="AU75" s="714" t="str">
        <f t="shared" ref="AU75:AU138" si="8">F75&amp;"  "&amp;TEXT(G75,"dd-mmm-yy")&amp;"  "&amp;H75</f>
        <v>BTP  01-Mar-32  1.65</v>
      </c>
      <c r="AV75" s="718">
        <f t="shared" si="6"/>
        <v>-4.3216436696653232E-4</v>
      </c>
      <c r="AW75" s="702"/>
      <c r="AX75" s="702"/>
      <c r="AY75" s="702"/>
      <c r="AZ75" s="702"/>
      <c r="BA75" s="702"/>
      <c r="BB75" s="704">
        <v>2.4411150410590464E-2</v>
      </c>
      <c r="BC75" s="710" t="b">
        <v>0</v>
      </c>
      <c r="BE75" s="721">
        <f>_xll.xlDateShiftMonth(BE74,1)</f>
        <v>45135</v>
      </c>
      <c r="BF75" s="722">
        <v>1.0100329872429517E-2</v>
      </c>
    </row>
    <row r="76" spans="1:58">
      <c r="A76" s="17"/>
      <c r="B76" s="16"/>
      <c r="C76" s="18"/>
      <c r="D76" s="735">
        <f>MAX(_xll.xlDateSettle("TARGET",$D$4,2),L76)</f>
        <v>43164</v>
      </c>
      <c r="E76" s="733" t="s">
        <v>744</v>
      </c>
      <c r="F76" s="13" t="s">
        <v>1202</v>
      </c>
      <c r="G76" s="696">
        <v>48611</v>
      </c>
      <c r="H76" s="37">
        <v>5.75</v>
      </c>
      <c r="I76" s="11">
        <v>48611</v>
      </c>
      <c r="J76" s="11">
        <v>37288</v>
      </c>
      <c r="K76" s="11">
        <v>37469</v>
      </c>
      <c r="L76" s="11">
        <v>37333</v>
      </c>
      <c r="M76" s="12">
        <v>101.15</v>
      </c>
      <c r="N76" s="12" t="s">
        <v>1330</v>
      </c>
      <c r="O76" s="12" t="s">
        <v>1203</v>
      </c>
      <c r="P76" s="12" t="s">
        <v>1331</v>
      </c>
      <c r="Q76" s="15">
        <v>20761000000</v>
      </c>
      <c r="R76" s="12"/>
      <c r="S76" s="43">
        <f>_xll.RtGet("IDN",$N76,IF(OR($F76="BTP",$F76="CTZ",$F76="GGB"),S$10,S$9))</f>
        <v>140.35</v>
      </c>
      <c r="T76" s="43">
        <f>_xll.RtGet("IDN",$N76,IF(OR($F76="BTP",$F76="CTZ",$F76="GGB"),T$10,T$9))</f>
        <v>140.61000000000001</v>
      </c>
      <c r="U76" s="25">
        <f t="shared" si="7"/>
        <v>140.48000000000002</v>
      </c>
      <c r="V76" s="12"/>
      <c r="W76" s="25">
        <f t="shared" ref="W76:W139" si="9">IF(V76="",U76,V76)</f>
        <v>140.48000000000002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0.50829000000000002</v>
      </c>
      <c r="Y76" s="14">
        <v>10.985737229028352</v>
      </c>
      <c r="Z76" s="14">
        <v>-10.717803639817653</v>
      </c>
      <c r="AA76" s="14">
        <v>1.5599976968483753</v>
      </c>
      <c r="AB76" s="14">
        <v>1.4848313750435547</v>
      </c>
      <c r="AC76" s="14">
        <v>15.110853499803056</v>
      </c>
      <c r="AD76" s="34">
        <v>2.4998926824264113E-2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19.453708301309142</v>
      </c>
      <c r="AI76" s="14">
        <v>9.9350631488163543</v>
      </c>
      <c r="AJ76" s="14">
        <v>14.007275643936335</v>
      </c>
      <c r="AK76" s="246">
        <v>1.3888288340874153</v>
      </c>
      <c r="AL76" s="213">
        <f>IF(U76&gt;0,_xll.xlBondZSpread(F76,H76,G76,J76,K76,L76,M76,D76,U76,"annual",5)*100,"-")</f>
        <v>119.49390273124961</v>
      </c>
      <c r="AM76" s="266">
        <f>(-IF($AL$9="",VLOOKUP(VLOOKUP(E76,'DB Basis'!$D$2:$H$65205,4,0),Bonds!$AR$1:$AS$6,2,0),$AL$9)*VLOOKUP(E76,'DB Basis'!$D$2:$E$65205,2,0))+IF(V76="",W76,V76)</f>
        <v>-37.359594999999985</v>
      </c>
      <c r="AN76" s="275" t="str">
        <f>IF($AN$9+(($AL$9-$AM$9))*('DB Basis'!F235/10-'DB Basis'!E235),," ")</f>
        <v xml:space="preserve"> </v>
      </c>
      <c r="AO76" s="648">
        <f>IF(U76&gt;0,_xll.xlShmImplSwap2(curveName,curveName,D76,G76,,1,8,2,4),"-")</f>
        <v>1.4144385897770229E-2</v>
      </c>
      <c r="AP76" s="649">
        <f t="shared" ref="AP76:AP139" si="10">IF(AND(ISNUMBER(AD76),ISNUMBER(AO76)),AD76-AO76,"-")</f>
        <v>1.0854540926493884E-2</v>
      </c>
      <c r="AQ76" s="391">
        <f t="shared" ref="AQ76:AQ139" si="11">IF(ISNUMBER(((AD76-AD75)/(G76-G75)*365)*10000),((AD76-AD75)/(G76-G75)*365)*10000,"-")</f>
        <v>11.046836348180006</v>
      </c>
      <c r="AR76" s="391">
        <f t="shared" ref="AR76:AR139" si="12">IF(ISNUMBER(((AP76-AP75)/(G76-G75)*365)*10000),((AP76-AP75)/(G76-G75)*365)*10000,"-")</f>
        <v>6.1488552171352646</v>
      </c>
      <c r="AS76" s="393"/>
      <c r="AT76" s="242">
        <f t="shared" ref="AT76:AT139" si="13">IF(ISNUMBER(AD76),AD76*360/365*100,"-")</f>
        <v>2.4656475771876933</v>
      </c>
      <c r="AU76" s="714" t="str">
        <f t="shared" si="8"/>
        <v>BTP  01-Feb-33  5.75</v>
      </c>
      <c r="AV76" s="718">
        <f t="shared" ref="AV76:AV87" si="14">AD76-BB76</f>
        <v>-3.8299863556443686E-5</v>
      </c>
      <c r="AW76" s="702"/>
      <c r="AX76" s="702"/>
      <c r="AY76" s="702"/>
      <c r="AZ76" s="702"/>
      <c r="BA76" s="702"/>
      <c r="BB76" s="704">
        <v>2.5037226687820557E-2</v>
      </c>
      <c r="BC76" s="710" t="b">
        <v>0</v>
      </c>
      <c r="BE76" s="721">
        <f>_xll.xlDateShiftMonth(BE75,1)</f>
        <v>45166</v>
      </c>
      <c r="BF76" s="722">
        <v>1.0314165953885228E-2</v>
      </c>
    </row>
    <row r="77" spans="1:58">
      <c r="A77" s="10"/>
      <c r="B77" s="11"/>
      <c r="C77" s="12"/>
      <c r="D77" s="735">
        <f>MAX(_xll.xlDateSettle("TARGET",$D$4,2),L77)</f>
        <v>43164</v>
      </c>
      <c r="E77" s="733" t="s">
        <v>970</v>
      </c>
      <c r="F77" s="13" t="s">
        <v>1202</v>
      </c>
      <c r="G77" s="696">
        <v>48823</v>
      </c>
      <c r="H77" s="37">
        <v>2.4500000000000002</v>
      </c>
      <c r="I77" s="11">
        <v>48823</v>
      </c>
      <c r="J77" s="11">
        <v>42614</v>
      </c>
      <c r="K77" s="11">
        <v>42795</v>
      </c>
      <c r="L77" s="11">
        <v>42760</v>
      </c>
      <c r="M77" s="12">
        <v>999</v>
      </c>
      <c r="N77" s="12" t="s">
        <v>1332</v>
      </c>
      <c r="O77" s="12" t="s">
        <v>1222</v>
      </c>
      <c r="P77" s="12" t="s">
        <v>1333</v>
      </c>
      <c r="Q77" s="15">
        <v>10434163000</v>
      </c>
      <c r="R77" s="12"/>
      <c r="S77" s="43">
        <f>_xll.RtGet("IDN",$N77,IF(OR($F77="BTP",$F77="CTZ",$F77="GGB"),S$10,S$9))</f>
        <v>98.98</v>
      </c>
      <c r="T77" s="43">
        <f>_xll.RtGet("IDN",$N77,IF(OR($F77="BTP",$F77="CTZ",$F77="GGB"),T$10,T$9))</f>
        <v>99.18</v>
      </c>
      <c r="U77" s="25">
        <f t="shared" ref="U77:U140" si="15">IF($U$4="B",AVERAGE(S77:T77),AVERAGE(S77:T77))</f>
        <v>99.080000000000013</v>
      </c>
      <c r="V77" s="12"/>
      <c r="W77" s="25">
        <f t="shared" si="9"/>
        <v>99.080000000000013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2.6630000000000001E-2</v>
      </c>
      <c r="Y77" s="14">
        <v>12.964641489511608</v>
      </c>
      <c r="Z77" s="14">
        <v>-12.643751023449779</v>
      </c>
      <c r="AA77" s="14">
        <v>2.0113057759926498</v>
      </c>
      <c r="AB77" s="14">
        <v>1.9129734733459296</v>
      </c>
      <c r="AC77" s="14">
        <v>12.530800771478567</v>
      </c>
      <c r="AD77" s="34">
        <v>2.537937240132352E-2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15.410925264292706</v>
      </c>
      <c r="AI77" s="14">
        <v>14.605553213490724</v>
      </c>
      <c r="AJ77" s="14">
        <v>14.475071582747363</v>
      </c>
      <c r="AK77" s="246">
        <v>1.0646527843538107</v>
      </c>
      <c r="AL77" s="213">
        <f>IF(U77&gt;0,_xll.xlBondZSpread(F77,H77,G77,J77,K77,L77,M77,D77,U77,"annual",5)*100,"-")</f>
        <v>113.32915781577675</v>
      </c>
      <c r="AM77" s="266">
        <f>(-IF($AL$9="",VLOOKUP(VLOOKUP(E77,'DB Basis'!$D$2:$H$65205,4,0),Bonds!$AR$1:$AS$6,2,0),$AL$9)*VLOOKUP(E77,'DB Basis'!$D$2:$E$65205,2,0))+IF(V77="",W77,V77)</f>
        <v>-47.819064999999995</v>
      </c>
      <c r="AN77" s="275" t="str">
        <f>IF($AN$9+(($AL$9-$AM$9))*('DB Basis'!F236/10-'DB Basis'!E236),," ")</f>
        <v xml:space="preserve"> </v>
      </c>
      <c r="AO77" s="648">
        <f>IF(U77&gt;0,_xll.xlShmImplSwap2(curveName,curveName,D77,G77,,1,8,2,4),"-")</f>
        <v>1.4394581783985989E-2</v>
      </c>
      <c r="AP77" s="649">
        <f t="shared" si="10"/>
        <v>1.0984790617337531E-2</v>
      </c>
      <c r="AQ77" s="391">
        <f t="shared" si="11"/>
        <v>6.5501243220133807</v>
      </c>
      <c r="AR77" s="391">
        <f t="shared" si="12"/>
        <v>2.2425064697137316</v>
      </c>
      <c r="AS77" s="393"/>
      <c r="AT77" s="242">
        <f t="shared" si="13"/>
        <v>2.5031709765688954</v>
      </c>
      <c r="AU77" s="715" t="str">
        <f t="shared" si="8"/>
        <v>BTP  01-Sep-33  2.45</v>
      </c>
      <c r="AV77" s="718">
        <f t="shared" si="14"/>
        <v>0</v>
      </c>
      <c r="AW77" s="702"/>
      <c r="AX77" s="702"/>
      <c r="AY77" s="702"/>
      <c r="AZ77" s="702"/>
      <c r="BA77" s="702"/>
      <c r="BB77" s="704">
        <v>2.537937240132352E-2</v>
      </c>
      <c r="BC77" s="710" t="b">
        <v>1</v>
      </c>
      <c r="BE77" s="721">
        <f>_xll.xlDateShiftMonth(BE76,1)</f>
        <v>45197</v>
      </c>
      <c r="BF77" s="722">
        <v>1.0536387399782247E-2</v>
      </c>
    </row>
    <row r="78" spans="1:58">
      <c r="A78" s="17"/>
      <c r="B78" s="16"/>
      <c r="C78" s="18"/>
      <c r="D78" s="735">
        <f>MAX(_xll.xlDateSettle("TARGET",$D$4,2),L78)</f>
        <v>43164</v>
      </c>
      <c r="E78" s="733" t="s">
        <v>745</v>
      </c>
      <c r="F78" s="13" t="s">
        <v>1202</v>
      </c>
      <c r="G78" s="696">
        <v>49157</v>
      </c>
      <c r="H78" s="37">
        <v>5</v>
      </c>
      <c r="I78" s="11">
        <v>49157</v>
      </c>
      <c r="J78" s="11">
        <v>37834</v>
      </c>
      <c r="K78" s="11">
        <v>38018</v>
      </c>
      <c r="L78" s="11">
        <v>37888</v>
      </c>
      <c r="M78" s="12">
        <v>98.105999999999995</v>
      </c>
      <c r="N78" s="12" t="s">
        <v>1334</v>
      </c>
      <c r="O78" s="12" t="s">
        <v>1203</v>
      </c>
      <c r="P78" s="12" t="s">
        <v>1335</v>
      </c>
      <c r="Q78" s="15">
        <v>25110921000</v>
      </c>
      <c r="R78" s="12"/>
      <c r="S78" s="43">
        <f>_xll.RtGet("IDN",$N78,IF(OR($F78="BTP",$F78="CTZ",$F78="GGB"),S$10,S$9))</f>
        <v>132.5</v>
      </c>
      <c r="T78" s="43">
        <f>_xll.RtGet("IDN",$N78,IF(OR($F78="BTP",$F78="CTZ",$F78="GGB"),T$10,T$9))</f>
        <v>132.76</v>
      </c>
      <c r="U78" s="25">
        <f t="shared" si="15"/>
        <v>132.63</v>
      </c>
      <c r="V78" s="12"/>
      <c r="W78" s="25">
        <f t="shared" si="9"/>
        <v>132.63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0.44198999999999999</v>
      </c>
      <c r="Y78" s="14">
        <v>12.087267646386302</v>
      </c>
      <c r="Z78" s="14">
        <v>-11.784447032789028</v>
      </c>
      <c r="AA78" s="14">
        <v>1.8789230209787418</v>
      </c>
      <c r="AB78" s="14">
        <v>1.7859575315114706</v>
      </c>
      <c r="AC78" s="14">
        <v>15.681804876489025</v>
      </c>
      <c r="AD78" s="34">
        <v>2.5696633255521434E-2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20.322357643349203</v>
      </c>
      <c r="AI78" s="14">
        <v>11.424849085208409</v>
      </c>
      <c r="AJ78" s="14">
        <v>15.203274032183627</v>
      </c>
      <c r="AK78" s="246">
        <v>1.3367092904021225</v>
      </c>
      <c r="AL78" s="213">
        <f>IF(U78&gt;0,_xll.xlBondZSpread(F78,H78,G78,J78,K78,L78,M78,D78,U78,"annual",5)*100,"-")</f>
        <v>119.45669078381988</v>
      </c>
      <c r="AM78" s="266">
        <f>(-IF($AL$9="",VLOOKUP(VLOOKUP(E78,'DB Basis'!$D$2:$H$65205,4,0),Bonds!$AR$1:$AS$6,2,0),$AL$9)*VLOOKUP(E78,'DB Basis'!$D$2:$E$65205,2,0))+IF(V78="",W78,V78)</f>
        <v>-51.370320000000021</v>
      </c>
      <c r="AN78" s="275" t="str">
        <f>IF($AN$9+(($AL$9-$AM$9))*('DB Basis'!F237/10-'DB Basis'!E237),," ")</f>
        <v xml:space="preserve"> </v>
      </c>
      <c r="AO78" s="648">
        <f>IF(U78&gt;0,_xll.xlShmImplSwap2(curveName,curveName,D78,G78,,1,8,2,4),"-")</f>
        <v>1.4731193018746451E-2</v>
      </c>
      <c r="AP78" s="649">
        <f t="shared" si="10"/>
        <v>1.0965440236774983E-2</v>
      </c>
      <c r="AQ78" s="391">
        <f t="shared" si="11"/>
        <v>3.4670722090490558</v>
      </c>
      <c r="AR78" s="391">
        <f t="shared" si="12"/>
        <v>-0.21146373968054025</v>
      </c>
      <c r="AS78" s="393"/>
      <c r="AT78" s="242">
        <f t="shared" si="13"/>
        <v>2.5344624580788264</v>
      </c>
      <c r="AU78" s="714" t="str">
        <f t="shared" si="8"/>
        <v>BTP  01-Aug-34  5</v>
      </c>
      <c r="AV78" s="718">
        <f t="shared" si="14"/>
        <v>-1.4446723597651492E-4</v>
      </c>
      <c r="AW78" s="702"/>
      <c r="AX78" s="702"/>
      <c r="AY78" s="702"/>
      <c r="AZ78" s="702"/>
      <c r="BA78" s="702"/>
      <c r="BB78" s="704">
        <v>2.5841100491497949E-2</v>
      </c>
      <c r="BC78" s="710" t="b">
        <v>0</v>
      </c>
      <c r="BE78" s="721">
        <f>_xll.xlDateShiftMonth(BE77,1)</f>
        <v>45227</v>
      </c>
      <c r="BF78" s="722">
        <v>1.0764528197591482E-2</v>
      </c>
    </row>
    <row r="79" spans="1:58">
      <c r="A79" s="10"/>
      <c r="B79" s="11"/>
      <c r="C79" s="12"/>
      <c r="D79" s="735">
        <f>MAX(_xll.xlDateSettle("TARGET",$D$4,2),L79)</f>
        <v>43164</v>
      </c>
      <c r="E79" s="733" t="s">
        <v>893</v>
      </c>
      <c r="F79" s="13" t="s">
        <v>1202</v>
      </c>
      <c r="G79" s="696">
        <v>49919</v>
      </c>
      <c r="H79" s="37">
        <v>2.25</v>
      </c>
      <c r="I79" s="11">
        <v>49919</v>
      </c>
      <c r="J79" s="11">
        <v>42430</v>
      </c>
      <c r="K79" s="11">
        <v>42614</v>
      </c>
      <c r="L79" s="11">
        <v>42486</v>
      </c>
      <c r="M79" s="12">
        <v>99.367999999999995</v>
      </c>
      <c r="N79" s="12" t="s">
        <v>1336</v>
      </c>
      <c r="O79" s="12" t="s">
        <v>1203</v>
      </c>
      <c r="P79" s="12" t="s">
        <v>1337</v>
      </c>
      <c r="Q79" s="15">
        <v>14900000000</v>
      </c>
      <c r="R79" s="12"/>
      <c r="S79" s="43">
        <f>_xll.RtGet("IDN",$N79,IF(OR($F79="BTP",$F79="CTZ",$F79="GGB"),S$10,S$9))</f>
        <v>94.210000000000008</v>
      </c>
      <c r="T79" s="43">
        <f>_xll.RtGet("IDN",$N79,IF(OR($F79="BTP",$F79="CTZ",$F79="GGB"),T$10,T$9))</f>
        <v>94.460000000000008</v>
      </c>
      <c r="U79" s="25">
        <f t="shared" si="15"/>
        <v>94.335000000000008</v>
      </c>
      <c r="V79" s="12"/>
      <c r="W79" s="25">
        <f t="shared" si="9"/>
        <v>94.335000000000008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2.4459999999999999E-2</v>
      </c>
      <c r="Y79" s="14">
        <v>15.104996260105823</v>
      </c>
      <c r="Z79" s="14">
        <v>-14.714114371672766</v>
      </c>
      <c r="AA79" s="14">
        <v>2.7456894336021538</v>
      </c>
      <c r="AB79" s="14">
        <v>2.6054240827664694</v>
      </c>
      <c r="AC79" s="14">
        <v>13.884167210285625</v>
      </c>
      <c r="AD79" s="34">
        <v>2.6565087056742195E-2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17.615796088921847</v>
      </c>
      <c r="AI79" s="14">
        <v>17.813826146618993</v>
      </c>
      <c r="AJ79" s="14">
        <v>16.809030157288493</v>
      </c>
      <c r="AK79" s="246">
        <v>1.047995983354431</v>
      </c>
      <c r="AL79" s="213">
        <f>IF(U79&gt;0,_xll.xlBondZSpread(F79,H79,G79,J79,K79,L79,M79,D79,U79,"annual",5)*100,"-")</f>
        <v>115.17276391785829</v>
      </c>
      <c r="AM79" s="266">
        <f>(-IF($AL$9="",VLOOKUP(VLOOKUP(E79,'DB Basis'!$D$2:$H$65205,4,0),Bonds!$AR$1:$AS$6,2,0),$AL$9)*VLOOKUP(E79,'DB Basis'!$D$2:$E$65205,2,0))+IF(V79="",W79,V79)</f>
        <v>-67.623615000000001</v>
      </c>
      <c r="AN79" s="275" t="str">
        <f>IF($AN$9+(($AL$9-$AM$9))*('DB Basis'!F238/10-'DB Basis'!E238),," ")</f>
        <v xml:space="preserve"> </v>
      </c>
      <c r="AO79" s="648">
        <f>IF(U79&gt;0,_xll.xlShmImplSwap2(curveName,curveName,D79,G79,,1,8,2,4),"-")</f>
        <v>1.5345660184403713E-2</v>
      </c>
      <c r="AP79" s="649">
        <f t="shared" si="10"/>
        <v>1.1219426872338482E-2</v>
      </c>
      <c r="AQ79" s="391">
        <f t="shared" si="11"/>
        <v>4.1599165019104722</v>
      </c>
      <c r="AR79" s="391">
        <f t="shared" si="12"/>
        <v>1.2166026506650536</v>
      </c>
      <c r="AS79" s="393"/>
      <c r="AT79" s="242">
        <f t="shared" si="13"/>
        <v>2.620118175459504</v>
      </c>
      <c r="AU79" s="715" t="str">
        <f t="shared" si="8"/>
        <v>BTP  01-Sep-36  2.25</v>
      </c>
      <c r="AV79" s="718">
        <f t="shared" si="14"/>
        <v>-1.2353352432553297E-4</v>
      </c>
      <c r="AW79" s="702"/>
      <c r="AX79" s="702"/>
      <c r="AY79" s="702"/>
      <c r="AZ79" s="702"/>
      <c r="BA79" s="702"/>
      <c r="BB79" s="704">
        <v>2.6688620581067728E-2</v>
      </c>
      <c r="BC79" s="710" t="b">
        <v>0</v>
      </c>
      <c r="BE79" s="721">
        <f>_xll.xlDateShiftMonth(BE78,1)</f>
        <v>45258</v>
      </c>
      <c r="BF79" s="722">
        <v>1.1016904525042415E-2</v>
      </c>
    </row>
    <row r="80" spans="1:58">
      <c r="A80" s="17"/>
      <c r="B80" s="16"/>
      <c r="C80" s="18"/>
      <c r="D80" s="735">
        <f>MAX(_xll.xlDateSettle("TARGET",$D$4,2),L80)</f>
        <v>43164</v>
      </c>
      <c r="E80" s="733" t="s">
        <v>746</v>
      </c>
      <c r="F80" s="13" t="s">
        <v>1202</v>
      </c>
      <c r="G80" s="696">
        <v>50072</v>
      </c>
      <c r="H80" s="37">
        <v>4</v>
      </c>
      <c r="I80" s="11">
        <v>50072</v>
      </c>
      <c r="J80" s="11">
        <v>38565</v>
      </c>
      <c r="K80" s="11">
        <v>38749</v>
      </c>
      <c r="L80" s="11">
        <v>38644</v>
      </c>
      <c r="M80" s="12">
        <v>101.289</v>
      </c>
      <c r="N80" s="12" t="s">
        <v>1338</v>
      </c>
      <c r="O80" s="12" t="s">
        <v>1203</v>
      </c>
      <c r="P80" s="12" t="s">
        <v>1339</v>
      </c>
      <c r="Q80" s="15">
        <v>27220798000</v>
      </c>
      <c r="R80" s="12"/>
      <c r="S80" s="43">
        <f>_xll.RtGet("IDN",$N80,IF(OR($F80="BTP",$F80="CTZ",$F80="GGB"),S$10,S$9))</f>
        <v>119.51</v>
      </c>
      <c r="T80" s="43">
        <f>_xll.RtGet("IDN",$N80,IF(OR($F80="BTP",$F80="CTZ",$F80="GGB"),T$10,T$9))</f>
        <v>119.86</v>
      </c>
      <c r="U80" s="25">
        <f t="shared" si="15"/>
        <v>119.685</v>
      </c>
      <c r="V80" s="12"/>
      <c r="W80" s="25">
        <f t="shared" si="9"/>
        <v>119.685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0.35359000000000002</v>
      </c>
      <c r="Y80" s="14">
        <v>13.93914153598255</v>
      </c>
      <c r="Z80" s="14">
        <v>-13.574655461661324</v>
      </c>
      <c r="AA80" s="14">
        <v>2.4816262584307873</v>
      </c>
      <c r="AB80" s="14">
        <v>2.3535419909459656</v>
      </c>
      <c r="AC80" s="14">
        <v>16.294834061005758</v>
      </c>
      <c r="AD80" s="34">
        <v>2.6850484371282089E-2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21.885803380567207</v>
      </c>
      <c r="AI80" s="14">
        <v>14.268028117616712</v>
      </c>
      <c r="AJ80" s="14">
        <v>17.127139773190642</v>
      </c>
      <c r="AK80" s="246">
        <v>1.2778434502429514</v>
      </c>
      <c r="AL80" s="213">
        <f>IF(U80&gt;0,_xll.xlBondZSpread(F80,H80,G80,J80,K80,L80,M80,D80,U80,"annual",5)*100,"-")</f>
        <v>121.96723307954866</v>
      </c>
      <c r="AM80" s="266">
        <f>(-IF($AL$9="",VLOOKUP(VLOOKUP(E80,'DB Basis'!$D$2:$H$65205,4,0),Bonds!$AR$1:$AS$6,2,0),$AL$9)*VLOOKUP(E80,'DB Basis'!$D$2:$E$65205,2,0))+IF(V80="",W80,V80)</f>
        <v>-70.476044999999999</v>
      </c>
      <c r="AN80" s="275" t="str">
        <f>IF($AN$9+(($AL$9-$AM$9))*('DB Basis'!F239/10-'DB Basis'!E239),," ")</f>
        <v xml:space="preserve"> </v>
      </c>
      <c r="AO80" s="648">
        <f>IF(U80&gt;0,_xll.xlShmImplSwap2(curveName,curveName,D80,G80,,1,8,2,4),"-")</f>
        <v>1.5436314499038418E-2</v>
      </c>
      <c r="AP80" s="649">
        <f t="shared" si="10"/>
        <v>1.1414169872243671E-2</v>
      </c>
      <c r="AQ80" s="391">
        <f t="shared" si="11"/>
        <v>6.808498026605311</v>
      </c>
      <c r="AR80" s="391">
        <f t="shared" si="12"/>
        <v>4.6458297363002696</v>
      </c>
      <c r="AS80" s="393"/>
      <c r="AT80" s="242">
        <f t="shared" si="13"/>
        <v>2.6482669516880963</v>
      </c>
      <c r="AU80" s="714" t="str">
        <f t="shared" si="8"/>
        <v>BTP  01-Feb-37  4</v>
      </c>
      <c r="AV80" s="718">
        <f t="shared" si="14"/>
        <v>0</v>
      </c>
      <c r="AW80" s="702"/>
      <c r="AX80" s="702"/>
      <c r="AY80" s="702"/>
      <c r="AZ80" s="702"/>
      <c r="BA80" s="702"/>
      <c r="BB80" s="704">
        <v>2.6850484371282089E-2</v>
      </c>
      <c r="BC80" s="710" t="b">
        <v>1</v>
      </c>
      <c r="BE80" s="721">
        <f>_xll.xlDateShiftMonth(BE79,1)</f>
        <v>45288</v>
      </c>
      <c r="BF80" s="722">
        <v>1.12742562352621E-2</v>
      </c>
    </row>
    <row r="81" spans="1:58">
      <c r="A81" s="10"/>
      <c r="B81" s="11"/>
      <c r="C81" s="12"/>
      <c r="D81" s="735">
        <f>MAX(_xll.xlDateSettle("TARGET",$D$4,2),L81)</f>
        <v>43164</v>
      </c>
      <c r="E81" s="733" t="s">
        <v>2010</v>
      </c>
      <c r="F81" s="13" t="s">
        <v>1202</v>
      </c>
      <c r="G81" s="696">
        <v>50649</v>
      </c>
      <c r="H81" s="37">
        <v>2.95</v>
      </c>
      <c r="I81" s="11">
        <v>50649</v>
      </c>
      <c r="J81" s="11">
        <v>42979</v>
      </c>
      <c r="K81" s="11">
        <v>43160</v>
      </c>
      <c r="L81" s="11">
        <v>43117</v>
      </c>
      <c r="M81" s="12">
        <v>999</v>
      </c>
      <c r="N81" s="12" t="s">
        <v>2011</v>
      </c>
      <c r="O81" s="12" t="s">
        <v>1222</v>
      </c>
      <c r="P81" s="12" t="s">
        <v>2012</v>
      </c>
      <c r="Q81" s="15">
        <v>9000000000</v>
      </c>
      <c r="R81" s="12"/>
      <c r="S81" s="43">
        <f>_xll.RtGet("IDN",$N81,IF(OR($F81="BTP",$F81="CTZ",$F81="GGB"),S$10,S$9))</f>
        <v>102.24000000000001</v>
      </c>
      <c r="T81" s="43">
        <f>_xll.RtGet("IDN",$N81,IF(OR($F81="BTP",$F81="CTZ",$F81="GGB"),T$10,T$9))</f>
        <v>102.60000000000001</v>
      </c>
      <c r="U81" s="25">
        <f t="shared" si="15"/>
        <v>102.42000000000002</v>
      </c>
      <c r="V81" s="12"/>
      <c r="W81" s="25">
        <f t="shared" si="9"/>
        <v>102.42000000000002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3.2070000000000001E-2</v>
      </c>
      <c r="Y81" s="14">
        <v>15.585949582153621</v>
      </c>
      <c r="Z81" s="14">
        <v>-15.159442539610666</v>
      </c>
      <c r="AA81" s="14">
        <v>3.0362911792643277</v>
      </c>
      <c r="AB81" s="14">
        <v>2.8723896042819463</v>
      </c>
      <c r="AC81" s="14">
        <v>15.531172888312739</v>
      </c>
      <c r="AD81" s="34">
        <v>2.8134744460793525E-2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22.559811937424893</v>
      </c>
      <c r="AI81" s="14">
        <v>17.850388258647783</v>
      </c>
      <c r="AJ81" s="14">
        <v>18.288092274021611</v>
      </c>
      <c r="AK81" s="246">
        <v>1.2335792929846106</v>
      </c>
      <c r="AL81" s="213">
        <f>IF(U81&gt;0,_xll.xlBondZSpread(F81,H81,G81,J81,K81,L81,M81,D81,U81,"annual",5)*100,"-")</f>
        <v>129.4608541068331</v>
      </c>
      <c r="AM81" s="266" t="e">
        <f>(-IF($AL$9="",VLOOKUP(VLOOKUP(E81,'DB Basis'!$D$2:$H$65205,4,0),Bonds!$AR$1:$AS$6,2,0),$AL$9)*VLOOKUP(E81,'DB Basis'!$D$2:$E$65205,2,0))+IF(V81="",W81,V81)</f>
        <v>#N/A</v>
      </c>
      <c r="AN81" s="275" t="str">
        <f>IF($AN$9+(($AL$9-$AM$9))*('DB Basis'!F240/10-'DB Basis'!E240),," ")</f>
        <v xml:space="preserve"> </v>
      </c>
      <c r="AO81" s="648">
        <f>IF(U81&gt;0,_xll.xlShmImplSwap2(curveName,curveName,D81,G81,,1,8,2,4),"-")</f>
        <v>1.5702381668527568E-2</v>
      </c>
      <c r="AP81" s="649">
        <f t="shared" si="10"/>
        <v>1.2432362792265957E-2</v>
      </c>
      <c r="AQ81" s="391">
        <f t="shared" si="11"/>
        <v>8.1240022993357695</v>
      </c>
      <c r="AR81" s="391">
        <f t="shared" si="12"/>
        <v>6.4409084195517172</v>
      </c>
      <c r="AS81" s="393"/>
      <c r="AT81" s="242">
        <f t="shared" si="13"/>
        <v>2.7749337002426486</v>
      </c>
      <c r="AU81" s="714" t="str">
        <f t="shared" si="8"/>
        <v>BTP  01-Sep-38  2.95</v>
      </c>
      <c r="AV81" s="718">
        <f t="shared" si="14"/>
        <v>6.7752937664227603E-4</v>
      </c>
      <c r="AW81" s="702"/>
      <c r="AX81" s="702"/>
      <c r="AY81" s="702"/>
      <c r="AZ81" s="702"/>
      <c r="BA81" s="702"/>
      <c r="BB81" s="704">
        <v>2.7457215084151249E-2</v>
      </c>
      <c r="BC81" s="710" t="b">
        <v>0</v>
      </c>
      <c r="BE81" s="721">
        <f>_xll.xlDateShiftMonth(BE80,1)</f>
        <v>45319</v>
      </c>
      <c r="BF81" s="722">
        <v>1.1550549409182272E-2</v>
      </c>
    </row>
    <row r="82" spans="1:58">
      <c r="A82" s="17"/>
      <c r="B82" s="16"/>
      <c r="C82" s="18"/>
      <c r="D82" s="735">
        <f>MAX(_xll.xlDateSettle("TARGET",$D$4,2),L82)</f>
        <v>43164</v>
      </c>
      <c r="E82" s="733" t="s">
        <v>747</v>
      </c>
      <c r="F82" s="13" t="s">
        <v>1202</v>
      </c>
      <c r="G82" s="696">
        <v>50983</v>
      </c>
      <c r="H82" s="37">
        <v>5</v>
      </c>
      <c r="I82" s="11">
        <v>50983</v>
      </c>
      <c r="J82" s="11">
        <v>39295</v>
      </c>
      <c r="K82" s="11">
        <v>39479</v>
      </c>
      <c r="L82" s="11">
        <v>39378</v>
      </c>
      <c r="M82" s="12">
        <v>99.98</v>
      </c>
      <c r="N82" s="12" t="s">
        <v>1340</v>
      </c>
      <c r="O82" s="12" t="s">
        <v>1203</v>
      </c>
      <c r="P82" s="12" t="s">
        <v>1341</v>
      </c>
      <c r="Q82" s="15">
        <v>22520265000</v>
      </c>
      <c r="R82" s="12"/>
      <c r="S82" s="43">
        <f>_xll.RtGet("IDN",$N82,IF(OR($F82="BTP",$F82="CTZ",$F82="GGB"),S$10,S$9))</f>
        <v>134.42000000000002</v>
      </c>
      <c r="T82" s="43">
        <f>_xll.RtGet("IDN",$N82,IF(OR($F82="BTP",$F82="CTZ",$F82="GGB"),T$10,T$9))</f>
        <v>134.78</v>
      </c>
      <c r="U82" s="25">
        <f t="shared" si="15"/>
        <v>134.60000000000002</v>
      </c>
      <c r="V82" s="12"/>
      <c r="W82" s="25">
        <f t="shared" si="9"/>
        <v>134.60000000000002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0.44198999999999999</v>
      </c>
      <c r="Y82" s="14">
        <v>14.529293177531946</v>
      </c>
      <c r="Z82" s="14">
        <v>-14.126229006479388</v>
      </c>
      <c r="AA82" s="14">
        <v>2.804052063009594</v>
      </c>
      <c r="AB82" s="14">
        <v>2.6506328960524033</v>
      </c>
      <c r="AC82" s="14">
        <v>19.076353307173122</v>
      </c>
      <c r="AD82" s="34">
        <v>2.8533033894088025E-2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29.375360049522481</v>
      </c>
      <c r="AI82" s="14">
        <v>14.029586335593226</v>
      </c>
      <c r="AJ82" s="14">
        <v>18.945832576353176</v>
      </c>
      <c r="AK82" s="246">
        <v>1.5504919053378883</v>
      </c>
      <c r="AL82" s="213">
        <f>IF(U82&gt;0,_xll.xlBondZSpread(F82,H82,G82,J82,K82,L82,M82,D82,U82,"annual",5)*100,"-")</f>
        <v>137.04391140421924</v>
      </c>
      <c r="AM82" s="266">
        <f>(-IF($AL$9="",VLOOKUP(VLOOKUP(E82,'DB Basis'!$D$2:$H$65205,4,0),Bonds!$AR$1:$AS$6,2,0),$AL$9)*VLOOKUP(E82,'DB Basis'!$D$2:$E$65205,2,0))+IF(V82="",W82,V82)</f>
        <v>-88.281339999999972</v>
      </c>
      <c r="AN82" s="275" t="str">
        <f>IF($AN$9+(($AL$9-$AM$9))*('DB Basis'!F241/10-'DB Basis'!E241),," ")</f>
        <v xml:space="preserve"> </v>
      </c>
      <c r="AO82" s="648">
        <f>IF(U82&gt;0,_xll.xlShmImplSwap2(curveName,curveName,D82,G82,,1,8,2,4),"-")</f>
        <v>1.5814248267767707E-2</v>
      </c>
      <c r="AP82" s="649">
        <f t="shared" si="10"/>
        <v>1.2718785626320318E-2</v>
      </c>
      <c r="AQ82" s="391">
        <f t="shared" si="11"/>
        <v>4.3525641662422965</v>
      </c>
      <c r="AR82" s="391">
        <f t="shared" si="12"/>
        <v>3.1300698931090429</v>
      </c>
      <c r="AS82" s="393"/>
      <c r="AT82" s="242">
        <f t="shared" si="13"/>
        <v>2.814217041608682</v>
      </c>
      <c r="AU82" s="714" t="str">
        <f t="shared" si="8"/>
        <v>BTP  01-Aug-39  5</v>
      </c>
      <c r="AV82" s="718">
        <f t="shared" si="14"/>
        <v>7.33502654926943E-4</v>
      </c>
      <c r="AW82" s="702"/>
      <c r="AX82" s="702"/>
      <c r="AY82" s="702"/>
      <c r="AZ82" s="702"/>
      <c r="BA82" s="702"/>
      <c r="BB82" s="704">
        <v>2.7799531239161082E-2</v>
      </c>
      <c r="BC82" s="710" t="b">
        <v>0</v>
      </c>
      <c r="BE82" s="721">
        <f>_xll.xlDateShiftMonth(BE81,1)</f>
        <v>45350</v>
      </c>
      <c r="BF82" s="722">
        <v>1.1834156419934721E-2</v>
      </c>
    </row>
    <row r="83" spans="1:58">
      <c r="A83" s="10"/>
      <c r="B83" s="11"/>
      <c r="C83" s="12"/>
      <c r="D83" s="735">
        <f>MAX(_xll.xlDateSettle("TARGET",$D$4,2),L83)</f>
        <v>43164</v>
      </c>
      <c r="E83" s="733" t="s">
        <v>748</v>
      </c>
      <c r="F83" s="13" t="s">
        <v>1202</v>
      </c>
      <c r="G83" s="696">
        <v>51380</v>
      </c>
      <c r="H83" s="37">
        <v>5</v>
      </c>
      <c r="I83" s="11">
        <v>51380</v>
      </c>
      <c r="J83" s="11">
        <v>40057</v>
      </c>
      <c r="K83" s="11">
        <v>40238</v>
      </c>
      <c r="L83" s="11">
        <v>40072</v>
      </c>
      <c r="M83" s="12">
        <v>98.186000000000007</v>
      </c>
      <c r="N83" s="12" t="s">
        <v>1342</v>
      </c>
      <c r="O83" s="12" t="s">
        <v>1203</v>
      </c>
      <c r="P83" s="12" t="s">
        <v>1343</v>
      </c>
      <c r="Q83" s="15">
        <v>22152355000</v>
      </c>
      <c r="R83" s="12"/>
      <c r="S83" s="43">
        <f>_xll.RtGet("IDN",$N83,IF(OR($F83="BTP",$F83="CTZ",$F83="GGB"),S$10,S$9))</f>
        <v>134.01</v>
      </c>
      <c r="T83" s="43">
        <f>_xll.RtGet("IDN",$N83,IF(OR($F83="BTP",$F83="CTZ",$F83="GGB"),T$10,T$9))</f>
        <v>134.4</v>
      </c>
      <c r="U83" s="25">
        <f t="shared" si="15"/>
        <v>134.20499999999998</v>
      </c>
      <c r="V83" s="12"/>
      <c r="W83" s="25">
        <f t="shared" si="9"/>
        <v>134.20499999999998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5.4350000000000002E-2</v>
      </c>
      <c r="Y83" s="14">
        <v>15.023897360697321</v>
      </c>
      <c r="Z83" s="14">
        <v>-14.595337842199683</v>
      </c>
      <c r="AA83" s="14">
        <v>3.0144110174016703</v>
      </c>
      <c r="AB83" s="14">
        <v>2.8448905120449015</v>
      </c>
      <c r="AC83" s="14">
        <v>19.595619647613205</v>
      </c>
      <c r="AD83" s="34">
        <v>2.9362767968921268E-2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32.125304820322931</v>
      </c>
      <c r="AI83" s="14">
        <v>14.685552640946646</v>
      </c>
      <c r="AJ83" s="14">
        <v>19.716727519642799</v>
      </c>
      <c r="AK83" s="246">
        <v>1.6293426375303952</v>
      </c>
      <c r="AL83" s="213">
        <f>IF(U83&gt;0,_xll.xlBondZSpread(F83,H83,G83,J83,K83,L83,M83,D83,U83,"annual",5)*100,"-")</f>
        <v>144.12428654555504</v>
      </c>
      <c r="AM83" s="266">
        <f>(-IF($AL$9="",VLOOKUP(VLOOKUP(E83,'DB Basis'!$D$2:$H$65205,4,0),Bonds!$AR$1:$AS$6,2,0),$AL$9)*VLOOKUP(E83,'DB Basis'!$D$2:$E$65205,2,0))+IF(V83="",W83,V83)</f>
        <v>-93.331109999999995</v>
      </c>
      <c r="AN83" s="275" t="str">
        <f>IF($AN$9+(($AL$9-$AM$9))*('DB Basis'!F243/10-'DB Basis'!E243),," ")</f>
        <v xml:space="preserve"> </v>
      </c>
      <c r="AO83" s="648">
        <f>IF(U83&gt;0,_xll.xlShmImplSwap2(curveName,curveName,D83,G83,,1,8,2,4),"-")</f>
        <v>1.591426266809667E-2</v>
      </c>
      <c r="AP83" s="649">
        <f t="shared" si="10"/>
        <v>1.3448505300824597E-2</v>
      </c>
      <c r="AQ83" s="391">
        <f t="shared" si="11"/>
        <v>7.6285374638320773</v>
      </c>
      <c r="AR83" s="391">
        <f t="shared" si="12"/>
        <v>6.709009601865537</v>
      </c>
      <c r="AS83" s="393"/>
      <c r="AT83" s="242">
        <f t="shared" si="13"/>
        <v>2.8960538270716865</v>
      </c>
      <c r="AU83" s="714" t="str">
        <f t="shared" si="8"/>
        <v>BTP  01-Sep-40  5</v>
      </c>
      <c r="AV83" s="718">
        <f t="shared" si="14"/>
        <v>1.163792651594886E-3</v>
      </c>
      <c r="AW83" s="702"/>
      <c r="AX83" s="702"/>
      <c r="AY83" s="702"/>
      <c r="AZ83" s="702"/>
      <c r="BA83" s="702"/>
      <c r="BB83" s="704">
        <v>2.8198975317326382E-2</v>
      </c>
      <c r="BC83" s="710" t="b">
        <v>0</v>
      </c>
      <c r="BE83" s="721">
        <f>_xll.xlDateShiftMonth(BE82,1)</f>
        <v>45379</v>
      </c>
      <c r="BF83" s="722">
        <v>1.2103204854302831E-2</v>
      </c>
    </row>
    <row r="84" spans="1:58">
      <c r="A84" s="17"/>
      <c r="B84" s="16"/>
      <c r="C84" s="18"/>
      <c r="D84" s="735">
        <f>MAX(_xll.xlDateSettle("TARGET",$D$4,2),L84)</f>
        <v>43164</v>
      </c>
      <c r="E84" s="733" t="s">
        <v>749</v>
      </c>
      <c r="F84" s="13" t="s">
        <v>1202</v>
      </c>
      <c r="G84" s="696">
        <v>52841</v>
      </c>
      <c r="H84" s="37">
        <v>4.75</v>
      </c>
      <c r="I84" s="11">
        <v>52841</v>
      </c>
      <c r="J84" s="11">
        <v>41334</v>
      </c>
      <c r="K84" s="11">
        <v>41518</v>
      </c>
      <c r="L84" s="11">
        <v>41416</v>
      </c>
      <c r="M84" s="12">
        <v>97.221000000000004</v>
      </c>
      <c r="N84" s="12" t="s">
        <v>1344</v>
      </c>
      <c r="O84" s="12" t="s">
        <v>1222</v>
      </c>
      <c r="P84" s="12" t="s">
        <v>1345</v>
      </c>
      <c r="Q84" s="15">
        <v>17119363000</v>
      </c>
      <c r="R84" s="12"/>
      <c r="S84" s="43">
        <f>_xll.RtGet("IDN",$N84,IF(OR($F84="BTP",$F84="CTZ",$F84="GGB"),S$10,S$9))</f>
        <v>131.92000000000002</v>
      </c>
      <c r="T84" s="43">
        <f>_xll.RtGet("IDN",$N84,IF(OR($F84="BTP",$F84="CTZ",$F84="GGB"),T$10,T$9))</f>
        <v>132.47</v>
      </c>
      <c r="U84" s="25">
        <f t="shared" si="15"/>
        <v>132.19499999999999</v>
      </c>
      <c r="V84" s="12"/>
      <c r="W84" s="25">
        <f t="shared" si="9"/>
        <v>132.19499999999999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5.1630000000000002E-2</v>
      </c>
      <c r="Y84" s="14">
        <v>16.853716131499159</v>
      </c>
      <c r="Z84" s="14">
        <v>-16.361993374892712</v>
      </c>
      <c r="AA84" s="14">
        <v>3.8698829254733154</v>
      </c>
      <c r="AB84" s="14">
        <v>3.6473622762739071</v>
      </c>
      <c r="AC84" s="14">
        <v>21.638205040807179</v>
      </c>
      <c r="AD84" s="34">
        <v>3.0052741456265228E-2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37.390837491938662</v>
      </c>
      <c r="AI84" s="14">
        <v>16.949981913422842</v>
      </c>
      <c r="AJ84" s="14">
        <v>22.415779866111222</v>
      </c>
      <c r="AK84" s="246">
        <v>1.6680587387667534</v>
      </c>
      <c r="AL84" s="213">
        <f>IF(U84&gt;0,_xll.xlBondZSpread(F84,H84,G84,J84,K84,L84,M84,D84,U84,"annual",5)*100,"-")</f>
        <v>148.19421389387841</v>
      </c>
      <c r="AM84" s="266">
        <f>(-IF($AL$9="",VLOOKUP(VLOOKUP(E84,'DB Basis'!$D$2:$H$65205,4,0),Bonds!$AR$1:$AS$6,2,0),$AL$9)*VLOOKUP(E84,'DB Basis'!$D$2:$E$65205,2,0))+IF(V84="",W84,V84)</f>
        <v>-117.51972000000001</v>
      </c>
      <c r="AN84" s="275" t="str">
        <f>IF($AN$9+(($AL$9-$AM$9))*('DB Basis'!F244/10-'DB Basis'!E244),," ")</f>
        <v xml:space="preserve"> </v>
      </c>
      <c r="AO84" s="648">
        <f>IF(U84&gt;0,_xll.xlShmImplSwap2(curveName,curveName,D84,G84,,1,8,2,4),"-")</f>
        <v>1.6062881505301385E-2</v>
      </c>
      <c r="AP84" s="649">
        <f t="shared" si="10"/>
        <v>1.3989859950963843E-2</v>
      </c>
      <c r="AQ84" s="391">
        <f t="shared" si="11"/>
        <v>1.7237530655752602</v>
      </c>
      <c r="AR84" s="391">
        <f t="shared" si="12"/>
        <v>1.3524602826887375</v>
      </c>
      <c r="AS84" s="393"/>
      <c r="AT84" s="242">
        <f t="shared" si="13"/>
        <v>2.9641060066453373</v>
      </c>
      <c r="AU84" s="714" t="str">
        <f t="shared" si="8"/>
        <v>BTP  01-Sep-44  4.75</v>
      </c>
      <c r="AV84" s="718">
        <f t="shared" si="14"/>
        <v>4.3703983350180248E-4</v>
      </c>
      <c r="AW84" s="702"/>
      <c r="AX84" s="702"/>
      <c r="AY84" s="702"/>
      <c r="AZ84" s="702"/>
      <c r="BA84" s="702"/>
      <c r="BB84" s="704">
        <v>2.9615701622763425E-2</v>
      </c>
      <c r="BC84" s="710" t="b">
        <v>0</v>
      </c>
      <c r="BE84" s="721">
        <f>_xll.xlDateShiftMonth(BE83,1)</f>
        <v>45410</v>
      </c>
      <c r="BF84" s="722">
        <v>1.2391723422607921E-2</v>
      </c>
    </row>
    <row r="85" spans="1:58">
      <c r="A85" s="10"/>
      <c r="B85" s="11"/>
      <c r="C85" s="12"/>
      <c r="D85" s="735">
        <f>MAX(_xll.xlDateSettle("TARGET",$D$4,2),L85)</f>
        <v>43164</v>
      </c>
      <c r="E85" s="733" t="s">
        <v>615</v>
      </c>
      <c r="F85" s="13" t="s">
        <v>1202</v>
      </c>
      <c r="G85" s="696">
        <v>53571</v>
      </c>
      <c r="H85" s="37">
        <v>3.25</v>
      </c>
      <c r="I85" s="11">
        <v>53571</v>
      </c>
      <c r="J85" s="11">
        <v>41883</v>
      </c>
      <c r="K85" s="11">
        <v>42064</v>
      </c>
      <c r="L85" s="11">
        <v>42026</v>
      </c>
      <c r="M85" s="12">
        <v>99.706999999999994</v>
      </c>
      <c r="N85" s="12" t="s">
        <v>1346</v>
      </c>
      <c r="O85" s="12" t="s">
        <v>1203</v>
      </c>
      <c r="P85" s="12" t="s">
        <v>1347</v>
      </c>
      <c r="Q85" s="15">
        <v>15552825000</v>
      </c>
      <c r="R85" s="12"/>
      <c r="S85" s="43">
        <f>_xll.RtGet("IDN",$N85,IF(OR($F85="BTP",$F85="CTZ",$F85="GGB"),S$10,S$9))</f>
        <v>105.38</v>
      </c>
      <c r="T85" s="43">
        <f>_xll.RtGet("IDN",$N85,IF(OR($F85="BTP",$F85="CTZ",$F85="GGB"),T$10,T$9))</f>
        <v>105.65</v>
      </c>
      <c r="U85" s="25">
        <f t="shared" si="15"/>
        <v>105.515</v>
      </c>
      <c r="V85" s="12"/>
      <c r="W85" s="25">
        <f t="shared" si="9"/>
        <v>105.515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3.533E-2</v>
      </c>
      <c r="Y85" s="14">
        <v>19.071188707410368</v>
      </c>
      <c r="Z85" s="14">
        <v>-18.518687026684148</v>
      </c>
      <c r="AA85" s="14">
        <v>4.8304151148239933</v>
      </c>
      <c r="AB85" s="14">
        <v>4.5545902454372351</v>
      </c>
      <c r="AC85" s="14">
        <v>19.546557217301341</v>
      </c>
      <c r="AD85" s="34">
        <v>2.9834819085268627E-2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32.984459852254311</v>
      </c>
      <c r="AI85" s="14">
        <v>22.457690280860579</v>
      </c>
      <c r="AJ85" s="14">
        <v>23.704166201826268</v>
      </c>
      <c r="AK85" s="246">
        <v>1.3915047494778812</v>
      </c>
      <c r="AL85" s="213">
        <f>IF(U85&gt;0,_xll.xlBondZSpread(F85,H85,G85,J85,K85,L85,M85,D85,U85,"annual",5)*100,"-")</f>
        <v>142.81587617120951</v>
      </c>
      <c r="AM85" s="266">
        <f>(-IF($AL$9="",VLOOKUP(VLOOKUP(E85,'DB Basis'!$D$2:$H$65205,4,0),Bonds!$AR$1:$AS$6,2,0),$AL$9)*VLOOKUP(E85,'DB Basis'!$D$2:$E$65205,2,0))+IF(V85="",W85,V85)</f>
        <v>-118.46157999999998</v>
      </c>
      <c r="AN85" s="275" t="str">
        <f>IF($AN$9+(($AL$9-$AM$9))*('DB Basis'!F245/10-'DB Basis'!E245),," ")</f>
        <v xml:space="preserve"> </v>
      </c>
      <c r="AO85" s="648">
        <f>IF(U85&gt;0,_xll.xlShmImplSwap2(curveName,curveName,D85,G85,,1,8,2,4),"-")</f>
        <v>1.607993436453567E-2</v>
      </c>
      <c r="AP85" s="649">
        <f t="shared" si="10"/>
        <v>1.3754884720732958E-2</v>
      </c>
      <c r="AQ85" s="391">
        <f t="shared" si="11"/>
        <v>-1.0896118549830016</v>
      </c>
      <c r="AR85" s="391">
        <f t="shared" si="12"/>
        <v>-1.1748761511544241</v>
      </c>
      <c r="AS85" s="393"/>
      <c r="AT85" s="242">
        <f t="shared" si="13"/>
        <v>2.942612293341563</v>
      </c>
      <c r="AU85" s="714" t="str">
        <f t="shared" si="8"/>
        <v>BTP  01-Sep-46  3.25</v>
      </c>
      <c r="AV85" s="718">
        <f t="shared" si="14"/>
        <v>-4.6873521367310489E-4</v>
      </c>
      <c r="AW85" s="702"/>
      <c r="AX85" s="702"/>
      <c r="AY85" s="702"/>
      <c r="AZ85" s="702"/>
      <c r="BA85" s="702"/>
      <c r="BB85" s="704">
        <v>3.0303554298941732E-2</v>
      </c>
      <c r="BC85" s="710" t="b">
        <v>0</v>
      </c>
      <c r="BE85" s="721">
        <f>_xll.xlDateShiftMonth(BE84,1)</f>
        <v>45440</v>
      </c>
      <c r="BF85" s="722">
        <v>1.2668836847962392E-2</v>
      </c>
    </row>
    <row r="86" spans="1:58">
      <c r="A86" s="17"/>
      <c r="B86" s="16"/>
      <c r="C86" s="18"/>
      <c r="D86" s="735">
        <f>MAX(_xll.xlDateSettle("TARGET",$D$4,2),L86)</f>
        <v>43164</v>
      </c>
      <c r="E86" s="733" t="s">
        <v>822</v>
      </c>
      <c r="F86" s="13" t="s">
        <v>1202</v>
      </c>
      <c r="G86" s="696">
        <v>53752</v>
      </c>
      <c r="H86" s="37">
        <v>2.7</v>
      </c>
      <c r="I86" s="11">
        <v>53752</v>
      </c>
      <c r="J86" s="11">
        <v>42409</v>
      </c>
      <c r="K86" s="11">
        <v>42430</v>
      </c>
      <c r="L86" s="11">
        <v>42409</v>
      </c>
      <c r="M86" s="12">
        <v>99.182000000000002</v>
      </c>
      <c r="N86" s="12" t="s">
        <v>1348</v>
      </c>
      <c r="O86" s="12" t="s">
        <v>1203</v>
      </c>
      <c r="P86" s="12" t="s">
        <v>1349</v>
      </c>
      <c r="Q86" s="15">
        <v>15711894000</v>
      </c>
      <c r="R86" s="12"/>
      <c r="S86" s="43">
        <f>_xll.RtGet("IDN",$N86,IF(OR($F86="BTP",$F86="CTZ",$F86="GGB"),S$10,S$9))</f>
        <v>94.66</v>
      </c>
      <c r="T86" s="43">
        <f>_xll.RtGet("IDN",$N86,IF(OR($F86="BTP",$F86="CTZ",$F86="GGB"),T$10,T$9))</f>
        <v>94.94</v>
      </c>
      <c r="U86" s="25">
        <f t="shared" si="15"/>
        <v>94.8</v>
      </c>
      <c r="V86" s="12"/>
      <c r="W86" s="25">
        <f t="shared" si="9"/>
        <v>94.8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2.9350000000000001E-2</v>
      </c>
      <c r="Y86" s="14">
        <v>20.01089390209393</v>
      </c>
      <c r="Z86" s="14">
        <v>-19.429812105332491</v>
      </c>
      <c r="AA86" s="14">
        <v>5.2332864058688324</v>
      </c>
      <c r="AB86" s="14">
        <v>4.9337680274445344</v>
      </c>
      <c r="AC86" s="14">
        <v>18.425186539363381</v>
      </c>
      <c r="AD86" s="34">
        <v>2.9906710867888393E-2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31.200797058687332</v>
      </c>
      <c r="AI86" s="14">
        <v>25.322287077852131</v>
      </c>
      <c r="AJ86" s="14">
        <v>24.012960241061169</v>
      </c>
      <c r="AK86" s="246">
        <v>1.2993315586861822</v>
      </c>
      <c r="AL86" s="213">
        <f>IF(U86&gt;0,_xll.xlBondZSpread(F86,H86,G86,J86,K86,L86,M86,D86,U86,"annual",5)*100,"-")</f>
        <v>142.36961959434095</v>
      </c>
      <c r="AM86" s="266">
        <f>(-IF($AL$9="",VLOOKUP(VLOOKUP(E86,'DB Basis'!$D$2:$H$65205,4,0),Bonds!$AR$1:$AS$6,2,0),$AL$9)*VLOOKUP(E86,'DB Basis'!$D$2:$E$65205,2,0))+IF(V86="",W86,V86)</f>
        <v>-115.62298499999999</v>
      </c>
      <c r="AN86" s="275" t="str">
        <f>IF($AN$9+(($AL$9-$AM$9))*('DB Basis'!F246/10-'DB Basis'!E246),," ")</f>
        <v xml:space="preserve"> </v>
      </c>
      <c r="AO86" s="648">
        <f>IF(U86&gt;0,_xll.xlShmImplSwap2(curveName,curveName,D86,G86,,1,8,2,4),"-")</f>
        <v>1.6080082217302314E-2</v>
      </c>
      <c r="AP86" s="649">
        <f t="shared" si="10"/>
        <v>1.3826628650586079E-2</v>
      </c>
      <c r="AQ86" s="391">
        <f t="shared" si="11"/>
        <v>1.449751417470402</v>
      </c>
      <c r="AR86" s="391">
        <f t="shared" si="12"/>
        <v>1.4467698561540914</v>
      </c>
      <c r="AS86" s="393"/>
      <c r="AT86" s="242">
        <f t="shared" si="13"/>
        <v>2.9497029897095404</v>
      </c>
      <c r="AU86" s="756" t="str">
        <f t="shared" si="8"/>
        <v>BTP  01-Mar-47  2.7</v>
      </c>
      <c r="AV86" s="758">
        <f t="shared" si="14"/>
        <v>-5.6640212877795415E-4</v>
      </c>
      <c r="AW86" s="702"/>
      <c r="AX86" s="702"/>
      <c r="AY86" s="702"/>
      <c r="AZ86" s="702"/>
      <c r="BA86" s="702"/>
      <c r="BB86" s="704">
        <v>3.0473112996666347E-2</v>
      </c>
      <c r="BC86" s="710" t="b">
        <v>0</v>
      </c>
      <c r="BE86" s="721">
        <f>_xll.xlDateShiftMonth(BE85,1)</f>
        <v>45471</v>
      </c>
      <c r="BF86" s="722">
        <v>1.2949852157085461E-2</v>
      </c>
    </row>
    <row r="87" spans="1:58">
      <c r="A87" s="10"/>
      <c r="B87" s="11"/>
      <c r="C87" s="12"/>
      <c r="D87" s="735">
        <f>MAX(_xll.xlDateSettle("TARGET",$D$4,2),L87)</f>
        <v>43164</v>
      </c>
      <c r="E87" s="733" t="s">
        <v>1657</v>
      </c>
      <c r="F87" s="13" t="s">
        <v>1202</v>
      </c>
      <c r="G87" s="696">
        <v>54118</v>
      </c>
      <c r="H87" s="37">
        <v>3.45</v>
      </c>
      <c r="I87" s="11">
        <v>54118</v>
      </c>
      <c r="J87" s="11">
        <v>42795</v>
      </c>
      <c r="K87" s="11">
        <v>42979</v>
      </c>
      <c r="L87" s="11">
        <v>42900</v>
      </c>
      <c r="M87" s="12">
        <v>98.956000000000003</v>
      </c>
      <c r="N87" s="12" t="s">
        <v>1350</v>
      </c>
      <c r="O87" s="12" t="s">
        <v>1222</v>
      </c>
      <c r="P87" s="12" t="s">
        <v>1351</v>
      </c>
      <c r="Q87" s="15">
        <v>10463000000</v>
      </c>
      <c r="R87" s="12"/>
      <c r="S87" s="43">
        <f>_xll.RtGet("IDN",$N87,IF(OR($F87="BTP",$F87="CTZ",$F87="GGB"),S$10,S$9))</f>
        <v>107.46000000000001</v>
      </c>
      <c r="T87" s="43">
        <f>_xll.RtGet("IDN",$N87,IF(OR($F87="BTP",$F87="CTZ",$F87="GGB"),T$10,T$9))</f>
        <v>107.84</v>
      </c>
      <c r="U87" s="25">
        <f t="shared" si="15"/>
        <v>107.65</v>
      </c>
      <c r="V87" s="12"/>
      <c r="W87" s="25">
        <f t="shared" si="9"/>
        <v>107.65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3.7499999999999999E-2</v>
      </c>
      <c r="Y87" s="14">
        <v>19.346963924767543</v>
      </c>
      <c r="Z87" s="14">
        <v>-18.768600557905565</v>
      </c>
      <c r="AA87" s="14">
        <v>5.0633689590492335</v>
      </c>
      <c r="AB87" s="14">
        <v>4.7651624873365757</v>
      </c>
      <c r="AC87" s="14">
        <v>20.211461094769589</v>
      </c>
      <c r="AD87" s="34">
        <v>3.0815475891028211E-2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37.229623367126216</v>
      </c>
      <c r="AI87" s="14">
        <v>22.879637668960363</v>
      </c>
      <c r="AJ87" s="14">
        <v>24.638509814761694</v>
      </c>
      <c r="AK87" s="246">
        <v>1.511033891539203</v>
      </c>
      <c r="AL87" s="213">
        <f>IF(U87&gt;0,_xll.xlBondZSpread(F87,H87,G87,J87,K87,L87,M87,D87,U87,"annual",5)*100,"-")</f>
        <v>152.94998402827881</v>
      </c>
      <c r="AM87" s="266">
        <f>(-IF($AL$9="",VLOOKUP(VLOOKUP(E87,'DB Basis'!$D$2:$H$65205,4,0),Bonds!$AR$1:$AS$6,2,0),$AL$9)*VLOOKUP(E87,'DB Basis'!$D$2:$E$65205,2,0))+IF(V87="",W87,V87)</f>
        <v>-123.30873500000001</v>
      </c>
      <c r="AN87" s="275" t="str">
        <f>IF($AN$9+(($AL$9-$AM$9))*('DB Basis'!F247/10-'DB Basis'!E247),," ")</f>
        <v xml:space="preserve"> </v>
      </c>
      <c r="AO87" s="648">
        <f>IF(U87&gt;0,_xll.xlShmImplSwap2(curveName,curveName,D87,G87,,1,8,2,4),"-")</f>
        <v>1.6081048516517371E-2</v>
      </c>
      <c r="AP87" s="649">
        <f t="shared" si="10"/>
        <v>1.473442737451084E-2</v>
      </c>
      <c r="AQ87" s="391">
        <f t="shared" si="11"/>
        <v>9.0628205859572102</v>
      </c>
      <c r="AR87" s="391">
        <f t="shared" si="12"/>
        <v>9.0531839954245363</v>
      </c>
      <c r="AS87" s="393"/>
      <c r="AT87" s="242">
        <f t="shared" si="13"/>
        <v>3.0393346084301798</v>
      </c>
      <c r="AU87" s="757" t="str">
        <f t="shared" si="8"/>
        <v>BTP  01-Mar-48  3.45</v>
      </c>
      <c r="AV87" s="755">
        <f t="shared" si="14"/>
        <v>0</v>
      </c>
      <c r="AW87" s="702"/>
      <c r="AX87" s="702"/>
      <c r="AY87" s="702"/>
      <c r="AZ87" s="702"/>
      <c r="BA87" s="702"/>
      <c r="BB87" s="704">
        <v>3.0815475891028211E-2</v>
      </c>
      <c r="BC87" s="710" t="b">
        <v>1</v>
      </c>
      <c r="BE87" s="721">
        <f>_xll.xlDateShiftMonth(BE86,1)</f>
        <v>45501</v>
      </c>
      <c r="BF87" s="722">
        <v>1.3213607611775971E-2</v>
      </c>
    </row>
    <row r="88" spans="1:58">
      <c r="A88" s="17"/>
      <c r="B88" s="16"/>
      <c r="C88" s="18"/>
      <c r="D88" s="735">
        <f>MAX(_xll.xlDateSettle("TARGET",$D$4,2),L88)</f>
        <v>43164</v>
      </c>
      <c r="E88" s="733" t="s">
        <v>1006</v>
      </c>
      <c r="F88" s="13" t="s">
        <v>1202</v>
      </c>
      <c r="G88" s="696">
        <v>61057</v>
      </c>
      <c r="H88" s="37">
        <v>2.8</v>
      </c>
      <c r="I88" s="11">
        <v>61057</v>
      </c>
      <c r="J88" s="11">
        <v>42614</v>
      </c>
      <c r="K88" s="11">
        <v>42795</v>
      </c>
      <c r="L88" s="11">
        <v>42654</v>
      </c>
      <c r="M88" s="12">
        <v>99.194000000000003</v>
      </c>
      <c r="N88" s="12" t="s">
        <v>1352</v>
      </c>
      <c r="O88" s="12" t="s">
        <v>1222</v>
      </c>
      <c r="P88" s="12" t="s">
        <v>1353</v>
      </c>
      <c r="Q88" s="15">
        <v>6633214000</v>
      </c>
      <c r="R88" s="12"/>
      <c r="S88" s="43">
        <f>_xll.BDP(E88&amp;"@cbbt Corp",$S$10)</f>
        <v>90.602000000000004</v>
      </c>
      <c r="T88" s="43">
        <f>_xll.BDP(E88&amp;"@cbbt Corp",$T$10)</f>
        <v>90.921000000000006</v>
      </c>
      <c r="U88" s="25">
        <f t="shared" si="15"/>
        <v>90.761500000000012</v>
      </c>
      <c r="V88" s="12"/>
      <c r="W88" s="25">
        <f t="shared" si="9"/>
        <v>90.761500000000012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3.0429999999999999E-2</v>
      </c>
      <c r="Y88" s="14">
        <v>25.820849278712544</v>
      </c>
      <c r="Z88" s="14">
        <v>-25.020702364909649</v>
      </c>
      <c r="AA88" s="14">
        <v>9.9431370143431153</v>
      </c>
      <c r="AB88" s="14">
        <v>9.3364413245262821</v>
      </c>
      <c r="AC88" s="14">
        <v>22.716839603440064</v>
      </c>
      <c r="AD88" s="34">
        <v>3.1979394186240101E-2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52.39644175243324</v>
      </c>
      <c r="AI88" s="14">
        <v>38.417452038106113</v>
      </c>
      <c r="AJ88" s="14">
        <v>34.879946162220875</v>
      </c>
      <c r="AK88" s="246">
        <v>1.5021938826610006</v>
      </c>
      <c r="AL88" s="213">
        <f>IF(U88&gt;0,_xll.xlBondZSpread(F88,H88,G88,J88,K88,L88,M88,D88,U88,"annual",5)*100,"-")</f>
        <v>166.9665200984897</v>
      </c>
      <c r="AM88" s="266">
        <f>(-IF($AL$9="",VLOOKUP(VLOOKUP(E88,'DB Basis'!$D$2:$H$65205,4,0),Bonds!$AR$1:$AS$6,2,0),$AL$9)*VLOOKUP(E88,'DB Basis'!$D$2:$E$65205,2,0))+IF(V88="",W88,V88)</f>
        <v>-163.8818</v>
      </c>
      <c r="AN88" s="275" t="str">
        <f>IF($AN$9+(($AL$9-$AM$9))*('DB Basis'!F248/10-'DB Basis'!E248),," ")</f>
        <v xml:space="preserve"> </v>
      </c>
      <c r="AO88" s="648">
        <f>IF(U88&gt;0,_xll.xlShmImplSwap2(curveName,curveName,D88,G88,,1,8,2,4),"-")</f>
        <v>1.5506635322766303E-2</v>
      </c>
      <c r="AP88" s="649">
        <f t="shared" si="10"/>
        <v>1.6472758863473796E-2</v>
      </c>
      <c r="AQ88" s="391">
        <f t="shared" si="11"/>
        <v>0.61223544855503631</v>
      </c>
      <c r="AR88" s="391">
        <f t="shared" si="12"/>
        <v>0.91438390758247434</v>
      </c>
      <c r="AS88" s="393"/>
      <c r="AT88" s="242">
        <f t="shared" si="13"/>
        <v>3.1541320293277906</v>
      </c>
      <c r="AU88" s="701" t="str">
        <f t="shared" si="8"/>
        <v>BTP  01-Mar-67  2.8</v>
      </c>
      <c r="AV88" s="717"/>
      <c r="AW88" s="699"/>
      <c r="AX88" s="699"/>
      <c r="AY88" s="699"/>
      <c r="AZ88" s="699"/>
      <c r="BA88" s="699"/>
      <c r="BB88" s="697"/>
      <c r="BC88" s="711"/>
      <c r="BE88" s="721">
        <f>_xll.xlDateShiftMonth(BE87,1)</f>
        <v>45532</v>
      </c>
      <c r="BF88" s="722">
        <v>1.3474519707375536E-2</v>
      </c>
    </row>
    <row r="89" spans="1:58">
      <c r="A89" s="10"/>
      <c r="B89" s="11"/>
      <c r="C89" s="12"/>
      <c r="D89" s="735">
        <f>MAX(_xll.xlDateSettle("TARGET",$D$4,2),L89)</f>
        <v>43164</v>
      </c>
      <c r="E89" s="733" t="s">
        <v>842</v>
      </c>
      <c r="F89" s="13" t="s">
        <v>1354</v>
      </c>
      <c r="G89" s="696">
        <v>43220</v>
      </c>
      <c r="H89" s="37">
        <v>0.25</v>
      </c>
      <c r="I89" s="11">
        <v>43220</v>
      </c>
      <c r="J89" s="11">
        <v>42150</v>
      </c>
      <c r="K89" s="11">
        <v>42490</v>
      </c>
      <c r="L89" s="11">
        <v>42150</v>
      </c>
      <c r="M89" s="12">
        <v>100.009</v>
      </c>
      <c r="N89" s="12" t="s">
        <v>1355</v>
      </c>
      <c r="O89" s="12" t="s">
        <v>1203</v>
      </c>
      <c r="P89" s="12" t="s">
        <v>1356</v>
      </c>
      <c r="Q89" s="15">
        <v>16824640000</v>
      </c>
      <c r="R89" s="12"/>
      <c r="S89" s="43">
        <f>_xll.BDP(E89&amp;"@cbbt Corp",$S$10)</f>
        <v>100.09</v>
      </c>
      <c r="T89" s="43">
        <f>_xll.BDP(E89&amp;"@cbbt Corp",$T$10)</f>
        <v>100.13200000000001</v>
      </c>
      <c r="U89" s="25">
        <f t="shared" si="15"/>
        <v>100.111</v>
      </c>
      <c r="V89" s="12"/>
      <c r="W89" s="25">
        <f t="shared" si="9"/>
        <v>100.111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0.21164383561643835</v>
      </c>
      <c r="Y89" s="14">
        <v>0.15342465753424658</v>
      </c>
      <c r="Z89" s="14">
        <v>-0.15415073460781054</v>
      </c>
      <c r="AA89" s="14">
        <v>1.7696378307374744E-3</v>
      </c>
      <c r="AB89" s="14">
        <v>1.7864269679703098E-3</v>
      </c>
      <c r="AC89" s="14">
        <v>0.15464809306351412</v>
      </c>
      <c r="AD89" s="34">
        <v>-4.7101756749574723E-3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-1.8590186549973631E-2</v>
      </c>
      <c r="AI89" s="14">
        <v>0.15514543502844055</v>
      </c>
      <c r="AJ89" s="14">
        <v>0.15564600221080013</v>
      </c>
      <c r="AK89" s="246">
        <v>-0.11943889522323768</v>
      </c>
      <c r="AL89" s="213">
        <f>IF(U89&gt;0,_xll.xlBondZSpread(F89,H89,G89,J89,K89,L89,M89,D89,U89,"annual",5)*100,"-")</f>
        <v>-12.028830120834757</v>
      </c>
      <c r="AM89" s="266" t="e">
        <f>(-IF($AL$9="",VLOOKUP(VLOOKUP(E89,'DB Basis'!$D$2:$H$65205,4,0),Bonds!$AR$1:$AS$6,2,0),$AL$9)*VLOOKUP(E89,'DB Basis'!$D$2:$E$65205,2,0))+IF(V89="",W89,V89)</f>
        <v>#N/A</v>
      </c>
      <c r="AN89" s="275" t="str">
        <f>IF($AN$9+(($AL$9-$AM$9))*('DB Basis'!F249/10-'DB Basis'!E249),," ")</f>
        <v xml:space="preserve"> </v>
      </c>
      <c r="AO89" s="648">
        <f>IF(U89&gt;0,_xll.xlShmImplSwap2(curveName,curveName,D89,G89,,1,8,2,4),"-")</f>
        <v>-3.5273832407633032E-3</v>
      </c>
      <c r="AP89" s="649">
        <f t="shared" si="10"/>
        <v>-1.1827924341941691E-3</v>
      </c>
      <c r="AQ89" s="391">
        <f t="shared" si="11"/>
        <v>7.5078168970887003</v>
      </c>
      <c r="AR89" s="391">
        <f t="shared" si="12"/>
        <v>3.6128700026062721</v>
      </c>
      <c r="AS89" s="393"/>
      <c r="AT89" s="242">
        <f t="shared" si="13"/>
        <v>-0.46456527205060005</v>
      </c>
      <c r="AU89" s="701" t="str">
        <f t="shared" si="8"/>
        <v>SPGB  30-Apr-18  0.25</v>
      </c>
      <c r="AV89" s="717"/>
      <c r="AW89" s="699"/>
      <c r="AX89" s="699"/>
      <c r="AY89" s="699"/>
      <c r="AZ89" s="699"/>
      <c r="BA89" s="699"/>
      <c r="BB89" s="697"/>
      <c r="BC89" s="711"/>
      <c r="BE89" s="721">
        <f>_xll.xlDateShiftMonth(BE88,1)</f>
        <v>45563</v>
      </c>
      <c r="BF89" s="722">
        <v>1.3726885462167991E-2</v>
      </c>
    </row>
    <row r="90" spans="1:58">
      <c r="A90" s="17"/>
      <c r="B90" s="16"/>
      <c r="C90" s="18"/>
      <c r="D90" s="735">
        <f>MAX(_xll.xlDateSettle("TARGET",$D$4,2),L90)</f>
        <v>43164</v>
      </c>
      <c r="E90" s="733" t="s">
        <v>827</v>
      </c>
      <c r="F90" s="13" t="s">
        <v>1354</v>
      </c>
      <c r="G90" s="696">
        <v>43311</v>
      </c>
      <c r="H90" s="37">
        <v>4.0999999999999996</v>
      </c>
      <c r="I90" s="11">
        <v>43311</v>
      </c>
      <c r="J90" s="11">
        <v>39497</v>
      </c>
      <c r="K90" s="11">
        <v>39659</v>
      </c>
      <c r="L90" s="11">
        <v>39497</v>
      </c>
      <c r="M90" s="12">
        <v>99.213999999999999</v>
      </c>
      <c r="N90" s="12" t="s">
        <v>1357</v>
      </c>
      <c r="O90" s="12" t="s">
        <v>1203</v>
      </c>
      <c r="P90" s="12" t="s">
        <v>1358</v>
      </c>
      <c r="Q90" s="15">
        <v>20813437000</v>
      </c>
      <c r="R90" s="12"/>
      <c r="S90" s="43">
        <f>_xll.BDP(E90&amp;"@cbbt Corp",$S$10)</f>
        <v>101.813</v>
      </c>
      <c r="T90" s="43">
        <f>_xll.BDP(E90&amp;"@cbbt Corp",$T$10)</f>
        <v>101.861</v>
      </c>
      <c r="U90" s="25">
        <f t="shared" si="15"/>
        <v>101.837</v>
      </c>
      <c r="V90" s="12"/>
      <c r="W90" s="25">
        <f t="shared" si="9"/>
        <v>101.837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2.4487671232876709</v>
      </c>
      <c r="Y90" s="14">
        <v>0.40273972602739727</v>
      </c>
      <c r="Z90" s="14">
        <v>-0.40452663928244154</v>
      </c>
      <c r="AA90" s="14">
        <v>5.6493901294802033E-3</v>
      </c>
      <c r="AB90" s="14">
        <v>5.6996328277036084E-3</v>
      </c>
      <c r="AC90" s="14">
        <v>0.42186366462289016</v>
      </c>
      <c r="AD90" s="34">
        <v>-4.4171840349127717E-3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-6.0488859916960624E-2</v>
      </c>
      <c r="AI90" s="14">
        <v>0.39204008562370912</v>
      </c>
      <c r="AJ90" s="14">
        <v>0.40884201072347887</v>
      </c>
      <c r="AK90" s="246">
        <v>-0.14795167407067217</v>
      </c>
      <c r="AL90" s="213">
        <f>IF(U90&gt;0,_xll.xlBondZSpread(F90,H90,G90,J90,K90,L90,M90,D90,U90,"annual",5)*100,"-")</f>
        <v>-14.352375146889242</v>
      </c>
      <c r="AM90" s="266" t="e">
        <f>(-IF($AL$9="",VLOOKUP(VLOOKUP(E90,'DB Basis'!$D$2:$H$65205,4,0),Bonds!$AR$1:$AS$6,2,0),$AL$9)*VLOOKUP(E90,'DB Basis'!$D$2:$E$65205,2,0))+IF(V90="",W90,V90)</f>
        <v>#N/A</v>
      </c>
      <c r="AN90" s="275" t="str">
        <f>IF($AN$9+(($AL$9-$AM$9))*('DB Basis'!F250/10-'DB Basis'!E250),," ")</f>
        <v xml:space="preserve"> </v>
      </c>
      <c r="AO90" s="648">
        <f>IF(U90&gt;0,_xll.xlShmImplSwap2(curveName,curveName,D90,G90,,1,8,2,4),"-")</f>
        <v>-2.9843242136654373E-3</v>
      </c>
      <c r="AP90" s="649">
        <f t="shared" si="10"/>
        <v>-1.4328598212473343E-3</v>
      </c>
      <c r="AQ90" s="391">
        <f t="shared" si="11"/>
        <v>11.751862485309424</v>
      </c>
      <c r="AR90" s="391">
        <f t="shared" si="12"/>
        <v>-10.030175414769815</v>
      </c>
      <c r="AS90" s="393"/>
      <c r="AT90" s="242">
        <f t="shared" si="13"/>
        <v>-0.4356674664571501</v>
      </c>
      <c r="AU90" s="701" t="str">
        <f t="shared" si="8"/>
        <v>SPGB  30-Jul-18  4.1</v>
      </c>
      <c r="AV90" s="717"/>
      <c r="AW90" s="699"/>
      <c r="AX90" s="699"/>
      <c r="AY90" s="699"/>
      <c r="AZ90" s="699"/>
      <c r="BA90" s="699"/>
      <c r="BB90" s="697"/>
      <c r="BC90" s="711"/>
      <c r="BE90" s="721">
        <f>_xll.xlDateShiftMonth(BE89,1)</f>
        <v>45593</v>
      </c>
      <c r="BF90" s="722">
        <v>1.3970591439998008E-2</v>
      </c>
    </row>
    <row r="91" spans="1:58">
      <c r="A91" s="10"/>
      <c r="B91" s="11"/>
      <c r="C91" s="12"/>
      <c r="D91" s="735">
        <f>MAX(_xll.xlDateSettle("TARGET",$D$4,2),L91)</f>
        <v>43164</v>
      </c>
      <c r="E91" s="733" t="s">
        <v>834</v>
      </c>
      <c r="F91" s="13" t="s">
        <v>1354</v>
      </c>
      <c r="G91" s="696">
        <v>43404</v>
      </c>
      <c r="H91" s="37">
        <v>3.75</v>
      </c>
      <c r="I91" s="11">
        <v>43404</v>
      </c>
      <c r="J91" s="11">
        <v>41464</v>
      </c>
      <c r="K91" s="11">
        <v>41578</v>
      </c>
      <c r="L91" s="11">
        <v>41464</v>
      </c>
      <c r="M91" s="12">
        <v>99.816000000000003</v>
      </c>
      <c r="N91" s="12" t="s">
        <v>1360</v>
      </c>
      <c r="O91" s="12" t="s">
        <v>1203</v>
      </c>
      <c r="P91" s="12" t="s">
        <v>1361</v>
      </c>
      <c r="Q91" s="15">
        <v>20417528000</v>
      </c>
      <c r="R91" s="12"/>
      <c r="S91" s="43">
        <f>_xll.RtGet("IDN",$N91,IF(OR($G91="BTP,$E11=""CTZ"),S$10,S$9))</f>
        <v>102.715</v>
      </c>
      <c r="T91" s="43">
        <f>_xll.RtGet("IDN",$N91,IF(OR($G91="BTP,$E11=""CTZ"),T$10,T$9))</f>
        <v>102.82000000000001</v>
      </c>
      <c r="U91" s="25">
        <f t="shared" si="15"/>
        <v>102.76750000000001</v>
      </c>
      <c r="V91" s="12"/>
      <c r="W91" s="25">
        <f t="shared" si="9"/>
        <v>102.76750000000001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1.2842465753424657</v>
      </c>
      <c r="Y91" s="14">
        <v>0.65753424657534243</v>
      </c>
      <c r="Z91" s="14">
        <v>-0.66044485943733333</v>
      </c>
      <c r="AA91" s="14">
        <v>1.0898855319947456E-2</v>
      </c>
      <c r="AB91" s="14">
        <v>1.0995557686504391E-2</v>
      </c>
      <c r="AC91" s="14">
        <v>0.68720440573599717</v>
      </c>
      <c r="AD91" s="34">
        <v>-4.4070334096010869E-3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-0.11789121577926576</v>
      </c>
      <c r="AI91" s="14">
        <v>0.64168504515625546</v>
      </c>
      <c r="AJ91" s="14">
        <v>0.66768449699785892</v>
      </c>
      <c r="AK91" s="246">
        <v>-0.1765672504144494</v>
      </c>
      <c r="AL91" s="213">
        <f>IF(U91&gt;0,_xll.xlBondZSpread(F91,H91,G91,J91,K91,L91,M91,D91,U91,"annual",5)*100,"-")</f>
        <v>-17.178994331901773</v>
      </c>
      <c r="AM91" s="266" t="e">
        <f>(-IF($AL$9="",VLOOKUP(VLOOKUP(E91,'DB Basis'!$D$2:$H$65205,4,0),Bonds!$AR$1:$AS$6,2,0),$AL$9)*VLOOKUP(E91,'DB Basis'!$D$2:$E$65205,2,0))+IF(V91="",W91,V91)</f>
        <v>#N/A</v>
      </c>
      <c r="AN91" s="275" t="str">
        <f>IF($AN$9+(($AL$9-$AM$9))*('DB Basis'!F251/10-'DB Basis'!E251),," ")</f>
        <v xml:space="preserve"> </v>
      </c>
      <c r="AO91" s="648">
        <f>IF(U91&gt;0,_xll.xlShmImplSwap2(curveName,curveName,D91,G91,,1,8,2,4),"-")</f>
        <v>-2.6984942170955005E-3</v>
      </c>
      <c r="AP91" s="649">
        <f t="shared" si="10"/>
        <v>-1.7085391925055864E-3</v>
      </c>
      <c r="AQ91" s="391">
        <f t="shared" si="11"/>
        <v>0.39838475685644698</v>
      </c>
      <c r="AR91" s="391">
        <f t="shared" si="12"/>
        <v>-10.819674248307741</v>
      </c>
      <c r="AS91" s="393"/>
      <c r="AT91" s="242">
        <f t="shared" si="13"/>
        <v>-0.43466630889216196</v>
      </c>
      <c r="AU91" s="701" t="str">
        <f t="shared" si="8"/>
        <v>SPGB  31-Oct-18  3.75</v>
      </c>
      <c r="AV91" s="717"/>
      <c r="AW91" s="699"/>
      <c r="AX91" s="699"/>
      <c r="AY91" s="699"/>
      <c r="AZ91" s="699"/>
      <c r="BA91" s="699"/>
      <c r="BB91" s="697"/>
      <c r="BC91" s="711"/>
      <c r="BE91" s="721">
        <f>_xll.xlDateShiftMonth(BE90,1)</f>
        <v>45624</v>
      </c>
      <c r="BF91" s="722">
        <v>1.4220097705882694E-2</v>
      </c>
    </row>
    <row r="92" spans="1:58">
      <c r="A92" s="17"/>
      <c r="B92" s="16"/>
      <c r="C92" s="18"/>
      <c r="D92" s="735">
        <f>MAX(_xll.xlDateSettle("TARGET",$D$4,2),L92)</f>
        <v>43164</v>
      </c>
      <c r="E92" s="733" t="s">
        <v>852</v>
      </c>
      <c r="F92" s="13" t="s">
        <v>1354</v>
      </c>
      <c r="G92" s="696">
        <v>43496</v>
      </c>
      <c r="H92" s="37">
        <v>0.25</v>
      </c>
      <c r="I92" s="11">
        <v>43496</v>
      </c>
      <c r="J92" s="11">
        <v>42395</v>
      </c>
      <c r="K92" s="11">
        <v>42766</v>
      </c>
      <c r="L92" s="11">
        <v>42395</v>
      </c>
      <c r="M92" s="12">
        <v>99.875</v>
      </c>
      <c r="N92" s="12" t="s">
        <v>1362</v>
      </c>
      <c r="O92" s="12" t="s">
        <v>1203</v>
      </c>
      <c r="P92" s="12" t="s">
        <v>1363</v>
      </c>
      <c r="Q92" s="15">
        <v>18138900000</v>
      </c>
      <c r="R92" s="12"/>
      <c r="S92" s="43">
        <f>_xll.BDP(E92&amp;"@cbbt Corp",$S$10)</f>
        <v>100.569</v>
      </c>
      <c r="T92" s="43">
        <f>_xll.BDP(E92&amp;"@cbbt Corp",$T$10)</f>
        <v>100.623</v>
      </c>
      <c r="U92" s="25">
        <f t="shared" si="15"/>
        <v>100.596</v>
      </c>
      <c r="V92" s="12"/>
      <c r="W92" s="25">
        <f t="shared" si="9"/>
        <v>100.596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2.2602739726027398E-2</v>
      </c>
      <c r="Y92" s="14">
        <v>0.90958904109589045</v>
      </c>
      <c r="Z92" s="14">
        <v>-0.9132665475486923</v>
      </c>
      <c r="AA92" s="14">
        <v>1.7369412647776319E-2</v>
      </c>
      <c r="AB92" s="14">
        <v>1.7510147091850631E-2</v>
      </c>
      <c r="AC92" s="14">
        <v>0.91891604801119797</v>
      </c>
      <c r="AD92" s="34">
        <v>-4.0267613682042295E-3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-0.11862843252605333</v>
      </c>
      <c r="AI92" s="14">
        <v>0.91835184253420343</v>
      </c>
      <c r="AJ92" s="14">
        <v>0.9240327921924445</v>
      </c>
      <c r="AK92" s="246">
        <v>-0.12838119331737455</v>
      </c>
      <c r="AL92" s="213">
        <f>IF(U92&gt;0,_xll.xlBondZSpread(F92,H92,G92,J92,K92,L92,M92,D92,U92,"annual",5)*100,"-")</f>
        <v>-12.925055069426891</v>
      </c>
      <c r="AM92" s="266" t="e">
        <f>(-IF($AL$9="",VLOOKUP(VLOOKUP(E92,'DB Basis'!$D$2:$H$65205,4,0),Bonds!$AR$1:$AS$6,2,0),$AL$9)*VLOOKUP(E92,'DB Basis'!$D$2:$E$65205,2,0))+IF(V92="",W92,V92)</f>
        <v>#N/A</v>
      </c>
      <c r="AN92" s="275" t="str">
        <f>IF($AN$9+(($AL$9-$AM$9))*('DB Basis'!F252/10-'DB Basis'!E252),," ")</f>
        <v xml:space="preserve"> </v>
      </c>
      <c r="AO92" s="648">
        <f>IF(U92&gt;0,_xll.xlShmImplSwap2(curveName,curveName,D92,G92,,1,8,2,4),"-")</f>
        <v>-2.7467744788726429E-3</v>
      </c>
      <c r="AP92" s="649">
        <f t="shared" si="10"/>
        <v>-1.2799868893315866E-3</v>
      </c>
      <c r="AQ92" s="391">
        <f t="shared" si="11"/>
        <v>15.086879903244885</v>
      </c>
      <c r="AR92" s="391">
        <f t="shared" si="12"/>
        <v>17.0023468107076</v>
      </c>
      <c r="AS92" s="393"/>
      <c r="AT92" s="242">
        <f t="shared" si="13"/>
        <v>-0.39716002535712958</v>
      </c>
      <c r="AU92" s="701" t="str">
        <f t="shared" si="8"/>
        <v>SPGB  31-Jan-19  0.25</v>
      </c>
      <c r="AV92" s="717"/>
      <c r="AW92" s="699"/>
      <c r="AX92" s="699"/>
      <c r="AY92" s="699"/>
      <c r="AZ92" s="699"/>
      <c r="BA92" s="699"/>
      <c r="BB92" s="697"/>
      <c r="BC92" s="711"/>
      <c r="BE92" s="721">
        <f>_xll.xlDateShiftMonth(BE91,1)</f>
        <v>45654</v>
      </c>
      <c r="BF92" s="722">
        <v>1.4457463378883699E-2</v>
      </c>
    </row>
    <row r="93" spans="1:58">
      <c r="A93" s="10"/>
      <c r="B93" s="11"/>
      <c r="C93" s="12"/>
      <c r="D93" s="735">
        <f>MAX(_xll.xlDateSettle("TARGET",$D$4,2),L93)</f>
        <v>43164</v>
      </c>
      <c r="E93" s="733" t="s">
        <v>836</v>
      </c>
      <c r="F93" s="13" t="s">
        <v>1354</v>
      </c>
      <c r="G93" s="35">
        <v>43585</v>
      </c>
      <c r="H93" s="37">
        <v>2.75</v>
      </c>
      <c r="I93" s="11">
        <v>43585</v>
      </c>
      <c r="J93" s="11">
        <v>41653</v>
      </c>
      <c r="K93" s="11">
        <v>41759</v>
      </c>
      <c r="L93" s="11">
        <v>41653</v>
      </c>
      <c r="M93" s="12">
        <v>101.815</v>
      </c>
      <c r="N93" s="12" t="s">
        <v>1364</v>
      </c>
      <c r="O93" s="12" t="s">
        <v>1203</v>
      </c>
      <c r="P93" s="12" t="s">
        <v>1365</v>
      </c>
      <c r="Q93" s="15">
        <v>22405132000</v>
      </c>
      <c r="R93" s="12"/>
      <c r="S93" s="43">
        <f>_xll.BDP(E93&amp;"@cbbt Corp",$S$10)</f>
        <v>103.592</v>
      </c>
      <c r="T93" s="43">
        <f>_xll.BDP(E93&amp;"@cbbt Corp",$T$10)</f>
        <v>103.649</v>
      </c>
      <c r="U93" s="25">
        <f t="shared" si="15"/>
        <v>103.62049999999999</v>
      </c>
      <c r="V93" s="12"/>
      <c r="W93" s="25">
        <f t="shared" si="9"/>
        <v>103.62049999999999</v>
      </c>
      <c r="X93" s="14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2.3280821917808217</v>
      </c>
      <c r="Y93" s="14">
        <v>1.1274536792215544</v>
      </c>
      <c r="Z93" s="14">
        <v>-1.1317048028117145</v>
      </c>
      <c r="AA93" s="14">
        <v>2.4239019646099487E-2</v>
      </c>
      <c r="AB93" s="14">
        <v>2.4422153259099324E-2</v>
      </c>
      <c r="AC93" s="14">
        <v>1.199025206891946</v>
      </c>
      <c r="AD93" s="34">
        <v>-3.7563891649771558E-3</v>
      </c>
      <c r="AE93" s="12"/>
      <c r="AF93" s="12"/>
      <c r="AG93" s="12"/>
      <c r="AH93" s="14">
        <f t="array" ref="AH93:AK93">_xll.xlBondLiborSpread(F93,H93,I93,J93,K93,L93,M93,D93,D93,W93,1,$AH$10&amp;$AI$10&amp;$AJ$10&amp;$AK$10)</f>
        <v>-0.13088149126182591</v>
      </c>
      <c r="AI93" s="14">
        <v>1.1062261467349255</v>
      </c>
      <c r="AJ93" s="14">
        <v>1.1720309183004223</v>
      </c>
      <c r="AK93" s="246">
        <v>-0.11167068139433103</v>
      </c>
      <c r="AL93" s="213">
        <f>IF(U93&gt;0,_xll.xlBondZSpread(F93,H93,G93,J93,K93,L93,M93,D93,U93,"annual",5)*100,"-")</f>
        <v>-10.928100909412022</v>
      </c>
      <c r="AM93" s="266" t="e">
        <f>(-IF($AL$9="",VLOOKUP(VLOOKUP(E93,'DB Basis'!$D$2:$H$65205,4,0),Bonds!$AR$1:$AS$6,2,0),$AL$9)*VLOOKUP(E93,'DB Basis'!$D$2:$E$65205,2,0))+IF(V93="",W93,V93)</f>
        <v>#N/A</v>
      </c>
      <c r="AN93" s="275" t="str">
        <f>IF($AN$9+(($AL$9-$AM$9))*('DB Basis'!F253/10-'DB Basis'!E253),," ")</f>
        <v xml:space="preserve"> </v>
      </c>
      <c r="AO93" s="648">
        <f>IF(U93&gt;0,_xll.xlShmImplSwap2(curveName,curveName,D93,G93,,1,8,2,4),"-")</f>
        <v>-2.6636524200990197E-3</v>
      </c>
      <c r="AP93" s="649">
        <f t="shared" si="10"/>
        <v>-1.0927367448781361E-3</v>
      </c>
      <c r="AQ93" s="391">
        <f t="shared" si="11"/>
        <v>11.08829822223392</v>
      </c>
      <c r="AR93" s="391">
        <f t="shared" si="12"/>
        <v>7.6793598567988086</v>
      </c>
      <c r="AS93" s="393"/>
      <c r="AT93" s="242">
        <f t="shared" si="13"/>
        <v>-0.37049317791555514</v>
      </c>
      <c r="AU93" s="701" t="str">
        <f t="shared" si="8"/>
        <v>SPGB  30-Apr-19  2.75</v>
      </c>
      <c r="AV93" s="717"/>
      <c r="AW93" s="699"/>
      <c r="AX93" s="699"/>
      <c r="AY93" s="699"/>
      <c r="AZ93" s="699"/>
      <c r="BA93" s="699"/>
      <c r="BB93" s="697"/>
      <c r="BC93" s="711"/>
      <c r="BE93" s="721">
        <f>_xll.xlDateShiftMonth(BE92,1)</f>
        <v>45685</v>
      </c>
      <c r="BF93" s="722">
        <v>1.4696586742141244E-2</v>
      </c>
    </row>
    <row r="94" spans="1:58">
      <c r="A94" s="17"/>
      <c r="B94" s="16"/>
      <c r="C94" s="18"/>
      <c r="D94" s="735">
        <f>MAX(_xll.xlDateSettle("TARGET",$D$4,2),L94)</f>
        <v>43164</v>
      </c>
      <c r="E94" s="733" t="s">
        <v>853</v>
      </c>
      <c r="F94" s="13" t="s">
        <v>1354</v>
      </c>
      <c r="G94" s="35">
        <v>43676</v>
      </c>
      <c r="H94" s="37">
        <v>4.5999999999999996</v>
      </c>
      <c r="I94" s="11">
        <v>43676</v>
      </c>
      <c r="J94" s="11">
        <v>39854</v>
      </c>
      <c r="K94" s="11">
        <v>40024</v>
      </c>
      <c r="L94" s="11">
        <v>39854</v>
      </c>
      <c r="M94" s="12">
        <v>99.602000000000004</v>
      </c>
      <c r="N94" s="12" t="s">
        <v>1366</v>
      </c>
      <c r="O94" s="12" t="s">
        <v>1203</v>
      </c>
      <c r="P94" s="12" t="s">
        <v>1367</v>
      </c>
      <c r="Q94" s="15">
        <v>20758373000</v>
      </c>
      <c r="R94" s="12"/>
      <c r="S94" s="43">
        <f>_xll.BDP(E94&amp;"@cbbt Corp",$S$10)</f>
        <v>106.93</v>
      </c>
      <c r="T94" s="43">
        <f>_xll.BDP(E94&amp;"@cbbt Corp",$T$10)</f>
        <v>106.995</v>
      </c>
      <c r="U94" s="25">
        <f t="shared" si="15"/>
        <v>106.96250000000001</v>
      </c>
      <c r="V94" s="12"/>
      <c r="W94" s="25">
        <f t="shared" si="9"/>
        <v>106.96250000000001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2.7473972602739725</v>
      </c>
      <c r="Y94" s="14">
        <v>1.3607531118380238</v>
      </c>
      <c r="Z94" s="14">
        <v>-1.3654198310425318</v>
      </c>
      <c r="AA94" s="14">
        <v>3.2526258816331755E-2</v>
      </c>
      <c r="AB94" s="14">
        <v>3.27497397692477E-2</v>
      </c>
      <c r="AC94" s="14">
        <v>1.49800073899371</v>
      </c>
      <c r="AD94" s="34">
        <v>-3.4178067186884098E-3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-0.14028433451494671</v>
      </c>
      <c r="AI94" s="14">
        <v>1.2996043574663976</v>
      </c>
      <c r="AJ94" s="14">
        <v>1.4257946053664285</v>
      </c>
      <c r="AK94" s="246">
        <v>-9.8390282854865993E-2</v>
      </c>
      <c r="AL94" s="213">
        <f>IF(U94&gt;0,_xll.xlBondZSpread(F94,H94,G94,J94,K94,L94,M94,D94,U94,"annual",5)*100,"-")</f>
        <v>-9.3749630575985066</v>
      </c>
      <c r="AM94" s="266" t="e">
        <f>(-IF($AL$9="",VLOOKUP(VLOOKUP(E94,'DB Basis'!$D$2:$H$65205,4,0),Bonds!$AR$1:$AS$6,2,0),$AL$9)*VLOOKUP(E94,'DB Basis'!$D$2:$E$65205,2,0))+IF(V94="",W94,V94)</f>
        <v>#N/A</v>
      </c>
      <c r="AN94" s="275" t="str">
        <f>IF($AN$9+(($AL$9-$AM$9))*('DB Basis'!F254/10-'DB Basis'!E254),," ")</f>
        <v xml:space="preserve"> </v>
      </c>
      <c r="AO94" s="648">
        <f>IF(U94&gt;0,_xll.xlShmImplSwap2(curveName,curveName,D94,G94,,1,8,2,4),"-")</f>
        <v>-2.4743080689790943E-3</v>
      </c>
      <c r="AP94" s="649">
        <f t="shared" si="10"/>
        <v>-9.4349864970931551E-4</v>
      </c>
      <c r="AQ94" s="391">
        <f t="shared" si="11"/>
        <v>13.580504713779373</v>
      </c>
      <c r="AR94" s="391">
        <f t="shared" si="12"/>
        <v>5.9859235974307179</v>
      </c>
      <c r="AS94" s="393"/>
      <c r="AT94" s="242">
        <f t="shared" si="13"/>
        <v>-0.33709874485693908</v>
      </c>
      <c r="AU94" s="701" t="str">
        <f t="shared" si="8"/>
        <v>SPGB  30-Jul-19  4.6</v>
      </c>
      <c r="AV94" s="717"/>
      <c r="AW94" s="699"/>
      <c r="AX94" s="699"/>
      <c r="AY94" s="699"/>
      <c r="AZ94" s="699"/>
      <c r="BA94" s="699"/>
      <c r="BB94" s="697"/>
      <c r="BC94" s="711"/>
      <c r="BE94" s="721">
        <f>_xll.xlDateShiftMonth(BE93,1)</f>
        <v>45716</v>
      </c>
      <c r="BF94" s="722">
        <v>1.4927497042742936E-2</v>
      </c>
    </row>
    <row r="95" spans="1:58">
      <c r="A95" s="10"/>
      <c r="B95" s="11"/>
      <c r="C95" s="12"/>
      <c r="D95" s="735">
        <f>MAX(_xll.xlDateSettle("TARGET",$D$4,2),L95)</f>
        <v>43164</v>
      </c>
      <c r="E95" s="733" t="s">
        <v>828</v>
      </c>
      <c r="F95" s="13" t="s">
        <v>1354</v>
      </c>
      <c r="G95" s="35">
        <v>43769</v>
      </c>
      <c r="H95" s="37">
        <v>4.3</v>
      </c>
      <c r="I95" s="11">
        <v>43769</v>
      </c>
      <c r="J95" s="11">
        <v>39966</v>
      </c>
      <c r="K95" s="11">
        <v>40117</v>
      </c>
      <c r="L95" s="11">
        <v>39966</v>
      </c>
      <c r="M95" s="12">
        <v>99.078000000000003</v>
      </c>
      <c r="N95" s="12" t="s">
        <v>1368</v>
      </c>
      <c r="O95" s="12" t="s">
        <v>1203</v>
      </c>
      <c r="P95" s="12" t="s">
        <v>1369</v>
      </c>
      <c r="Q95" s="15">
        <v>21161146000</v>
      </c>
      <c r="R95" s="12"/>
      <c r="S95" s="43">
        <f>_xll.BDP(E95&amp;"@cbbt Corp",$S$10)</f>
        <v>107.589</v>
      </c>
      <c r="T95" s="43">
        <f>_xll.BDP(E95&amp;"@cbbt Corp",$T$10)</f>
        <v>107.664</v>
      </c>
      <c r="U95" s="25">
        <f t="shared" si="15"/>
        <v>107.62649999999999</v>
      </c>
      <c r="V95" s="12"/>
      <c r="W95" s="25">
        <f t="shared" si="9"/>
        <v>107.62649999999999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1.4726027397260273</v>
      </c>
      <c r="Y95" s="14">
        <v>1.6180470255380397</v>
      </c>
      <c r="Z95" s="14">
        <v>-1.6226388244286059</v>
      </c>
      <c r="AA95" s="14">
        <v>4.2740511828025907E-2</v>
      </c>
      <c r="AB95" s="14">
        <v>4.2983439636014843E-2</v>
      </c>
      <c r="AC95" s="14">
        <v>1.7702845586427429</v>
      </c>
      <c r="AD95" s="34">
        <v>-2.8299068246803172E-3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-0.11467307587293796</v>
      </c>
      <c r="AI95" s="14">
        <v>1.544476704664868</v>
      </c>
      <c r="AJ95" s="14">
        <v>1.685010226813459</v>
      </c>
      <c r="AK95" s="246">
        <v>-6.8054824859907687E-2</v>
      </c>
      <c r="AL95" s="213">
        <f>IF(U95&gt;0,_xll.xlBondZSpread(F95,H95,G95,J95,K95,L95,M95,D95,U95,"annual",5)*100,"-")</f>
        <v>-6.4830053326950283</v>
      </c>
      <c r="AM95" s="266" t="e">
        <f>(-IF($AL$9="",VLOOKUP(VLOOKUP(E95,'DB Basis'!$D$2:$H$65205,4,0),Bonds!$AR$1:$AS$6,2,0),$AL$9)*VLOOKUP(E95,'DB Basis'!$D$2:$E$65205,2,0))+IF(V95="",W95,V95)</f>
        <v>#N/A</v>
      </c>
      <c r="AN95" s="275" t="str">
        <f>IF($AN$9+(($AL$9-$AM$9))*('DB Basis'!F255/10-'DB Basis'!E255),," ")</f>
        <v xml:space="preserve"> </v>
      </c>
      <c r="AO95" s="648">
        <f>IF(U95&gt;0,_xll.xlShmImplSwap2(curveName,curveName,D95,G95,,1,8,2,4),"-")</f>
        <v>-2.1759484088986147E-3</v>
      </c>
      <c r="AP95" s="649">
        <f t="shared" si="10"/>
        <v>-6.5395841578170253E-4</v>
      </c>
      <c r="AQ95" s="391">
        <f t="shared" si="11"/>
        <v>23.073490463758475</v>
      </c>
      <c r="AR95" s="391">
        <f t="shared" si="12"/>
        <v>11.363675847696637</v>
      </c>
      <c r="AS95" s="393"/>
      <c r="AT95" s="242">
        <f t="shared" si="13"/>
        <v>-0.27911409777668877</v>
      </c>
      <c r="AU95" s="701" t="str">
        <f t="shared" si="8"/>
        <v>SPGB  31-Oct-19  4.3</v>
      </c>
      <c r="AV95" s="717"/>
      <c r="AW95" s="699"/>
      <c r="AX95" s="699"/>
      <c r="AY95" s="699"/>
      <c r="AZ95" s="699"/>
      <c r="BA95" s="699"/>
      <c r="BB95" s="697"/>
      <c r="BC95" s="711"/>
      <c r="BE95" s="721">
        <f>_xll.xlDateShiftMonth(BE94,1)</f>
        <v>45744</v>
      </c>
      <c r="BF95" s="722">
        <v>1.5127355802762041E-2</v>
      </c>
    </row>
    <row r="96" spans="1:58">
      <c r="A96" s="17"/>
      <c r="B96" s="16"/>
      <c r="C96" s="18"/>
      <c r="D96" s="735">
        <f>MAX(_xll.xlDateSettle("TARGET",$D$4,2),L96)</f>
        <v>43164</v>
      </c>
      <c r="E96" s="733" t="s">
        <v>838</v>
      </c>
      <c r="F96" s="13" t="s">
        <v>1354</v>
      </c>
      <c r="G96" s="35">
        <v>43861</v>
      </c>
      <c r="H96" s="37">
        <v>1.4</v>
      </c>
      <c r="I96" s="11">
        <v>43861</v>
      </c>
      <c r="J96" s="11">
        <v>41828</v>
      </c>
      <c r="K96" s="11">
        <v>42035</v>
      </c>
      <c r="L96" s="11">
        <v>41828</v>
      </c>
      <c r="M96" s="12">
        <v>99.111999999999995</v>
      </c>
      <c r="N96" s="12" t="s">
        <v>1370</v>
      </c>
      <c r="O96" s="12" t="s">
        <v>1222</v>
      </c>
      <c r="P96" s="12" t="s">
        <v>1371</v>
      </c>
      <c r="Q96" s="15">
        <v>23102991000</v>
      </c>
      <c r="R96" s="12"/>
      <c r="S96" s="43">
        <f>_xll.BDP(E96&amp;"@cbbt Corp",$S$10)</f>
        <v>103.066</v>
      </c>
      <c r="T96" s="43">
        <f>_xll.BDP(E96&amp;"@cbbt Corp",$T$10)</f>
        <v>103.143</v>
      </c>
      <c r="U96" s="25">
        <f t="shared" si="15"/>
        <v>103.1045</v>
      </c>
      <c r="V96" s="12"/>
      <c r="W96" s="25">
        <f t="shared" si="9"/>
        <v>103.1045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0.12657534246575342</v>
      </c>
      <c r="Y96" s="14">
        <v>1.8959999802181497</v>
      </c>
      <c r="Z96" s="14">
        <v>-1.9001891973003942</v>
      </c>
      <c r="AA96" s="14">
        <v>5.5042203035075773E-2</v>
      </c>
      <c r="AB96" s="14">
        <v>5.5285703538559654E-2</v>
      </c>
      <c r="AC96" s="14">
        <v>1.9615857887146149</v>
      </c>
      <c r="AD96" s="34">
        <v>-2.2046363978828597E-3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-7.9690665842592295E-2</v>
      </c>
      <c r="AI96" s="14">
        <v>1.880702811023687</v>
      </c>
      <c r="AJ96" s="14">
        <v>1.9414697358157338</v>
      </c>
      <c r="AK96" s="246">
        <v>-4.104656610014476E-2</v>
      </c>
      <c r="AL96" s="213">
        <f>IF(U96&gt;0,_xll.xlBondZSpread(F96,H96,G96,J96,K96,L96,M96,D96,U96,"annual",5)*100,"-")</f>
        <v>-4.0648191650689123</v>
      </c>
      <c r="AM96" s="266" t="e">
        <f>(-IF($AL$9="",VLOOKUP(VLOOKUP(E96,'DB Basis'!$D$2:$H$65205,4,0),Bonds!$AR$1:$AS$6,2,0),$AL$9)*VLOOKUP(E96,'DB Basis'!$D$2:$E$65205,2,0))+IF(V96="",W96,V96)</f>
        <v>#N/A</v>
      </c>
      <c r="AN96" s="275" t="str">
        <f>IF($AN$9+(($AL$9-$AM$9))*('DB Basis'!F256/10-'DB Basis'!E256),," ")</f>
        <v xml:space="preserve"> </v>
      </c>
      <c r="AO96" s="648">
        <f>IF(U96&gt;0,_xll.xlShmImplSwap2(curveName,curveName,D96,G96,,1,8,2,4),"-")</f>
        <v>-1.7951326323089956E-3</v>
      </c>
      <c r="AP96" s="649">
        <f t="shared" si="10"/>
        <v>-4.0950376557386415E-4</v>
      </c>
      <c r="AQ96" s="391">
        <f t="shared" si="11"/>
        <v>24.806924541420862</v>
      </c>
      <c r="AR96" s="391">
        <f t="shared" si="12"/>
        <v>9.6984725354196737</v>
      </c>
      <c r="AS96" s="393"/>
      <c r="AT96" s="242">
        <f t="shared" si="13"/>
        <v>-0.21744358992817248</v>
      </c>
      <c r="AU96" s="701" t="str">
        <f t="shared" si="8"/>
        <v>SPGB  31-Jan-20  1.4</v>
      </c>
      <c r="AV96" s="717"/>
      <c r="AW96" s="699"/>
      <c r="AX96" s="699"/>
      <c r="AY96" s="699"/>
      <c r="AZ96" s="699"/>
      <c r="BA96" s="699"/>
      <c r="BB96" s="697"/>
      <c r="BC96" s="711"/>
      <c r="BE96" s="721">
        <f>_xll.xlDateShiftMonth(BE95,1)</f>
        <v>45775</v>
      </c>
      <c r="BF96" s="722">
        <v>1.5337167453734715E-2</v>
      </c>
    </row>
    <row r="97" spans="1:58">
      <c r="A97" s="10"/>
      <c r="B97" s="11"/>
      <c r="C97" s="12"/>
      <c r="D97" s="735">
        <f>MAX(_xll.xlDateSettle("TARGET",$D$4,2),L97)</f>
        <v>43164</v>
      </c>
      <c r="E97" s="733" t="s">
        <v>829</v>
      </c>
      <c r="F97" s="13" t="s">
        <v>1354</v>
      </c>
      <c r="G97" s="35">
        <v>43951</v>
      </c>
      <c r="H97" s="37">
        <v>4</v>
      </c>
      <c r="I97" s="11">
        <v>43951</v>
      </c>
      <c r="J97" s="11">
        <v>40198</v>
      </c>
      <c r="K97" s="11">
        <v>40298</v>
      </c>
      <c r="L97" s="11">
        <v>40198</v>
      </c>
      <c r="M97" s="12">
        <v>99.224000000000004</v>
      </c>
      <c r="N97" s="12" t="s">
        <v>1372</v>
      </c>
      <c r="O97" s="12" t="s">
        <v>1203</v>
      </c>
      <c r="P97" s="12" t="s">
        <v>1373</v>
      </c>
      <c r="Q97" s="15">
        <v>23365044000</v>
      </c>
      <c r="R97" s="12"/>
      <c r="S97" s="43">
        <f>_xll.BDP(E97&amp;"@cbbt Corp",$S$10)</f>
        <v>108.92</v>
      </c>
      <c r="T97" s="43">
        <f>_xll.BDP(E97&amp;"@cbbt Corp",$T$10)</f>
        <v>109.00700000000001</v>
      </c>
      <c r="U97" s="25">
        <f t="shared" si="15"/>
        <v>108.96350000000001</v>
      </c>
      <c r="V97" s="12"/>
      <c r="W97" s="25">
        <f t="shared" si="9"/>
        <v>108.96350000000001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3.3863013698630136</v>
      </c>
      <c r="Y97" s="14">
        <v>2.0465360754231754</v>
      </c>
      <c r="Z97" s="14">
        <v>-2.0496565910689495</v>
      </c>
      <c r="AA97" s="14">
        <v>6.4015322515883655E-2</v>
      </c>
      <c r="AB97" s="14">
        <v>6.4210689813288618E-2</v>
      </c>
      <c r="AC97" s="14">
        <v>2.3027856624253218</v>
      </c>
      <c r="AD97" s="34">
        <v>-1.5226597730264441E-3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-4.4556189769314081E-2</v>
      </c>
      <c r="AI97" s="14">
        <v>1.951049912874643</v>
      </c>
      <c r="AJ97" s="14">
        <v>2.1920007017415473</v>
      </c>
      <c r="AK97" s="246">
        <v>-2.0326722402009129E-2</v>
      </c>
      <c r="AL97" s="213">
        <f>IF(U97&gt;0,_xll.xlBondZSpread(F97,H97,G97,J97,K97,L97,M97,D97,U97,"annual",5)*100,"-")</f>
        <v>-1.9330617209197958</v>
      </c>
      <c r="AM97" s="266" t="e">
        <f>(-IF($AL$9="",VLOOKUP(VLOOKUP(E97,'DB Basis'!$D$2:$H$65205,4,0),Bonds!$AR$1:$AS$6,2,0),$AL$9)*VLOOKUP(E97,'DB Basis'!$D$2:$E$65205,2,0))+IF(V97="",W97,V97)</f>
        <v>#N/A</v>
      </c>
      <c r="AN97" s="275" t="str">
        <f>IF($AN$9+(($AL$9-$AM$9))*('DB Basis'!F257/10-'DB Basis'!E257),," ")</f>
        <v xml:space="preserve"> </v>
      </c>
      <c r="AO97" s="648">
        <f>IF(U97&gt;0,_xll.xlShmImplSwap2(curveName,curveName,D97,G97,,1,8,2,4),"-")</f>
        <v>-1.294306773214053E-3</v>
      </c>
      <c r="AP97" s="649">
        <f t="shared" si="10"/>
        <v>-2.2835299981239111E-4</v>
      </c>
      <c r="AQ97" s="391">
        <f t="shared" si="11"/>
        <v>27.657940896954635</v>
      </c>
      <c r="AR97" s="391">
        <f t="shared" si="12"/>
        <v>7.3466699447708512</v>
      </c>
      <c r="AS97" s="393"/>
      <c r="AT97" s="242">
        <f t="shared" si="13"/>
        <v>-0.15018014199712873</v>
      </c>
      <c r="AU97" s="701" t="str">
        <f t="shared" si="8"/>
        <v>SPGB  30-Apr-20  4</v>
      </c>
      <c r="AV97" s="717"/>
      <c r="AW97" s="699"/>
      <c r="AX97" s="699"/>
      <c r="AY97" s="699"/>
      <c r="AZ97" s="699"/>
      <c r="BA97" s="699"/>
      <c r="BB97" s="697"/>
      <c r="BC97" s="711"/>
      <c r="BE97" s="721">
        <f>_xll.xlDateShiftMonth(BE96,1)</f>
        <v>45805</v>
      </c>
      <c r="BF97" s="722">
        <v>1.5526940991735554E-2</v>
      </c>
    </row>
    <row r="98" spans="1:58">
      <c r="A98" s="17"/>
      <c r="B98" s="16"/>
      <c r="C98" s="18"/>
      <c r="D98" s="735">
        <f>MAX(_xll.xlDateSettle("TARGET",$D$4,2),L98)</f>
        <v>43164</v>
      </c>
      <c r="E98" s="733" t="s">
        <v>843</v>
      </c>
      <c r="F98" s="13" t="s">
        <v>1354</v>
      </c>
      <c r="G98" s="35">
        <v>44042</v>
      </c>
      <c r="H98" s="37">
        <v>1.1499999999999999</v>
      </c>
      <c r="I98" s="11">
        <v>44042</v>
      </c>
      <c r="J98" s="11">
        <v>42171</v>
      </c>
      <c r="K98" s="11">
        <v>42215</v>
      </c>
      <c r="L98" s="11">
        <v>42171</v>
      </c>
      <c r="M98" s="12">
        <v>99.54</v>
      </c>
      <c r="N98" s="12" t="s">
        <v>1374</v>
      </c>
      <c r="O98" s="12" t="s">
        <v>1203</v>
      </c>
      <c r="P98" s="12" t="s">
        <v>1375</v>
      </c>
      <c r="Q98" s="15">
        <v>19079200000</v>
      </c>
      <c r="R98" s="12"/>
      <c r="S98" s="43">
        <f>_xll.BDP(E98&amp;"@cbbt Corp",$S$10)</f>
        <v>103.015</v>
      </c>
      <c r="T98" s="43">
        <f>_xll.BDP(E98&amp;"@cbbt Corp",$T$10)</f>
        <v>103.099</v>
      </c>
      <c r="U98" s="25">
        <f t="shared" si="15"/>
        <v>103.057</v>
      </c>
      <c r="V98" s="12"/>
      <c r="W98" s="25">
        <f t="shared" si="9"/>
        <v>103.057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0.68684931506849312</v>
      </c>
      <c r="Y98" s="14">
        <v>2.3694554208598331</v>
      </c>
      <c r="Z98" s="14">
        <v>-2.3722936124656608</v>
      </c>
      <c r="AA98" s="14">
        <v>8.0381315530902511E-2</v>
      </c>
      <c r="AB98" s="14">
        <v>8.0573996268743578E-2</v>
      </c>
      <c r="AC98" s="14">
        <v>2.4611087882000504</v>
      </c>
      <c r="AD98" s="34">
        <v>-1.1963978168505196E-3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-0.12090412328512601</v>
      </c>
      <c r="AI98" s="14">
        <v>2.3568613587001774</v>
      </c>
      <c r="AJ98" s="14">
        <v>2.4450986965349881</v>
      </c>
      <c r="AK98" s="246">
        <v>-4.9447543142722802E-2</v>
      </c>
      <c r="AL98" s="213">
        <f>IF(U98&gt;0,_xll.xlBondZSpread(F98,H98,G98,J98,K98,L98,M98,D98,U98,"annual",5)*100,"-")</f>
        <v>-4.9110347946407273</v>
      </c>
      <c r="AM98" s="266" t="e">
        <f>(-IF($AL$9="",VLOOKUP(VLOOKUP(E98,'DB Basis'!$D$2:$H$65205,4,0),Bonds!$AR$1:$AS$6,2,0),$AL$9)*VLOOKUP(E98,'DB Basis'!$D$2:$E$65205,2,0))+IF(V98="",W98,V98)</f>
        <v>#N/A</v>
      </c>
      <c r="AN98" s="275" t="str">
        <f>IF($AN$9+(($AL$9-$AM$9))*('DB Basis'!F258/10-'DB Basis'!E258),," ")</f>
        <v xml:space="preserve"> </v>
      </c>
      <c r="AO98" s="648">
        <f>IF(U98&gt;0,_xll.xlShmImplSwap2(curveName,curveName,D98,G98,,1,8,2,4),"-")</f>
        <v>-6.878360262181218E-4</v>
      </c>
      <c r="AP98" s="649">
        <f t="shared" si="10"/>
        <v>-5.0856179063239781E-4</v>
      </c>
      <c r="AQ98" s="391">
        <f t="shared" si="11"/>
        <v>13.086331209254114</v>
      </c>
      <c r="AR98" s="391">
        <f t="shared" si="12"/>
        <v>-11.239143807615653</v>
      </c>
      <c r="AS98" s="393"/>
      <c r="AT98" s="242">
        <f t="shared" si="13"/>
        <v>-0.11800088056607866</v>
      </c>
      <c r="AU98" s="701" t="str">
        <f t="shared" si="8"/>
        <v>SPGB  30-Jul-20  1.15</v>
      </c>
      <c r="AV98" s="717"/>
      <c r="AW98" s="699"/>
      <c r="AX98" s="699"/>
      <c r="AY98" s="699"/>
      <c r="AZ98" s="699"/>
      <c r="BA98" s="699"/>
      <c r="BB98" s="697"/>
      <c r="BC98" s="711"/>
      <c r="BE98" s="721">
        <f>_xll.xlDateShiftMonth(BE97,1)</f>
        <v>45836</v>
      </c>
      <c r="BF98" s="722">
        <v>1.5712172611254727E-2</v>
      </c>
    </row>
    <row r="99" spans="1:58">
      <c r="A99" s="10"/>
      <c r="B99" s="11"/>
      <c r="C99" s="12"/>
      <c r="D99" s="735">
        <f>MAX(_xll.xlDateSettle("TARGET",$D$4,2),L99)</f>
        <v>43164</v>
      </c>
      <c r="E99" s="733" t="s">
        <v>854</v>
      </c>
      <c r="F99" s="13" t="s">
        <v>1354</v>
      </c>
      <c r="G99" s="35">
        <v>44135</v>
      </c>
      <c r="H99" s="37">
        <v>4.8499999999999996</v>
      </c>
      <c r="I99" s="11">
        <v>44135</v>
      </c>
      <c r="J99" s="11">
        <v>40372</v>
      </c>
      <c r="K99" s="11">
        <v>40482</v>
      </c>
      <c r="L99" s="11">
        <v>40372</v>
      </c>
      <c r="M99" s="12">
        <v>99.832999999999998</v>
      </c>
      <c r="N99" s="12" t="s">
        <v>1376</v>
      </c>
      <c r="O99" s="12" t="s">
        <v>1203</v>
      </c>
      <c r="P99" s="12" t="s">
        <v>1377</v>
      </c>
      <c r="Q99" s="15">
        <v>18387219000</v>
      </c>
      <c r="R99" s="12"/>
      <c r="S99" s="43">
        <f>_xll.BDP(E99&amp;"@cbbt Corp",$S$10)</f>
        <v>113.071</v>
      </c>
      <c r="T99" s="43">
        <f>_xll.BDP(E99&amp;"@cbbt Corp",$T$10)</f>
        <v>113.16500000000001</v>
      </c>
      <c r="U99" s="25">
        <f t="shared" si="15"/>
        <v>113.11799999999999</v>
      </c>
      <c r="V99" s="12"/>
      <c r="W99" s="25">
        <f t="shared" si="9"/>
        <v>113.11799999999999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1.6609589041095889</v>
      </c>
      <c r="Y99" s="14">
        <v>2.5356721440411714</v>
      </c>
      <c r="Z99" s="14">
        <v>-2.5376697648599471</v>
      </c>
      <c r="AA99" s="14">
        <v>9.1619007205485076E-2</v>
      </c>
      <c r="AB99" s="14">
        <v>9.1763420298378279E-2</v>
      </c>
      <c r="AC99" s="14">
        <v>2.9127110179167914</v>
      </c>
      <c r="AD99" s="34">
        <v>-7.8718706782530262E-4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-0.18829891056890791</v>
      </c>
      <c r="AI99" s="14">
        <v>2.3599829519244144</v>
      </c>
      <c r="AJ99" s="14">
        <v>2.7087638625333161</v>
      </c>
      <c r="AK99" s="246">
        <v>-6.9514701216074531E-2</v>
      </c>
      <c r="AL99" s="213">
        <f>IF(U99&gt;0,_xll.xlBondZSpread(F99,H99,G99,J99,K99,L99,M99,D99,U99,"annual",5)*100,"-")</f>
        <v>-6.4663262634858247</v>
      </c>
      <c r="AM99" s="266" t="e">
        <f>(-IF($AL$9="",VLOOKUP(VLOOKUP(E99,'DB Basis'!$D$2:$H$65205,4,0),Bonds!$AR$1:$AS$6,2,0),$AL$9)*VLOOKUP(E99,'DB Basis'!$D$2:$E$65205,2,0))+IF(V99="",W99,V99)</f>
        <v>#N/A</v>
      </c>
      <c r="AN99" s="275" t="str">
        <f>IF($AN$9+(($AL$9-$AM$9))*('DB Basis'!F259/10-'DB Basis'!E259),," ")</f>
        <v xml:space="preserve"> </v>
      </c>
      <c r="AO99" s="648">
        <f>IF(U99&gt;0,_xll.xlShmImplSwap2(curveName,curveName,D99,G99,,1,8,2,4),"-")</f>
        <v>-5.5918555922343901E-5</v>
      </c>
      <c r="AP99" s="649">
        <f t="shared" si="10"/>
        <v>-7.3126851190295869E-4</v>
      </c>
      <c r="AQ99" s="391">
        <f t="shared" si="11"/>
        <v>16.060421870344538</v>
      </c>
      <c r="AR99" s="391">
        <f t="shared" si="12"/>
        <v>-8.740640135887606</v>
      </c>
      <c r="AS99" s="393"/>
      <c r="AT99" s="242">
        <f t="shared" si="13"/>
        <v>-7.7640368333454501E-2</v>
      </c>
      <c r="AU99" s="701" t="str">
        <f t="shared" si="8"/>
        <v>SPGB  31-Oct-20  4.85</v>
      </c>
      <c r="AV99" s="717"/>
      <c r="AW99" s="699"/>
      <c r="AX99" s="699"/>
      <c r="AY99" s="699"/>
      <c r="AZ99" s="699"/>
      <c r="BA99" s="699"/>
      <c r="BB99" s="697"/>
      <c r="BC99" s="711"/>
      <c r="BE99" s="721">
        <f>_xll.xlDateShiftMonth(BE98,1)</f>
        <v>45866</v>
      </c>
      <c r="BF99" s="722">
        <v>1.5887470033255441E-2</v>
      </c>
    </row>
    <row r="100" spans="1:58">
      <c r="A100" s="17"/>
      <c r="B100" s="16"/>
      <c r="C100" s="18"/>
      <c r="D100" s="735">
        <f>MAX(_xll.xlDateSettle("TARGET",$D$4,2),L100)</f>
        <v>43164</v>
      </c>
      <c r="E100" s="733" t="s">
        <v>1658</v>
      </c>
      <c r="F100" s="13" t="s">
        <v>1354</v>
      </c>
      <c r="G100" s="35">
        <v>44227</v>
      </c>
      <c r="H100" s="37">
        <v>0.05</v>
      </c>
      <c r="I100" s="11">
        <v>44227</v>
      </c>
      <c r="J100" s="11">
        <v>42892</v>
      </c>
      <c r="K100" s="11">
        <v>43131</v>
      </c>
      <c r="L100" s="11">
        <v>42892</v>
      </c>
      <c r="M100" s="12">
        <v>100.10299999999999</v>
      </c>
      <c r="N100" s="12" t="s">
        <v>1378</v>
      </c>
      <c r="O100" s="12" t="s">
        <v>1222</v>
      </c>
      <c r="P100" s="12" t="s">
        <v>1379</v>
      </c>
      <c r="Q100" s="15">
        <v>10470577000</v>
      </c>
      <c r="R100" s="12"/>
      <c r="S100" s="43">
        <f>_xll.BDP(E100&amp;"@cbbt Corp",$S$10)</f>
        <v>100.119</v>
      </c>
      <c r="T100" s="43">
        <f>_xll.BDP(E100&amp;"@cbbt Corp",$T$10)</f>
        <v>100.193</v>
      </c>
      <c r="U100" s="25">
        <f t="shared" si="15"/>
        <v>100.15600000000001</v>
      </c>
      <c r="V100" s="12"/>
      <c r="W100" s="25">
        <f t="shared" si="9"/>
        <v>100.15600000000001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4.5205479452054796E-3</v>
      </c>
      <c r="Y100" s="14">
        <v>2.9108208896380794</v>
      </c>
      <c r="Z100" s="14">
        <v>-2.9109251541033996</v>
      </c>
      <c r="AA100" s="14">
        <v>0.11386201175992872</v>
      </c>
      <c r="AB100" s="14">
        <v>0.11387016889143729</v>
      </c>
      <c r="AC100" s="14">
        <v>2.9155986622299679</v>
      </c>
      <c r="AD100" s="34">
        <v>-3.6086210912673129E-5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-0.17255171724803836</v>
      </c>
      <c r="AI100" s="14">
        <v>2.9562099232756527</v>
      </c>
      <c r="AJ100" s="14">
        <v>2.9609552476429055</v>
      </c>
      <c r="AK100" s="246">
        <v>-5.8275692408861018E-2</v>
      </c>
      <c r="AL100" s="213">
        <f>IF(U100&gt;0,_xll.xlBondZSpread(F100,H100,G100,J100,K100,L100,M100,D100,U100,"annual",5)*100,"-")</f>
        <v>-5.9192640633482378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5" t="str">
        <f>IF($AN$9+(($AL$9-$AM$9))*('DB Basis'!F260/10-'DB Basis'!E260),," ")</f>
        <v xml:space="preserve"> </v>
      </c>
      <c r="AO100" s="648">
        <f>IF(U100&gt;0,_xll.xlShmImplSwap2(curveName,curveName,D100,G100,,1,8,2,4),"-")</f>
        <v>5.5353957592334734E-4</v>
      </c>
      <c r="AP100" s="649">
        <f t="shared" si="10"/>
        <v>-5.8962578683602047E-4</v>
      </c>
      <c r="AQ100" s="391">
        <f t="shared" si="11"/>
        <v>29.799110084033671</v>
      </c>
      <c r="AR100" s="391">
        <f t="shared" si="12"/>
        <v>5.6195211575470054</v>
      </c>
      <c r="AS100" s="393"/>
      <c r="AT100" s="242">
        <f t="shared" si="13"/>
        <v>-3.559187925633514E-3</v>
      </c>
      <c r="AU100" s="701" t="str">
        <f t="shared" si="8"/>
        <v>SPGB  31-Jan-21  0.05</v>
      </c>
      <c r="AV100" s="717"/>
      <c r="AW100" s="699"/>
      <c r="AX100" s="699"/>
      <c r="AY100" s="699"/>
      <c r="AZ100" s="699"/>
      <c r="BA100" s="699"/>
      <c r="BB100" s="697"/>
      <c r="BC100" s="711"/>
      <c r="BE100" s="721">
        <f>_xll.xlDateShiftMonth(BE99,1)</f>
        <v>45897</v>
      </c>
      <c r="BF100" s="722">
        <v>1.6064734663248866E-2</v>
      </c>
    </row>
    <row r="101" spans="1:58">
      <c r="A101" s="10"/>
      <c r="B101" s="11"/>
      <c r="C101" s="12"/>
      <c r="D101" s="735">
        <f>MAX(_xll.xlDateSettle("TARGET",$D$4,2),L101)</f>
        <v>43164</v>
      </c>
      <c r="E101" s="733" t="s">
        <v>830</v>
      </c>
      <c r="F101" s="13" t="s">
        <v>1354</v>
      </c>
      <c r="G101" s="35">
        <v>44316</v>
      </c>
      <c r="H101" s="37">
        <v>5.5</v>
      </c>
      <c r="I101" s="11">
        <v>44316</v>
      </c>
      <c r="J101" s="11">
        <v>40567</v>
      </c>
      <c r="K101" s="11">
        <v>40663</v>
      </c>
      <c r="L101" s="11">
        <v>40567</v>
      </c>
      <c r="M101" s="12">
        <v>99.233000000000004</v>
      </c>
      <c r="N101" s="12" t="s">
        <v>1380</v>
      </c>
      <c r="O101" s="12" t="s">
        <v>1203</v>
      </c>
      <c r="P101" s="12" t="s">
        <v>1381</v>
      </c>
      <c r="Q101" s="15">
        <v>24001924000</v>
      </c>
      <c r="R101" s="12"/>
      <c r="S101" s="43">
        <f>_xll.BDP(E101&amp;"@cbbt Corp",$S$10)</f>
        <v>117.205</v>
      </c>
      <c r="T101" s="43">
        <f>_xll.BDP(E101&amp;"@cbbt Corp",$T$10)</f>
        <v>117.316</v>
      </c>
      <c r="U101" s="25">
        <f t="shared" si="15"/>
        <v>117.26050000000001</v>
      </c>
      <c r="V101" s="12"/>
      <c r="W101" s="25">
        <f t="shared" si="9"/>
        <v>117.26050000000001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4.6561643835616433</v>
      </c>
      <c r="Y101" s="14">
        <v>2.8828005661715963</v>
      </c>
      <c r="Z101" s="14">
        <v>-2.8821173505828788</v>
      </c>
      <c r="AA101" s="14">
        <v>0.1175159411884367</v>
      </c>
      <c r="AB101" s="14">
        <v>0.11746024589700062</v>
      </c>
      <c r="AC101" s="14">
        <v>3.5137814593127814</v>
      </c>
      <c r="AD101" s="34">
        <v>2.3705335100640545E-4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-0.23902953160657869</v>
      </c>
      <c r="AI101" s="14">
        <v>2.6282882506595051</v>
      </c>
      <c r="AJ101" s="14">
        <v>3.2043213655891325</v>
      </c>
      <c r="AK101" s="246">
        <v>-7.459599220399328E-2</v>
      </c>
      <c r="AL101" s="213">
        <f>IF(U101&gt;0,_xll.xlBondZSpread(F101,H101,G101,J101,K101,L101,M101,D101,U101,"annual",5)*100,"-")</f>
        <v>-6.8075052707208679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5" t="str">
        <f>IF($AN$9+(($AL$9-$AM$9))*('DB Basis'!F261/10-'DB Basis'!E261),," ")</f>
        <v xml:space="preserve"> </v>
      </c>
      <c r="AO101" s="648">
        <f>IF(U101&gt;0,_xll.xlShmImplSwap2(curveName,curveName,D101,G101,,1,8,2,4),"-")</f>
        <v>1.0750047683826594E-3</v>
      </c>
      <c r="AP101" s="649">
        <f t="shared" si="10"/>
        <v>-8.3795141737625397E-4</v>
      </c>
      <c r="AQ101" s="391">
        <f t="shared" si="11"/>
        <v>11.201791022524009</v>
      </c>
      <c r="AR101" s="391">
        <f t="shared" si="12"/>
        <v>-10.184141027773622</v>
      </c>
      <c r="AS101" s="393"/>
      <c r="AT101" s="242">
        <f t="shared" si="13"/>
        <v>2.3380604482823551E-2</v>
      </c>
      <c r="AU101" s="701" t="str">
        <f t="shared" si="8"/>
        <v>SPGB  30-Apr-21  5.5</v>
      </c>
      <c r="AV101" s="717"/>
      <c r="AW101" s="699"/>
      <c r="AX101" s="699"/>
      <c r="AY101" s="699"/>
      <c r="AZ101" s="699"/>
      <c r="BA101" s="699"/>
      <c r="BB101" s="697"/>
      <c r="BC101" s="711"/>
      <c r="BE101" s="721">
        <f>_xll.xlDateShiftMonth(BE100,1)</f>
        <v>45928</v>
      </c>
      <c r="BF101" s="722">
        <v>1.6238177639963613E-2</v>
      </c>
    </row>
    <row r="102" spans="1:58">
      <c r="A102" s="17"/>
      <c r="B102" s="16"/>
      <c r="C102" s="18"/>
      <c r="D102" s="735">
        <f>MAX(_xll.xlDateSettle("TARGET",$D$4,2),L102)</f>
        <v>43164</v>
      </c>
      <c r="E102" s="733" t="s">
        <v>855</v>
      </c>
      <c r="F102" s="13" t="s">
        <v>1354</v>
      </c>
      <c r="G102" s="35">
        <v>44407</v>
      </c>
      <c r="H102" s="37">
        <v>0.75</v>
      </c>
      <c r="I102" s="11">
        <v>44407</v>
      </c>
      <c r="J102" s="11">
        <v>42437</v>
      </c>
      <c r="K102" s="11">
        <v>42581</v>
      </c>
      <c r="L102" s="11">
        <v>42437</v>
      </c>
      <c r="M102" s="12">
        <v>100.292</v>
      </c>
      <c r="N102" s="12" t="s">
        <v>1382</v>
      </c>
      <c r="O102" s="12" t="s">
        <v>1222</v>
      </c>
      <c r="P102" s="12" t="s">
        <v>1383</v>
      </c>
      <c r="Q102" s="15">
        <v>21979290000</v>
      </c>
      <c r="R102" s="12"/>
      <c r="S102" s="43">
        <f>_xll.BDP(E102&amp;"@cbbt Corp",$S$10)</f>
        <v>102.291</v>
      </c>
      <c r="T102" s="43">
        <f>_xll.BDP(E102&amp;"@cbbt Corp",$T$10)</f>
        <v>102.379</v>
      </c>
      <c r="U102" s="25">
        <f t="shared" si="15"/>
        <v>102.33500000000001</v>
      </c>
      <c r="V102" s="12"/>
      <c r="W102" s="25">
        <f t="shared" si="9"/>
        <v>102.33500000000001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0.44794520547945205</v>
      </c>
      <c r="Y102" s="14">
        <v>3.3589875328933991</v>
      </c>
      <c r="Z102" s="14">
        <v>-3.3568786533904191</v>
      </c>
      <c r="AA102" s="14">
        <v>0.14741974238391584</v>
      </c>
      <c r="AB102" s="14">
        <v>0.14723469086078433</v>
      </c>
      <c r="AC102" s="14">
        <v>3.450298893373116</v>
      </c>
      <c r="AD102" s="34">
        <v>6.2822336578141885E-4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-0.31585130477673462</v>
      </c>
      <c r="AI102" s="14">
        <v>3.3619766384471279</v>
      </c>
      <c r="AJ102" s="14">
        <v>3.4555386061161317</v>
      </c>
      <c r="AK102" s="246">
        <v>-9.1404362902410496E-2</v>
      </c>
      <c r="AL102" s="213">
        <f>IF(U102&gt;0,_xll.xlBondZSpread(F102,H102,G102,J102,K102,L102,M102,D102,U102,"annual",5)*100,"-")</f>
        <v>-9.1654178745302488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5" t="str">
        <f>IF($AN$9+(($AL$9-$AM$9))*('DB Basis'!F262/10-'DB Basis'!E262),," ")</f>
        <v xml:space="preserve"> </v>
      </c>
      <c r="AO102" s="648">
        <f>IF(U102&gt;0,_xll.xlShmImplSwap2(curveName,curveName,D102,G102,,1,8,2,4),"-")</f>
        <v>1.5669204180412495E-3</v>
      </c>
      <c r="AP102" s="649">
        <f t="shared" si="10"/>
        <v>-9.3869705225983063E-4</v>
      </c>
      <c r="AQ102" s="391">
        <f t="shared" si="11"/>
        <v>15.689786306909879</v>
      </c>
      <c r="AR102" s="391">
        <f t="shared" si="12"/>
        <v>-4.0408963442313715</v>
      </c>
      <c r="AS102" s="393"/>
      <c r="AT102" s="242">
        <f t="shared" si="13"/>
        <v>6.1961756625016656E-2</v>
      </c>
      <c r="AU102" s="701" t="str">
        <f t="shared" si="8"/>
        <v>SPGB  30-Jul-21  0.75</v>
      </c>
      <c r="AV102" s="717"/>
      <c r="AW102" s="699"/>
      <c r="AX102" s="699"/>
      <c r="AY102" s="699"/>
      <c r="AZ102" s="699"/>
      <c r="BA102" s="699"/>
      <c r="BB102" s="697"/>
      <c r="BC102" s="711"/>
      <c r="BE102" s="721">
        <f>_xll.xlDateShiftMonth(BE101,1)</f>
        <v>45958</v>
      </c>
      <c r="BF102" s="722">
        <v>1.6402499241933988E-2</v>
      </c>
    </row>
    <row r="103" spans="1:58">
      <c r="A103" s="10"/>
      <c r="B103" s="11"/>
      <c r="C103" s="12"/>
      <c r="D103" s="735">
        <f>MAX(_xll.xlDateSettle("TARGET",$D$4,2),L103)</f>
        <v>43164</v>
      </c>
      <c r="E103" s="733" t="s">
        <v>832</v>
      </c>
      <c r="F103" s="13" t="s">
        <v>1354</v>
      </c>
      <c r="G103" s="35">
        <v>44592</v>
      </c>
      <c r="H103" s="37">
        <v>5.85</v>
      </c>
      <c r="I103" s="11">
        <v>44592</v>
      </c>
      <c r="J103" s="11">
        <v>40869</v>
      </c>
      <c r="K103" s="11">
        <v>40939</v>
      </c>
      <c r="L103" s="11">
        <v>40869</v>
      </c>
      <c r="M103" s="12">
        <v>92.007000000000005</v>
      </c>
      <c r="N103" s="12" t="s">
        <v>1384</v>
      </c>
      <c r="O103" s="12" t="s">
        <v>1203</v>
      </c>
      <c r="P103" s="12" t="s">
        <v>1385</v>
      </c>
      <c r="Q103" s="15">
        <v>22927112000</v>
      </c>
      <c r="R103" s="12"/>
      <c r="S103" s="43">
        <f>_xll.BDP(E103&amp;"@cbbt Corp",$S$10)</f>
        <v>122.01300000000001</v>
      </c>
      <c r="T103" s="43">
        <f>_xll.BDP(E103&amp;"@cbbt Corp",$T$10)</f>
        <v>122.116</v>
      </c>
      <c r="U103" s="25">
        <f t="shared" si="15"/>
        <v>122.06450000000001</v>
      </c>
      <c r="V103" s="12"/>
      <c r="W103" s="25">
        <f t="shared" si="9"/>
        <v>122.06450000000001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0.5289041095890411</v>
      </c>
      <c r="Y103" s="14">
        <v>3.6242153200488003</v>
      </c>
      <c r="Z103" s="14">
        <v>-3.6176643140031168</v>
      </c>
      <c r="AA103" s="14">
        <v>0.1734390162057132</v>
      </c>
      <c r="AB103" s="14">
        <v>0.17281257816847814</v>
      </c>
      <c r="AC103" s="14">
        <v>4.4350180376966364</v>
      </c>
      <c r="AD103" s="34">
        <v>1.8108385058881044E-3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-0.23044196421181284</v>
      </c>
      <c r="AI103" s="14">
        <v>3.2337001071933291</v>
      </c>
      <c r="AJ103" s="14">
        <v>3.964303040103732</v>
      </c>
      <c r="AK103" s="246">
        <v>-5.812925043333126E-2</v>
      </c>
      <c r="AL103" s="213">
        <f>IF(U103&gt;0,_xll.xlBondZSpread(F103,H103,G103,J103,K103,L103,M103,D103,U103,"annual",5)*100,"-")</f>
        <v>-5.2010036536521511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5" t="str">
        <f>IF($AN$9+(($AL$9-$AM$9))*('DB Basis'!F263/10-'DB Basis'!E263),," ")</f>
        <v xml:space="preserve"> </v>
      </c>
      <c r="AO103" s="648">
        <f>IF(U103&gt;0,_xll.xlShmImplSwap2(curveName,curveName,D103,G103,,1,8,2,4),"-")</f>
        <v>2.570319626480883E-3</v>
      </c>
      <c r="AP103" s="649">
        <f t="shared" si="10"/>
        <v>-7.594811205927786E-4</v>
      </c>
      <c r="AQ103" s="391">
        <f t="shared" si="11"/>
        <v>23.332677088591364</v>
      </c>
      <c r="AR103" s="391">
        <f t="shared" si="12"/>
        <v>3.5358818950526483</v>
      </c>
      <c r="AS103" s="393"/>
      <c r="AT103" s="242">
        <f t="shared" si="13"/>
        <v>0.17860324989581303</v>
      </c>
      <c r="AU103" s="701" t="str">
        <f t="shared" si="8"/>
        <v>SPGB  31-Jan-22  5.85</v>
      </c>
      <c r="AV103" s="717"/>
      <c r="AW103" s="699"/>
      <c r="AX103" s="699"/>
      <c r="AY103" s="699"/>
      <c r="AZ103" s="699"/>
      <c r="BA103" s="699"/>
      <c r="BB103" s="697"/>
      <c r="BC103" s="711"/>
      <c r="BE103" s="721">
        <f>_xll.xlDateShiftMonth(BE102,1)</f>
        <v>45989</v>
      </c>
      <c r="BF103" s="722">
        <v>1.6568770268322319E-2</v>
      </c>
    </row>
    <row r="104" spans="1:58">
      <c r="A104" s="17"/>
      <c r="B104" s="16"/>
      <c r="C104" s="18"/>
      <c r="D104" s="735">
        <f>MAX(_xll.xlDateSettle("TARGET",$D$4,2),L104)</f>
        <v>43164</v>
      </c>
      <c r="E104" s="733" t="s">
        <v>973</v>
      </c>
      <c r="F104" s="13" t="s">
        <v>1354</v>
      </c>
      <c r="G104" s="35">
        <v>44681</v>
      </c>
      <c r="H104" s="37">
        <v>0.4</v>
      </c>
      <c r="I104" s="11">
        <v>44681</v>
      </c>
      <c r="J104" s="11">
        <v>42759</v>
      </c>
      <c r="K104" s="11">
        <v>42855</v>
      </c>
      <c r="L104" s="11">
        <v>42759</v>
      </c>
      <c r="M104" s="12">
        <v>99.998999999999995</v>
      </c>
      <c r="N104" s="12" t="s">
        <v>1386</v>
      </c>
      <c r="O104" s="12" t="s">
        <v>1203</v>
      </c>
      <c r="P104" s="12" t="s">
        <v>1387</v>
      </c>
      <c r="Q104" s="15">
        <v>20899708000</v>
      </c>
      <c r="R104" s="12"/>
      <c r="S104" s="43">
        <f>_xll.BDP(E104&amp;"@cbbt Corp",$S$10)</f>
        <v>100.46599999999999</v>
      </c>
      <c r="T104" s="43">
        <f>_xll.BDP(E104&amp;"@cbbt Corp",$T$10)</f>
        <v>100.565</v>
      </c>
      <c r="U104" s="25">
        <f t="shared" si="15"/>
        <v>100.5155</v>
      </c>
      <c r="V104" s="12"/>
      <c r="W104" s="25">
        <f t="shared" si="9"/>
        <v>100.5155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0.3386301369863014</v>
      </c>
      <c r="Y104" s="14">
        <v>4.1192814449064707</v>
      </c>
      <c r="Z104" s="14">
        <v>-4.1079997663917371</v>
      </c>
      <c r="AA104" s="14">
        <v>0.21205341583729775</v>
      </c>
      <c r="AB104" s="14">
        <v>0.21089348417576406</v>
      </c>
      <c r="AC104" s="14">
        <v>4.1430876479580547</v>
      </c>
      <c r="AD104" s="34">
        <v>2.7462704779321629E-3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-0.11692153649660547</v>
      </c>
      <c r="AI104" s="14">
        <v>4.1778537232554331</v>
      </c>
      <c r="AJ104" s="14">
        <v>4.2135380309849619</v>
      </c>
      <c r="AK104" s="246">
        <v>-2.774901653593791E-2</v>
      </c>
      <c r="AL104" s="213">
        <f>IF(U104&gt;0,_xll.xlBondZSpread(F104,H104,G104,J104,K104,L104,M104,D104,U104,"annual",5)*100,"-")</f>
        <v>-2.822278064704733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5" t="str">
        <f>IF($AN$9+(($AL$9-$AM$9))*('DB Basis'!F264/10-'DB Basis'!E264),," ")</f>
        <v xml:space="preserve"> </v>
      </c>
      <c r="AO104" s="648">
        <f>IF(U104&gt;0,_xll.xlShmImplSwap2(curveName,curveName,D104,G104,,1,8,2,4),"-")</f>
        <v>3.0333622218833237E-3</v>
      </c>
      <c r="AP104" s="649">
        <f t="shared" si="10"/>
        <v>-2.8709174395116083E-4</v>
      </c>
      <c r="AQ104" s="391">
        <f t="shared" si="11"/>
        <v>38.363221325402399</v>
      </c>
      <c r="AR104" s="391">
        <f t="shared" si="12"/>
        <v>19.37327218811129</v>
      </c>
      <c r="AS104" s="393"/>
      <c r="AT104" s="242">
        <f t="shared" si="13"/>
        <v>0.27086503343988461</v>
      </c>
      <c r="AU104" s="701" t="str">
        <f t="shared" si="8"/>
        <v>SPGB  30-Apr-22  0.4</v>
      </c>
      <c r="AV104" s="717"/>
      <c r="AW104" s="699"/>
      <c r="AX104" s="699"/>
      <c r="AY104" s="699"/>
      <c r="AZ104" s="699"/>
      <c r="BA104" s="699"/>
      <c r="BB104" s="697"/>
      <c r="BC104" s="711"/>
      <c r="BE104" s="721">
        <f>_xll.xlDateShiftMonth(BE103,1)</f>
        <v>46019</v>
      </c>
      <c r="BF104" s="722">
        <v>1.6726374618602356E-2</v>
      </c>
    </row>
    <row r="105" spans="1:58">
      <c r="A105" s="10"/>
      <c r="B105" s="11"/>
      <c r="C105" s="12"/>
      <c r="D105" s="735">
        <f>MAX(_xll.xlDateSettle("TARGET",$D$4,2),L105)</f>
        <v>43164</v>
      </c>
      <c r="E105" s="733" t="s">
        <v>1659</v>
      </c>
      <c r="F105" s="13" t="s">
        <v>1354</v>
      </c>
      <c r="G105" s="35">
        <v>44865</v>
      </c>
      <c r="H105" s="37">
        <v>0.45</v>
      </c>
      <c r="I105" s="11">
        <v>44865</v>
      </c>
      <c r="J105" s="11">
        <v>43018</v>
      </c>
      <c r="K105" s="11">
        <v>43039</v>
      </c>
      <c r="L105" s="11">
        <v>43018</v>
      </c>
      <c r="M105" s="12">
        <v>99.6</v>
      </c>
      <c r="N105" s="12" t="s">
        <v>1388</v>
      </c>
      <c r="O105" s="12" t="s">
        <v>1222</v>
      </c>
      <c r="P105" s="12" t="s">
        <v>1389</v>
      </c>
      <c r="Q105" s="15">
        <v>10762326000</v>
      </c>
      <c r="R105" s="12"/>
      <c r="S105" s="43">
        <f>_xll.BDP(E105&amp;"@cbbt Corp",$S$10)</f>
        <v>100.267</v>
      </c>
      <c r="T105" s="43">
        <f>_xll.BDP(E105&amp;"@cbbt Corp",$T$10)</f>
        <v>100.366</v>
      </c>
      <c r="U105" s="25">
        <f t="shared" si="15"/>
        <v>100.31649999999999</v>
      </c>
      <c r="V105" s="12"/>
      <c r="W105" s="25">
        <f t="shared" si="9"/>
        <v>100.31649999999999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0.1541095890410959</v>
      </c>
      <c r="Y105" s="14">
        <v>4.6130481195737847</v>
      </c>
      <c r="Z105" s="14">
        <v>-4.595526875394202</v>
      </c>
      <c r="AA105" s="14">
        <v>0.26024853749270571</v>
      </c>
      <c r="AB105" s="14">
        <v>0.25827534388727552</v>
      </c>
      <c r="AC105" s="14">
        <v>4.6171541519782977</v>
      </c>
      <c r="AD105" s="34">
        <v>3.8126736388566377E-3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-4.9695644739242567E-2</v>
      </c>
      <c r="AI105" s="14">
        <v>4.6878521551152534</v>
      </c>
      <c r="AJ105" s="14">
        <v>4.7099136368772951</v>
      </c>
      <c r="AK105" s="246">
        <v>-1.0551285770962348E-2</v>
      </c>
      <c r="AL105" s="213">
        <f>IF(U105&gt;0,_xll.xlBondZSpread(F105,H105,G105,J105,K105,L105,M105,D105,U105,"annual",5)*100,"-")</f>
        <v>-1.0760457105061507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5" t="str">
        <f>IF($AN$9+(($AL$9-$AM$9))*('DB Basis'!F265/10-'DB Basis'!E265),," ")</f>
        <v xml:space="preserve"> </v>
      </c>
      <c r="AO105" s="648">
        <f>IF(U105&gt;0,_xll.xlShmImplSwap2(curveName,curveName,D105,G105,,1,8,2,4),"-")</f>
        <v>3.9218150024965858E-3</v>
      </c>
      <c r="AP105" s="649">
        <f t="shared" si="10"/>
        <v>-1.0914136363994811E-4</v>
      </c>
      <c r="AQ105" s="391">
        <f t="shared" si="11"/>
        <v>21.154193137903981</v>
      </c>
      <c r="AR105" s="391">
        <f t="shared" si="12"/>
        <v>3.5299939572604693</v>
      </c>
      <c r="AS105" s="393"/>
      <c r="AT105" s="242">
        <f t="shared" si="13"/>
        <v>0.37604452328449028</v>
      </c>
      <c r="AU105" s="701" t="str">
        <f t="shared" si="8"/>
        <v>SPGB  31-Oct-22  0.45</v>
      </c>
      <c r="AV105" s="717"/>
      <c r="AW105" s="699"/>
      <c r="AX105" s="699"/>
      <c r="AY105" s="699"/>
      <c r="AZ105" s="699"/>
      <c r="BA105" s="699"/>
      <c r="BB105" s="697"/>
      <c r="BC105" s="711"/>
      <c r="BE105" s="721">
        <f>_xll.xlDateShiftMonth(BE104,1)</f>
        <v>46050</v>
      </c>
      <c r="BF105" s="722">
        <v>1.6885935275157065E-2</v>
      </c>
    </row>
    <row r="106" spans="1:58">
      <c r="A106" s="17"/>
      <c r="B106" s="16"/>
      <c r="C106" s="18"/>
      <c r="D106" s="735">
        <f>MAX(_xll.xlDateSettle("TARGET",$D$4,2),L106)</f>
        <v>43164</v>
      </c>
      <c r="E106" s="733" t="s">
        <v>856</v>
      </c>
      <c r="F106" s="13" t="s">
        <v>1354</v>
      </c>
      <c r="G106" s="35">
        <v>44957</v>
      </c>
      <c r="H106" s="37">
        <v>5.4</v>
      </c>
      <c r="I106" s="11">
        <v>44957</v>
      </c>
      <c r="J106" s="11">
        <v>41303</v>
      </c>
      <c r="K106" s="11">
        <v>41670</v>
      </c>
      <c r="L106" s="11">
        <v>41303</v>
      </c>
      <c r="M106" s="12">
        <v>99.991</v>
      </c>
      <c r="N106" s="12" t="s">
        <v>1390</v>
      </c>
      <c r="O106" s="12" t="s">
        <v>1203</v>
      </c>
      <c r="P106" s="12" t="s">
        <v>1391</v>
      </c>
      <c r="Q106" s="15">
        <v>21666516000</v>
      </c>
      <c r="R106" s="12"/>
      <c r="S106" s="43">
        <f>_xll.BDP(E106&amp;"@cbbt Corp",$S$10)</f>
        <v>123.97</v>
      </c>
      <c r="T106" s="43">
        <f>_xll.BDP(E106&amp;"@cbbt Corp",$T$10)</f>
        <v>124.105</v>
      </c>
      <c r="U106" s="25">
        <f t="shared" si="15"/>
        <v>124.03749999999999</v>
      </c>
      <c r="V106" s="12"/>
      <c r="W106" s="25">
        <f t="shared" si="9"/>
        <v>124.03749999999999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0.48821917808219184</v>
      </c>
      <c r="Y106" s="14">
        <v>4.4796708356962416</v>
      </c>
      <c r="Z106" s="14">
        <v>-4.4600497423468601</v>
      </c>
      <c r="AA106" s="14">
        <v>0.2565379721917142</v>
      </c>
      <c r="AB106" s="14">
        <v>0.25429560567783038</v>
      </c>
      <c r="AC106" s="14">
        <v>5.5539093753658619</v>
      </c>
      <c r="AD106" s="34">
        <v>4.399299118934559E-3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0.19238911880863374</v>
      </c>
      <c r="AI106" s="14">
        <v>3.9828307329784094</v>
      </c>
      <c r="AJ106" s="14">
        <v>4.9596486138870466</v>
      </c>
      <c r="AK106" s="246">
        <v>3.8790876891952326E-2</v>
      </c>
      <c r="AL106" s="213">
        <f>IF(U106&gt;0,_xll.xlBondZSpread(F106,H106,G106,J106,K106,L106,M106,D106,U106,"annual",5)*100,"-")</f>
        <v>3.4613192220422215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5" t="str">
        <f>IF($AN$9+(($AL$9-$AM$9))*('DB Basis'!F266/10-'DB Basis'!E266),," ")</f>
        <v xml:space="preserve"> </v>
      </c>
      <c r="AO106" s="648">
        <f>IF(U106&gt;0,_xll.xlShmImplSwap2(curveName,curveName,D106,G106,,1,8,2,4),"-")</f>
        <v>4.3736377648665456E-3</v>
      </c>
      <c r="AP106" s="649">
        <f t="shared" si="10"/>
        <v>2.5661354068013363E-5</v>
      </c>
      <c r="AQ106" s="391">
        <f t="shared" si="11"/>
        <v>23.273728285700141</v>
      </c>
      <c r="AR106" s="391">
        <f t="shared" si="12"/>
        <v>5.348151300370211</v>
      </c>
      <c r="AS106" s="393"/>
      <c r="AT106" s="242">
        <f t="shared" si="13"/>
        <v>0.43390347474423047</v>
      </c>
      <c r="AU106" s="701" t="str">
        <f t="shared" si="8"/>
        <v>SPGB  31-Jan-23  5.4</v>
      </c>
      <c r="AV106" s="717"/>
      <c r="AW106" s="699"/>
      <c r="AX106" s="699"/>
      <c r="AY106" s="699"/>
      <c r="AZ106" s="699"/>
      <c r="BA106" s="699"/>
      <c r="BB106" s="697"/>
      <c r="BC106" s="711"/>
      <c r="BE106" s="721">
        <f>_xll.xlDateShiftMonth(BE105,1)</f>
        <v>46081</v>
      </c>
      <c r="BF106" s="722">
        <v>1.7042262635400925E-2</v>
      </c>
    </row>
    <row r="107" spans="1:58">
      <c r="A107" s="10"/>
      <c r="B107" s="11"/>
      <c r="C107" s="12"/>
      <c r="D107" s="735">
        <f>MAX(_xll.xlDateSettle("TARGET",$D$4,2),L107)</f>
        <v>43164</v>
      </c>
      <c r="E107" s="733" t="s">
        <v>857</v>
      </c>
      <c r="F107" s="13" t="s">
        <v>1354</v>
      </c>
      <c r="G107" s="35">
        <v>45230</v>
      </c>
      <c r="H107" s="37">
        <v>4.4000000000000004</v>
      </c>
      <c r="I107" s="11">
        <v>45230</v>
      </c>
      <c r="J107" s="11">
        <v>41415</v>
      </c>
      <c r="K107" s="11">
        <v>41578</v>
      </c>
      <c r="L107" s="11">
        <v>41415</v>
      </c>
      <c r="M107" s="12">
        <v>99.596000000000004</v>
      </c>
      <c r="N107" s="12" t="s">
        <v>1392</v>
      </c>
      <c r="O107" s="12" t="s">
        <v>1203</v>
      </c>
      <c r="P107" s="12" t="s">
        <v>1393</v>
      </c>
      <c r="Q107" s="15">
        <v>21073190000</v>
      </c>
      <c r="R107" s="12"/>
      <c r="S107" s="43">
        <f>_xll.BDP(E107&amp;"@cbbt Corp",$S$10)</f>
        <v>120.956</v>
      </c>
      <c r="T107" s="43">
        <f>_xll.BDP(E107&amp;"@cbbt Corp",$T$10)</f>
        <v>121.08199999999999</v>
      </c>
      <c r="U107" s="25">
        <f t="shared" si="15"/>
        <v>121.01900000000001</v>
      </c>
      <c r="V107" s="12"/>
      <c r="W107" s="25">
        <f t="shared" si="9"/>
        <v>121.01900000000001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1.5068493150684932</v>
      </c>
      <c r="Y107" s="14">
        <v>5.1256053184816448</v>
      </c>
      <c r="Z107" s="14">
        <v>-5.0946005945731949</v>
      </c>
      <c r="AA107" s="14">
        <v>0.33069381807668835</v>
      </c>
      <c r="AB107" s="14">
        <v>0.32670519252188635</v>
      </c>
      <c r="AC107" s="14">
        <v>6.2422031478789108</v>
      </c>
      <c r="AD107" s="34">
        <v>6.085800667644109E-3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0.51915872799985885</v>
      </c>
      <c r="AI107" s="14">
        <v>4.648452683219209</v>
      </c>
      <c r="AJ107" s="14">
        <v>5.6955561301234265</v>
      </c>
      <c r="AK107" s="246">
        <v>9.1151542735935648E-2</v>
      </c>
      <c r="AL107" s="213">
        <f>IF(U107&gt;0,_xll.xlBondZSpread(F107,H107,G107,J107,K107,L107,M107,D107,U107,"annual",5)*100,"-")</f>
        <v>8.2987148357860843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5" t="str">
        <f>IF($AN$9+(($AL$9-$AM$9))*('DB Basis'!F267/10-'DB Basis'!E267),," ")</f>
        <v xml:space="preserve"> </v>
      </c>
      <c r="AO107" s="648">
        <f>IF(U107&gt;0,_xll.xlShmImplSwap2(curveName,curveName,D107,G107,,1,8,2,4),"-")</f>
        <v>5.5780268942178593E-3</v>
      </c>
      <c r="AP107" s="649">
        <f t="shared" si="10"/>
        <v>5.0777377342624969E-4</v>
      </c>
      <c r="AQ107" s="391">
        <f t="shared" si="11"/>
        <v>22.548463929633176</v>
      </c>
      <c r="AR107" s="391">
        <f t="shared" si="12"/>
        <v>6.4458253870240387</v>
      </c>
      <c r="AS107" s="393"/>
      <c r="AT107" s="242">
        <f t="shared" si="13"/>
        <v>0.60024335352106273</v>
      </c>
      <c r="AU107" s="701" t="str">
        <f t="shared" si="8"/>
        <v>SPGB  31-Oct-23  4.4</v>
      </c>
      <c r="AV107" s="717"/>
      <c r="AW107" s="699"/>
      <c r="AX107" s="699"/>
      <c r="AY107" s="699"/>
      <c r="AZ107" s="699"/>
      <c r="BA107" s="699"/>
      <c r="BB107" s="697"/>
      <c r="BC107" s="711"/>
      <c r="BE107" s="721">
        <f>_xll.xlDateShiftMonth(BE106,1)</f>
        <v>46109</v>
      </c>
      <c r="BF107" s="722">
        <v>1.7180781612190603E-2</v>
      </c>
    </row>
    <row r="108" spans="1:58">
      <c r="A108" s="17"/>
      <c r="B108" s="16"/>
      <c r="C108" s="18"/>
      <c r="D108" s="735">
        <f>MAX(_xll.xlDateSettle("TARGET",$D$4,2),L108)</f>
        <v>43164</v>
      </c>
      <c r="E108" s="733" t="s">
        <v>858</v>
      </c>
      <c r="F108" s="13" t="s">
        <v>1359</v>
      </c>
      <c r="G108" s="35">
        <v>45322</v>
      </c>
      <c r="H108" s="37">
        <v>4.8</v>
      </c>
      <c r="I108" s="11">
        <v>45322</v>
      </c>
      <c r="J108" s="11">
        <v>39707</v>
      </c>
      <c r="K108" s="11">
        <v>39844</v>
      </c>
      <c r="L108" s="11">
        <v>39707</v>
      </c>
      <c r="M108" s="12">
        <v>98.753</v>
      </c>
      <c r="N108" s="12" t="s">
        <v>1394</v>
      </c>
      <c r="O108" s="12" t="s">
        <v>1203</v>
      </c>
      <c r="P108" s="12" t="s">
        <v>1395</v>
      </c>
      <c r="Q108" s="15">
        <v>17564670000</v>
      </c>
      <c r="R108" s="12"/>
      <c r="S108" s="43">
        <f>_xll.BDP(E108&amp;"@cbbt Corp",$S$10)</f>
        <v>123.70699999999999</v>
      </c>
      <c r="T108" s="43">
        <f>_xll.BDP(E108&amp;"@cbbt Corp",$T$10)</f>
        <v>123.848</v>
      </c>
      <c r="U108" s="25">
        <f t="shared" si="15"/>
        <v>123.7775</v>
      </c>
      <c r="V108" s="12"/>
      <c r="W108" s="25">
        <f t="shared" si="9"/>
        <v>123.7775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0.43397260273972604</v>
      </c>
      <c r="Y108" s="14">
        <v>5.3386694206736651</v>
      </c>
      <c r="Z108" s="14">
        <v>-5.3025574009967791</v>
      </c>
      <c r="AA108" s="14">
        <v>0.35613495988029398</v>
      </c>
      <c r="AB108" s="14">
        <v>0.35133329299066968</v>
      </c>
      <c r="AC108" s="14">
        <v>6.5863851954091501</v>
      </c>
      <c r="AD108" s="34">
        <v>6.8103023638072663E-3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0.79406995788072054</v>
      </c>
      <c r="AI108" s="14">
        <v>4.783567309677089</v>
      </c>
      <c r="AJ108" s="14">
        <v>5.9417393982931719</v>
      </c>
      <c r="AK108" s="246">
        <v>0.13364267677388</v>
      </c>
      <c r="AL108" s="213">
        <f>IF(U108&gt;0,_xll.xlBondZSpread(F108,H108,G108,J108,K108,L108,M108,D108,U108,"annual",5)*100,"-")</f>
        <v>12.016209529108894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5" t="str">
        <f>IF($AN$9+(($AL$9-$AM$9))*('DB Basis'!F268/10-'DB Basis'!E268),," ")</f>
        <v xml:space="preserve"> </v>
      </c>
      <c r="AO108" s="648">
        <f>IF(U108&gt;0,_xll.xlShmImplSwap2(curveName,curveName,D108,G108,,1,8,2,4),"-")</f>
        <v>5.979739602799212E-3</v>
      </c>
      <c r="AP108" s="649">
        <f t="shared" si="10"/>
        <v>8.3056276100805428E-4</v>
      </c>
      <c r="AQ108" s="391">
        <f t="shared" si="11"/>
        <v>28.743817293429608</v>
      </c>
      <c r="AR108" s="391">
        <f t="shared" si="12"/>
        <v>12.806302224712899</v>
      </c>
      <c r="AS108" s="393"/>
      <c r="AT108" s="242">
        <f t="shared" si="13"/>
        <v>0.67170105506044264</v>
      </c>
      <c r="AU108" s="701" t="str">
        <f t="shared" si="8"/>
        <v>EURO12M  31-Jan-24  4.8</v>
      </c>
      <c r="AV108" s="717"/>
      <c r="AW108" s="699"/>
      <c r="AX108" s="699"/>
      <c r="AY108" s="699"/>
      <c r="AZ108" s="699"/>
      <c r="BA108" s="699"/>
      <c r="BB108" s="697"/>
      <c r="BC108" s="711"/>
      <c r="BE108" s="721">
        <f>_xll.xlDateShiftMonth(BE107,1)</f>
        <v>46140</v>
      </c>
      <c r="BF108" s="722">
        <v>1.7331284625386512E-2</v>
      </c>
    </row>
    <row r="109" spans="1:58">
      <c r="A109" s="10"/>
      <c r="B109" s="11"/>
      <c r="C109" s="12"/>
      <c r="D109" s="735">
        <f>MAX(_xll.xlDateSettle("TARGET",$D$4,2),L109)</f>
        <v>43164</v>
      </c>
      <c r="E109" s="733" t="s">
        <v>837</v>
      </c>
      <c r="F109" s="13" t="s">
        <v>1354</v>
      </c>
      <c r="G109" s="35">
        <v>45412</v>
      </c>
      <c r="H109" s="37">
        <v>3.8</v>
      </c>
      <c r="I109" s="11">
        <v>45412</v>
      </c>
      <c r="J109" s="11">
        <v>41668</v>
      </c>
      <c r="K109" s="11">
        <v>41759</v>
      </c>
      <c r="L109" s="11">
        <v>41668</v>
      </c>
      <c r="M109" s="12">
        <v>99.638000000000005</v>
      </c>
      <c r="N109" s="12" t="s">
        <v>1396</v>
      </c>
      <c r="O109" s="12" t="s">
        <v>1222</v>
      </c>
      <c r="P109" s="12" t="s">
        <v>1397</v>
      </c>
      <c r="Q109" s="15">
        <v>21185840000</v>
      </c>
      <c r="R109" s="12"/>
      <c r="S109" s="43">
        <f>_xll.BDP(E109&amp;"@cbbt Corp",$S$10)</f>
        <v>118.166</v>
      </c>
      <c r="T109" s="43">
        <f>_xll.BDP(E109&amp;"@cbbt Corp",$T$10)</f>
        <v>118.30800000000001</v>
      </c>
      <c r="U109" s="25">
        <f t="shared" si="15"/>
        <v>118.23699999999999</v>
      </c>
      <c r="V109" s="12"/>
      <c r="W109" s="25">
        <f t="shared" si="9"/>
        <v>118.23699999999999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3.2169863013698627</v>
      </c>
      <c r="Y109" s="14">
        <v>5.5056295968125113</v>
      </c>
      <c r="Z109" s="14">
        <v>-5.4643553502055271</v>
      </c>
      <c r="AA109" s="14">
        <v>0.38216368088564395</v>
      </c>
      <c r="AB109" s="14">
        <v>0.37645519912537218</v>
      </c>
      <c r="AC109" s="14">
        <v>6.6366780059681219</v>
      </c>
      <c r="AD109" s="34">
        <v>7.5533606239341702E-3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1.0106452380138538</v>
      </c>
      <c r="AI109" s="14">
        <v>5.0896821649744899</v>
      </c>
      <c r="AJ109" s="14">
        <v>6.1816218794313817</v>
      </c>
      <c r="AK109" s="246">
        <v>0.16349192133162554</v>
      </c>
      <c r="AL109" s="213">
        <f>IF(U109&gt;0,_xll.xlBondZSpread(F109,H109,G109,J109,K109,L109,M109,D109,U109,"annual",5)*100,"-")</f>
        <v>15.151784043991936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5" t="str">
        <f>IF($AN$9+(($AL$9-$AM$9))*('DB Basis'!F269/10-'DB Basis'!E269),," ")</f>
        <v xml:space="preserve"> </v>
      </c>
      <c r="AO109" s="648">
        <f>IF(U109&gt;0,_xll.xlShmImplSwap2(curveName,curveName,D109,G109,,1,8,2,4),"-")</f>
        <v>6.3480634591604303E-3</v>
      </c>
      <c r="AP109" s="649">
        <f t="shared" si="10"/>
        <v>1.2052971647737399E-3</v>
      </c>
      <c r="AQ109" s="391">
        <f t="shared" si="11"/>
        <v>30.135140549591103</v>
      </c>
      <c r="AR109" s="391">
        <f t="shared" si="12"/>
        <v>15.197561930497253</v>
      </c>
      <c r="AS109" s="393"/>
      <c r="AT109" s="242">
        <f t="shared" si="13"/>
        <v>0.74498899304556199</v>
      </c>
      <c r="AU109" s="701" t="str">
        <f t="shared" si="8"/>
        <v>SPGB  30-Apr-24  3.8</v>
      </c>
      <c r="AV109" s="717"/>
      <c r="AW109" s="699"/>
      <c r="AX109" s="699"/>
      <c r="AY109" s="699"/>
      <c r="AZ109" s="699"/>
      <c r="BA109" s="699"/>
      <c r="BB109" s="697"/>
      <c r="BC109" s="711"/>
      <c r="BE109" s="721">
        <f>_xll.xlDateShiftMonth(BE108,1)</f>
        <v>46170</v>
      </c>
      <c r="BF109" s="722">
        <v>1.7474182479460323E-2</v>
      </c>
    </row>
    <row r="110" spans="1:58">
      <c r="A110" s="17"/>
      <c r="B110" s="16"/>
      <c r="C110" s="18"/>
      <c r="D110" s="735">
        <f>MAX(_xll.xlDateSettle("TARGET",$D$4,2),L110)</f>
        <v>43164</v>
      </c>
      <c r="E110" s="733" t="s">
        <v>859</v>
      </c>
      <c r="F110" s="13" t="s">
        <v>1359</v>
      </c>
      <c r="G110" s="35">
        <v>45596</v>
      </c>
      <c r="H110" s="37">
        <v>2.75</v>
      </c>
      <c r="I110" s="11">
        <v>45596</v>
      </c>
      <c r="J110" s="11">
        <v>41810</v>
      </c>
      <c r="K110" s="11">
        <v>41943</v>
      </c>
      <c r="L110" s="11">
        <v>41810</v>
      </c>
      <c r="M110" s="12">
        <v>99.563999999999993</v>
      </c>
      <c r="N110" s="12" t="s">
        <v>1398</v>
      </c>
      <c r="O110" s="12" t="s">
        <v>1203</v>
      </c>
      <c r="P110" s="12" t="s">
        <v>1399</v>
      </c>
      <c r="Q110" s="15">
        <v>23500034000</v>
      </c>
      <c r="R110" s="12"/>
      <c r="S110" s="43">
        <f>_xll.BDP(E110&amp;"@cbbt Corp",$S$10)</f>
        <v>112.13500000000001</v>
      </c>
      <c r="T110" s="43">
        <f>_xll.BDP(E110&amp;"@cbbt Corp",$T$10)</f>
        <v>112.268</v>
      </c>
      <c r="U110" s="25">
        <f t="shared" si="15"/>
        <v>112.20150000000001</v>
      </c>
      <c r="V110" s="12"/>
      <c r="W110" s="25">
        <f t="shared" si="9"/>
        <v>112.20150000000001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0.94178082191780821</v>
      </c>
      <c r="Y110" s="14">
        <v>6.1570945267046397</v>
      </c>
      <c r="Z110" s="14">
        <v>-6.104819849605077</v>
      </c>
      <c r="AA110" s="14">
        <v>0.45994486644929383</v>
      </c>
      <c r="AB110" s="14">
        <v>0.45216801556561059</v>
      </c>
      <c r="AC110" s="14">
        <v>6.9071941890136657</v>
      </c>
      <c r="AD110" s="34">
        <v>8.5628533483988328E-3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1.2080531688868286</v>
      </c>
      <c r="AI110" s="14">
        <v>5.8943766054340543</v>
      </c>
      <c r="AJ110" s="14">
        <v>6.6690910753876791</v>
      </c>
      <c r="AK110" s="246">
        <v>0.18114210095962885</v>
      </c>
      <c r="AL110" s="213">
        <f>IF(U110&gt;0,_xll.xlBondZSpread(F110,H110,G110,J110,K110,L110,M110,D110,U110,"annual",5)*100,"-")</f>
        <v>17.380127666037879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5" t="str">
        <f>IF($AN$9+(($AL$9-$AM$9))*('DB Basis'!F270/10-'DB Basis'!E270),," ")</f>
        <v xml:space="preserve"> </v>
      </c>
      <c r="AO110" s="648">
        <f>IF(U110&gt;0,_xll.xlShmImplSwap2(curveName,curveName,D110,G110,,1,8,2,4),"-")</f>
        <v>7.0559175723877519E-3</v>
      </c>
      <c r="AP110" s="649">
        <f t="shared" si="10"/>
        <v>1.506935776011081E-3</v>
      </c>
      <c r="AQ110" s="391">
        <f t="shared" si="11"/>
        <v>20.025263284217491</v>
      </c>
      <c r="AR110" s="391">
        <f t="shared" si="12"/>
        <v>5.9835920163929064</v>
      </c>
      <c r="AS110" s="393"/>
      <c r="AT110" s="242">
        <f t="shared" si="13"/>
        <v>0.84455539874618624</v>
      </c>
      <c r="AU110" s="701" t="str">
        <f t="shared" si="8"/>
        <v>EURO12M  31-Oct-24  2.75</v>
      </c>
      <c r="AV110" s="717"/>
      <c r="AW110" s="699"/>
      <c r="AX110" s="699"/>
      <c r="AY110" s="699"/>
      <c r="AZ110" s="699"/>
      <c r="BA110" s="699"/>
      <c r="BB110" s="697"/>
      <c r="BC110" s="711"/>
      <c r="BE110" s="721">
        <f>_xll.xlDateShiftMonth(BE109,1)</f>
        <v>46201</v>
      </c>
      <c r="BF110" s="722">
        <v>1.7619117723714599E-2</v>
      </c>
    </row>
    <row r="111" spans="1:58">
      <c r="A111" s="10"/>
      <c r="B111" s="11"/>
      <c r="C111" s="12"/>
      <c r="D111" s="735">
        <f>MAX(_xll.xlDateSettle("TARGET",$D$4,2),L111)</f>
        <v>43164</v>
      </c>
      <c r="E111" s="733" t="s">
        <v>796</v>
      </c>
      <c r="F111" s="13" t="s">
        <v>1354</v>
      </c>
      <c r="G111" s="35">
        <v>45777</v>
      </c>
      <c r="H111" s="37">
        <v>1.6</v>
      </c>
      <c r="I111" s="11">
        <v>45777</v>
      </c>
      <c r="J111" s="11">
        <v>42031</v>
      </c>
      <c r="K111" s="11">
        <v>42124</v>
      </c>
      <c r="L111" s="11">
        <v>42031</v>
      </c>
      <c r="M111" s="12">
        <v>999</v>
      </c>
      <c r="N111" s="12" t="s">
        <v>1400</v>
      </c>
      <c r="O111" s="12" t="s">
        <v>1222</v>
      </c>
      <c r="P111" s="12" t="s">
        <v>1401</v>
      </c>
      <c r="Q111" s="15">
        <v>19795109000</v>
      </c>
      <c r="R111" s="12"/>
      <c r="S111" s="43">
        <f>_xll.BDP(E111&amp;"@cbbt Corp",$S$10)</f>
        <v>104.39400000000001</v>
      </c>
      <c r="T111" s="43">
        <f>_xll.BDP(E111&amp;"@cbbt Corp",$T$10)</f>
        <v>104.517</v>
      </c>
      <c r="U111" s="25">
        <f t="shared" si="15"/>
        <v>104.4555</v>
      </c>
      <c r="V111" s="12"/>
      <c r="W111" s="25">
        <f t="shared" si="9"/>
        <v>104.4555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1.3545205479452056</v>
      </c>
      <c r="Y111" s="14">
        <v>6.7387008089456479</v>
      </c>
      <c r="Z111" s="14">
        <v>-6.6751161331332707</v>
      </c>
      <c r="AA111" s="14">
        <v>0.54062233868705412</v>
      </c>
      <c r="AB111" s="14">
        <v>0.53046812088930506</v>
      </c>
      <c r="AC111" s="14">
        <v>7.062942778414083</v>
      </c>
      <c r="AD111" s="34">
        <v>9.5256078082229471E-3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1.3551306977702617</v>
      </c>
      <c r="AI111" s="14">
        <v>6.7522712349797693</v>
      </c>
      <c r="AJ111" s="14">
        <v>7.144579581185087</v>
      </c>
      <c r="AK111" s="246">
        <v>0.18967255978769365</v>
      </c>
      <c r="AL111" s="213">
        <f>IF(U111&gt;0,_xll.xlBondZSpread(F111,H111,G111,J111,K111,L111,M111,D111,U111,"annual",5)*100,"-")</f>
        <v>19.04086847326835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5" t="str">
        <f>IF($AN$9+(($AL$9-$AM$9))*('DB Basis'!F271/10-'DB Basis'!E271),," ")</f>
        <v xml:space="preserve"> </v>
      </c>
      <c r="AO111" s="648">
        <f>IF(U111&gt;0,_xll.xlShmImplSwap2(curveName,curveName,D111,G111,,1,8,2,4),"-")</f>
        <v>7.7321562062289606E-3</v>
      </c>
      <c r="AP111" s="649">
        <f t="shared" si="10"/>
        <v>1.7934516019939865E-3</v>
      </c>
      <c r="AQ111" s="391">
        <f t="shared" si="11"/>
        <v>19.414661758884073</v>
      </c>
      <c r="AR111" s="391">
        <f t="shared" si="12"/>
        <v>5.7778053305945036</v>
      </c>
      <c r="AS111" s="393"/>
      <c r="AT111" s="242">
        <f t="shared" si="13"/>
        <v>0.93951200300281124</v>
      </c>
      <c r="AU111" s="701" t="str">
        <f t="shared" si="8"/>
        <v>SPGB  30-Apr-25  1.6</v>
      </c>
      <c r="AV111" s="717"/>
      <c r="AW111" s="699"/>
      <c r="AX111" s="699"/>
      <c r="AY111" s="699"/>
      <c r="AZ111" s="699"/>
      <c r="BA111" s="699"/>
      <c r="BB111" s="697"/>
      <c r="BC111" s="711"/>
      <c r="BE111" s="721">
        <f>_xll.xlDateShiftMonth(BE110,1)</f>
        <v>46231</v>
      </c>
      <c r="BF111" s="722">
        <v>1.7756850759696241E-2</v>
      </c>
    </row>
    <row r="112" spans="1:58">
      <c r="A112" s="17"/>
      <c r="B112" s="16"/>
      <c r="C112" s="18"/>
      <c r="D112" s="735">
        <f>MAX(_xll.xlDateSettle("TARGET",$D$4,2),L112)</f>
        <v>43164</v>
      </c>
      <c r="E112" s="733" t="s">
        <v>797</v>
      </c>
      <c r="F112" s="13" t="s">
        <v>1354</v>
      </c>
      <c r="G112" s="35">
        <v>45868</v>
      </c>
      <c r="H112" s="37">
        <v>4.6500000000000004</v>
      </c>
      <c r="I112" s="11">
        <v>45868</v>
      </c>
      <c r="J112" s="11">
        <v>40233</v>
      </c>
      <c r="K112" s="11">
        <v>40389</v>
      </c>
      <c r="L112" s="11">
        <v>40233</v>
      </c>
      <c r="M112" s="12">
        <v>99.831000000000003</v>
      </c>
      <c r="N112" s="12" t="s">
        <v>1402</v>
      </c>
      <c r="O112" s="12" t="s">
        <v>1203</v>
      </c>
      <c r="P112" s="12" t="s">
        <v>1403</v>
      </c>
      <c r="Q112" s="15">
        <v>22903512000</v>
      </c>
      <c r="R112" s="12"/>
      <c r="S112" s="43">
        <f>_xll.BDP(E112&amp;"@cbbt Corp",$S$10)</f>
        <v>126.065</v>
      </c>
      <c r="T112" s="43">
        <f>_xll.BDP(E112&amp;"@cbbt Corp",$T$10)</f>
        <v>126.179</v>
      </c>
      <c r="U112" s="25">
        <f t="shared" si="15"/>
        <v>126.122</v>
      </c>
      <c r="V112" s="12"/>
      <c r="W112" s="25">
        <f t="shared" si="9"/>
        <v>126.122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2.7772602739726029</v>
      </c>
      <c r="Y112" s="14">
        <v>6.4160711237042172</v>
      </c>
      <c r="Z112" s="14">
        <v>-6.3541485982898145</v>
      </c>
      <c r="AA112" s="14">
        <v>0.51570393821143046</v>
      </c>
      <c r="AB112" s="14">
        <v>0.50579769152571941</v>
      </c>
      <c r="AC112" s="14">
        <v>8.190451530207099</v>
      </c>
      <c r="AD112" s="34">
        <v>9.7452119580485191E-3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1.8002075882221584</v>
      </c>
      <c r="AI112" s="14">
        <v>5.7270322375108371</v>
      </c>
      <c r="AJ112" s="14">
        <v>7.3821021898034109</v>
      </c>
      <c r="AK112" s="246">
        <v>0.2438611037799932</v>
      </c>
      <c r="AL112" s="213">
        <f>IF(U112&gt;0,_xll.xlBondZSpread(F112,H112,G112,J112,K112,L112,M112,D112,U112,"annual",5)*100,"-")</f>
        <v>21.817156882113341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5" t="str">
        <f>IF($AN$9+(($AL$9-$AM$9))*('DB Basis'!F272/10-'DB Basis'!E272),," ")</f>
        <v xml:space="preserve"> </v>
      </c>
      <c r="AO112" s="648">
        <f>IF(U112&gt;0,_xll.xlShmImplSwap2(curveName,curveName,D112,G112,,1,8,2,4),"-")</f>
        <v>8.0369678178192142E-3</v>
      </c>
      <c r="AP112" s="649">
        <f t="shared" si="10"/>
        <v>1.708244140229305E-3</v>
      </c>
      <c r="AQ112" s="391">
        <f t="shared" si="11"/>
        <v>8.8082983171795384</v>
      </c>
      <c r="AR112" s="391">
        <f t="shared" si="12"/>
        <v>-3.4176619279240388</v>
      </c>
      <c r="AS112" s="393"/>
      <c r="AT112" s="242">
        <f t="shared" si="13"/>
        <v>0.9611715903828677</v>
      </c>
      <c r="AU112" s="701" t="str">
        <f t="shared" si="8"/>
        <v>SPGB  30-Jul-25  4.65</v>
      </c>
      <c r="AV112" s="717"/>
      <c r="AW112" s="699"/>
      <c r="AX112" s="699"/>
      <c r="AY112" s="699"/>
      <c r="AZ112" s="699"/>
      <c r="BA112" s="699"/>
      <c r="BB112" s="697"/>
      <c r="BC112" s="711"/>
      <c r="BE112" s="721">
        <f>_xll.xlDateShiftMonth(BE111,1)</f>
        <v>46262</v>
      </c>
      <c r="BF112" s="722">
        <v>1.7896679815501672E-2</v>
      </c>
    </row>
    <row r="113" spans="1:58">
      <c r="A113" s="10"/>
      <c r="B113" s="11"/>
      <c r="C113" s="12"/>
      <c r="D113" s="735">
        <f>MAX(_xll.xlDateSettle("TARGET",$D$4,2),L113)</f>
        <v>43164</v>
      </c>
      <c r="E113" s="733" t="s">
        <v>798</v>
      </c>
      <c r="F113" s="13" t="s">
        <v>1359</v>
      </c>
      <c r="G113" s="35">
        <v>45961</v>
      </c>
      <c r="H113" s="37">
        <v>2.15</v>
      </c>
      <c r="I113" s="11">
        <v>45961</v>
      </c>
      <c r="J113" s="11">
        <v>42164</v>
      </c>
      <c r="K113" s="11">
        <v>42308</v>
      </c>
      <c r="L113" s="11">
        <v>42164</v>
      </c>
      <c r="M113" s="12">
        <v>999</v>
      </c>
      <c r="N113" s="12" t="s">
        <v>1404</v>
      </c>
      <c r="O113" s="12" t="s">
        <v>1203</v>
      </c>
      <c r="P113" s="12" t="s">
        <v>1405</v>
      </c>
      <c r="Q113" s="15">
        <v>21873856000</v>
      </c>
      <c r="R113" s="12"/>
      <c r="S113" s="43">
        <f>_xll.BDP(E113&amp;"@cbbt Corp",$S$10)</f>
        <v>107.691</v>
      </c>
      <c r="T113" s="43">
        <f>_xll.BDP(E113&amp;"@cbbt Corp",$T$10)</f>
        <v>107.813</v>
      </c>
      <c r="U113" s="25">
        <f t="shared" si="15"/>
        <v>107.75200000000001</v>
      </c>
      <c r="V113" s="12"/>
      <c r="W113" s="25">
        <f t="shared" si="9"/>
        <v>107.75200000000001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0.73630136986301364</v>
      </c>
      <c r="Y113" s="14">
        <v>7.1182858726380518</v>
      </c>
      <c r="Z113" s="14">
        <v>-7.0416021588947943</v>
      </c>
      <c r="AA113" s="14">
        <v>0.60211159292956762</v>
      </c>
      <c r="AB113" s="14">
        <v>0.58920864053984612</v>
      </c>
      <c r="AC113" s="14">
        <v>7.6393155774262311</v>
      </c>
      <c r="AD113" s="34">
        <v>1.0890094613765045E-2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2.102404206039874</v>
      </c>
      <c r="AI113" s="14">
        <v>7.0272031331462159</v>
      </c>
      <c r="AJ113" s="14">
        <v>7.623693312960123</v>
      </c>
      <c r="AK113" s="246">
        <v>0.27577240055890417</v>
      </c>
      <c r="AL113" s="213">
        <f>IF(U113&gt;0,_xll.xlBondZSpread(F113,H113,G113,J113,K113,L113,M113,D113,U113,"annual",5)*100,"-")</f>
        <v>27.219707407516758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5" t="str">
        <f>IF($AN$9+(($AL$9-$AM$9))*('DB Basis'!F273/10-'DB Basis'!E273),," ")</f>
        <v xml:space="preserve"> </v>
      </c>
      <c r="AO113" s="648">
        <f>IF(U113&gt;0,_xll.xlShmImplSwap2(curveName,curveName,D113,G113,,1,8,2,4),"-")</f>
        <v>8.3541332121665254E-3</v>
      </c>
      <c r="AP113" s="649">
        <f t="shared" si="10"/>
        <v>2.5359614015985198E-3</v>
      </c>
      <c r="AQ113" s="391">
        <f t="shared" si="11"/>
        <v>44.933566595326027</v>
      </c>
      <c r="AR113" s="391">
        <f t="shared" si="12"/>
        <v>32.485677462340149</v>
      </c>
      <c r="AS113" s="393"/>
      <c r="AT113" s="242">
        <f t="shared" si="13"/>
        <v>1.0740915235494291</v>
      </c>
      <c r="AU113" s="701" t="str">
        <f t="shared" si="8"/>
        <v>EURO12M  31-Oct-25  2.15</v>
      </c>
      <c r="AV113" s="717"/>
      <c r="AW113" s="699"/>
      <c r="AX113" s="699"/>
      <c r="AY113" s="699"/>
      <c r="AZ113" s="699"/>
      <c r="BA113" s="699"/>
      <c r="BB113" s="697"/>
      <c r="BC113" s="711"/>
      <c r="BE113" s="721">
        <f>_xll.xlDateShiftMonth(BE112,1)</f>
        <v>46293</v>
      </c>
      <c r="BF113" s="722">
        <v>1.8034090814716384E-2</v>
      </c>
    </row>
    <row r="114" spans="1:58">
      <c r="A114" s="17"/>
      <c r="B114" s="16"/>
      <c r="C114" s="18"/>
      <c r="D114" s="735">
        <f>MAX(_xll.xlDateSettle("TARGET",$D$4,2),L114)</f>
        <v>43164</v>
      </c>
      <c r="E114" s="733" t="s">
        <v>823</v>
      </c>
      <c r="F114" s="13" t="s">
        <v>1354</v>
      </c>
      <c r="G114" s="35">
        <v>46142</v>
      </c>
      <c r="H114" s="37">
        <v>1.95</v>
      </c>
      <c r="I114" s="11">
        <v>46142</v>
      </c>
      <c r="J114" s="11">
        <v>42388</v>
      </c>
      <c r="K114" s="11">
        <v>42490</v>
      </c>
      <c r="L114" s="11">
        <v>42388</v>
      </c>
      <c r="M114" s="12">
        <v>999</v>
      </c>
      <c r="N114" s="12" t="s">
        <v>1406</v>
      </c>
      <c r="O114" s="12" t="s">
        <v>1222</v>
      </c>
      <c r="P114" s="12" t="s">
        <v>1407</v>
      </c>
      <c r="Q114" s="15">
        <v>19626600000</v>
      </c>
      <c r="R114" s="12"/>
      <c r="S114" s="43">
        <f>_xll.BDP(E114&amp;"@cbbt Corp",$S$10)</f>
        <v>105.71</v>
      </c>
      <c r="T114" s="43">
        <f>_xll.BDP(E114&amp;"@cbbt Corp",$T$10)</f>
        <v>105.881</v>
      </c>
      <c r="U114" s="25">
        <f t="shared" si="15"/>
        <v>105.7955</v>
      </c>
      <c r="V114" s="12"/>
      <c r="W114" s="25">
        <f t="shared" si="9"/>
        <v>105.7955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1.6508219178082191</v>
      </c>
      <c r="Y114" s="14">
        <v>7.5191964116763987</v>
      </c>
      <c r="Z114" s="14">
        <v>-7.4300802593364708</v>
      </c>
      <c r="AA114" s="14">
        <v>0.67278281271127116</v>
      </c>
      <c r="AB114" s="14">
        <v>0.65692991576885695</v>
      </c>
      <c r="AC114" s="14">
        <v>7.9833496065703002</v>
      </c>
      <c r="AD114" s="34">
        <v>1.1993925919995024E-2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2.598321139597068</v>
      </c>
      <c r="AI114" s="14">
        <v>7.5299907972154339</v>
      </c>
      <c r="AJ114" s="14">
        <v>8.0906981523574295</v>
      </c>
      <c r="AK114" s="246">
        <v>0.3211491877051395</v>
      </c>
      <c r="AL114" s="213">
        <f>IF(U114&gt;0,_xll.xlBondZSpread(F114,H114,G114,J114,K114,L114,M114,D114,U114,"annual",5)*100,"-")</f>
        <v>32.104411525277833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5" t="str">
        <f>IF($AN$9+(($AL$9-$AM$9))*('DB Basis'!F274/10-'DB Basis'!E274),," ")</f>
        <v xml:space="preserve"> </v>
      </c>
      <c r="AO114" s="648">
        <f>IF(U114&gt;0,_xll.xlShmImplSwap2(curveName,curveName,D114,G114,,1,8,2,4),"-")</f>
        <v>8.9507503326187454E-3</v>
      </c>
      <c r="AP114" s="649">
        <f t="shared" si="10"/>
        <v>3.0431755873762782E-3</v>
      </c>
      <c r="AQ114" s="391">
        <f t="shared" si="11"/>
        <v>22.259581589720558</v>
      </c>
      <c r="AR114" s="391">
        <f t="shared" si="12"/>
        <v>10.22835236513159</v>
      </c>
      <c r="AS114" s="393"/>
      <c r="AT114" s="242">
        <f t="shared" si="13"/>
        <v>1.1829625564926598</v>
      </c>
      <c r="AU114" s="701" t="str">
        <f t="shared" si="8"/>
        <v>SPGB  30-Apr-26  1.95</v>
      </c>
      <c r="AV114" s="717"/>
      <c r="AW114" s="699"/>
      <c r="AX114" s="699"/>
      <c r="AY114" s="699"/>
      <c r="AZ114" s="699"/>
      <c r="BA114" s="699"/>
      <c r="BB114" s="697"/>
      <c r="BC114" s="711"/>
      <c r="BE114" s="721">
        <f>_xll.xlDateShiftMonth(BE113,1)</f>
        <v>46323</v>
      </c>
      <c r="BF114" s="722">
        <v>1.8164879172039992E-2</v>
      </c>
    </row>
    <row r="115" spans="1:58">
      <c r="A115" s="10"/>
      <c r="B115" s="11"/>
      <c r="C115" s="12"/>
      <c r="D115" s="735">
        <f>MAX(_xll.xlDateSettle("TARGET",$D$4,2),L115)</f>
        <v>43164</v>
      </c>
      <c r="E115" s="733" t="s">
        <v>799</v>
      </c>
      <c r="F115" s="13" t="s">
        <v>1354</v>
      </c>
      <c r="G115" s="35">
        <v>46233</v>
      </c>
      <c r="H115" s="37">
        <v>5.9</v>
      </c>
      <c r="I115" s="11">
        <v>46233</v>
      </c>
      <c r="J115" s="11">
        <v>40617</v>
      </c>
      <c r="K115" s="11">
        <v>40754</v>
      </c>
      <c r="L115" s="11">
        <v>40617</v>
      </c>
      <c r="M115" s="12">
        <v>98.936000000000007</v>
      </c>
      <c r="N115" s="12" t="s">
        <v>1408</v>
      </c>
      <c r="O115" s="12" t="s">
        <v>1203</v>
      </c>
      <c r="P115" s="12" t="s">
        <v>1409</v>
      </c>
      <c r="Q115" s="15">
        <v>19388904000</v>
      </c>
      <c r="R115" s="12"/>
      <c r="S115" s="43">
        <f>_xll.BDP(E115&amp;"@cbbt Corp",$S$10)</f>
        <v>137.273</v>
      </c>
      <c r="T115" s="43">
        <f>_xll.BDP(E115&amp;"@cbbt Corp",$T$10)</f>
        <v>137.44800000000001</v>
      </c>
      <c r="U115" s="25">
        <f t="shared" si="15"/>
        <v>137.3605</v>
      </c>
      <c r="V115" s="12"/>
      <c r="W115" s="25">
        <f t="shared" si="9"/>
        <v>137.3605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3.5238356164383564</v>
      </c>
      <c r="Y115" s="14">
        <v>6.9434133679170396</v>
      </c>
      <c r="Z115" s="14">
        <v>-6.8611860578677746</v>
      </c>
      <c r="AA115" s="14">
        <v>0.61360965381870969</v>
      </c>
      <c r="AB115" s="14">
        <v>0.59916237569628172</v>
      </c>
      <c r="AC115" s="14">
        <v>9.6663377990438448</v>
      </c>
      <c r="AD115" s="34">
        <v>1.1984416008565056E-2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3.3795269574225868</v>
      </c>
      <c r="AI115" s="14">
        <v>5.9082903136018823</v>
      </c>
      <c r="AJ115" s="14">
        <v>8.3238555546083948</v>
      </c>
      <c r="AK115" s="246">
        <v>0.40600499795453165</v>
      </c>
      <c r="AL115" s="213">
        <f>IF(U115&gt;0,_xll.xlBondZSpread(F115,H115,G115,J115,K115,L115,M115,D115,U115,"annual",5)*100,"-")</f>
        <v>34.525951873747907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5" t="str">
        <f>IF($AN$9+(($AL$9-$AM$9))*('DB Basis'!F275/10-'DB Basis'!E275),," ")</f>
        <v xml:space="preserve"> </v>
      </c>
      <c r="AO115" s="648">
        <f>IF(U115&gt;0,_xll.xlShmImplSwap2(curveName,curveName,D115,G115,,1,8,2,4),"-")</f>
        <v>9.2205459413839154E-3</v>
      </c>
      <c r="AP115" s="649">
        <f t="shared" si="10"/>
        <v>2.7638700671811407E-3</v>
      </c>
      <c r="AQ115" s="391">
        <f t="shared" si="11"/>
        <v>-0.381441502410785</v>
      </c>
      <c r="AR115" s="391">
        <f t="shared" si="12"/>
        <v>-11.202913722112658</v>
      </c>
      <c r="AS115" s="393"/>
      <c r="AT115" s="242">
        <f t="shared" si="13"/>
        <v>1.1820245926255946</v>
      </c>
      <c r="AU115" s="701" t="str">
        <f t="shared" si="8"/>
        <v>SPGB  30-Jul-26  5.9</v>
      </c>
      <c r="AV115" s="717"/>
      <c r="AW115" s="699"/>
      <c r="AX115" s="699"/>
      <c r="AY115" s="699"/>
      <c r="AZ115" s="699"/>
      <c r="BA115" s="699"/>
      <c r="BB115" s="697"/>
      <c r="BC115" s="711"/>
      <c r="BE115" s="721">
        <f>_xll.xlDateShiftMonth(BE114,1)</f>
        <v>46354</v>
      </c>
      <c r="BF115" s="722">
        <v>1.8297880136991705E-2</v>
      </c>
    </row>
    <row r="116" spans="1:58">
      <c r="A116" s="17"/>
      <c r="B116" s="16"/>
      <c r="C116" s="18"/>
      <c r="D116" s="735">
        <f>MAX(_xll.xlDateSettle("TARGET",$D$4,2),L116)</f>
        <v>43164</v>
      </c>
      <c r="E116" s="733" t="s">
        <v>896</v>
      </c>
      <c r="F116" s="13" t="s">
        <v>1354</v>
      </c>
      <c r="G116" s="35">
        <v>46326</v>
      </c>
      <c r="H116" s="37">
        <v>1.3</v>
      </c>
      <c r="I116" s="11">
        <v>46326</v>
      </c>
      <c r="J116" s="11">
        <v>42577</v>
      </c>
      <c r="K116" s="11">
        <v>42674</v>
      </c>
      <c r="L116" s="11">
        <v>42577</v>
      </c>
      <c r="M116" s="12">
        <v>999</v>
      </c>
      <c r="N116" s="12" t="s">
        <v>1410</v>
      </c>
      <c r="O116" s="12" t="s">
        <v>1203</v>
      </c>
      <c r="P116" s="12" t="s">
        <v>1411</v>
      </c>
      <c r="Q116" s="15">
        <v>22604600000</v>
      </c>
      <c r="R116" s="12"/>
      <c r="S116" s="43">
        <f>_xll.BDP(E116&amp;"@cbbt Corp",$S$10)</f>
        <v>100.102</v>
      </c>
      <c r="T116" s="43">
        <f>_xll.BDP(E116&amp;"@cbbt Corp",$T$10)</f>
        <v>100.27500000000001</v>
      </c>
      <c r="U116" s="25">
        <f t="shared" si="15"/>
        <v>100.1885</v>
      </c>
      <c r="V116" s="12"/>
      <c r="W116" s="25">
        <f t="shared" si="9"/>
        <v>100.1885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0.4452054794520548</v>
      </c>
      <c r="Y116" s="14">
        <v>8.2146825473309661</v>
      </c>
      <c r="Z116" s="14">
        <v>-8.1111959551939012</v>
      </c>
      <c r="AA116" s="14">
        <v>0.78058366221245978</v>
      </c>
      <c r="AB116" s="14">
        <v>0.76104033367002877</v>
      </c>
      <c r="AC116" s="14">
        <v>8.1625983811456138</v>
      </c>
      <c r="AD116" s="34">
        <v>1.2758487491616078E-2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2.7447045540339579</v>
      </c>
      <c r="AI116" s="14">
        <v>8.5120639303426273</v>
      </c>
      <c r="AJ116" s="14">
        <v>8.5660053458836707</v>
      </c>
      <c r="AK116" s="246">
        <v>0.32041826303002552</v>
      </c>
      <c r="AL116" s="213">
        <f>IF(U116&gt;0,_xll.xlBondZSpread(F116,H116,G116,J116,K116,L116,M116,D116,U116,"annual",5)*100,"-")</f>
        <v>33.11687261942825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5" t="str">
        <f>IF($AN$9+(($AL$9-$AM$9))*('DB Basis'!F276/10-'DB Basis'!E276),," ")</f>
        <v xml:space="preserve"> </v>
      </c>
      <c r="AO116" s="648">
        <f>IF(U116&gt;0,_xll.xlShmImplSwap2(curveName,curveName,D116,G116,,1,8,2,4),"-")</f>
        <v>9.5074361596714212E-3</v>
      </c>
      <c r="AP116" s="649">
        <f t="shared" si="10"/>
        <v>3.2510513319446571E-3</v>
      </c>
      <c r="AQ116" s="391">
        <f t="shared" si="11"/>
        <v>30.380224872432592</v>
      </c>
      <c r="AR116" s="391">
        <f t="shared" si="12"/>
        <v>19.120555014912199</v>
      </c>
      <c r="AS116" s="393"/>
      <c r="AT116" s="242">
        <f t="shared" si="13"/>
        <v>1.2583713690361062</v>
      </c>
      <c r="AU116" s="701" t="str">
        <f t="shared" si="8"/>
        <v>SPGB  31-Oct-26  1.3</v>
      </c>
      <c r="AV116" s="717"/>
      <c r="AW116" s="699"/>
      <c r="AX116" s="699"/>
      <c r="AY116" s="699"/>
      <c r="AZ116" s="699"/>
      <c r="BA116" s="699"/>
      <c r="BB116" s="697"/>
      <c r="BC116" s="711"/>
      <c r="BE116" s="721">
        <f>_xll.xlDateShiftMonth(BE115,1)</f>
        <v>46384</v>
      </c>
      <c r="BF116" s="722">
        <v>1.8422791111377276E-2</v>
      </c>
    </row>
    <row r="117" spans="1:58">
      <c r="A117" s="10"/>
      <c r="B117" s="11"/>
      <c r="C117" s="12"/>
      <c r="D117" s="735">
        <f>MAX(_xll.xlDateSettle("TARGET",$D$4,2),L117)</f>
        <v>43164</v>
      </c>
      <c r="E117" s="733" t="s">
        <v>956</v>
      </c>
      <c r="F117" s="13" t="s">
        <v>1354</v>
      </c>
      <c r="G117" s="35">
        <v>46507</v>
      </c>
      <c r="H117" s="37">
        <v>1.5</v>
      </c>
      <c r="I117" s="11">
        <v>46507</v>
      </c>
      <c r="J117" s="11">
        <v>42766</v>
      </c>
      <c r="K117" s="11">
        <v>42855</v>
      </c>
      <c r="L117" s="11">
        <v>42766</v>
      </c>
      <c r="M117" s="12">
        <v>99.298000000000002</v>
      </c>
      <c r="N117" s="12" t="s">
        <v>1412</v>
      </c>
      <c r="O117" s="12" t="s">
        <v>1222</v>
      </c>
      <c r="P117" s="12" t="s">
        <v>1413</v>
      </c>
      <c r="Q117" s="15">
        <v>17723304000</v>
      </c>
      <c r="R117" s="12"/>
      <c r="S117" s="43">
        <f>_xll.BDP(E117&amp;"@cbbt Corp",$S$10)</f>
        <v>101.089</v>
      </c>
      <c r="T117" s="43">
        <f>_xll.BDP(E117&amp;"@cbbt Corp",$T$10)</f>
        <v>101.26600000000001</v>
      </c>
      <c r="U117" s="25">
        <f t="shared" si="15"/>
        <v>101.17750000000001</v>
      </c>
      <c r="V117" s="12"/>
      <c r="W117" s="25">
        <f t="shared" si="9"/>
        <v>101.17750000000001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1.2698630136986302</v>
      </c>
      <c r="Y117" s="14">
        <v>8.5191061061363076</v>
      </c>
      <c r="Z117" s="14">
        <v>-8.4046250669378946</v>
      </c>
      <c r="AA117" s="14">
        <v>0.84750568293880746</v>
      </c>
      <c r="AB117" s="14">
        <v>0.82488090916743506</v>
      </c>
      <c r="AC117" s="14">
        <v>8.6103182873380035</v>
      </c>
      <c r="AD117" s="34">
        <v>1.3621195183284664E-2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3.2314058301179376</v>
      </c>
      <c r="AI117" s="14">
        <v>8.8035844381192128</v>
      </c>
      <c r="AJ117" s="14">
        <v>9.0190401075374709</v>
      </c>
      <c r="AK117" s="246">
        <v>0.35828711166472771</v>
      </c>
      <c r="AL117" s="213">
        <f>IF(U117&gt;0,_xll.xlBondZSpread(F117,H117,G117,J117,K117,L117,M117,D117,U117,"annual",5)*100,"-")</f>
        <v>36.879111719997674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5" t="str">
        <f>IF($AN$9+(($AL$9-$AM$9))*('DB Basis'!F277/10-'DB Basis'!E277),," ")</f>
        <v xml:space="preserve"> </v>
      </c>
      <c r="AO117" s="648">
        <f>IF(U117&gt;0,_xll.xlShmImplSwap2(curveName,curveName,D117,G117,,1,8,2,4),"-")</f>
        <v>1.0029367130306801E-2</v>
      </c>
      <c r="AP117" s="649">
        <f t="shared" si="10"/>
        <v>3.5918280529778635E-3</v>
      </c>
      <c r="AQ117" s="391">
        <f t="shared" si="11"/>
        <v>17.397144058510161</v>
      </c>
      <c r="AR117" s="391">
        <f t="shared" si="12"/>
        <v>6.8720167501171439</v>
      </c>
      <c r="AS117" s="393"/>
      <c r="AT117" s="242">
        <f t="shared" si="13"/>
        <v>1.343460346844515</v>
      </c>
      <c r="AU117" s="701" t="str">
        <f t="shared" si="8"/>
        <v>SPGB  30-Apr-27  1.5</v>
      </c>
      <c r="AV117" s="717"/>
      <c r="AW117" s="699"/>
      <c r="AX117" s="699"/>
      <c r="AY117" s="699"/>
      <c r="AZ117" s="699"/>
      <c r="BA117" s="699"/>
      <c r="BB117" s="697"/>
      <c r="BC117" s="711"/>
      <c r="BE117" s="721">
        <f>_xll.xlDateShiftMonth(BE116,1)</f>
        <v>46415</v>
      </c>
      <c r="BF117" s="722">
        <v>1.8545775953127178E-2</v>
      </c>
    </row>
    <row r="118" spans="1:58">
      <c r="A118" s="17"/>
      <c r="B118" s="16"/>
      <c r="C118" s="18"/>
      <c r="D118" s="735">
        <f>MAX(_xll.xlDateSettle("TARGET",$D$4,2),L118)</f>
        <v>43164</v>
      </c>
      <c r="E118" s="733" t="s">
        <v>1020</v>
      </c>
      <c r="F118" s="13" t="s">
        <v>1354</v>
      </c>
      <c r="G118" s="35">
        <v>46691</v>
      </c>
      <c r="H118" s="37">
        <v>1.45</v>
      </c>
      <c r="I118" s="11">
        <v>46691</v>
      </c>
      <c r="J118" s="11">
        <v>42920</v>
      </c>
      <c r="K118" s="11">
        <v>43039</v>
      </c>
      <c r="L118" s="11">
        <v>42920</v>
      </c>
      <c r="M118" s="12">
        <v>99.248999999999995</v>
      </c>
      <c r="N118" s="12" t="s">
        <v>1414</v>
      </c>
      <c r="O118" s="12" t="s">
        <v>1203</v>
      </c>
      <c r="P118" s="12" t="s">
        <v>1415</v>
      </c>
      <c r="Q118" s="15">
        <v>22291100000</v>
      </c>
      <c r="R118" s="12"/>
      <c r="S118" s="43">
        <f>_xll.BDP(E118&amp;"@cbbt Corp",$S$10)</f>
        <v>99.899000000000001</v>
      </c>
      <c r="T118" s="43">
        <f>_xll.BDP(E118&amp;"@cbbt Corp",$T$10)</f>
        <v>100.084</v>
      </c>
      <c r="U118" s="25">
        <f t="shared" si="15"/>
        <v>99.991500000000002</v>
      </c>
      <c r="V118" s="12"/>
      <c r="W118" s="25">
        <f t="shared" si="9"/>
        <v>99.991500000000002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0.49657534246575336</v>
      </c>
      <c r="Y118" s="14">
        <v>9.0408263838131973</v>
      </c>
      <c r="Z118" s="14">
        <v>-8.9115842754923715</v>
      </c>
      <c r="AA118" s="14">
        <v>0.94360725196900941</v>
      </c>
      <c r="AB118" s="14">
        <v>0.9168216248064921</v>
      </c>
      <c r="AC118" s="14">
        <v>8.9550812673579117</v>
      </c>
      <c r="AD118" s="34">
        <v>1.4502708413377393E-2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3.7193893902887631</v>
      </c>
      <c r="AI118" s="14">
        <v>9.4365212990947978</v>
      </c>
      <c r="AJ118" s="14">
        <v>9.482578632742209</v>
      </c>
      <c r="AK118" s="246">
        <v>0.39223396233659075</v>
      </c>
      <c r="AL118" s="213">
        <f>IF(U118&gt;0,_xll.xlBondZSpread(F118,H118,G118,J118,K118,L118,M118,D118,U118,"annual",5)*100,"-")</f>
        <v>40.704577489534501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5" t="str">
        <f>IF($AN$9+(($AL$9-$AM$9))*('DB Basis'!F278/10-'DB Basis'!E278),," ")</f>
        <v xml:space="preserve"> </v>
      </c>
      <c r="AO118" s="648">
        <f>IF(U118&gt;0,_xll.xlShmImplSwap2(curveName,curveName,D118,G118,,1,8,2,4),"-")</f>
        <v>1.0512598781342981E-2</v>
      </c>
      <c r="AP118" s="649">
        <f t="shared" si="10"/>
        <v>3.9901096320344113E-3</v>
      </c>
      <c r="AQ118" s="391">
        <f t="shared" si="11"/>
        <v>17.486539618687274</v>
      </c>
      <c r="AR118" s="391">
        <f t="shared" si="12"/>
        <v>7.9006943671543457</v>
      </c>
      <c r="AS118" s="393"/>
      <c r="AT118" s="242">
        <f t="shared" si="13"/>
        <v>1.4304041174837976</v>
      </c>
      <c r="AU118" s="701" t="str">
        <f t="shared" si="8"/>
        <v>SPGB  31-Oct-27  1.45</v>
      </c>
      <c r="AV118" s="717"/>
      <c r="AW118" s="699"/>
      <c r="AX118" s="699"/>
      <c r="AY118" s="699"/>
      <c r="AZ118" s="699"/>
      <c r="BA118" s="699"/>
      <c r="BB118" s="697"/>
      <c r="BC118" s="711"/>
      <c r="BE118" s="721">
        <f>_xll.xlDateShiftMonth(BE117,1)</f>
        <v>46446</v>
      </c>
      <c r="BF118" s="722">
        <v>1.8663609265544921E-2</v>
      </c>
    </row>
    <row r="119" spans="1:58">
      <c r="A119" s="10"/>
      <c r="B119" s="11"/>
      <c r="C119" s="12"/>
      <c r="D119" s="735">
        <f>MAX(_xll.xlDateSettle("TARGET",$D$4,2),L119)</f>
        <v>43164</v>
      </c>
      <c r="E119" s="733" t="s">
        <v>2016</v>
      </c>
      <c r="F119" s="13" t="s">
        <v>1354</v>
      </c>
      <c r="G119" s="35">
        <v>46873</v>
      </c>
      <c r="H119" s="37">
        <v>1.4</v>
      </c>
      <c r="I119" s="11">
        <v>46873</v>
      </c>
      <c r="J119" s="11">
        <v>43130</v>
      </c>
      <c r="K119" s="11">
        <v>43220</v>
      </c>
      <c r="L119" s="11">
        <v>43130</v>
      </c>
      <c r="M119" s="12">
        <v>999</v>
      </c>
      <c r="N119" s="12" t="s">
        <v>2017</v>
      </c>
      <c r="O119" s="12" t="s">
        <v>1222</v>
      </c>
      <c r="P119" s="12" t="s">
        <v>2018</v>
      </c>
      <c r="Q119" s="15">
        <v>12379872000</v>
      </c>
      <c r="R119" s="12"/>
      <c r="S119" s="43">
        <f>_xll.BDP(E119&amp;"@cbbt Corp",$S$10)</f>
        <v>98.656999999999996</v>
      </c>
      <c r="T119" s="43">
        <f>_xll.BDP(E119&amp;"@cbbt Corp",$T$10)</f>
        <v>98.900999999999996</v>
      </c>
      <c r="U119" s="25">
        <f t="shared" si="15"/>
        <v>98.778999999999996</v>
      </c>
      <c r="V119" s="12"/>
      <c r="W119" s="25">
        <f t="shared" si="9"/>
        <v>98.778999999999996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0.13041095890410959</v>
      </c>
      <c r="Y119" s="14">
        <v>9.5221897860348648</v>
      </c>
      <c r="Z119" s="14">
        <v>-9.378689210820724</v>
      </c>
      <c r="AA119" s="14">
        <v>1.0399538865180744</v>
      </c>
      <c r="AB119" s="14">
        <v>1.0088456021874999</v>
      </c>
      <c r="AC119" s="14">
        <v>9.2764082255698099</v>
      </c>
      <c r="AD119" s="34">
        <v>1.5300706852391559E-2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4.158327470026129</v>
      </c>
      <c r="AI119" s="14">
        <v>10.045972769665099</v>
      </c>
      <c r="AJ119" s="14">
        <v>9.936412491567653</v>
      </c>
      <c r="AK119" s="246">
        <v>0.41849384509298582</v>
      </c>
      <c r="AL119" s="213">
        <f>IF(U119&gt;0,_xll.xlBondZSpread(F119,H119,G119,J119,K119,L119,M119,D119,U119,"annual",5)*100,"-")</f>
        <v>43.810033258539981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5" t="str">
        <f>IF($AN$9+(($AL$9-$AM$9))*('DB Basis'!F279/10-'DB Basis'!E279),," ")</f>
        <v xml:space="preserve"> </v>
      </c>
      <c r="AO119" s="648">
        <f>IF(U119&gt;0,_xll.xlShmImplSwap2(curveName,curveName,D119,G119,,1,8,2,4),"-")</f>
        <v>1.0985487350527973E-2</v>
      </c>
      <c r="AP119" s="649">
        <f t="shared" si="10"/>
        <v>4.3152195018635858E-3</v>
      </c>
      <c r="AQ119" s="391">
        <f t="shared" si="11"/>
        <v>16.003814848361031</v>
      </c>
      <c r="AR119" s="391">
        <f t="shared" si="12"/>
        <v>6.5200605762444335</v>
      </c>
      <c r="AS119" s="393"/>
      <c r="AT119" s="242">
        <f t="shared" si="13"/>
        <v>1.5091108128386197</v>
      </c>
      <c r="AU119" s="701" t="str">
        <f t="shared" si="8"/>
        <v>SPGB  30-Apr-28  1.4</v>
      </c>
      <c r="AV119" s="717"/>
      <c r="AW119" s="699"/>
      <c r="AX119" s="699"/>
      <c r="AY119" s="699"/>
      <c r="AZ119" s="699"/>
      <c r="BA119" s="699"/>
      <c r="BB119" s="697"/>
      <c r="BC119" s="711"/>
      <c r="BE119" s="721">
        <f>_xll.xlDateShiftMonth(BE118,1)</f>
        <v>46474</v>
      </c>
      <c r="BF119" s="722">
        <v>1.8766505665673901E-2</v>
      </c>
    </row>
    <row r="120" spans="1:58">
      <c r="A120" s="17"/>
      <c r="B120" s="16"/>
      <c r="C120" s="18"/>
      <c r="D120" s="735">
        <f>MAX(_xll.xlDateSettle("TARGET",$D$4,2),L120)</f>
        <v>43164</v>
      </c>
      <c r="E120" s="733" t="s">
        <v>860</v>
      </c>
      <c r="F120" s="13" t="s">
        <v>1359</v>
      </c>
      <c r="G120" s="35">
        <v>47057</v>
      </c>
      <c r="H120" s="37">
        <v>5.15</v>
      </c>
      <c r="I120" s="11">
        <v>47057</v>
      </c>
      <c r="J120" s="11">
        <v>41471</v>
      </c>
      <c r="K120" s="11">
        <v>41578</v>
      </c>
      <c r="L120" s="11">
        <v>41471</v>
      </c>
      <c r="M120" s="12">
        <v>99.57</v>
      </c>
      <c r="N120" s="12" t="s">
        <v>1416</v>
      </c>
      <c r="O120" s="12" t="s">
        <v>1203</v>
      </c>
      <c r="P120" s="12" t="s">
        <v>1417</v>
      </c>
      <c r="Q120" s="15">
        <v>17540822000</v>
      </c>
      <c r="R120" s="12"/>
      <c r="S120" s="43">
        <f>_xll.BDP(E120&amp;"@cbbt Corp",$S$10)</f>
        <v>135.11600000000001</v>
      </c>
      <c r="T120" s="43">
        <f>_xll.BDP(E120&amp;"@cbbt Corp",$T$10)</f>
        <v>135.30699999999999</v>
      </c>
      <c r="U120" s="25">
        <f t="shared" si="15"/>
        <v>135.2115</v>
      </c>
      <c r="V120" s="12"/>
      <c r="W120" s="25">
        <f t="shared" si="9"/>
        <v>135.2115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1.7636986301369864</v>
      </c>
      <c r="Y120" s="14">
        <v>8.7007739002925231</v>
      </c>
      <c r="Z120" s="14">
        <v>-8.5687211619784165</v>
      </c>
      <c r="AA120" s="14">
        <v>0.94450257938709781</v>
      </c>
      <c r="AB120" s="14">
        <v>0.91605047241100834</v>
      </c>
      <c r="AC120" s="14">
        <v>11.737025347841268</v>
      </c>
      <c r="AD120" s="34">
        <v>1.5411020442254272E-2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5.6871458786759366</v>
      </c>
      <c r="AI120" s="14">
        <v>7.5802905182182014</v>
      </c>
      <c r="AJ120" s="14">
        <v>10.383117994070821</v>
      </c>
      <c r="AK120" s="246">
        <v>0.54773006354387366</v>
      </c>
      <c r="AL120" s="213">
        <f>IF(U120&gt;0,_xll.xlBondZSpread(F120,H120,G120,J120,K120,L120,M120,D120,U120,"annual",5)*100,"-")</f>
        <v>47.430992082637395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5" t="str">
        <f>IF($AN$9+(($AL$9-$AM$9))*('DB Basis'!F280/10-'DB Basis'!E280),," ")</f>
        <v xml:space="preserve"> </v>
      </c>
      <c r="AO120" s="648">
        <f>IF(U120&gt;0,_xll.xlShmImplSwap2(curveName,curveName,D120,G120,,1,8,2,4),"-")</f>
        <v>1.1408318078670992E-2</v>
      </c>
      <c r="AP120" s="649">
        <f t="shared" si="10"/>
        <v>4.0027023635832801E-3</v>
      </c>
      <c r="AQ120" s="391">
        <f t="shared" si="11"/>
        <v>2.1882858858636056</v>
      </c>
      <c r="AR120" s="391">
        <f t="shared" si="12"/>
        <v>-6.1993888843647573</v>
      </c>
      <c r="AS120" s="393"/>
      <c r="AT120" s="242">
        <f t="shared" si="13"/>
        <v>1.5199910573182296</v>
      </c>
      <c r="AU120" s="701" t="str">
        <f t="shared" si="8"/>
        <v>EURO12M  31-Oct-28  5.15</v>
      </c>
      <c r="AV120" s="717"/>
      <c r="AW120" s="699"/>
      <c r="AX120" s="699"/>
      <c r="AY120" s="699"/>
      <c r="AZ120" s="699"/>
      <c r="BA120" s="699"/>
      <c r="BB120" s="697"/>
      <c r="BC120" s="711"/>
      <c r="BE120" s="721">
        <f>_xll.xlDateShiftMonth(BE119,1)</f>
        <v>46505</v>
      </c>
      <c r="BF120" s="722">
        <v>1.8877504345907788E-2</v>
      </c>
    </row>
    <row r="121" spans="1:58">
      <c r="A121" s="10"/>
      <c r="B121" s="11"/>
      <c r="C121" s="12"/>
      <c r="D121" s="735">
        <f>MAX(_xll.xlDateSettle("TARGET",$D$4,2),L121)</f>
        <v>43164</v>
      </c>
      <c r="E121" s="733" t="s">
        <v>861</v>
      </c>
      <c r="F121" s="13" t="s">
        <v>1354</v>
      </c>
      <c r="G121" s="35">
        <v>47149</v>
      </c>
      <c r="H121" s="37">
        <v>6</v>
      </c>
      <c r="I121" s="11">
        <v>47149</v>
      </c>
      <c r="J121" s="11">
        <v>36191</v>
      </c>
      <c r="K121" s="11">
        <v>36556</v>
      </c>
      <c r="L121" s="11">
        <v>35810</v>
      </c>
      <c r="M121" s="12">
        <v>94.846000000000004</v>
      </c>
      <c r="N121" s="12" t="s">
        <v>1418</v>
      </c>
      <c r="O121" s="12" t="s">
        <v>1203</v>
      </c>
      <c r="P121" s="12" t="s">
        <v>1419</v>
      </c>
      <c r="Q121" s="15">
        <v>24622106000</v>
      </c>
      <c r="R121" s="12"/>
      <c r="S121" s="43">
        <f>_xll.BDP(E121&amp;"@cbbt Corp",$S$10)</f>
        <v>144.267</v>
      </c>
      <c r="T121" s="43">
        <f>_xll.BDP(E121&amp;"@cbbt Corp",$T$10)</f>
        <v>144.48599999999999</v>
      </c>
      <c r="U121" s="25">
        <f t="shared" si="15"/>
        <v>144.37649999999999</v>
      </c>
      <c r="V121" s="12"/>
      <c r="W121" s="25">
        <f t="shared" si="9"/>
        <v>144.37649999999999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0.54246575342465753</v>
      </c>
      <c r="Y121" s="14">
        <v>8.7640671348476484</v>
      </c>
      <c r="Z121" s="14">
        <v>-8.63050782819926</v>
      </c>
      <c r="AA121" s="14">
        <v>0.96183437833824426</v>
      </c>
      <c r="AB121" s="14">
        <v>0.93274215711310793</v>
      </c>
      <c r="AC121" s="14">
        <v>12.507245439985581</v>
      </c>
      <c r="AD121" s="34">
        <v>1.5475254232065347E-2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6.0328253231879367</v>
      </c>
      <c r="AI121" s="14">
        <v>7.3193254542217696</v>
      </c>
      <c r="AJ121" s="14">
        <v>10.607090748385341</v>
      </c>
      <c r="AK121" s="246">
        <v>0.56875400298675616</v>
      </c>
      <c r="AL121" s="213">
        <f>IF(U121&gt;0,_xll.xlBondZSpread(F121,H121,G121,J121,K121,L121,M121,D121,U121,"annual",5)*100,"-")</f>
        <v>47.245283684119563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5" t="str">
        <f>IF($AN$9+(($AL$9-$AM$9))*('DB Basis'!F281/10-'DB Basis'!E281),," ")</f>
        <v xml:space="preserve"> </v>
      </c>
      <c r="AO121" s="648">
        <f>IF(U121&gt;0,_xll.xlShmImplSwap2(curveName,curveName,D121,G121,,1,8,2,4),"-")</f>
        <v>1.1627696394679522E-2</v>
      </c>
      <c r="AP121" s="649">
        <f t="shared" si="10"/>
        <v>3.8475578373858253E-3</v>
      </c>
      <c r="AQ121" s="391">
        <f t="shared" si="11"/>
        <v>2.5484057914176308</v>
      </c>
      <c r="AR121" s="391">
        <f t="shared" si="12"/>
        <v>-6.1551904415294576</v>
      </c>
      <c r="AS121" s="393"/>
      <c r="AT121" s="242">
        <f t="shared" si="13"/>
        <v>1.5263264448064453</v>
      </c>
      <c r="AU121" s="701" t="str">
        <f t="shared" si="8"/>
        <v>SPGB  31-Jan-29  6</v>
      </c>
      <c r="AV121" s="717"/>
      <c r="AW121" s="699"/>
      <c r="AX121" s="699"/>
      <c r="AY121" s="699"/>
      <c r="AZ121" s="699"/>
      <c r="BA121" s="699"/>
      <c r="BB121" s="697"/>
      <c r="BC121" s="711"/>
      <c r="BE121" s="721">
        <f>_xll.xlDateShiftMonth(BE120,1)</f>
        <v>46535</v>
      </c>
      <c r="BF121" s="722">
        <v>1.8982977991024302E-2</v>
      </c>
    </row>
    <row r="122" spans="1:58">
      <c r="A122" s="17"/>
      <c r="B122" s="16"/>
      <c r="C122" s="18"/>
      <c r="D122" s="735">
        <f>MAX(_xll.xlDateSettle("TARGET",$D$4,2),L122)</f>
        <v>43164</v>
      </c>
      <c r="E122" s="733" t="s">
        <v>841</v>
      </c>
      <c r="F122" s="13" t="s">
        <v>1354</v>
      </c>
      <c r="G122" s="35">
        <v>47694</v>
      </c>
      <c r="H122" s="37">
        <v>1.95</v>
      </c>
      <c r="I122" s="11">
        <v>47694</v>
      </c>
      <c r="J122" s="11">
        <v>42067</v>
      </c>
      <c r="K122" s="11">
        <v>42215</v>
      </c>
      <c r="L122" s="11">
        <v>42067</v>
      </c>
      <c r="M122" s="12">
        <v>99.596000000000004</v>
      </c>
      <c r="N122" s="12" t="s">
        <v>1420</v>
      </c>
      <c r="O122" s="12" t="s">
        <v>1203</v>
      </c>
      <c r="P122" s="12" t="s">
        <v>1421</v>
      </c>
      <c r="Q122" s="15">
        <v>20206420000</v>
      </c>
      <c r="R122" s="12"/>
      <c r="S122" s="43">
        <f>_xll.BDP(E122&amp;"@cbbt Corp",$S$10)</f>
        <v>101.93300000000001</v>
      </c>
      <c r="T122" s="43">
        <f>_xll.BDP(E122&amp;"@cbbt Corp",$T$10)</f>
        <v>102.176</v>
      </c>
      <c r="U122" s="25">
        <f t="shared" si="15"/>
        <v>102.0545</v>
      </c>
      <c r="V122" s="12"/>
      <c r="W122" s="25">
        <f t="shared" si="9"/>
        <v>102.0545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1.1646575342465753</v>
      </c>
      <c r="Y122" s="14">
        <v>11.02880289187671</v>
      </c>
      <c r="Z122" s="14">
        <v>-10.837656874635996</v>
      </c>
      <c r="AA122" s="14">
        <v>1.4242677291023289</v>
      </c>
      <c r="AB122" s="14">
        <v>1.3753260784223706</v>
      </c>
      <c r="AC122" s="14">
        <v>11.186541417458784</v>
      </c>
      <c r="AD122" s="34">
        <v>1.7637208402865031E-2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5.8613079543866959</v>
      </c>
      <c r="AI122" s="14">
        <v>11.538031300637945</v>
      </c>
      <c r="AJ122" s="14">
        <v>11.909458704556158</v>
      </c>
      <c r="AK122" s="246">
        <v>0.49215569739910714</v>
      </c>
      <c r="AL122" s="213">
        <f>IF(U122&gt;0,_xll.xlBondZSpread(F122,H122,G122,J122,K122,L122,M122,D122,U122,"annual",5)*100,"-")</f>
        <v>50.857394679106072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5" t="str">
        <f>IF($AN$9+(($AL$9-$AM$9))*('DB Basis'!F282/10-'DB Basis'!E282),," ")</f>
        <v xml:space="preserve"> </v>
      </c>
      <c r="AO122" s="648">
        <f>IF(U122&gt;0,_xll.xlShmImplSwap2(curveName,curveName,D122,G122,,1,8,2,4),"-")</f>
        <v>1.273210571002906E-2</v>
      </c>
      <c r="AP122" s="649">
        <f t="shared" si="10"/>
        <v>4.9051026928359706E-3</v>
      </c>
      <c r="AQ122" s="391">
        <f t="shared" si="11"/>
        <v>14.4791426117777</v>
      </c>
      <c r="AR122" s="391">
        <f t="shared" si="12"/>
        <v>7.0826398576018903</v>
      </c>
      <c r="AS122" s="393"/>
      <c r="AT122" s="242">
        <f t="shared" si="13"/>
        <v>1.7395602808305235</v>
      </c>
      <c r="AU122" s="701" t="str">
        <f t="shared" si="8"/>
        <v>SPGB  30-Jul-30  1.95</v>
      </c>
      <c r="AV122" s="717"/>
      <c r="AW122" s="699"/>
      <c r="AX122" s="699"/>
      <c r="AY122" s="699"/>
      <c r="AZ122" s="699"/>
      <c r="BA122" s="699"/>
      <c r="BB122" s="697"/>
      <c r="BC122" s="711"/>
      <c r="BE122" s="721">
        <f>_xll.xlDateShiftMonth(BE121,1)</f>
        <v>46566</v>
      </c>
      <c r="BF122" s="722">
        <v>1.9091004444184753E-2</v>
      </c>
    </row>
    <row r="123" spans="1:58">
      <c r="A123" s="10"/>
      <c r="B123" s="11"/>
      <c r="C123" s="12"/>
      <c r="D123" s="735">
        <f>MAX(_xll.xlDateSettle("TARGET",$D$4,2),L123)</f>
        <v>43164</v>
      </c>
      <c r="E123" s="733" t="s">
        <v>862</v>
      </c>
      <c r="F123" s="13" t="s">
        <v>1354</v>
      </c>
      <c r="G123" s="35">
        <v>48425</v>
      </c>
      <c r="H123" s="37">
        <v>5.75</v>
      </c>
      <c r="I123" s="11">
        <v>48425</v>
      </c>
      <c r="J123" s="11">
        <v>37467</v>
      </c>
      <c r="K123" s="11">
        <v>37832</v>
      </c>
      <c r="L123" s="11">
        <v>36914</v>
      </c>
      <c r="M123" s="12">
        <v>93.718000000000004</v>
      </c>
      <c r="N123" s="12" t="s">
        <v>1422</v>
      </c>
      <c r="O123" s="12" t="s">
        <v>1203</v>
      </c>
      <c r="P123" s="12" t="s">
        <v>1423</v>
      </c>
      <c r="Q123" s="15">
        <v>21195631000</v>
      </c>
      <c r="R123" s="12"/>
      <c r="S123" s="43">
        <f>_xll.BDP(E123&amp;"@cbbt Corp",$S$10)</f>
        <v>148.94</v>
      </c>
      <c r="T123" s="43">
        <f>_xll.BDP(E123&amp;"@cbbt Corp",$T$10)</f>
        <v>149.233</v>
      </c>
      <c r="U123" s="25">
        <f t="shared" si="15"/>
        <v>149.0865</v>
      </c>
      <c r="V123" s="12"/>
      <c r="W123" s="25">
        <f t="shared" si="9"/>
        <v>149.0865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3.4342465753424656</v>
      </c>
      <c r="Y123" s="14">
        <v>10.76504079545656</v>
      </c>
      <c r="Z123" s="14">
        <v>-10.570689991008802</v>
      </c>
      <c r="AA123" s="14">
        <v>1.4933229645155168</v>
      </c>
      <c r="AB123" s="14">
        <v>1.4398891413063188</v>
      </c>
      <c r="AC123" s="14">
        <v>16.122500878859114</v>
      </c>
      <c r="AD123" s="34">
        <v>1.8385819934081518E-2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9.1226409258390806</v>
      </c>
      <c r="AI123" s="14">
        <v>8.9109306036334814</v>
      </c>
      <c r="AJ123" s="14">
        <v>13.591017883472457</v>
      </c>
      <c r="AK123" s="246">
        <v>0.67122573188081747</v>
      </c>
      <c r="AL123" s="213">
        <f>IF(U123&gt;0,_xll.xlBondZSpread(F123,H123,G123,J123,K123,L123,M123,D123,U123,"annual",5)*100,"-")</f>
        <v>54.961080587365352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5" t="str">
        <f>IF($AN$9+(($AL$9-$AM$9))*('DB Basis'!F283/10-'DB Basis'!E283),," ")</f>
        <v xml:space="preserve"> </v>
      </c>
      <c r="AO123" s="648">
        <f>IF(U123&gt;0,_xll.xlShmImplSwap2(curveName,curveName,D123,G123,,1,8,2,4),"-")</f>
        <v>1.3886759686465229E-2</v>
      </c>
      <c r="AP123" s="649">
        <f t="shared" si="10"/>
        <v>4.4990602476162895E-3</v>
      </c>
      <c r="AQ123" s="391">
        <f t="shared" si="11"/>
        <v>3.7379371941726109</v>
      </c>
      <c r="AR123" s="391">
        <f t="shared" si="12"/>
        <v>-2.0274349179915681</v>
      </c>
      <c r="AS123" s="393"/>
      <c r="AT123" s="242">
        <f t="shared" si="13"/>
        <v>1.8133959387039305</v>
      </c>
      <c r="AU123" s="701" t="str">
        <f t="shared" si="8"/>
        <v>SPGB  30-Jul-32  5.75</v>
      </c>
      <c r="AV123" s="717"/>
      <c r="AW123" s="699"/>
      <c r="AX123" s="699"/>
      <c r="AY123" s="699"/>
      <c r="AZ123" s="699"/>
      <c r="BA123" s="699"/>
      <c r="BB123" s="697"/>
      <c r="BC123" s="711"/>
      <c r="BE123" s="721">
        <f>_xll.xlDateShiftMonth(BE122,1)</f>
        <v>46596</v>
      </c>
      <c r="BF123" s="722">
        <v>1.9195615767464053E-2</v>
      </c>
    </row>
    <row r="124" spans="1:58">
      <c r="A124" s="17"/>
      <c r="B124" s="16"/>
      <c r="C124" s="18"/>
      <c r="D124" s="735">
        <f>MAX(_xll.xlDateSettle("TARGET",$D$4,2),L124)</f>
        <v>43164</v>
      </c>
      <c r="E124" s="733" t="s">
        <v>974</v>
      </c>
      <c r="F124" s="13" t="s">
        <v>1354</v>
      </c>
      <c r="G124" s="35">
        <v>48790</v>
      </c>
      <c r="H124" s="37">
        <v>2.35</v>
      </c>
      <c r="I124" s="11">
        <v>48790</v>
      </c>
      <c r="J124" s="11">
        <v>42795</v>
      </c>
      <c r="K124" s="11">
        <v>42946</v>
      </c>
      <c r="L124" s="11">
        <v>42795</v>
      </c>
      <c r="M124" s="12">
        <v>999</v>
      </c>
      <c r="N124" s="12" t="s">
        <v>1424</v>
      </c>
      <c r="O124" s="12" t="s">
        <v>1222</v>
      </c>
      <c r="P124" s="12" t="s">
        <v>1425</v>
      </c>
      <c r="Q124" s="15">
        <v>11401068000</v>
      </c>
      <c r="R124" s="12"/>
      <c r="S124" s="43">
        <f>_xll.BDP(E124&amp;"@cbbt Corp",$S$10)</f>
        <v>103.955</v>
      </c>
      <c r="T124" s="43">
        <f>_xll.BDP(E124&amp;"@cbbt Corp",$T$10)</f>
        <v>104.24</v>
      </c>
      <c r="U124" s="25">
        <f t="shared" si="15"/>
        <v>104.0975</v>
      </c>
      <c r="V124" s="12"/>
      <c r="W124" s="25">
        <f t="shared" si="9"/>
        <v>104.0975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1.4035616438356164</v>
      </c>
      <c r="Y124" s="14">
        <v>12.987194354577493</v>
      </c>
      <c r="Z124" s="14">
        <v>-12.728013767795547</v>
      </c>
      <c r="AA124" s="14">
        <v>2.0144985122483177</v>
      </c>
      <c r="AB124" s="14">
        <v>1.9348956316930035</v>
      </c>
      <c r="AC124" s="14">
        <v>13.42819539293103</v>
      </c>
      <c r="AD124" s="34">
        <v>2.0363000323286532E-2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8.8479030459917158</v>
      </c>
      <c r="AI124" s="14">
        <v>13.656747935676753</v>
      </c>
      <c r="AJ124" s="14">
        <v>14.40801405816158</v>
      </c>
      <c r="AK124" s="246">
        <v>0.61409594759381292</v>
      </c>
      <c r="AL124" s="213">
        <f>IF(U124&gt;0,_xll.xlBondZSpread(F124,H124,G124,J124,K124,L124,M124,D124,U124,"annual",5)*100,"-")</f>
        <v>63.109724212872941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5" t="str">
        <f>IF($AN$9+(($AL$9-$AM$9))*('DB Basis'!F284/10-'DB Basis'!E284),," ")</f>
        <v xml:space="preserve"> </v>
      </c>
      <c r="AO124" s="648">
        <f>IF(U124&gt;0,_xll.xlShmImplSwap2(curveName,curveName,D124,G124,,1,8,2,4),"-")</f>
        <v>1.4343329827493327E-2</v>
      </c>
      <c r="AP124" s="649">
        <f t="shared" si="10"/>
        <v>6.0196704957932046E-3</v>
      </c>
      <c r="AQ124" s="391">
        <f t="shared" si="11"/>
        <v>19.771803892050141</v>
      </c>
      <c r="AR124" s="391">
        <f t="shared" si="12"/>
        <v>15.206102481769152</v>
      </c>
      <c r="AS124" s="393"/>
      <c r="AT124" s="242">
        <f t="shared" si="13"/>
        <v>2.0084055113378496</v>
      </c>
      <c r="AU124" s="701" t="str">
        <f t="shared" si="8"/>
        <v>SPGB  30-Jul-33  2.35</v>
      </c>
      <c r="AV124" s="717"/>
      <c r="AW124" s="699"/>
      <c r="AX124" s="699"/>
      <c r="AY124" s="699"/>
      <c r="AZ124" s="699"/>
      <c r="BA124" s="699"/>
      <c r="BB124" s="697"/>
      <c r="BC124" s="711"/>
      <c r="BE124" s="721">
        <f>_xll.xlDateShiftMonth(BE123,1)</f>
        <v>46627</v>
      </c>
      <c r="BF124" s="722">
        <v>1.9304832315901025E-2</v>
      </c>
    </row>
    <row r="125" spans="1:58">
      <c r="A125" s="10"/>
      <c r="B125" s="11"/>
      <c r="C125" s="12"/>
      <c r="D125" s="735">
        <f>MAX(_xll.xlDateSettle("TARGET",$D$4,2),L125)</f>
        <v>43164</v>
      </c>
      <c r="E125" s="733" t="s">
        <v>863</v>
      </c>
      <c r="F125" s="13" t="s">
        <v>1354</v>
      </c>
      <c r="G125" s="35">
        <v>50071</v>
      </c>
      <c r="H125" s="37">
        <v>4.2</v>
      </c>
      <c r="I125" s="11">
        <v>50071</v>
      </c>
      <c r="J125" s="11">
        <v>38383</v>
      </c>
      <c r="K125" s="11">
        <v>38748</v>
      </c>
      <c r="L125" s="11">
        <v>38369</v>
      </c>
      <c r="M125" s="12">
        <v>98.85</v>
      </c>
      <c r="N125" s="12" t="s">
        <v>1426</v>
      </c>
      <c r="O125" s="12" t="s">
        <v>1222</v>
      </c>
      <c r="P125" s="12" t="s">
        <v>1427</v>
      </c>
      <c r="Q125" s="15">
        <v>19750574000</v>
      </c>
      <c r="R125" s="12"/>
      <c r="S125" s="43">
        <f>_xll.BDP(E125&amp;"@cbbt Corp",$S$10)</f>
        <v>131.32300000000001</v>
      </c>
      <c r="T125" s="43">
        <f>_xll.BDP(E125&amp;"@cbbt Corp",$T$10)</f>
        <v>131.73400000000001</v>
      </c>
      <c r="U125" s="25">
        <f t="shared" si="15"/>
        <v>131.52850000000001</v>
      </c>
      <c r="V125" s="12"/>
      <c r="W125" s="25">
        <f t="shared" si="9"/>
        <v>131.52850000000001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0.3797260273972603</v>
      </c>
      <c r="Y125" s="14">
        <v>14.159758448436339</v>
      </c>
      <c r="Z125" s="14">
        <v>-13.861459680950365</v>
      </c>
      <c r="AA125" s="14">
        <v>2.5257127996144235</v>
      </c>
      <c r="AB125" s="14">
        <v>2.4204170731187915</v>
      </c>
      <c r="AC125" s="14">
        <v>18.284415850794744</v>
      </c>
      <c r="AD125" s="34">
        <v>2.1520011184542755E-2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13.130418426910762</v>
      </c>
      <c r="AI125" s="14">
        <v>12.984124766732162</v>
      </c>
      <c r="AJ125" s="14">
        <v>17.127128644980328</v>
      </c>
      <c r="AK125" s="246">
        <v>0.76664446791313468</v>
      </c>
      <c r="AL125" s="213">
        <f>IF(U125&gt;0,_xll.xlBondZSpread(F125,H125,G125,J125,K125,L125,M125,D125,U125,"annual",5)*100,"-")</f>
        <v>68.369830582773119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5" t="str">
        <f>IF($AN$9+(($AL$9-$AM$9))*('DB Basis'!F285/10-'DB Basis'!E285),," ")</f>
        <v xml:space="preserve"> </v>
      </c>
      <c r="AO125" s="648">
        <f>IF(U125&gt;0,_xll.xlShmImplSwap2(curveName,curveName,D125,G125,,1,8,2,4),"-")</f>
        <v>1.5424012249476321E-2</v>
      </c>
      <c r="AP125" s="649">
        <f t="shared" si="10"/>
        <v>6.095998935066434E-3</v>
      </c>
      <c r="AQ125" s="391">
        <f t="shared" si="11"/>
        <v>3.2967132268424768</v>
      </c>
      <c r="AR125" s="391">
        <f t="shared" si="12"/>
        <v>0.21748540464269114</v>
      </c>
      <c r="AS125" s="393"/>
      <c r="AT125" s="242">
        <f t="shared" si="13"/>
        <v>2.1225216510781895</v>
      </c>
      <c r="AU125" s="701" t="str">
        <f t="shared" si="8"/>
        <v>SPGB  31-Jan-37  4.2</v>
      </c>
      <c r="AV125" s="717"/>
      <c r="AW125" s="699"/>
      <c r="AX125" s="699"/>
      <c r="AY125" s="699"/>
      <c r="AZ125" s="699"/>
      <c r="BA125" s="699"/>
      <c r="BB125" s="697"/>
      <c r="BC125" s="711"/>
      <c r="BE125" s="721">
        <f>_xll.xlDateShiftMonth(BE124,1)</f>
        <v>46658</v>
      </c>
      <c r="BF125" s="722">
        <v>1.9416248794958516E-2</v>
      </c>
    </row>
    <row r="126" spans="1:58">
      <c r="A126" s="17"/>
      <c r="B126" s="16"/>
      <c r="C126" s="18"/>
      <c r="D126" s="735">
        <f>MAX(_xll.xlDateSettle("TARGET",$D$4,2),L126)</f>
        <v>43164</v>
      </c>
      <c r="E126" s="733" t="s">
        <v>864</v>
      </c>
      <c r="F126" s="13" t="s">
        <v>1359</v>
      </c>
      <c r="G126" s="35">
        <v>51347</v>
      </c>
      <c r="H126" s="37">
        <v>4.9000000000000004</v>
      </c>
      <c r="I126" s="11">
        <v>51347</v>
      </c>
      <c r="J126" s="11">
        <v>39253</v>
      </c>
      <c r="K126" s="11">
        <v>39293</v>
      </c>
      <c r="L126" s="11">
        <v>39253</v>
      </c>
      <c r="M126" s="12">
        <v>99.655000000000001</v>
      </c>
      <c r="N126" s="12" t="s">
        <v>1428</v>
      </c>
      <c r="O126" s="12" t="s">
        <v>1203</v>
      </c>
      <c r="P126" s="12" t="s">
        <v>1429</v>
      </c>
      <c r="Q126" s="15">
        <v>17089555000</v>
      </c>
      <c r="R126" s="12"/>
      <c r="S126" s="43">
        <f>_xll.BDP(E126&amp;"@cbbt Corp",$S$10)</f>
        <v>144.90799999999999</v>
      </c>
      <c r="T126" s="43">
        <f>_xll.BDP(E126&amp;"@cbbt Corp",$T$10)</f>
        <v>145.37100000000001</v>
      </c>
      <c r="U126" s="25">
        <f t="shared" si="15"/>
        <v>145.1395</v>
      </c>
      <c r="V126" s="12"/>
      <c r="W126" s="25">
        <f t="shared" si="9"/>
        <v>145.1395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2.9265753424657537</v>
      </c>
      <c r="Y126" s="14">
        <v>15.276435407975306</v>
      </c>
      <c r="Z126" s="14">
        <v>-14.933178072323722</v>
      </c>
      <c r="AA126" s="14">
        <v>3.091305154711276</v>
      </c>
      <c r="AB126" s="14">
        <v>2.9539443527505891</v>
      </c>
      <c r="AC126" s="14">
        <v>22.110986790038112</v>
      </c>
      <c r="AD126" s="34">
        <v>2.2986221275664721E-2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18.703606269296543</v>
      </c>
      <c r="AI126" s="14">
        <v>13.271073228216641</v>
      </c>
      <c r="AJ126" s="14">
        <v>19.649957284845055</v>
      </c>
      <c r="AK126" s="246">
        <v>0.95183953828345635</v>
      </c>
      <c r="AL126" s="213">
        <f>IF(U126&gt;0,_xll.xlBondZSpread(F126,H126,G126,J126,K126,L126,M126,D126,U126,"annual",5)*100,"-")</f>
        <v>79.280208678184295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5" t="str">
        <f>IF($AN$9+(($AL$9-$AM$9))*('DB Basis'!F286/10-'DB Basis'!E286),," ")</f>
        <v xml:space="preserve"> </v>
      </c>
      <c r="AO126" s="648">
        <f>IF(U126&gt;0,_xll.xlShmImplSwap2(curveName,curveName,D126,G126,,1,8,2,4),"-")</f>
        <v>1.5898628942714016E-2</v>
      </c>
      <c r="AP126" s="649">
        <f t="shared" si="10"/>
        <v>7.0875923329507054E-3</v>
      </c>
      <c r="AQ126" s="391">
        <f t="shared" si="11"/>
        <v>4.1940962637893247</v>
      </c>
      <c r="AR126" s="391">
        <f t="shared" si="12"/>
        <v>2.8364544688695847</v>
      </c>
      <c r="AS126" s="393"/>
      <c r="AT126" s="242">
        <f t="shared" si="13"/>
        <v>2.2671341532162463</v>
      </c>
      <c r="AU126" s="701" t="str">
        <f t="shared" si="8"/>
        <v>EURO12M  30-Jul-40  4.9</v>
      </c>
      <c r="AV126" s="717"/>
      <c r="AW126" s="699"/>
      <c r="AX126" s="699"/>
      <c r="AY126" s="699"/>
      <c r="AZ126" s="699"/>
      <c r="BA126" s="699"/>
      <c r="BB126" s="697"/>
      <c r="BC126" s="711"/>
      <c r="BE126" s="721">
        <f>_xll.xlDateShiftMonth(BE125,1)</f>
        <v>46688</v>
      </c>
      <c r="BF126" s="722">
        <v>1.9527178337293612E-2</v>
      </c>
    </row>
    <row r="127" spans="1:58">
      <c r="A127" s="10"/>
      <c r="B127" s="11"/>
      <c r="C127" s="12"/>
      <c r="D127" s="735">
        <f>MAX(_xll.xlDateSettle("TARGET",$D$4,2),L127)</f>
        <v>43164</v>
      </c>
      <c r="E127" s="733" t="s">
        <v>865</v>
      </c>
      <c r="F127" s="13" t="s">
        <v>1354</v>
      </c>
      <c r="G127" s="35">
        <v>51712</v>
      </c>
      <c r="H127" s="37">
        <v>4.7</v>
      </c>
      <c r="I127" s="11">
        <v>51712</v>
      </c>
      <c r="J127" s="11">
        <v>40084</v>
      </c>
      <c r="K127" s="11">
        <v>40389</v>
      </c>
      <c r="L127" s="11">
        <v>40084</v>
      </c>
      <c r="M127" s="12">
        <v>99.753</v>
      </c>
      <c r="N127" s="12" t="s">
        <v>1430</v>
      </c>
      <c r="O127" s="12" t="s">
        <v>1222</v>
      </c>
      <c r="P127" s="12" t="s">
        <v>1431</v>
      </c>
      <c r="Q127" s="15">
        <v>18802544000</v>
      </c>
      <c r="R127" s="12"/>
      <c r="S127" s="43">
        <f>_xll.BDP(E127&amp;"@cbbt Corp",$S$10)</f>
        <v>142.16499999999999</v>
      </c>
      <c r="T127" s="43">
        <f>_xll.BDP(E127&amp;"@cbbt Corp",$T$10)</f>
        <v>142.63999999999999</v>
      </c>
      <c r="U127" s="25">
        <f t="shared" si="15"/>
        <v>142.40249999999997</v>
      </c>
      <c r="V127" s="12"/>
      <c r="W127" s="25">
        <f t="shared" si="9"/>
        <v>142.40249999999997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2.8071232876712329</v>
      </c>
      <c r="Y127" s="14">
        <v>15.868127570948788</v>
      </c>
      <c r="Z127" s="14">
        <v>-15.507045577720884</v>
      </c>
      <c r="AA127" s="14">
        <v>3.3403424386547709</v>
      </c>
      <c r="AB127" s="14">
        <v>3.1900519186823062</v>
      </c>
      <c r="AC127" s="14">
        <v>22.517740184123625</v>
      </c>
      <c r="AD127" s="34">
        <v>2.3285028172486288E-2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19.573369613866166</v>
      </c>
      <c r="AI127" s="14">
        <v>14.00982517023537</v>
      </c>
      <c r="AJ127" s="14">
        <v>20.34361435296012</v>
      </c>
      <c r="AK127" s="246">
        <v>0.96213825499587868</v>
      </c>
      <c r="AL127" s="213">
        <f>IF(U127&gt;0,_xll.xlBondZSpread(F127,H127,G127,J127,K127,L127,M127,D127,U127,"annual",5)*100,"-")</f>
        <v>81.077510029197313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5" t="str">
        <f>IF($AN$9+(($AL$9-$AM$9))*('DB Basis'!F287/10-'DB Basis'!E287),," ")</f>
        <v xml:space="preserve"> </v>
      </c>
      <c r="AO127" s="648">
        <f>IF(U127&gt;0,_xll.xlShmImplSwap2(curveName,curveName,D127,G127,,1,8,2,4),"-")</f>
        <v>1.5962680132010857E-2</v>
      </c>
      <c r="AP127" s="649">
        <f t="shared" si="10"/>
        <v>7.3223480404754314E-3</v>
      </c>
      <c r="AQ127" s="391">
        <f t="shared" si="11"/>
        <v>2.9880689682156709</v>
      </c>
      <c r="AR127" s="391">
        <f t="shared" si="12"/>
        <v>2.3475570752472601</v>
      </c>
      <c r="AS127" s="393"/>
      <c r="AT127" s="242">
        <f t="shared" si="13"/>
        <v>2.2966055183822096</v>
      </c>
      <c r="AU127" s="701" t="str">
        <f t="shared" si="8"/>
        <v>SPGB  30-Jul-41  4.7</v>
      </c>
      <c r="AV127" s="717"/>
      <c r="AW127" s="699"/>
      <c r="AX127" s="699"/>
      <c r="AY127" s="699"/>
      <c r="AZ127" s="699"/>
      <c r="BA127" s="699"/>
      <c r="BB127" s="697"/>
      <c r="BC127" s="711"/>
      <c r="BE127" s="721">
        <f>_xll.xlDateShiftMonth(BE126,1)</f>
        <v>46719</v>
      </c>
      <c r="BF127" s="722">
        <v>1.9645544520103586E-2</v>
      </c>
    </row>
    <row r="128" spans="1:58">
      <c r="A128" s="17"/>
      <c r="B128" s="16"/>
      <c r="C128" s="18"/>
      <c r="D128" s="735">
        <f>MAX(_xll.xlDateSettle("TARGET",$D$4,2),L128)</f>
        <v>43164</v>
      </c>
      <c r="E128" s="733" t="s">
        <v>866</v>
      </c>
      <c r="F128" s="13" t="s">
        <v>1354</v>
      </c>
      <c r="G128" s="35">
        <v>52901</v>
      </c>
      <c r="H128" s="37">
        <v>5.15</v>
      </c>
      <c r="I128" s="11">
        <v>52901</v>
      </c>
      <c r="J128" s="11">
        <v>41563</v>
      </c>
      <c r="K128" s="11">
        <v>41578</v>
      </c>
      <c r="L128" s="11">
        <v>41563</v>
      </c>
      <c r="M128" s="12">
        <v>99.046000000000006</v>
      </c>
      <c r="N128" s="12" t="s">
        <v>1432</v>
      </c>
      <c r="O128" s="12" t="s">
        <v>1203</v>
      </c>
      <c r="P128" s="12" t="s">
        <v>1433</v>
      </c>
      <c r="Q128" s="15">
        <v>13167409000</v>
      </c>
      <c r="R128" s="12"/>
      <c r="S128" s="43">
        <f>_xll.BDP(E128&amp;"@cbbt Corp",$S$10)</f>
        <v>151.68899999999999</v>
      </c>
      <c r="T128" s="43">
        <f>_xll.BDP(E128&amp;"@cbbt Corp",$T$10)</f>
        <v>152.18700000000001</v>
      </c>
      <c r="U128" s="25">
        <f t="shared" si="15"/>
        <v>151.93799999999999</v>
      </c>
      <c r="V128" s="12"/>
      <c r="W128" s="25">
        <f t="shared" si="9"/>
        <v>151.93799999999999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1.7636986301369864</v>
      </c>
      <c r="Y128" s="14">
        <v>17.105733589142019</v>
      </c>
      <c r="Z128" s="14">
        <v>-16.693858458915699</v>
      </c>
      <c r="AA128" s="14">
        <v>3.9586018443948086</v>
      </c>
      <c r="AB128" s="14">
        <v>3.7702649335838734</v>
      </c>
      <c r="AC128" s="14">
        <v>25.658768556201039</v>
      </c>
      <c r="AD128" s="34">
        <v>2.467225483980906E-2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26.414660082432547</v>
      </c>
      <c r="AI128" s="14">
        <v>14.653928585514578</v>
      </c>
      <c r="AJ128" s="14">
        <v>22.52333715198311</v>
      </c>
      <c r="AK128" s="246">
        <v>1.1727684891537857</v>
      </c>
      <c r="AL128" s="213">
        <f>IF(U128&gt;0,_xll.xlBondZSpread(F128,H128,G128,J128,K128,L128,M128,D128,U128,"annual",5)*100,"-")</f>
        <v>93.970399214987822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5" t="str">
        <f>IF($AN$9+(($AL$9-$AM$9))*('DB Basis'!F288/10-'DB Basis'!E288),," ")</f>
        <v xml:space="preserve"> </v>
      </c>
      <c r="AO128" s="648">
        <f>IF(U128&gt;0,_xll.xlShmImplSwap2(curveName,curveName,D128,G128,,1,8,2,4),"-")</f>
        <v>1.6053605695810231E-2</v>
      </c>
      <c r="AP128" s="649">
        <f t="shared" si="10"/>
        <v>8.6186491439988293E-3</v>
      </c>
      <c r="AQ128" s="391">
        <f t="shared" si="11"/>
        <v>4.2585175237410571</v>
      </c>
      <c r="AR128" s="391">
        <f t="shared" si="12"/>
        <v>3.9793936315058049</v>
      </c>
      <c r="AS128" s="393"/>
      <c r="AT128" s="242">
        <f t="shared" si="13"/>
        <v>2.4334278746113047</v>
      </c>
      <c r="AU128" s="701" t="str">
        <f t="shared" si="8"/>
        <v>SPGB  31-Oct-44  5.15</v>
      </c>
      <c r="AV128" s="717"/>
      <c r="AW128" s="699"/>
      <c r="AX128" s="699"/>
      <c r="AY128" s="699"/>
      <c r="AZ128" s="699"/>
      <c r="BA128" s="699"/>
      <c r="BB128" s="697"/>
      <c r="BC128" s="711"/>
      <c r="BE128" s="721">
        <f>_xll.xlDateShiftMonth(BE127,1)</f>
        <v>46749</v>
      </c>
      <c r="BF128" s="722">
        <v>1.9763113465391075E-2</v>
      </c>
    </row>
    <row r="129" spans="1:58">
      <c r="A129" s="10"/>
      <c r="B129" s="11"/>
      <c r="C129" s="12"/>
      <c r="D129" s="735">
        <f>MAX(_xll.xlDateSettle("TARGET",$D$4,2),L129)</f>
        <v>43164</v>
      </c>
      <c r="E129" s="733" t="s">
        <v>867</v>
      </c>
      <c r="F129" s="13" t="s">
        <v>1354</v>
      </c>
      <c r="G129" s="35">
        <v>53631</v>
      </c>
      <c r="H129" s="37">
        <v>2.9</v>
      </c>
      <c r="I129" s="11">
        <v>53631</v>
      </c>
      <c r="J129" s="11">
        <v>42444</v>
      </c>
      <c r="K129" s="11">
        <v>42674</v>
      </c>
      <c r="L129" s="11">
        <v>42444</v>
      </c>
      <c r="M129" s="12">
        <v>999</v>
      </c>
      <c r="N129" s="12" t="s">
        <v>1434</v>
      </c>
      <c r="O129" s="12" t="s">
        <v>1222</v>
      </c>
      <c r="P129" s="12" t="s">
        <v>1435</v>
      </c>
      <c r="Q129" s="15">
        <v>16281298000</v>
      </c>
      <c r="R129" s="12"/>
      <c r="S129" s="43">
        <f>_xll.BDP(E129&amp;"@cbbt Corp",$S$10)</f>
        <v>106.91200000000001</v>
      </c>
      <c r="T129" s="43">
        <f>_xll.BDP(E129&amp;"@cbbt Corp",$T$10)</f>
        <v>107.361</v>
      </c>
      <c r="U129" s="25">
        <f t="shared" si="15"/>
        <v>107.13650000000001</v>
      </c>
      <c r="V129" s="12"/>
      <c r="W129" s="25">
        <f t="shared" si="9"/>
        <v>107.13650000000001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0.99315068493150671</v>
      </c>
      <c r="Y129" s="14">
        <v>19.998491881688839</v>
      </c>
      <c r="Z129" s="14">
        <v>-19.502033393378049</v>
      </c>
      <c r="AA129" s="14">
        <v>5.1877617808417176</v>
      </c>
      <c r="AB129" s="14">
        <v>4.9333885859959388</v>
      </c>
      <c r="AC129" s="14">
        <v>21.087505631913928</v>
      </c>
      <c r="AD129" s="34">
        <v>2.5456753132101179E-2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23.063605617948458</v>
      </c>
      <c r="AI129" s="14">
        <v>22.015112895115728</v>
      </c>
      <c r="AJ129" s="14">
        <v>23.804864671381953</v>
      </c>
      <c r="AK129" s="246">
        <v>0.96886102636304328</v>
      </c>
      <c r="AL129" s="213">
        <f>IF(U129&gt;0,_xll.xlBondZSpread(F129,H129,G129,J129,K129,L129,M129,D129,U129,"annual",5)*100,"-")</f>
        <v>97.702284591648564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5" t="str">
        <f>IF($AN$9+(($AL$9-$AM$9))*('DB Basis'!F289/10-'DB Basis'!E289),," ")</f>
        <v xml:space="preserve"> </v>
      </c>
      <c r="AO129" s="648">
        <f>IF(U129&gt;0,_xll.xlShmImplSwap2(curveName,curveName,D129,G129,,1,8,2,4),"-")</f>
        <v>1.6069556090789982E-2</v>
      </c>
      <c r="AP129" s="649">
        <f t="shared" si="10"/>
        <v>9.3871970413111974E-3</v>
      </c>
      <c r="AQ129" s="391">
        <f t="shared" si="11"/>
        <v>3.9224914614605964</v>
      </c>
      <c r="AR129" s="391">
        <f t="shared" si="12"/>
        <v>3.8427394865618405</v>
      </c>
      <c r="AS129" s="393"/>
      <c r="AT129" s="242">
        <f t="shared" si="13"/>
        <v>2.5108030486455957</v>
      </c>
      <c r="AU129" s="701" t="str">
        <f t="shared" si="8"/>
        <v>SPGB  31-Oct-46  2.9</v>
      </c>
      <c r="AV129" s="717"/>
      <c r="AW129" s="699"/>
      <c r="AX129" s="699"/>
      <c r="AY129" s="699"/>
      <c r="AZ129" s="699"/>
      <c r="BA129" s="699"/>
      <c r="BB129" s="697"/>
      <c r="BC129" s="711"/>
      <c r="BE129" s="721">
        <f>_xll.xlDateShiftMonth(BE128,1)</f>
        <v>46780</v>
      </c>
      <c r="BF129" s="722">
        <v>1.9887314884839198E-2</v>
      </c>
    </row>
    <row r="130" spans="1:58">
      <c r="A130" s="17"/>
      <c r="B130" s="16"/>
      <c r="C130" s="18"/>
      <c r="D130" s="735">
        <f>MAX(_xll.xlDateSettle("TARGET",$D$4,2),L130)</f>
        <v>43164</v>
      </c>
      <c r="E130" s="733" t="s">
        <v>2042</v>
      </c>
      <c r="F130" s="13" t="s">
        <v>1354</v>
      </c>
      <c r="G130" s="35">
        <v>54362</v>
      </c>
      <c r="H130" s="37">
        <v>2.7</v>
      </c>
      <c r="I130" s="11">
        <v>54362</v>
      </c>
      <c r="J130" s="11">
        <v>43158</v>
      </c>
      <c r="K130" s="11">
        <v>43404</v>
      </c>
      <c r="L130" s="11">
        <v>43158</v>
      </c>
      <c r="M130" s="12">
        <v>999</v>
      </c>
      <c r="N130" s="12" t="s">
        <v>2043</v>
      </c>
      <c r="O130" s="12" t="s">
        <v>1203</v>
      </c>
      <c r="P130" s="12" t="s">
        <v>2044</v>
      </c>
      <c r="Q130" s="15">
        <v>6000000000</v>
      </c>
      <c r="R130" s="12"/>
      <c r="S130" s="43">
        <f>_xll.BDP(E130&amp;"@cbbt Corp",$S$10)</f>
        <v>101.193</v>
      </c>
      <c r="T130" s="43">
        <f>_xll.BDP(E130&amp;"@cbbt Corp",$T$10)</f>
        <v>101.696</v>
      </c>
      <c r="U130" s="25">
        <f t="shared" si="15"/>
        <v>101.44450000000001</v>
      </c>
      <c r="V130" s="12"/>
      <c r="W130" s="25">
        <f t="shared" si="9"/>
        <v>101.44450000000001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4.4383561643835612E-2</v>
      </c>
      <c r="Y130" s="14">
        <v>21.295313544768593</v>
      </c>
      <c r="Z130" s="14">
        <v>-20.749454913729668</v>
      </c>
      <c r="AA130" s="14">
        <v>5.8722997207031629</v>
      </c>
      <c r="AB130" s="14">
        <v>5.5751110270945894</v>
      </c>
      <c r="AC130" s="14">
        <v>21.058418088778552</v>
      </c>
      <c r="AD130" s="34">
        <v>2.6307131114501621E-2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25.405813450057241</v>
      </c>
      <c r="AI130" s="14">
        <v>24.68344337619148</v>
      </c>
      <c r="AJ130" s="14">
        <v>25.050951107067263</v>
      </c>
      <c r="AK130" s="246">
        <v>1.0141656235515091</v>
      </c>
      <c r="AL130" s="213">
        <f>IF(U130&gt;0,_xll.xlBondZSpread(F130,H130,G130,J130,K130,L130,M130,D130,U130,"annual",5)*100,"-")</f>
        <v>105.68968414872771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5" t="str">
        <f>IF($AN$9+(($AL$9-$AM$9))*('DB Basis'!F290/10-'DB Basis'!E290),," ")</f>
        <v xml:space="preserve"> </v>
      </c>
      <c r="AO130" s="648">
        <f>IF(U130&gt;0,_xll.xlShmImplSwap2(curveName,curveName,D130,G130,,1,8,2,4),"-")</f>
        <v>1.6070326289274527E-2</v>
      </c>
      <c r="AP130" s="649">
        <f t="shared" si="10"/>
        <v>1.0236804825227094E-2</v>
      </c>
      <c r="AQ130" s="391">
        <f t="shared" si="11"/>
        <v>4.2460733731349007</v>
      </c>
      <c r="AR130" s="391">
        <f t="shared" si="12"/>
        <v>4.2422276488276625</v>
      </c>
      <c r="AS130" s="393"/>
      <c r="AT130" s="242">
        <f t="shared" si="13"/>
        <v>2.594675945539886</v>
      </c>
      <c r="AU130" s="701" t="str">
        <f t="shared" si="8"/>
        <v>SPGB  31-Oct-48  2.7</v>
      </c>
      <c r="AV130" s="717"/>
      <c r="AW130" s="699"/>
      <c r="AX130" s="699"/>
      <c r="AY130" s="699"/>
      <c r="AZ130" s="699"/>
      <c r="BA130" s="699"/>
      <c r="BB130" s="698"/>
      <c r="BC130" s="711"/>
      <c r="BE130" s="721">
        <f>_xll.xlDateShiftMonth(BE129,1)</f>
        <v>46811</v>
      </c>
      <c r="BF130" s="722">
        <v>2.0013866748692988E-2</v>
      </c>
    </row>
    <row r="131" spans="1:58" hidden="1">
      <c r="A131" s="10"/>
      <c r="B131" s="11"/>
      <c r="C131" s="12"/>
      <c r="D131" s="735">
        <f>MAX(_xll.xlDateSettle("TARGET",$D$4,2),L131)</f>
        <v>43164</v>
      </c>
      <c r="E131" s="733" t="s">
        <v>1660</v>
      </c>
      <c r="F131" s="13" t="s">
        <v>1354</v>
      </c>
      <c r="G131" s="35">
        <v>60843</v>
      </c>
      <c r="H131" s="37">
        <v>3.45</v>
      </c>
      <c r="I131" s="11">
        <v>60843</v>
      </c>
      <c r="J131" s="11">
        <v>42508</v>
      </c>
      <c r="K131" s="11">
        <v>42581</v>
      </c>
      <c r="L131" s="11">
        <v>42508</v>
      </c>
      <c r="M131" s="12">
        <v>999</v>
      </c>
      <c r="N131" s="12" t="s">
        <v>1436</v>
      </c>
      <c r="O131" s="12" t="s">
        <v>1222</v>
      </c>
      <c r="P131" s="12" t="s">
        <v>1437</v>
      </c>
      <c r="Q131" s="15">
        <v>7584579000</v>
      </c>
      <c r="R131" s="12"/>
      <c r="S131" s="43">
        <f>_xll.BDP(E131&amp;"@cbbt Corp",$S$10)</f>
        <v>115.182</v>
      </c>
      <c r="T131" s="43">
        <f>_xll.BDP(E131&amp;"@cbbt Corp",$T$10)</f>
        <v>115.919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46" t="str">
        <v>Invalid price</v>
      </c>
      <c r="AL131" s="213"/>
      <c r="AM131" s="266"/>
      <c r="AN131" s="275" t="str">
        <f>IF($AN$9+(($AL$9-$AM$9))*('DB Basis'!F291/10-'DB Basis'!E291),," ")</f>
        <v xml:space="preserve"> </v>
      </c>
      <c r="AO131" s="648"/>
      <c r="AP131" s="649"/>
      <c r="AQ131" s="391"/>
      <c r="AR131" s="391"/>
      <c r="AS131" s="393"/>
      <c r="AT131" s="242" t="str">
        <f t="shared" si="13"/>
        <v>-</v>
      </c>
      <c r="AU131" s="701" t="str">
        <f t="shared" si="8"/>
        <v>SPGB  30-Jul-66  3.45</v>
      </c>
      <c r="AV131" s="717"/>
      <c r="AW131" s="699"/>
      <c r="AX131" s="699"/>
      <c r="AY131" s="699"/>
      <c r="AZ131" s="699"/>
      <c r="BA131" s="699"/>
      <c r="BB131" s="698"/>
      <c r="BC131" s="711"/>
      <c r="BE131" s="721">
        <f>_xll.xlDateShiftMonth(BE130,1)</f>
        <v>46840</v>
      </c>
      <c r="BF131" s="722">
        <v>2.0134016903621488E-2</v>
      </c>
    </row>
    <row r="132" spans="1:58">
      <c r="A132" s="17"/>
      <c r="B132" s="16"/>
      <c r="C132" s="18"/>
      <c r="D132" s="735">
        <f>MAX(_xll.xlDateSettle("TARGET",$D$4,2),L132)</f>
        <v>43164</v>
      </c>
      <c r="E132" s="733" t="s">
        <v>814</v>
      </c>
      <c r="F132" s="13" t="s">
        <v>1438</v>
      </c>
      <c r="G132" s="35">
        <v>43175</v>
      </c>
      <c r="H132" s="37">
        <v>0</v>
      </c>
      <c r="I132" s="11">
        <v>43175</v>
      </c>
      <c r="J132" s="11">
        <v>42412</v>
      </c>
      <c r="K132" s="11">
        <v>42810</v>
      </c>
      <c r="L132" s="11">
        <v>42412</v>
      </c>
      <c r="M132" s="12">
        <v>101.062</v>
      </c>
      <c r="N132" s="12" t="s">
        <v>1439</v>
      </c>
      <c r="O132" s="12" t="s">
        <v>1203</v>
      </c>
      <c r="P132" s="12" t="s">
        <v>1440</v>
      </c>
      <c r="Q132" s="15">
        <v>13000000000</v>
      </c>
      <c r="R132" s="12"/>
      <c r="S132" s="43">
        <f>_xll.BDP(E132&amp;"@cbbt Corp",$S$10)</f>
        <v>99.968000000000004</v>
      </c>
      <c r="T132" s="43">
        <f>_xll.BDP(E132&amp;"@cbbt Corp",$T$10)</f>
        <v>100.072</v>
      </c>
      <c r="U132" s="25">
        <f t="shared" si="15"/>
        <v>100.02000000000001</v>
      </c>
      <c r="V132" s="12"/>
      <c r="W132" s="25">
        <f t="shared" si="9"/>
        <v>100.02000000000001</v>
      </c>
      <c r="X132" s="14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0</v>
      </c>
      <c r="Y132" s="14">
        <v>3.0561666666666664E-2</v>
      </c>
      <c r="Z132" s="14">
        <v>-3.0567779E-2</v>
      </c>
      <c r="AA132" s="14">
        <v>1.867657407407407E-5</v>
      </c>
      <c r="AB132" s="14">
        <v>1.8684045450766668E-5</v>
      </c>
      <c r="AC132" s="14">
        <v>3.0567778999568418E-2</v>
      </c>
      <c r="AD132" s="34">
        <v>-6.5441457163142114E-3</v>
      </c>
      <c r="AE132" s="12"/>
      <c r="AF132" s="12"/>
      <c r="AG132" s="12"/>
      <c r="AH132" s="14">
        <f t="array" ref="AH132:AK132">_xll.xlBondLiborSpread(F132,H132,I132,J132,K132,L132,M132,D132,D132,W132,1,$AH$10&amp;$AI$10&amp;$AJ$10&amp;$AK$10)</f>
        <v>-8.3878859360027036E-3</v>
      </c>
      <c r="AI132" s="14">
        <v>3.0554283270530721E-2</v>
      </c>
      <c r="AJ132" s="14">
        <v>3.0560394127184833E-2</v>
      </c>
      <c r="AK132" s="246">
        <v>-0.27446916754719813</v>
      </c>
      <c r="AL132" s="213">
        <f>IF(U132&gt;0,_xll.xlBondZSpread(F132,H132,G132,J132,K132,L132,M132,D132,U132,"annual",5)*100,"-")</f>
        <v>-27.681413650260584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5" t="str">
        <f>IF($AN$9+(($AL$9-$AM$9))*('DB Basis'!F292/10-'DB Basis'!E292),," ")</f>
        <v xml:space="preserve"> </v>
      </c>
      <c r="AO132" s="648">
        <f>IF(U132&gt;0,_xll.xlShmImplSwap2(curveName,curveName,D132,G132,,1,8,2,4),"-")</f>
        <v>-3.8000028694168912E-3</v>
      </c>
      <c r="AP132" s="649">
        <f t="shared" si="10"/>
        <v>-2.7441428468973203E-3</v>
      </c>
      <c r="AQ132" s="391" t="str">
        <f t="shared" si="11"/>
        <v>-</v>
      </c>
      <c r="AR132" s="391">
        <f t="shared" si="12"/>
        <v>0.56690748195467622</v>
      </c>
      <c r="AS132" s="393"/>
      <c r="AT132" s="242">
        <f t="shared" si="13"/>
        <v>-0.64544998845838797</v>
      </c>
      <c r="AU132" s="701" t="str">
        <f t="shared" si="8"/>
        <v>BUND  16-Mar-18  0</v>
      </c>
      <c r="AV132" s="717"/>
      <c r="AW132" s="699"/>
      <c r="AX132" s="699"/>
      <c r="AY132" s="699"/>
      <c r="AZ132" s="699"/>
      <c r="BA132" s="699"/>
      <c r="BB132" s="698"/>
      <c r="BC132" s="711"/>
      <c r="BE132" s="721">
        <f>_xll.xlDateShiftMonth(BE131,1)</f>
        <v>46871</v>
      </c>
      <c r="BF132" s="722">
        <v>2.0263947669824842E-2</v>
      </c>
    </row>
    <row r="133" spans="1:58">
      <c r="A133" s="10"/>
      <c r="B133" s="11"/>
      <c r="C133" s="12"/>
      <c r="D133" s="735">
        <f>MAX(_xll.xlDateSettle("TARGET",$D$4,2),L133)</f>
        <v>43164</v>
      </c>
      <c r="E133" s="733" t="s">
        <v>655</v>
      </c>
      <c r="F133" s="13" t="s">
        <v>1438</v>
      </c>
      <c r="G133" s="35">
        <v>43203</v>
      </c>
      <c r="H133" s="37">
        <v>0.25</v>
      </c>
      <c r="I133" s="11">
        <v>43203</v>
      </c>
      <c r="J133" s="11">
        <v>41377</v>
      </c>
      <c r="K133" s="11">
        <v>41742</v>
      </c>
      <c r="L133" s="11">
        <v>41404</v>
      </c>
      <c r="M133" s="12">
        <v>99.38</v>
      </c>
      <c r="N133" s="12" t="s">
        <v>621</v>
      </c>
      <c r="O133" s="12" t="s">
        <v>1203</v>
      </c>
      <c r="P133" s="12" t="s">
        <v>1441</v>
      </c>
      <c r="Q133" s="15">
        <v>17000000000</v>
      </c>
      <c r="R133" s="12"/>
      <c r="S133" s="43">
        <f>_xll.BDP(E133&amp;"@cbbt Corp",$S$10)</f>
        <v>100.051</v>
      </c>
      <c r="T133" s="43">
        <f>_xll.BDP(E133&amp;"@cbbt Corp",$T$10)</f>
        <v>100.15600000000001</v>
      </c>
      <c r="U133" s="25">
        <f t="shared" si="15"/>
        <v>100.1035</v>
      </c>
      <c r="V133" s="12"/>
      <c r="W133" s="25">
        <f t="shared" si="9"/>
        <v>100.1035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0.22328767123287671</v>
      </c>
      <c r="Y133" s="14">
        <v>0.10693118817613409</v>
      </c>
      <c r="Z133" s="14">
        <v>-0.10701312401890581</v>
      </c>
      <c r="AA133" s="14">
        <v>2.2851048432160161E-4</v>
      </c>
      <c r="AB133" s="14">
        <v>2.2886081003563183E-4</v>
      </c>
      <c r="AC133" s="14">
        <v>0.10728059546210034</v>
      </c>
      <c r="AD133" s="1004">
        <v>-7.1631322849775476E-3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-3.742577774464273E-2</v>
      </c>
      <c r="AI133" s="14">
        <v>0.10802742646846353</v>
      </c>
      <c r="AJ133" s="14">
        <v>0.10838044677971263</v>
      </c>
      <c r="AK133" s="246">
        <v>-0.34531854090538877</v>
      </c>
      <c r="AL133" s="213">
        <f>IF(U133&gt;0,_xll.xlBondZSpread(F133,H133,G133,J133,K133,L133,M133,D133,U133,"annual",5)*100,"-")</f>
        <v>-34.728914588373314</v>
      </c>
      <c r="AM133" s="266">
        <f>(-IF($AL$9="",VLOOKUP(VLOOKUP(E133,'DB Basis'!$D$2:$H$65205,4,0),Bonds!$AR$1:$AS$6,2,0),$AL$9)*VLOOKUP(E133,'DB Basis'!$D$2:$E$65205,2,0))+IF(V133="",W133,V133)</f>
        <v>81.179302499999991</v>
      </c>
      <c r="AN133" s="275" t="str">
        <f>IF($AN$9+(($AL$9-$AM$9))*('DB Basis'!F293/10-'DB Basis'!E293),," ")</f>
        <v xml:space="preserve"> </v>
      </c>
      <c r="AO133" s="648">
        <f>IF(U133&gt;0,_xll.xlShmImplSwap2(curveName,curveName,D133,G133,,1,8,2,4),"-")</f>
        <v>-3.7184114656920847E-3</v>
      </c>
      <c r="AP133" s="649">
        <f t="shared" si="10"/>
        <v>-3.4447208192854629E-3</v>
      </c>
      <c r="AQ133" s="391">
        <f t="shared" si="11"/>
        <v>-80.689320557899194</v>
      </c>
      <c r="AR133" s="391">
        <f t="shared" si="12"/>
        <v>-91.325342829168591</v>
      </c>
      <c r="AS133" s="393"/>
      <c r="AT133" s="242">
        <f t="shared" si="13"/>
        <v>-0.70650071851833351</v>
      </c>
      <c r="AU133" s="701" t="str">
        <f t="shared" si="8"/>
        <v>BUND  13-Apr-18  0.25</v>
      </c>
      <c r="AV133" s="717"/>
      <c r="AW133" s="699"/>
      <c r="AX133" s="699"/>
      <c r="AY133" s="699"/>
      <c r="AZ133" s="699"/>
      <c r="BA133" s="699"/>
      <c r="BB133" s="698"/>
      <c r="BC133" s="711"/>
      <c r="BE133" s="721">
        <f>_xll.xlDateShiftMonth(BE132,1)</f>
        <v>46901</v>
      </c>
      <c r="BF133" s="722">
        <v>2.0390777806606083E-2</v>
      </c>
    </row>
    <row r="134" spans="1:58">
      <c r="A134" s="17"/>
      <c r="B134" s="16"/>
      <c r="C134" s="18"/>
      <c r="D134" s="735">
        <f>MAX(_xll.xlDateSettle("TARGET",$D$4,2),L134)</f>
        <v>43164</v>
      </c>
      <c r="E134" s="733" t="s">
        <v>876</v>
      </c>
      <c r="F134" s="13" t="s">
        <v>1438</v>
      </c>
      <c r="G134" s="35">
        <v>43266</v>
      </c>
      <c r="H134" s="37">
        <v>0</v>
      </c>
      <c r="I134" s="11">
        <v>43266</v>
      </c>
      <c r="J134" s="11">
        <v>42503</v>
      </c>
      <c r="K134" s="11">
        <v>42901</v>
      </c>
      <c r="L134" s="11">
        <v>42503</v>
      </c>
      <c r="M134" s="12">
        <v>101.08499999999999</v>
      </c>
      <c r="N134" s="12" t="s">
        <v>1442</v>
      </c>
      <c r="O134" s="12" t="s">
        <v>1203</v>
      </c>
      <c r="P134" s="12" t="s">
        <v>1443</v>
      </c>
      <c r="Q134" s="15">
        <v>14000000000</v>
      </c>
      <c r="R134" s="12"/>
      <c r="S134" s="43">
        <f>_xll.BDP(E134&amp;"@cbbt Corp",$S$10)</f>
        <v>100.136</v>
      </c>
      <c r="T134" s="43">
        <f>_xll.BDP(E134&amp;"@cbbt Corp",$T$10)</f>
        <v>100.22199999999999</v>
      </c>
      <c r="U134" s="25">
        <f t="shared" si="15"/>
        <v>100.179</v>
      </c>
      <c r="V134" s="12"/>
      <c r="W134" s="25">
        <f t="shared" si="9"/>
        <v>100.179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0</v>
      </c>
      <c r="Y134" s="14">
        <v>0.2838405</v>
      </c>
      <c r="Z134" s="14">
        <v>-0.28434857449500001</v>
      </c>
      <c r="AA134" s="14">
        <v>1.6084295000000001E-3</v>
      </c>
      <c r="AB134" s="14">
        <v>1.6141928311789613E-3</v>
      </c>
      <c r="AC134" s="14">
        <v>0.28434857472277031</v>
      </c>
      <c r="AD134" s="34">
        <v>-6.3063586767922947E-3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-8.7311458009693865E-2</v>
      </c>
      <c r="AI134" s="14">
        <v>0.28309835626494712</v>
      </c>
      <c r="AJ134" s="14">
        <v>0.2836051023226614</v>
      </c>
      <c r="AK134" s="246">
        <v>-0.3078627898251225</v>
      </c>
      <c r="AL134" s="213">
        <f>IF(U134&gt;0,_xll.xlBondZSpread(F134,H134,G134,J134,K134,L134,M134,D134,U134,"annual",5)*100,"-")</f>
        <v>-31.049639668706746</v>
      </c>
      <c r="AM134" s="266">
        <f>(-IF($AL$9="",VLOOKUP(VLOOKUP(E134,'DB Basis'!$D$2:$H$65205,4,0),Bonds!$AR$1:$AS$6,2,0),$AL$9)*VLOOKUP(E134,'DB Basis'!$D$2:$E$65205,2,0))+IF(V134="",W134,V134)</f>
        <v>72.856490000000008</v>
      </c>
      <c r="AN134" s="275" t="str">
        <f>IF($AN$9+(($AL$9-$AM$9))*('DB Basis'!F294/10-'DB Basis'!E294),," ")</f>
        <v xml:space="preserve"> </v>
      </c>
      <c r="AO134" s="648">
        <f>IF(U134&gt;0,_xll.xlShmImplSwap2(curveName,curveName,D134,G134,,1,8,2,4),"-")</f>
        <v>-3.2978963093895251E-3</v>
      </c>
      <c r="AP134" s="649">
        <f t="shared" si="10"/>
        <v>-3.0084623674027696E-3</v>
      </c>
      <c r="AQ134" s="391">
        <f t="shared" si="11"/>
        <v>49.638470950415453</v>
      </c>
      <c r="AR134" s="391">
        <f t="shared" si="12"/>
        <v>25.275291259870325</v>
      </c>
      <c r="AS134" s="393"/>
      <c r="AT134" s="242">
        <f t="shared" si="13"/>
        <v>-0.62199702017677427</v>
      </c>
      <c r="AU134" s="701" t="str">
        <f t="shared" si="8"/>
        <v>BUND  15-Jun-18  0</v>
      </c>
      <c r="AV134" s="717"/>
      <c r="AW134" s="699"/>
      <c r="AX134" s="699"/>
      <c r="AY134" s="699"/>
      <c r="AZ134" s="699"/>
      <c r="BA134" s="699"/>
      <c r="BB134" s="698"/>
      <c r="BC134" s="711"/>
      <c r="BE134" s="721">
        <f>_xll.xlDateShiftMonth(BE133,1)</f>
        <v>46932</v>
      </c>
      <c r="BF134" s="722">
        <v>2.052256168111161E-2</v>
      </c>
    </row>
    <row r="135" spans="1:58">
      <c r="A135" s="10"/>
      <c r="B135" s="11"/>
      <c r="C135" s="12"/>
      <c r="D135" s="735">
        <f>MAX(_xll.xlDateSettle("TARGET",$D$4,2),L135)</f>
        <v>43164</v>
      </c>
      <c r="E135" s="733" t="s">
        <v>656</v>
      </c>
      <c r="F135" s="13" t="s">
        <v>1438</v>
      </c>
      <c r="G135" s="35">
        <v>43285</v>
      </c>
      <c r="H135" s="37">
        <v>4.25</v>
      </c>
      <c r="I135" s="11">
        <v>43285</v>
      </c>
      <c r="J135" s="11">
        <v>39598</v>
      </c>
      <c r="K135" s="11">
        <v>39998</v>
      </c>
      <c r="L135" s="11">
        <v>39598</v>
      </c>
      <c r="M135" s="12">
        <v>99.09</v>
      </c>
      <c r="N135" s="12" t="s">
        <v>1444</v>
      </c>
      <c r="O135" s="12" t="s">
        <v>1203</v>
      </c>
      <c r="P135" s="12" t="s">
        <v>1445</v>
      </c>
      <c r="Q135" s="15">
        <v>21000000000</v>
      </c>
      <c r="R135" s="12"/>
      <c r="S135" s="43">
        <f>_xll.BDP(E135&amp;"@cbbt Corp",$S$10)</f>
        <v>101.593</v>
      </c>
      <c r="T135" s="43">
        <f>_xll.BDP(E135&amp;"@cbbt Corp",$T$10)</f>
        <v>101.688</v>
      </c>
      <c r="U135" s="25">
        <f t="shared" si="15"/>
        <v>101.6405</v>
      </c>
      <c r="V135" s="12"/>
      <c r="W135" s="25">
        <f t="shared" si="9"/>
        <v>101.6405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2.8410958904109589</v>
      </c>
      <c r="Y135" s="14">
        <v>0.33224348956692829</v>
      </c>
      <c r="Z135" s="14">
        <v>-0.33298176670460738</v>
      </c>
      <c r="AA135" s="14">
        <v>2.2028198486355247E-3</v>
      </c>
      <c r="AB135" s="14">
        <v>2.2126204826419913E-3</v>
      </c>
      <c r="AC135" s="14">
        <v>0.34713310972520617</v>
      </c>
      <c r="AD135" s="34">
        <v>-6.6864990093650142E-3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-0.12263142115286074</v>
      </c>
      <c r="AI135" s="14">
        <v>0.32204393758285416</v>
      </c>
      <c r="AJ135" s="14">
        <v>0.33647664545488493</v>
      </c>
      <c r="AK135" s="246">
        <v>-0.36445745287038894</v>
      </c>
      <c r="AL135" s="213">
        <f>IF(U135&gt;0,_xll.xlBondZSpread(F135,H135,G135,J135,K135,L135,M135,D135,U135,"annual",5)*100,"-")</f>
        <v>-35.250756367869705</v>
      </c>
      <c r="AM135" s="266">
        <f>(-IF($AL$9="",VLOOKUP(VLOOKUP(E135,'DB Basis'!$D$2:$H$65205,4,0),Bonds!$AR$1:$AS$6,2,0),$AL$9)*VLOOKUP(E135,'DB Basis'!$D$2:$E$65205,2,0))+IF(V135="",W135,V135)</f>
        <v>70.510755000000003</v>
      </c>
      <c r="AN135" s="275" t="str">
        <f>IF($AN$9+(($AL$9-$AM$9))*('DB Basis'!F295/10-'DB Basis'!E295),," ")</f>
        <v xml:space="preserve"> </v>
      </c>
      <c r="AO135" s="648">
        <f>IF(U135&gt;0,_xll.xlShmImplSwap2(curveName,curveName,D135,G135,,1,8,2,4),"-")</f>
        <v>-3.1521008403364646E-3</v>
      </c>
      <c r="AP135" s="649">
        <f t="shared" si="10"/>
        <v>-3.5343981690285496E-3</v>
      </c>
      <c r="AQ135" s="391">
        <f t="shared" si="11"/>
        <v>-73.026958625811915</v>
      </c>
      <c r="AR135" s="391">
        <f t="shared" si="12"/>
        <v>-101.03503557547879</v>
      </c>
      <c r="AS135" s="393"/>
      <c r="AT135" s="242">
        <f t="shared" si="13"/>
        <v>-0.65949031325243967</v>
      </c>
      <c r="AU135" s="701" t="str">
        <f t="shared" si="8"/>
        <v>BUND  04-Jul-18  4.25</v>
      </c>
      <c r="AV135" s="717"/>
      <c r="AW135" s="699"/>
      <c r="AX135" s="699"/>
      <c r="AY135" s="699"/>
      <c r="AZ135" s="699"/>
      <c r="BA135" s="699"/>
      <c r="BB135" s="698"/>
      <c r="BC135" s="711"/>
      <c r="BE135" s="721">
        <f>_xll.xlDateShiftMonth(BE134,1)</f>
        <v>46962</v>
      </c>
      <c r="BF135" s="722">
        <v>2.065041328510386E-2</v>
      </c>
    </row>
    <row r="136" spans="1:58">
      <c r="A136" s="17"/>
      <c r="B136" s="16"/>
      <c r="C136" s="18"/>
      <c r="D136" s="735">
        <f>MAX(_xll.xlDateSettle("TARGET",$D$4,2),L136)</f>
        <v>43164</v>
      </c>
      <c r="E136" s="733" t="s">
        <v>903</v>
      </c>
      <c r="F136" s="13" t="s">
        <v>1438</v>
      </c>
      <c r="G136" s="35">
        <v>43357</v>
      </c>
      <c r="H136" s="37">
        <v>0</v>
      </c>
      <c r="I136" s="11">
        <v>43357</v>
      </c>
      <c r="J136" s="11">
        <v>42587</v>
      </c>
      <c r="K136" s="11">
        <v>42992</v>
      </c>
      <c r="L136" s="11">
        <v>42587</v>
      </c>
      <c r="M136" s="12">
        <v>101.27800000000001</v>
      </c>
      <c r="N136" s="12" t="s">
        <v>1446</v>
      </c>
      <c r="O136" s="12" t="s">
        <v>1203</v>
      </c>
      <c r="P136" s="12" t="s">
        <v>1447</v>
      </c>
      <c r="Q136" s="15">
        <v>13000000000</v>
      </c>
      <c r="R136" s="12"/>
      <c r="S136" s="43">
        <f>_xll.BDP(E136&amp;"@cbbt Corp",$S$10)</f>
        <v>100.298</v>
      </c>
      <c r="T136" s="43">
        <f>_xll.BDP(E136&amp;"@cbbt Corp",$T$10)</f>
        <v>100.393</v>
      </c>
      <c r="U136" s="25">
        <f t="shared" si="15"/>
        <v>100.3455</v>
      </c>
      <c r="V136" s="12"/>
      <c r="W136" s="25">
        <f t="shared" si="9"/>
        <v>100.3455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0</v>
      </c>
      <c r="Y136" s="14">
        <v>0.53796337499999991</v>
      </c>
      <c r="Z136" s="14">
        <v>-0.53982203846062493</v>
      </c>
      <c r="AA136" s="14">
        <v>5.7681628541666665E-3</v>
      </c>
      <c r="AB136" s="14">
        <v>5.8080897141931532E-3</v>
      </c>
      <c r="AC136" s="14">
        <v>0.5398220400238074</v>
      </c>
      <c r="AD136" s="34">
        <v>-6.4223702961192352E-3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-0.20377496407866147</v>
      </c>
      <c r="AI136" s="14">
        <v>0.53501210316809444</v>
      </c>
      <c r="AJ136" s="14">
        <v>0.53686056998454024</v>
      </c>
      <c r="AK136" s="246">
        <v>-0.3795677601812506</v>
      </c>
      <c r="AL136" s="213">
        <f>IF(U136&gt;0,_xll.xlBondZSpread(F136,H136,G136,J136,K136,L136,M136,D136,U136,"annual",5)*100,"-")</f>
        <v>-38.266054733935754</v>
      </c>
      <c r="AM136" s="266">
        <f>(-IF($AL$9="",VLOOKUP(VLOOKUP(E136,'DB Basis'!$D$2:$H$65205,4,0),Bonds!$AR$1:$AS$6,2,0),$AL$9)*VLOOKUP(E136,'DB Basis'!$D$2:$E$65205,2,0))+IF(V136="",W136,V136)</f>
        <v>60.817442499999999</v>
      </c>
      <c r="AN136" s="275" t="str">
        <f>IF($AN$9+(($AL$9-$AM$9))*('DB Basis'!F296/10-'DB Basis'!E296),," ")</f>
        <v xml:space="preserve"> </v>
      </c>
      <c r="AO136" s="648">
        <f>IF(U136&gt;0,_xll.xlShmImplSwap2(curveName,curveName,D136,G136,,1,8,2,4),"-")</f>
        <v>-2.6958674239213926E-3</v>
      </c>
      <c r="AP136" s="649">
        <f t="shared" si="10"/>
        <v>-3.7265028721978426E-3</v>
      </c>
      <c r="AQ136" s="391">
        <f t="shared" si="11"/>
        <v>13.389858379820744</v>
      </c>
      <c r="AR136" s="391">
        <f t="shared" si="12"/>
        <v>-9.7386412023322126</v>
      </c>
      <c r="AS136" s="393"/>
      <c r="AT136" s="242">
        <f t="shared" si="13"/>
        <v>-0.63343926208299306</v>
      </c>
      <c r="AU136" s="701" t="str">
        <f t="shared" si="8"/>
        <v>BUND  14-Sep-18  0</v>
      </c>
      <c r="AV136" s="717"/>
      <c r="AW136" s="699"/>
      <c r="AX136" s="699"/>
      <c r="AY136" s="699"/>
      <c r="AZ136" s="699"/>
      <c r="BA136" s="699"/>
      <c r="BB136" s="698"/>
      <c r="BC136" s="711"/>
      <c r="BE136" s="721">
        <f>_xll.xlDateShiftMonth(BE135,1)</f>
        <v>46993</v>
      </c>
      <c r="BF136" s="722">
        <v>2.0782455083543299E-2</v>
      </c>
    </row>
    <row r="137" spans="1:58">
      <c r="A137" s="10"/>
      <c r="B137" s="11"/>
      <c r="C137" s="12"/>
      <c r="D137" s="735">
        <f>MAX(_xll.xlDateSettle("TARGET",$D$4,2),L137)</f>
        <v>43164</v>
      </c>
      <c r="E137" s="733" t="s">
        <v>657</v>
      </c>
      <c r="F137" s="13" t="s">
        <v>1438</v>
      </c>
      <c r="G137" s="35">
        <v>43385</v>
      </c>
      <c r="H137" s="37">
        <v>1</v>
      </c>
      <c r="I137" s="11">
        <v>43385</v>
      </c>
      <c r="J137" s="11">
        <v>41523</v>
      </c>
      <c r="K137" s="11">
        <v>41924</v>
      </c>
      <c r="L137" s="11">
        <v>41523</v>
      </c>
      <c r="M137" s="12">
        <v>99.98</v>
      </c>
      <c r="N137" s="12" t="s">
        <v>621</v>
      </c>
      <c r="O137" s="12" t="s">
        <v>1203</v>
      </c>
      <c r="P137" s="12" t="s">
        <v>1448</v>
      </c>
      <c r="Q137" s="15">
        <v>17000000000</v>
      </c>
      <c r="R137" s="12"/>
      <c r="S137" s="43">
        <f>_xll.BDP(E137&amp;"@cbbt Corp",$S$10)</f>
        <v>100.982</v>
      </c>
      <c r="T137" s="43">
        <f>_xll.BDP(E137&amp;"@cbbt Corp",$T$10)</f>
        <v>101.078</v>
      </c>
      <c r="U137" s="25">
        <f t="shared" si="15"/>
        <v>101.03</v>
      </c>
      <c r="V137" s="12"/>
      <c r="W137" s="25">
        <f t="shared" si="9"/>
        <v>101.03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0.39452054794520547</v>
      </c>
      <c r="Y137" s="14">
        <v>0.60802454828502517</v>
      </c>
      <c r="Z137" s="14">
        <v>-0.61058034267321826</v>
      </c>
      <c r="AA137" s="14">
        <v>7.3629274066296189E-3</v>
      </c>
      <c r="AB137" s="14">
        <v>7.4249567409119871E-3</v>
      </c>
      <c r="AC137" s="14">
        <v>0.61668582337048861</v>
      </c>
      <c r="AD137" s="34">
        <v>-6.9128392493369873E-3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-0.26104161925803926</v>
      </c>
      <c r="AI137" s="14">
        <v>0.6061435416463663</v>
      </c>
      <c r="AJ137" s="14">
        <v>0.61477818094716163</v>
      </c>
      <c r="AK137" s="246">
        <v>-0.42461106680113803</v>
      </c>
      <c r="AL137" s="213">
        <f>IF(U137&gt;0,_xll.xlBondZSpread(F137,H137,G137,J137,K137,L137,M137,D137,U137,"annual",5)*100,"-")</f>
        <v>-42.356934725970881</v>
      </c>
      <c r="AM137" s="266">
        <f>(-IF($AL$9="",VLOOKUP(VLOOKUP(E137,'DB Basis'!$D$2:$H$65205,4,0),Bonds!$AR$1:$AS$6,2,0),$AL$9)*VLOOKUP(E137,'DB Basis'!$D$2:$E$65205,2,0))+IF(V137="",W137,V137)</f>
        <v>57.2467975</v>
      </c>
      <c r="AN137" s="275" t="str">
        <f>IF($AN$9+(($AL$9-$AM$9))*('DB Basis'!F297/10-'DB Basis'!E297),," ")</f>
        <v xml:space="preserve"> </v>
      </c>
      <c r="AO137" s="648">
        <f>IF(U137&gt;0,_xll.xlShmImplSwap2(curveName,curveName,D137,G137,,1,8,2,4),"-")</f>
        <v>-2.681081559609166E-3</v>
      </c>
      <c r="AP137" s="649">
        <f t="shared" si="10"/>
        <v>-4.2317576897278209E-3</v>
      </c>
      <c r="AQ137" s="391">
        <f t="shared" si="11"/>
        <v>-63.93613140159983</v>
      </c>
      <c r="AR137" s="391">
        <f t="shared" si="12"/>
        <v>-65.863574428015028</v>
      </c>
      <c r="AS137" s="393"/>
      <c r="AT137" s="242">
        <f t="shared" si="13"/>
        <v>-0.68181428212638773</v>
      </c>
      <c r="AU137" s="701" t="str">
        <f t="shared" si="8"/>
        <v>BUND  12-Oct-18  1</v>
      </c>
      <c r="AV137" s="717"/>
      <c r="AW137" s="699"/>
      <c r="AX137" s="699"/>
      <c r="AY137" s="699"/>
      <c r="AZ137" s="699"/>
      <c r="BA137" s="699"/>
      <c r="BB137" s="698"/>
      <c r="BC137" s="711"/>
      <c r="BE137" s="721">
        <f>_xll.xlDateShiftMonth(BE136,1)</f>
        <v>47024</v>
      </c>
      <c r="BF137" s="722">
        <v>2.0914016635073276E-2</v>
      </c>
    </row>
    <row r="138" spans="1:58">
      <c r="A138" s="17"/>
      <c r="B138" s="16"/>
      <c r="C138" s="18"/>
      <c r="D138" s="735">
        <f>MAX(_xll.xlDateSettle("TARGET",$D$4,2),L138)</f>
        <v>43164</v>
      </c>
      <c r="E138" s="733" t="s">
        <v>912</v>
      </c>
      <c r="F138" s="13" t="s">
        <v>1438</v>
      </c>
      <c r="G138" s="35">
        <v>43448</v>
      </c>
      <c r="H138" s="37">
        <v>0</v>
      </c>
      <c r="I138" s="11">
        <v>43448</v>
      </c>
      <c r="J138" s="11">
        <v>42685</v>
      </c>
      <c r="K138" s="11">
        <v>43083</v>
      </c>
      <c r="L138" s="11">
        <v>42685</v>
      </c>
      <c r="M138" s="12">
        <v>101.348</v>
      </c>
      <c r="N138" s="12" t="s">
        <v>621</v>
      </c>
      <c r="O138" s="12" t="s">
        <v>1203</v>
      </c>
      <c r="P138" s="12" t="s">
        <v>1449</v>
      </c>
      <c r="Q138" s="15">
        <v>13000000000</v>
      </c>
      <c r="R138" s="12"/>
      <c r="S138" s="43">
        <f>_xll.BDP(E138&amp;"@cbbt Corp",$S$10)</f>
        <v>100.47799999999999</v>
      </c>
      <c r="T138" s="43">
        <f>_xll.BDP(E138&amp;"@cbbt Corp",$T$10)</f>
        <v>100.56399999999999</v>
      </c>
      <c r="U138" s="25">
        <f t="shared" si="15"/>
        <v>100.52099999999999</v>
      </c>
      <c r="V138" s="12"/>
      <c r="W138" s="25">
        <f t="shared" si="9"/>
        <v>100.52099999999999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0</v>
      </c>
      <c r="Y138" s="14">
        <v>0.7929989999999999</v>
      </c>
      <c r="Z138" s="14">
        <v>-0.79713052478999979</v>
      </c>
      <c r="AA138" s="14">
        <v>1.2511761999999997E-2</v>
      </c>
      <c r="AB138" s="14">
        <v>1.2642474180558898E-2</v>
      </c>
      <c r="AC138" s="14">
        <v>0.7971305298013931</v>
      </c>
      <c r="AD138" s="34">
        <v>-6.5699956746475916E-3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-0.30747602167244281</v>
      </c>
      <c r="AI138" s="14">
        <v>0.78616705386586683</v>
      </c>
      <c r="AJ138" s="14">
        <v>0.79026298421650798</v>
      </c>
      <c r="AK138" s="246">
        <v>-0.38908063241413793</v>
      </c>
      <c r="AL138" s="213">
        <f>IF(U138&gt;0,_xll.xlBondZSpread(F138,H138,G138,J138,K138,L138,M138,D138,U138,"annual",5)*100,"-")</f>
        <v>-39.185953891831026</v>
      </c>
      <c r="AM138" s="266">
        <f>(-IF($AL$9="",VLOOKUP(VLOOKUP(E138,'DB Basis'!$D$2:$H$65205,4,0),Bonds!$AR$1:$AS$6,2,0),$AL$9)*VLOOKUP(E138,'DB Basis'!$D$2:$E$65205,2,0))+IF(V138="",W138,V138)</f>
        <v>48.67541749999998</v>
      </c>
      <c r="AN138" s="275" t="str">
        <f>IF($AN$9+(($AL$9-$AM$9))*('DB Basis'!F298/10-'DB Basis'!E298),," ")</f>
        <v xml:space="preserve"> </v>
      </c>
      <c r="AO138" s="648">
        <f>IF(U138&gt;0,_xll.xlShmImplSwap2(curveName,curveName,D138,G138,,1,8,2,4),"-")</f>
        <v>-2.7494445396314066E-3</v>
      </c>
      <c r="AP138" s="649">
        <f t="shared" si="10"/>
        <v>-3.820551135016185E-3</v>
      </c>
      <c r="AQ138" s="391">
        <f t="shared" si="11"/>
        <v>19.863159485972925</v>
      </c>
      <c r="AR138" s="391">
        <f t="shared" si="12"/>
        <v>23.823871820594778</v>
      </c>
      <c r="AS138" s="393"/>
      <c r="AT138" s="242">
        <f t="shared" si="13"/>
        <v>-0.64799957338989955</v>
      </c>
      <c r="AU138" s="701" t="str">
        <f t="shared" si="8"/>
        <v>BUND  14-Dec-18  0</v>
      </c>
      <c r="AV138" s="717"/>
      <c r="AW138" s="699"/>
      <c r="AX138" s="699"/>
      <c r="AY138" s="699"/>
      <c r="AZ138" s="699"/>
      <c r="BA138" s="699"/>
      <c r="BB138" s="698"/>
      <c r="BC138" s="711"/>
      <c r="BE138" s="721">
        <f>_xll.xlDateShiftMonth(BE137,1)</f>
        <v>47054</v>
      </c>
      <c r="BF138" s="722">
        <v>2.1040488965943658E-2</v>
      </c>
    </row>
    <row r="139" spans="1:58">
      <c r="A139" s="10"/>
      <c r="B139" s="11"/>
      <c r="C139" s="12"/>
      <c r="D139" s="735">
        <f>MAX(_xll.xlDateSettle("TARGET",$D$4,2),L139)</f>
        <v>43164</v>
      </c>
      <c r="E139" s="733" t="s">
        <v>658</v>
      </c>
      <c r="F139" s="13" t="s">
        <v>1438</v>
      </c>
      <c r="G139" s="35">
        <v>43469</v>
      </c>
      <c r="H139" s="37">
        <v>3.75</v>
      </c>
      <c r="I139" s="11">
        <v>43469</v>
      </c>
      <c r="J139" s="11">
        <v>39766</v>
      </c>
      <c r="K139" s="11">
        <v>40182</v>
      </c>
      <c r="L139" s="11">
        <v>39766</v>
      </c>
      <c r="M139" s="12">
        <v>100.07</v>
      </c>
      <c r="N139" s="12" t="s">
        <v>1450</v>
      </c>
      <c r="O139" s="12" t="s">
        <v>1203</v>
      </c>
      <c r="P139" s="12" t="s">
        <v>1451</v>
      </c>
      <c r="Q139" s="15">
        <v>24000000000</v>
      </c>
      <c r="R139" s="12"/>
      <c r="S139" s="43">
        <f>_xll.BDP(E139&amp;"@cbbt Corp",$S$10)</f>
        <v>103.72499999999999</v>
      </c>
      <c r="T139" s="43">
        <f>_xll.BDP(E139&amp;"@cbbt Corp",$T$10)</f>
        <v>103.813</v>
      </c>
      <c r="U139" s="25">
        <f t="shared" si="15"/>
        <v>103.76900000000001</v>
      </c>
      <c r="V139" s="12"/>
      <c r="W139" s="25">
        <f t="shared" si="9"/>
        <v>103.76900000000001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0.61643835616438358</v>
      </c>
      <c r="Y139" s="14">
        <v>0.84073438544291201</v>
      </c>
      <c r="Z139" s="14">
        <v>-0.84588367870857673</v>
      </c>
      <c r="AA139" s="14">
        <v>1.4050629455347298E-2</v>
      </c>
      <c r="AB139" s="14">
        <v>1.42232698955049E-2</v>
      </c>
      <c r="AC139" s="14">
        <v>0.87760423737748283</v>
      </c>
      <c r="AD139" s="34">
        <v>-7.2849496248020146E-3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-0.3973187539055848</v>
      </c>
      <c r="AI139" s="14">
        <v>0.81312350541767309</v>
      </c>
      <c r="AJ139" s="14">
        <v>0.84878253550724803</v>
      </c>
      <c r="AK139" s="246">
        <v>-0.46810429913963186</v>
      </c>
      <c r="AL139" s="213">
        <f>IF(U139&gt;0,_xll.xlBondZSpread(F139,H139,G139,J139,K139,L139,M139,D139,U139,"annual",5)*100,"-")</f>
        <v>-45.406652952219169</v>
      </c>
      <c r="AM139" s="266">
        <f>(-IF($AL$9="",VLOOKUP(VLOOKUP(E139,'DB Basis'!$D$2:$H$65205,4,0),Bonds!$AR$1:$AS$6,2,0),$AL$9)*VLOOKUP(E139,'DB Basis'!$D$2:$E$65205,2,0))+IF(V139="",W139,V139)</f>
        <v>46.7724525</v>
      </c>
      <c r="AN139" s="275" t="str">
        <f>IF($AN$9+(($AL$9-$AM$9))*('DB Basis'!F299/10-'DB Basis'!E299),," ")</f>
        <v xml:space="preserve"> </v>
      </c>
      <c r="AO139" s="648">
        <f>IF(U139&gt;0,_xll.xlShmImplSwap2(curveName,curveName,D139,G139,,1,8,2,4),"-")</f>
        <v>-2.7545422747205107E-3</v>
      </c>
      <c r="AP139" s="649">
        <f t="shared" si="10"/>
        <v>-4.5304073500815039E-3</v>
      </c>
      <c r="AQ139" s="391">
        <f t="shared" si="11"/>
        <v>-124.26580562207826</v>
      </c>
      <c r="AR139" s="391">
        <f t="shared" si="12"/>
        <v>-123.379770713734</v>
      </c>
      <c r="AS139" s="393"/>
      <c r="AT139" s="242">
        <f t="shared" si="13"/>
        <v>-0.71851557943252753</v>
      </c>
      <c r="AU139" s="701" t="str">
        <f t="shared" ref="AU139:AU202" si="16">F139&amp;"  "&amp;TEXT(G139,"dd-mmm-yy")&amp;"  "&amp;H139</f>
        <v>BUND  04-Jan-19  3.75</v>
      </c>
      <c r="AV139" s="717"/>
      <c r="AW139" s="699"/>
      <c r="AX139" s="699"/>
      <c r="AY139" s="699"/>
      <c r="AZ139" s="699"/>
      <c r="BA139" s="699"/>
      <c r="BB139" s="698"/>
      <c r="BC139" s="711"/>
      <c r="BE139" s="721">
        <f>_xll.xlDateShiftMonth(BE138,1)</f>
        <v>47085</v>
      </c>
      <c r="BF139" s="722">
        <v>2.1169902589573457E-2</v>
      </c>
    </row>
    <row r="140" spans="1:58">
      <c r="A140" s="17"/>
      <c r="B140" s="16"/>
      <c r="C140" s="18"/>
      <c r="D140" s="735">
        <f>MAX(_xll.xlDateSettle("TARGET",$D$4,2),L140)</f>
        <v>43164</v>
      </c>
      <c r="E140" s="733" t="s">
        <v>412</v>
      </c>
      <c r="F140" s="13" t="s">
        <v>1438</v>
      </c>
      <c r="G140" s="35">
        <v>43518</v>
      </c>
      <c r="H140" s="37">
        <v>1</v>
      </c>
      <c r="I140" s="11">
        <v>43518</v>
      </c>
      <c r="J140" s="11">
        <v>41656</v>
      </c>
      <c r="K140" s="11">
        <v>42057</v>
      </c>
      <c r="L140" s="11">
        <v>41656</v>
      </c>
      <c r="M140" s="12">
        <v>100.5</v>
      </c>
      <c r="N140" s="12" t="s">
        <v>621</v>
      </c>
      <c r="O140" s="12" t="s">
        <v>1203</v>
      </c>
      <c r="P140" s="12" t="s">
        <v>1452</v>
      </c>
      <c r="Q140" s="15">
        <v>16000000000</v>
      </c>
      <c r="R140" s="12"/>
      <c r="S140" s="43">
        <f>_xll.BDP(E140&amp;"@cbbt Corp",$S$10)</f>
        <v>101.621</v>
      </c>
      <c r="T140" s="43">
        <f>_xll.BDP(E140&amp;"@cbbt Corp",$T$10)</f>
        <v>101.703</v>
      </c>
      <c r="U140" s="25">
        <f t="shared" si="15"/>
        <v>101.66200000000001</v>
      </c>
      <c r="V140" s="12"/>
      <c r="W140" s="25">
        <f>IF(V140="",U140,V140)</f>
        <v>101.66200000000001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3.0136986301369864E-2</v>
      </c>
      <c r="Y140" s="14">
        <v>0.97650933855301336</v>
      </c>
      <c r="Z140" s="14">
        <v>-0.98320120966851399</v>
      </c>
      <c r="AA140" s="14">
        <v>1.8941605799877633E-2</v>
      </c>
      <c r="AB140" s="14">
        <v>1.9202103258358468E-2</v>
      </c>
      <c r="AC140" s="14">
        <v>0.99303321629733432</v>
      </c>
      <c r="AD140" s="34">
        <v>-7.0176917735540415E-3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-0.42406057442653133</v>
      </c>
      <c r="AI140" s="14">
        <v>0.96895922302891102</v>
      </c>
      <c r="AJ140" s="14">
        <v>0.98535534042396167</v>
      </c>
      <c r="AK140" s="246">
        <v>-0.43036309545354096</v>
      </c>
      <c r="AL140" s="213">
        <f>IF(U140&gt;0,_xll.xlBondZSpread(F140,H140,G140,J140,K140,L140,M140,D140,U140,"annual",5)*100,"-")</f>
        <v>-42.874254282676354</v>
      </c>
      <c r="AM140" s="266">
        <f>(-IF($AL$9="",VLOOKUP(VLOOKUP(E140,'DB Basis'!$D$2:$H$65205,4,0),Bonds!$AR$1:$AS$6,2,0),$AL$9)*VLOOKUP(E140,'DB Basis'!$D$2:$E$65205,2,0))+IF(V140="",W140,V140)</f>
        <v>39.626464999999996</v>
      </c>
      <c r="AN140" s="275" t="str">
        <f>IF($AN$9+(($AL$9-$AM$9))*('DB Basis'!F300/10-'DB Basis'!E300),," ")</f>
        <v xml:space="preserve"> </v>
      </c>
      <c r="AO140" s="648">
        <f>IF(U140&gt;0,_xll.xlShmImplSwap2(curveName,curveName,D140,G140,,1,8,2,4),"-")</f>
        <v>-2.7465530746077034E-3</v>
      </c>
      <c r="AP140" s="649">
        <f t="shared" ref="AP140:AP203" si="17">IF(AND(ISNUMBER(AD140),ISNUMBER(AO140)),AD140-AO140,"-")</f>
        <v>-4.2711386989463382E-3</v>
      </c>
      <c r="AQ140" s="391">
        <f t="shared" ref="AQ140:AQ203" si="18">IF(ISNUMBER(((AD140-AD139)/(G140-G139)*365)*10000),((AD140-AD139)/(G140-G139)*365)*10000,"-")</f>
        <v>19.907982797042891</v>
      </c>
      <c r="AR140" s="391">
        <f t="shared" ref="AR140:AR203" si="19">IF(ISNUMBER(((AP140-AP139)/(G140-G139)*365)*10000),((AP140-AP139)/(G140-G139)*365)*10000,"-")</f>
        <v>19.312868911088877</v>
      </c>
      <c r="AS140" s="393"/>
      <c r="AT140" s="242">
        <f t="shared" ref="AT140:AT203" si="20">IF(ISNUMBER(AD140),AD140*360/365*100,"-")</f>
        <v>-0.69215590095327539</v>
      </c>
      <c r="AU140" s="701" t="str">
        <f t="shared" si="16"/>
        <v>BUND  22-Feb-19  1</v>
      </c>
      <c r="AV140" s="717"/>
      <c r="AW140" s="699"/>
      <c r="AX140" s="699"/>
      <c r="AY140" s="699"/>
      <c r="AZ140" s="699"/>
      <c r="BA140" s="699"/>
      <c r="BB140" s="698"/>
      <c r="BC140" s="711"/>
      <c r="BE140" s="721">
        <f>_xll.xlDateShiftMonth(BE139,1)</f>
        <v>47115</v>
      </c>
      <c r="BF140" s="722">
        <v>2.1293524417136441E-2</v>
      </c>
    </row>
    <row r="141" spans="1:58">
      <c r="A141" s="10"/>
      <c r="B141" s="11"/>
      <c r="C141" s="12"/>
      <c r="D141" s="735">
        <f>MAX(_xll.xlDateSettle("TARGET",$D$4,2),L141)</f>
        <v>43164</v>
      </c>
      <c r="E141" s="733" t="s">
        <v>940</v>
      </c>
      <c r="F141" s="13" t="s">
        <v>1438</v>
      </c>
      <c r="G141" s="35">
        <v>43539</v>
      </c>
      <c r="H141" s="37">
        <v>0</v>
      </c>
      <c r="I141" s="11">
        <v>43539</v>
      </c>
      <c r="J141" s="11">
        <v>42796</v>
      </c>
      <c r="K141" s="11">
        <v>43174</v>
      </c>
      <c r="L141" s="11">
        <v>42796</v>
      </c>
      <c r="M141" s="12">
        <v>101.89100000000001</v>
      </c>
      <c r="N141" s="12" t="s">
        <v>1453</v>
      </c>
      <c r="O141" s="12" t="s">
        <v>1222</v>
      </c>
      <c r="P141" s="12" t="s">
        <v>1454</v>
      </c>
      <c r="Q141" s="15">
        <v>13000000000</v>
      </c>
      <c r="R141" s="12"/>
      <c r="S141" s="43">
        <f>_xll.BDP(E141&amp;"@cbbt Corp",$S$10)</f>
        <v>100.682</v>
      </c>
      <c r="T141" s="43">
        <f>_xll.BDP(E141&amp;"@cbbt Corp",$T$10)</f>
        <v>100.735</v>
      </c>
      <c r="U141" s="25">
        <f t="shared" ref="U141:U204" si="21">IF($U$4="B",AVERAGE(S141:T141),AVERAGE(S141:T141))</f>
        <v>100.7085</v>
      </c>
      <c r="V141" s="12"/>
      <c r="W141" s="25">
        <f>IF(V141="",U141,V141)</f>
        <v>100.7085</v>
      </c>
      <c r="X141" s="14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0</v>
      </c>
      <c r="Y141" s="14">
        <v>1.0416666666666667</v>
      </c>
      <c r="Z141" s="14">
        <v>-1.0487506651791012</v>
      </c>
      <c r="AA141" s="14">
        <v>2.1267361111111112E-2</v>
      </c>
      <c r="AB141" s="14">
        <v>2.1557607971186707E-2</v>
      </c>
      <c r="AC141" s="14">
        <v>1.0561810747219624</v>
      </c>
      <c r="AD141" s="34">
        <v>-6.7547022830703792E-3</v>
      </c>
      <c r="AE141" s="12"/>
      <c r="AF141" s="12"/>
      <c r="AG141" s="12"/>
      <c r="AH141" s="14">
        <f t="array" ref="AH141:AK141">_xll.xlBondLiborSpread(F141,H141,I141,J141,K141,L141,M141,D141,D141,W141,1,$AH$10&amp;$AI$10&amp;$AJ$10&amp;$AK$10)</f>
        <v>-0.42778495875556644</v>
      </c>
      <c r="AI141" s="14">
        <v>1.0365039573950885</v>
      </c>
      <c r="AJ141" s="14">
        <v>1.0438475879332327</v>
      </c>
      <c r="AK141" s="246">
        <v>-0.40981553600421666</v>
      </c>
      <c r="AL141" s="213">
        <f>IF(U141&gt;0,_xll.xlBondZSpread(F141,H141,G141,J141,K141,L141,M141,D141,U141,"annual",5)*100,"-")</f>
        <v>-41.232744511943039</v>
      </c>
      <c r="AM141" s="266">
        <f>(-IF($AL$9="",VLOOKUP(VLOOKUP(E141,'DB Basis'!$D$2:$H$65205,4,0),Bonds!$AR$1:$AS$6,2,0),$AL$9)*VLOOKUP(E141,'DB Basis'!$D$2:$E$65205,2,0))+IF(V141="",W141,V141)</f>
        <v>36.545392500000005</v>
      </c>
      <c r="AN141" s="275" t="str">
        <f>IF($AN$9+(($AL$9-$AM$9))*('DB Basis'!F301/10-'DB Basis'!E301),," ")</f>
        <v xml:space="preserve"> </v>
      </c>
      <c r="AO141" s="648">
        <f>IF(U141&gt;0,_xll.xlShmImplSwap2(curveName,curveName,D141,G141,,1,8,2,4),"-")</f>
        <v>-2.7227302373063174E-3</v>
      </c>
      <c r="AP141" s="649">
        <f t="shared" si="17"/>
        <v>-4.0319720457640618E-3</v>
      </c>
      <c r="AQ141" s="391">
        <f t="shared" si="18"/>
        <v>45.710078107874637</v>
      </c>
      <c r="AR141" s="391">
        <f t="shared" si="19"/>
        <v>41.569442100728985</v>
      </c>
      <c r="AS141" s="393"/>
      <c r="AT141" s="242">
        <f t="shared" si="20"/>
        <v>-0.66621721148091417</v>
      </c>
      <c r="AU141" s="701" t="str">
        <f t="shared" si="16"/>
        <v>BUND  15-Mar-19  0</v>
      </c>
      <c r="AV141" s="717"/>
      <c r="AW141" s="699"/>
      <c r="AX141" s="699"/>
      <c r="AY141" s="699"/>
      <c r="AZ141" s="699"/>
      <c r="BA141" s="699"/>
      <c r="BB141" s="698"/>
      <c r="BC141" s="711"/>
      <c r="BE141" s="721">
        <f>_xll.xlDateShiftMonth(BE140,1)</f>
        <v>47146</v>
      </c>
      <c r="BF141" s="722">
        <v>2.1419194928497795E-2</v>
      </c>
    </row>
    <row r="142" spans="1:58">
      <c r="A142" s="17"/>
      <c r="B142" s="16"/>
      <c r="C142" s="18"/>
      <c r="D142" s="735">
        <f>MAX(_xll.xlDateSettle("TARGET",$D$4,2),L142)</f>
        <v>43164</v>
      </c>
      <c r="E142" s="733" t="s">
        <v>413</v>
      </c>
      <c r="F142" s="13" t="s">
        <v>1438</v>
      </c>
      <c r="G142" s="35">
        <v>43567</v>
      </c>
      <c r="H142" s="37">
        <v>0.5</v>
      </c>
      <c r="I142" s="11">
        <v>43567</v>
      </c>
      <c r="J142" s="11">
        <v>41741</v>
      </c>
      <c r="K142" s="11">
        <v>42106</v>
      </c>
      <c r="L142" s="11">
        <v>41768</v>
      </c>
      <c r="M142" s="12">
        <v>99.66</v>
      </c>
      <c r="N142" s="12" t="s">
        <v>1455</v>
      </c>
      <c r="O142" s="12" t="s">
        <v>1203</v>
      </c>
      <c r="P142" s="12" t="s">
        <v>1456</v>
      </c>
      <c r="Q142" s="15">
        <v>16000000000</v>
      </c>
      <c r="R142" s="12"/>
      <c r="S142" s="43">
        <f>_xll.BDP(E142&amp;"@cbbt Corp",$S$10)</f>
        <v>101.312</v>
      </c>
      <c r="T142" s="43">
        <f>_xll.BDP(E142&amp;"@cbbt Corp",$T$10)</f>
        <v>101.35899999999999</v>
      </c>
      <c r="U142" s="25">
        <f t="shared" si="21"/>
        <v>101.3355</v>
      </c>
      <c r="V142" s="12"/>
      <c r="W142" s="25">
        <f>IF(V142="",U142,V142)</f>
        <v>101.3355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0.44794520547945205</v>
      </c>
      <c r="Y142" s="14">
        <v>1.099193602300973</v>
      </c>
      <c r="Z142" s="14">
        <v>-1.1069479002504439</v>
      </c>
      <c r="AA142" s="14">
        <v>2.3123119974548568E-2</v>
      </c>
      <c r="AB142" s="14">
        <v>2.3450516372976574E-2</v>
      </c>
      <c r="AC142" s="14">
        <v>1.1266897219393002</v>
      </c>
      <c r="AD142" s="34">
        <v>-7.0051155513937945E-3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-0.48418248488110893</v>
      </c>
      <c r="AI142" s="14">
        <v>1.1022025187571634</v>
      </c>
      <c r="AJ142" s="14">
        <v>1.1218596967326118</v>
      </c>
      <c r="AK142" s="246">
        <v>-0.43158916065107988</v>
      </c>
      <c r="AL142" s="213">
        <f>IF(U142&gt;0,_xll.xlBondZSpread(F142,H142,G142,J142,K142,L142,M142,D142,U142,"annual",5)*100,"-")</f>
        <v>-43.16861248160896</v>
      </c>
      <c r="AM142" s="266">
        <f>(-IF($AL$9="",VLOOKUP(VLOOKUP(E142,'DB Basis'!$D$2:$H$65205,4,0),Bonds!$AR$1:$AS$6,2,0),$AL$9)*VLOOKUP(E142,'DB Basis'!$D$2:$E$65205,2,0))+IF(V142="",W142,V142)</f>
        <v>32.917247499999988</v>
      </c>
      <c r="AN142" s="275" t="str">
        <f>IF($AN$9+(($AL$9-$AM$9))*('DB Basis'!F302/10-'DB Basis'!E302),," ")</f>
        <v xml:space="preserve"> </v>
      </c>
      <c r="AO142" s="648">
        <f>IF(U142&gt;0,_xll.xlShmImplSwap2(curveName,curveName,D142,G142,,1,8,2,4),"-")</f>
        <v>-2.6913110428568583E-3</v>
      </c>
      <c r="AP142" s="649">
        <f t="shared" si="17"/>
        <v>-4.3138045085369357E-3</v>
      </c>
      <c r="AQ142" s="391">
        <f t="shared" si="18"/>
        <v>-32.643158192159483</v>
      </c>
      <c r="AR142" s="391">
        <f t="shared" si="19"/>
        <v>-36.73887461146392</v>
      </c>
      <c r="AS142" s="393"/>
      <c r="AT142" s="242">
        <f t="shared" si="20"/>
        <v>-0.69091550643884003</v>
      </c>
      <c r="AU142" s="701" t="str">
        <f t="shared" si="16"/>
        <v>BUND  12-Apr-19  0.5</v>
      </c>
      <c r="AV142" s="717"/>
      <c r="AW142" s="699"/>
      <c r="AX142" s="699"/>
      <c r="AY142" s="699"/>
      <c r="AZ142" s="699"/>
      <c r="BA142" s="699"/>
      <c r="BB142" s="698"/>
      <c r="BC142" s="711"/>
      <c r="BE142" s="721">
        <f>_xll.xlDateShiftMonth(BE141,1)</f>
        <v>47177</v>
      </c>
      <c r="BF142" s="722">
        <v>2.1542351879469807E-2</v>
      </c>
    </row>
    <row r="143" spans="1:58">
      <c r="A143" s="10"/>
      <c r="B143" s="11"/>
      <c r="C143" s="12"/>
      <c r="D143" s="735">
        <f>MAX(_xll.xlDateSettle("TARGET",$D$4,2),L143)</f>
        <v>43164</v>
      </c>
      <c r="E143" s="733" t="s">
        <v>989</v>
      </c>
      <c r="F143" s="13" t="s">
        <v>1438</v>
      </c>
      <c r="G143" s="35">
        <v>43630</v>
      </c>
      <c r="H143" s="37">
        <v>0</v>
      </c>
      <c r="I143" s="11">
        <v>43630</v>
      </c>
      <c r="J143" s="11">
        <v>42880</v>
      </c>
      <c r="K143" s="11">
        <v>43265</v>
      </c>
      <c r="L143" s="11">
        <v>42880</v>
      </c>
      <c r="M143" s="12">
        <v>101.346</v>
      </c>
      <c r="N143" s="12" t="s">
        <v>1457</v>
      </c>
      <c r="O143" s="12" t="s">
        <v>1203</v>
      </c>
      <c r="P143" s="12" t="s">
        <v>1458</v>
      </c>
      <c r="Q143" s="15">
        <v>13000000000</v>
      </c>
      <c r="R143" s="12"/>
      <c r="S143" s="43">
        <f>_xll.BDP(E143&amp;"@cbbt Corp",$S$10)</f>
        <v>100.83799999999999</v>
      </c>
      <c r="T143" s="43">
        <f>_xll.BDP(E143&amp;"@cbbt Corp",$T$10)</f>
        <v>100.88500000000001</v>
      </c>
      <c r="U143" s="25">
        <f t="shared" si="21"/>
        <v>100.86150000000001</v>
      </c>
      <c r="V143" s="12"/>
      <c r="W143" s="25">
        <f>IF(V143="",U143,V143)</f>
        <v>100.86150000000001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0</v>
      </c>
      <c r="Y143" s="14">
        <v>1.2944444444444445</v>
      </c>
      <c r="Z143" s="14">
        <v>-1.3030510329204259</v>
      </c>
      <c r="AA143" s="14">
        <v>2.9700308641975308E-2</v>
      </c>
      <c r="AB143" s="14">
        <v>3.0096568398503453E-2</v>
      </c>
      <c r="AC143" s="14">
        <v>1.3142768343556099</v>
      </c>
      <c r="AD143" s="34">
        <v>-6.6049511998484394E-3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-0.52955705315881119</v>
      </c>
      <c r="AI143" s="14">
        <v>1.2864355835381414</v>
      </c>
      <c r="AJ143" s="14">
        <v>1.2975182260903224</v>
      </c>
      <c r="AK143" s="246">
        <v>-0.40813072410895584</v>
      </c>
      <c r="AL143" s="213">
        <f>IF(U143&gt;0,_xll.xlBondZSpread(F143,H143,G143,J143,K143,L143,M143,D143,U143,"annual",5)*100,"-")</f>
        <v>-41.038939833061541</v>
      </c>
      <c r="AM143" s="266">
        <f>(-IF($AL$9="",VLOOKUP(VLOOKUP(E143,'DB Basis'!$D$2:$H$65205,4,0),Bonds!$AR$1:$AS$6,2,0),$AL$9)*VLOOKUP(E143,'DB Basis'!$D$2:$E$65205,2,0))+IF(V143="",W143,V143)</f>
        <v>24.380867499999994</v>
      </c>
      <c r="AN143" s="275" t="str">
        <f>IF($AN$9+(($AL$9-$AM$9))*('DB Basis'!F303/10-'DB Basis'!E303),," ")</f>
        <v xml:space="preserve"> </v>
      </c>
      <c r="AO143" s="648">
        <f>IF(U143&gt;0,_xll.xlShmImplSwap2(curveName,curveName,D143,G143,,1,8,2,4),"-")</f>
        <v>-2.5963799025742807E-3</v>
      </c>
      <c r="AP143" s="649">
        <f t="shared" si="17"/>
        <v>-4.0085712972741591E-3</v>
      </c>
      <c r="AQ143" s="391">
        <f t="shared" si="18"/>
        <v>23.184125129215015</v>
      </c>
      <c r="AR143" s="391">
        <f t="shared" si="19"/>
        <v>17.68414636681166</v>
      </c>
      <c r="AS143" s="393"/>
      <c r="AT143" s="242">
        <f t="shared" si="20"/>
        <v>-0.65144724162888723</v>
      </c>
      <c r="AU143" s="701" t="str">
        <f t="shared" si="16"/>
        <v>BUND  14-Jun-19  0</v>
      </c>
      <c r="AV143" s="717"/>
      <c r="AW143" s="699"/>
      <c r="AX143" s="699"/>
      <c r="AY143" s="699"/>
      <c r="AZ143" s="699"/>
      <c r="BA143" s="699"/>
      <c r="BB143" s="698"/>
      <c r="BC143" s="711"/>
      <c r="BE143" s="721">
        <f>_xll.xlDateShiftMonth(BE142,1)</f>
        <v>47205</v>
      </c>
      <c r="BF143" s="722">
        <v>2.1651087275428336E-2</v>
      </c>
    </row>
    <row r="144" spans="1:58">
      <c r="A144" s="10"/>
      <c r="B144" s="11"/>
      <c r="C144" s="12"/>
      <c r="D144" s="735">
        <f>MAX(_xll.xlDateSettle("TARGET",$D$4,2),L144)</f>
        <v>43164</v>
      </c>
      <c r="E144" s="733" t="s">
        <v>659</v>
      </c>
      <c r="F144" s="13" t="s">
        <v>1438</v>
      </c>
      <c r="G144" s="35">
        <v>43650</v>
      </c>
      <c r="H144" s="37">
        <v>3.5</v>
      </c>
      <c r="I144" s="11">
        <v>43650</v>
      </c>
      <c r="J144" s="11">
        <v>39955</v>
      </c>
      <c r="K144" s="11">
        <v>40363</v>
      </c>
      <c r="L144" s="11">
        <v>39955</v>
      </c>
      <c r="M144" s="12">
        <v>99.69</v>
      </c>
      <c r="N144" s="12" t="s">
        <v>1459</v>
      </c>
      <c r="O144" s="12" t="s">
        <v>1203</v>
      </c>
      <c r="P144" s="12" t="s">
        <v>1460</v>
      </c>
      <c r="Q144" s="15">
        <v>24000000000</v>
      </c>
      <c r="R144" s="12"/>
      <c r="S144" s="43">
        <f>_xll.RtGet("IDN",$N144,IF(OR($G144="BTP,$E11=""CTZ"),S$10,S$9))</f>
        <v>105.596</v>
      </c>
      <c r="T144" s="43">
        <f>_xll.RtGet("IDN",$N144,IF(OR($G144="BTP,$E11=""CTZ"),T$10,T$9))</f>
        <v>105.616</v>
      </c>
      <c r="U144" s="25">
        <f t="shared" si="21"/>
        <v>105.60599999999999</v>
      </c>
      <c r="V144" s="12"/>
      <c r="W144" s="25">
        <f t="shared" ref="W144:W207" si="22">IF(V144="",U144,V144)</f>
        <v>105.60599999999999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2.3397260273972602</v>
      </c>
      <c r="Y144" s="14">
        <v>1.2990102463441582</v>
      </c>
      <c r="Z144" s="14">
        <v>-1.3078405703001974</v>
      </c>
      <c r="AA144" s="14">
        <v>3.0178784402175297E-2</v>
      </c>
      <c r="AB144" s="14">
        <v>3.0590473535768825E-2</v>
      </c>
      <c r="AC144" s="14">
        <v>1.411758024463694</v>
      </c>
      <c r="AD144" s="34">
        <v>-6.7518400714977264E-3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-0.59030515537543682</v>
      </c>
      <c r="AI144" s="14">
        <v>1.2536767888344955</v>
      </c>
      <c r="AJ144" s="14">
        <v>1.3532905117443561</v>
      </c>
      <c r="AK144" s="246">
        <v>-0.43619987744874117</v>
      </c>
      <c r="AL144" s="213">
        <f>IF(U144&gt;0,_xll.xlBondZSpread(F144,H144,G144,J144,K144,L144,M144,D144,U144,"annual",5)*100,"-")</f>
        <v>-42.017429761880351</v>
      </c>
      <c r="AM144" s="266">
        <f>(-IF($AL$9="",VLOOKUP(VLOOKUP(E144,'DB Basis'!$D$2:$H$65205,4,0),Bonds!$AR$1:$AS$6,2,0),$AL$9)*VLOOKUP(E144,'DB Basis'!$D$2:$E$65205,2,0))+IF(V144="",W144,V144)</f>
        <v>22.630672499999989</v>
      </c>
      <c r="AN144" s="275" t="str">
        <f>IF($AN$9+(($AL$9-$AM$9))*('DB Basis'!F304/10-'DB Basis'!E304),," ")</f>
        <v xml:space="preserve"> </v>
      </c>
      <c r="AO144" s="648">
        <f>IF(U144&gt;0,_xll.xlShmImplSwap2(curveName,curveName,D144,G144,,1,8,2,4),"-")</f>
        <v>-2.5456589369696747E-3</v>
      </c>
      <c r="AP144" s="649">
        <f t="shared" si="17"/>
        <v>-4.2061811345280517E-3</v>
      </c>
      <c r="AQ144" s="391">
        <f t="shared" si="18"/>
        <v>-26.80721907599488</v>
      </c>
      <c r="AR144" s="391">
        <f t="shared" si="19"/>
        <v>-36.063795298835394</v>
      </c>
      <c r="AS144" s="393"/>
      <c r="AT144" s="242">
        <f t="shared" si="20"/>
        <v>-0.66593491116141967</v>
      </c>
      <c r="AU144" s="701" t="str">
        <f t="shared" si="16"/>
        <v>BUND  04-Jul-19  3.5</v>
      </c>
      <c r="AV144" s="717"/>
      <c r="AW144" s="699"/>
      <c r="AX144" s="699"/>
      <c r="AY144" s="699"/>
      <c r="AZ144" s="699"/>
      <c r="BA144" s="699"/>
      <c r="BB144" s="698"/>
      <c r="BC144" s="711"/>
      <c r="BE144" s="721">
        <f>_xll.xlDateShiftMonth(BE143,1)</f>
        <v>47236</v>
      </c>
      <c r="BF144" s="722">
        <v>2.1768322160846114E-2</v>
      </c>
    </row>
    <row r="145" spans="1:58">
      <c r="A145" s="10"/>
      <c r="B145" s="11"/>
      <c r="C145" s="12"/>
      <c r="D145" s="735">
        <f>MAX(_xll.xlDateSettle("TARGET",$D$4,2),L145)</f>
        <v>43164</v>
      </c>
      <c r="E145" s="733" t="s">
        <v>1012</v>
      </c>
      <c r="F145" s="13" t="s">
        <v>1438</v>
      </c>
      <c r="G145" s="35">
        <v>43721</v>
      </c>
      <c r="H145" s="37">
        <v>0</v>
      </c>
      <c r="I145" s="11">
        <v>43721</v>
      </c>
      <c r="J145" s="11">
        <v>42978</v>
      </c>
      <c r="K145" s="11">
        <v>43356</v>
      </c>
      <c r="L145" s="11">
        <v>42978</v>
      </c>
      <c r="M145" s="12">
        <v>101.518</v>
      </c>
      <c r="N145" s="12" t="s">
        <v>621</v>
      </c>
      <c r="O145" s="12" t="s">
        <v>1203</v>
      </c>
      <c r="P145" s="12" t="s">
        <v>1461</v>
      </c>
      <c r="Q145" s="15">
        <v>13000000000</v>
      </c>
      <c r="R145" s="12"/>
      <c r="S145" s="43">
        <f>_xll.BDP(E145&amp;"@cbbt Corp",$S$10)</f>
        <v>100.97</v>
      </c>
      <c r="T145" s="43">
        <f>_xll.BDP(E145&amp;"@cbbt Corp",$T$10)</f>
        <v>101.01</v>
      </c>
      <c r="U145" s="25">
        <f t="shared" si="21"/>
        <v>100.99000000000001</v>
      </c>
      <c r="V145" s="12"/>
      <c r="W145" s="25">
        <f t="shared" si="22"/>
        <v>100.99000000000001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0</v>
      </c>
      <c r="Y145" s="14">
        <v>1.5472222222222221</v>
      </c>
      <c r="Z145" s="14">
        <v>-1.5571049670396078</v>
      </c>
      <c r="AA145" s="14">
        <v>3.941118827160494E-2</v>
      </c>
      <c r="AB145" s="14">
        <v>3.9916267153930457E-2</v>
      </c>
      <c r="AC145" s="14">
        <v>1.57252033024875</v>
      </c>
      <c r="AD145" s="34">
        <v>-6.346871326183885E-3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-0.63020320240023864</v>
      </c>
      <c r="AI145" s="14">
        <v>1.5360484469485545</v>
      </c>
      <c r="AJ145" s="14">
        <v>1.5512553265733453</v>
      </c>
      <c r="AK145" s="246">
        <v>-0.40625369119107541</v>
      </c>
      <c r="AL145" s="213">
        <f>IF(U145&gt;0,_xll.xlBondZSpread(F145,H145,G145,J145,K145,L145,M145,D145,U145,"annual",5)*100,"-")</f>
        <v>-40.838286482225897</v>
      </c>
      <c r="AM145" s="266">
        <f>(-IF($AL$9="",VLOOKUP(VLOOKUP(E145,'DB Basis'!$D$2:$H$65205,4,0),Bonds!$AR$1:$AS$6,2,0),$AL$9)*VLOOKUP(E145,'DB Basis'!$D$2:$E$65205,2,0))+IF(V145="",W145,V145)</f>
        <v>12.191842499999993</v>
      </c>
      <c r="AN145" s="275" t="str">
        <f>IF($AN$9+(($AL$9-$AM$9))*('DB Basis'!F305/10-'DB Basis'!E305),," ")</f>
        <v xml:space="preserve"> </v>
      </c>
      <c r="AO145" s="648">
        <f>IF(U145&gt;0,_xll.xlShmImplSwap2(curveName,curveName,D145,G145,,1,8,2,4),"-")</f>
        <v>-2.3570886567530537E-3</v>
      </c>
      <c r="AP145" s="649">
        <f t="shared" si="17"/>
        <v>-3.989782669430831E-3</v>
      </c>
      <c r="AQ145" s="391">
        <f t="shared" si="18"/>
        <v>20.818815780218607</v>
      </c>
      <c r="AR145" s="391">
        <f t="shared" si="19"/>
        <v>11.124709825420503</v>
      </c>
      <c r="AS145" s="393"/>
      <c r="AT145" s="242">
        <f t="shared" si="20"/>
        <v>-0.62599278833594474</v>
      </c>
      <c r="AU145" s="701" t="str">
        <f t="shared" si="16"/>
        <v>BUND  13-Sep-19  0</v>
      </c>
      <c r="AV145" s="717"/>
      <c r="AW145" s="699"/>
      <c r="AX145" s="699"/>
      <c r="AY145" s="699"/>
      <c r="AZ145" s="699"/>
      <c r="BA145" s="699"/>
      <c r="BB145" s="698"/>
      <c r="BC145" s="711"/>
      <c r="BE145" s="721">
        <f>_xll.xlDateShiftMonth(BE144,1)</f>
        <v>47266</v>
      </c>
      <c r="BF145" s="722">
        <v>2.1878247434457699E-2</v>
      </c>
    </row>
    <row r="146" spans="1:58">
      <c r="A146" s="10"/>
      <c r="B146" s="11"/>
      <c r="C146" s="12"/>
      <c r="D146" s="735">
        <f>MAX(_xll.xlDateSettle("TARGET",$D$4,2),L146)</f>
        <v>43164</v>
      </c>
      <c r="E146" s="733" t="s">
        <v>414</v>
      </c>
      <c r="F146" s="13" t="s">
        <v>1438</v>
      </c>
      <c r="G146" s="35">
        <v>43749</v>
      </c>
      <c r="H146" s="37">
        <v>0.25</v>
      </c>
      <c r="I146" s="11">
        <v>43749</v>
      </c>
      <c r="J146" s="11">
        <v>41887</v>
      </c>
      <c r="K146" s="11">
        <v>42288</v>
      </c>
      <c r="L146" s="11">
        <v>41887</v>
      </c>
      <c r="M146" s="12">
        <v>100</v>
      </c>
      <c r="N146" s="12" t="s">
        <v>1462</v>
      </c>
      <c r="O146" s="12" t="s">
        <v>1203</v>
      </c>
      <c r="P146" s="12" t="s">
        <v>1463</v>
      </c>
      <c r="Q146" s="15">
        <v>16000000000</v>
      </c>
      <c r="R146" s="12"/>
      <c r="S146" s="43">
        <f>_xll.RtGet("IDN",$N146,IF(OR($G146="BTP,$E11=""CTZ"),S$10,S$9))</f>
        <v>101.40600000000001</v>
      </c>
      <c r="T146" s="43">
        <f>_xll.RtGet("IDN",$N146,IF(OR($G146="BTP,$E11=""CTZ"),T$10,T$9))</f>
        <v>101.431</v>
      </c>
      <c r="U146" s="25">
        <f t="shared" si="21"/>
        <v>101.41849999999999</v>
      </c>
      <c r="V146" s="12"/>
      <c r="W146" s="25">
        <f t="shared" si="22"/>
        <v>101.41849999999999</v>
      </c>
      <c r="X146" s="14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9.9315068493150679E-2</v>
      </c>
      <c r="Y146" s="14">
        <v>1.6002677397958374</v>
      </c>
      <c r="Z146" s="14">
        <v>-1.6103761541692947</v>
      </c>
      <c r="AA146" s="14">
        <v>4.163590454342745E-2</v>
      </c>
      <c r="AB146" s="14">
        <v>4.2163569046080242E-2</v>
      </c>
      <c r="AC146" s="14">
        <v>1.6348187121849378</v>
      </c>
      <c r="AD146" s="34">
        <v>-6.2770518363184881E-3</v>
      </c>
      <c r="AE146" s="12"/>
      <c r="AF146" s="12"/>
      <c r="AG146" s="12"/>
      <c r="AH146" s="14">
        <f t="array" ref="AH146:AK146">_xll.xlBondLiborSpread(F146,H146,I146,J146,K146,L146,M146,D146,D146,W146,1,$AH$10&amp;$AI$10&amp;$AJ$10&amp;$AK$10)</f>
        <v>-0.65484908816141096</v>
      </c>
      <c r="AI146" s="14">
        <v>1.604906761934062</v>
      </c>
      <c r="AJ146" s="14">
        <v>1.6292662786019627</v>
      </c>
      <c r="AK146" s="246">
        <v>-0.40192882941352248</v>
      </c>
      <c r="AL146" s="213">
        <f>IF(U146&gt;0,_xll.xlBondZSpread(F146,H146,G146,J146,K146,L146,M146,D146,U146,"annual",5)*100,"-")</f>
        <v>-40.265924545898464</v>
      </c>
      <c r="AM146" s="266">
        <f>(-IF($AL$9="",VLOOKUP(VLOOKUP(E146,'DB Basis'!$D$2:$H$65205,4,0),Bonds!$AR$1:$AS$6,2,0),$AL$9)*VLOOKUP(E146,'DB Basis'!$D$2:$E$65205,2,0))+IF(V146="",W146,V146)</f>
        <v>8.4771749999999884</v>
      </c>
      <c r="AN146" s="275" t="str">
        <f>IF($AN$9+(($AL$9-$AM$9))*('DB Basis'!F306/10-'DB Basis'!E306),," ")</f>
        <v xml:space="preserve"> </v>
      </c>
      <c r="AO146" s="648">
        <f>IF(U146&gt;0,_xll.xlShmImplSwap2(curveName,curveName,D146,G146,,1,8,2,4),"-")</f>
        <v>-2.2540851739217887E-3</v>
      </c>
      <c r="AP146" s="649">
        <f t="shared" si="17"/>
        <v>-4.0229666623966993E-3</v>
      </c>
      <c r="AQ146" s="391">
        <f t="shared" si="18"/>
        <v>9.1014692145963938</v>
      </c>
      <c r="AR146" s="391">
        <f t="shared" si="19"/>
        <v>-4.3257705116221281</v>
      </c>
      <c r="AS146" s="393"/>
      <c r="AT146" s="242">
        <f t="shared" si="20"/>
        <v>-0.61910648248620692</v>
      </c>
      <c r="AU146" s="701" t="str">
        <f t="shared" si="16"/>
        <v>BUND  11-Oct-19  0.25</v>
      </c>
      <c r="AV146" s="717"/>
      <c r="AW146" s="699"/>
      <c r="AX146" s="699"/>
      <c r="AY146" s="699"/>
      <c r="AZ146" s="699"/>
      <c r="BA146" s="699"/>
      <c r="BB146" s="698"/>
      <c r="BC146" s="711"/>
      <c r="BE146" s="721">
        <f>_xll.xlDateShiftMonth(BE145,1)</f>
        <v>47297</v>
      </c>
      <c r="BF146" s="722">
        <v>2.1987790472531514E-2</v>
      </c>
    </row>
    <row r="147" spans="1:58">
      <c r="A147" s="10"/>
      <c r="B147" s="11"/>
      <c r="C147" s="12"/>
      <c r="D147" s="735">
        <f>MAX(_xll.xlDateSettle("TARGET",$D$4,2),L147)</f>
        <v>43164</v>
      </c>
      <c r="E147" s="733" t="s">
        <v>1701</v>
      </c>
      <c r="F147" s="13" t="s">
        <v>1438</v>
      </c>
      <c r="G147" s="35">
        <v>43812</v>
      </c>
      <c r="H147" s="37">
        <v>0</v>
      </c>
      <c r="I147" s="11">
        <v>43812</v>
      </c>
      <c r="J147" s="11">
        <v>43055</v>
      </c>
      <c r="K147" s="11">
        <v>43447</v>
      </c>
      <c r="L147" s="11">
        <v>43055</v>
      </c>
      <c r="M147" s="12">
        <v>101.489</v>
      </c>
      <c r="N147" s="12" t="s">
        <v>1702</v>
      </c>
      <c r="O147" s="12" t="s">
        <v>1203</v>
      </c>
      <c r="P147" s="12" t="s">
        <v>1703</v>
      </c>
      <c r="Q147" s="15">
        <v>13000000000</v>
      </c>
      <c r="R147" s="12"/>
      <c r="S147" s="43">
        <f>_xll.BDP(E147&amp;"@cbbt Corp",$S$10)</f>
        <v>101.084</v>
      </c>
      <c r="T147" s="43">
        <f>_xll.BDP(E147&amp;"@cbbt Corp",$T$10)</f>
        <v>101.113</v>
      </c>
      <c r="U147" s="25">
        <f t="shared" si="21"/>
        <v>101.0985</v>
      </c>
      <c r="V147" s="12"/>
      <c r="W147" s="25">
        <f t="shared" si="22"/>
        <v>101.0985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0</v>
      </c>
      <c r="Y147" s="14">
        <v>1.8</v>
      </c>
      <c r="Z147" s="14">
        <v>-1.8109583251272372</v>
      </c>
      <c r="AA147" s="14">
        <v>5.04E-2</v>
      </c>
      <c r="AB147" s="14">
        <v>5.1015534194296754E-2</v>
      </c>
      <c r="AC147" s="14">
        <v>1.8308517353460729</v>
      </c>
      <c r="AD147" s="34">
        <v>-6.0511195239722169E-3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-0.74098713235329683</v>
      </c>
      <c r="AI147" s="14">
        <v>1.7852899100231518</v>
      </c>
      <c r="AJ147" s="14">
        <v>1.8049013196847561</v>
      </c>
      <c r="AK147" s="246">
        <v>-0.41054163142986544</v>
      </c>
      <c r="AL147" s="213">
        <f>IF(U147&gt;0,_xll.xlBondZSpread(F147,H147,G147,J147,K147,L147,M147,D147,U147,"annual",5)*100,"-")</f>
        <v>-41.265710955279083</v>
      </c>
      <c r="AM147" s="266">
        <f>(-IF($AL$9="",VLOOKUP(VLOOKUP(E147,'DB Basis'!$D$2:$H$65205,4,0),Bonds!$AR$1:$AS$6,2,0),$AL$9)*VLOOKUP(E147,'DB Basis'!$D$2:$E$65205,2,0))+IF(V147="",W147,V147)</f>
        <v>1.2827470000004837E-2</v>
      </c>
      <c r="AN147" s="275" t="str">
        <f>IF($AN$9+(($AL$9-$AM$9))*('DB Basis'!F307/10-'DB Basis'!E307),," ")</f>
        <v xml:space="preserve"> </v>
      </c>
      <c r="AO147" s="648">
        <f>IF(U147&gt;0,_xll.xlShmImplSwap2(curveName,curveName,D147,G147,,1,8,2,4),"-")</f>
        <v>-2.0115678642905776E-3</v>
      </c>
      <c r="AP147" s="649">
        <f t="shared" si="17"/>
        <v>-4.0395516596816398E-3</v>
      </c>
      <c r="AQ147" s="391">
        <f t="shared" si="18"/>
        <v>13.089729207363327</v>
      </c>
      <c r="AR147" s="391">
        <f t="shared" si="19"/>
        <v>-0.96087682682591413</v>
      </c>
      <c r="AS147" s="393"/>
      <c r="AT147" s="242">
        <f t="shared" si="20"/>
        <v>-0.59682274756986253</v>
      </c>
      <c r="AU147" s="701" t="str">
        <f t="shared" si="16"/>
        <v>BUND  13-Dec-19  0</v>
      </c>
      <c r="AV147" s="717"/>
      <c r="AW147" s="699"/>
      <c r="AX147" s="699"/>
      <c r="AY147" s="699"/>
      <c r="AZ147" s="699"/>
      <c r="BA147" s="699"/>
      <c r="BB147" s="698"/>
      <c r="BC147" s="711"/>
      <c r="BE147" s="721">
        <f>_xll.xlDateShiftMonth(BE146,1)</f>
        <v>47327</v>
      </c>
      <c r="BF147" s="722">
        <v>2.2089500159503006E-2</v>
      </c>
    </row>
    <row r="148" spans="1:58">
      <c r="A148" s="10"/>
      <c r="B148" s="11"/>
      <c r="C148" s="12"/>
      <c r="D148" s="735">
        <f>MAX(_xll.xlDateSettle("TARGET",$D$4,2),L148)</f>
        <v>43164</v>
      </c>
      <c r="E148" s="733" t="s">
        <v>660</v>
      </c>
      <c r="F148" s="13" t="s">
        <v>1438</v>
      </c>
      <c r="G148" s="35">
        <v>43834</v>
      </c>
      <c r="H148" s="37">
        <v>3.25</v>
      </c>
      <c r="I148" s="11">
        <v>43834</v>
      </c>
      <c r="J148" s="11">
        <v>40130</v>
      </c>
      <c r="K148" s="11">
        <v>40547</v>
      </c>
      <c r="L148" s="11">
        <v>40130</v>
      </c>
      <c r="M148" s="12">
        <v>98.95</v>
      </c>
      <c r="N148" s="12" t="s">
        <v>1464</v>
      </c>
      <c r="O148" s="12" t="s">
        <v>1203</v>
      </c>
      <c r="P148" s="12" t="s">
        <v>1465</v>
      </c>
      <c r="Q148" s="15">
        <v>22000000000</v>
      </c>
      <c r="R148" s="12"/>
      <c r="S148" s="43">
        <f>_xll.BDP(E148&amp;"@cbbt Corp",$S$10)</f>
        <v>107.164</v>
      </c>
      <c r="T148" s="43">
        <f>_xll.BDP(E148&amp;"@cbbt Corp",$T$10)</f>
        <v>107.19799999999999</v>
      </c>
      <c r="U148" s="25">
        <f t="shared" si="21"/>
        <v>107.181</v>
      </c>
      <c r="V148" s="12"/>
      <c r="W148" s="25">
        <f t="shared" si="22"/>
        <v>107.181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0.53424657534246567</v>
      </c>
      <c r="Y148" s="14">
        <v>1.8052854072576352</v>
      </c>
      <c r="Z148" s="14">
        <v>-1.8166677041714439</v>
      </c>
      <c r="AA148" s="14">
        <v>5.09375186856603E-2</v>
      </c>
      <c r="AB148" s="14">
        <v>5.1581864150604936E-2</v>
      </c>
      <c r="AC148" s="14">
        <v>1.9568283219868476</v>
      </c>
      <c r="AD148" s="34">
        <v>-6.2655755657191059E-3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-0.8450240765390743</v>
      </c>
      <c r="AI148" s="14">
        <v>1.7377247758648118</v>
      </c>
      <c r="AJ148" s="14">
        <v>1.871794527123599</v>
      </c>
      <c r="AK148" s="246">
        <v>-0.45145130210292417</v>
      </c>
      <c r="AL148" s="213">
        <f>IF(U148&gt;0,_xll.xlBondZSpread(F148,H148,G148,J148,K148,L148,M148,D148,U148,"annual",5)*100,"-")</f>
        <v>-43.32156685421797</v>
      </c>
      <c r="AM148" s="266">
        <f>(-IF($AL$9="",VLOOKUP(VLOOKUP(E148,'DB Basis'!$D$2:$H$65205,4,0),Bonds!$AR$1:$AS$6,2,0),$AL$9)*VLOOKUP(E148,'DB Basis'!$D$2:$E$65205,2,0))+IF(V148="",W148,V148)</f>
        <v>0.37383710749999466</v>
      </c>
      <c r="AN148" s="275" t="str">
        <f>IF($AN$9+(($AL$9-$AM$9))*('DB Basis'!F308/10-'DB Basis'!E308),," ")</f>
        <v xml:space="preserve"> </v>
      </c>
      <c r="AO148" s="648">
        <f>IF(U148&gt;0,_xll.xlShmImplSwap2(curveName,curveName,D148,G148,,1,8,2,4),"-")</f>
        <v>-1.9068428419540284E-3</v>
      </c>
      <c r="AP148" s="649">
        <f t="shared" si="17"/>
        <v>-4.358732723765078E-3</v>
      </c>
      <c r="AQ148" s="391">
        <f t="shared" si="18"/>
        <v>-35.580206926188396</v>
      </c>
      <c r="AR148" s="391">
        <f t="shared" si="19"/>
        <v>-52.955040177479511</v>
      </c>
      <c r="AS148" s="393"/>
      <c r="AT148" s="242">
        <f t="shared" si="20"/>
        <v>-0.61797457634489816</v>
      </c>
      <c r="AU148" s="701" t="str">
        <f t="shared" si="16"/>
        <v>BUND  04-Jan-20  3.25</v>
      </c>
      <c r="AV148" s="717"/>
      <c r="AW148" s="699"/>
      <c r="AX148" s="699"/>
      <c r="AY148" s="699"/>
      <c r="AZ148" s="699"/>
      <c r="BA148" s="699"/>
      <c r="BB148" s="698"/>
      <c r="BC148" s="711"/>
      <c r="BE148" s="721">
        <f>_xll.xlDateShiftMonth(BE147,1)</f>
        <v>47358</v>
      </c>
      <c r="BF148" s="722">
        <v>2.2189756165864598E-2</v>
      </c>
    </row>
    <row r="149" spans="1:58">
      <c r="A149" s="10"/>
      <c r="B149" s="11"/>
      <c r="C149" s="12"/>
      <c r="D149" s="735">
        <f>MAX(_xll.xlDateSettle("TARGET",$D$4,2),L149)</f>
        <v>43164</v>
      </c>
      <c r="E149" s="733" t="s">
        <v>2039</v>
      </c>
      <c r="F149" s="13" t="s">
        <v>1438</v>
      </c>
      <c r="G149" s="35">
        <v>43903</v>
      </c>
      <c r="H149" s="37">
        <v>0</v>
      </c>
      <c r="I149" s="11">
        <v>43903</v>
      </c>
      <c r="J149" s="11">
        <v>43153</v>
      </c>
      <c r="K149" s="11">
        <v>43537</v>
      </c>
      <c r="L149" s="11">
        <v>43153</v>
      </c>
      <c r="M149" s="12">
        <v>101.065</v>
      </c>
      <c r="N149" s="12" t="s">
        <v>2040</v>
      </c>
      <c r="O149" s="12" t="s">
        <v>1222</v>
      </c>
      <c r="P149" s="12" t="s">
        <v>2041</v>
      </c>
      <c r="Q149" s="15">
        <v>5000000000</v>
      </c>
      <c r="R149" s="12"/>
      <c r="S149" s="43">
        <f>_xll.RtGet("IDN",$N149,IF(OR($G149="BTP,$E11=""CTZ"),S$10,S$9))</f>
        <v>101.122</v>
      </c>
      <c r="T149" s="43">
        <f>_xll.RtGet("IDN",$N149,IF(OR($G149="BTP,$E11=""CTZ"),T$10,T$9))</f>
        <v>101.142</v>
      </c>
      <c r="U149" s="25">
        <f t="shared" si="21"/>
        <v>101.13200000000001</v>
      </c>
      <c r="V149" s="12"/>
      <c r="W149" s="25">
        <f t="shared" si="22"/>
        <v>101.13200000000001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0</v>
      </c>
      <c r="Y149" s="14">
        <v>2.0527777777777776</v>
      </c>
      <c r="Z149" s="14">
        <v>-2.0640651045185763</v>
      </c>
      <c r="AA149" s="14">
        <v>6.266674382716049E-2</v>
      </c>
      <c r="AB149" s="14">
        <v>6.3357792510212702E-2</v>
      </c>
      <c r="AC149" s="14">
        <v>2.087430365287446</v>
      </c>
      <c r="AD149" s="34">
        <v>-5.4684936918721512E-3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-0.80711821156857866</v>
      </c>
      <c r="AI149" s="14">
        <v>2.0354338172987494</v>
      </c>
      <c r="AJ149" s="14">
        <v>2.0584749281105714</v>
      </c>
      <c r="AK149" s="246">
        <v>-0.39209523543209468</v>
      </c>
      <c r="AL149" s="213">
        <f>IF(U149&gt;0,_xll.xlBondZSpread(F149,H149,G149,J149,K149,L149,M149,D149,U149,"annual",5)*100,"-")</f>
        <v>-39.433242227635503</v>
      </c>
      <c r="AM149" s="266" t="e">
        <f>(-IF($AL$9="",VLOOKUP(VLOOKUP(E149,'DB Basis'!$D$2:$H$65205,4,0),Bonds!$AR$1:$AS$6,2,0),$AL$9)*VLOOKUP(E149,'DB Basis'!$D$2:$E$65205,2,0))+IF(V149="",W149,V149)</f>
        <v>#N/A</v>
      </c>
      <c r="AN149" s="275" t="str">
        <f>IF($AN$9+(($AL$9-$AM$9))*('DB Basis'!F309/10-'DB Basis'!E309),," ")</f>
        <v xml:space="preserve"> </v>
      </c>
      <c r="AO149" s="648">
        <f>IF(U149&gt;0,_xll.xlShmImplSwap2(curveName,curveName,D149,G149,,1,8,2,4),"-")</f>
        <v>-1.6019390881835088E-3</v>
      </c>
      <c r="AP149" s="649">
        <f t="shared" si="17"/>
        <v>-3.8665546036886424E-3</v>
      </c>
      <c r="AQ149" s="391">
        <f t="shared" si="18"/>
        <v>42.164475935382391</v>
      </c>
      <c r="AR149" s="391">
        <f t="shared" si="19"/>
        <v>26.035509250420144</v>
      </c>
      <c r="AS149" s="393"/>
      <c r="AT149" s="242">
        <f t="shared" si="20"/>
        <v>-0.53935828193807511</v>
      </c>
      <c r="AU149" s="701" t="str">
        <f t="shared" si="16"/>
        <v>BUND  13-Mar-20  0</v>
      </c>
      <c r="AV149" s="717"/>
      <c r="AW149" s="699"/>
      <c r="AX149" s="699"/>
      <c r="AY149" s="699"/>
      <c r="AZ149" s="699"/>
      <c r="BA149" s="699"/>
      <c r="BB149" s="698"/>
      <c r="BC149" s="711"/>
      <c r="BE149" s="721">
        <f>_xll.xlDateShiftMonth(BE148,1)</f>
        <v>47389</v>
      </c>
      <c r="BF149" s="722">
        <v>2.2284681210152295E-2</v>
      </c>
    </row>
    <row r="150" spans="1:58">
      <c r="A150" s="10"/>
      <c r="B150" s="11"/>
      <c r="C150" s="12"/>
      <c r="D150" s="735">
        <f>MAX(_xll.xlDateSettle("TARGET",$D$4,2),L150)</f>
        <v>43164</v>
      </c>
      <c r="E150" s="733" t="s">
        <v>587</v>
      </c>
      <c r="F150" s="13" t="s">
        <v>1359</v>
      </c>
      <c r="G150" s="35">
        <v>43938</v>
      </c>
      <c r="H150" s="37">
        <v>0</v>
      </c>
      <c r="I150" s="11">
        <v>43938</v>
      </c>
      <c r="J150" s="11">
        <v>42027</v>
      </c>
      <c r="K150" s="11">
        <v>42477</v>
      </c>
      <c r="L150" s="11">
        <v>42027</v>
      </c>
      <c r="M150" s="12">
        <v>99.81</v>
      </c>
      <c r="N150" s="12" t="s">
        <v>1466</v>
      </c>
      <c r="O150" s="12" t="s">
        <v>1203</v>
      </c>
      <c r="P150" s="12" t="s">
        <v>1467</v>
      </c>
      <c r="Q150" s="15">
        <v>20000000000</v>
      </c>
      <c r="R150" s="12"/>
      <c r="S150" s="43">
        <f>_xll.RtGet("IDN",$N150,IF(OR($G150="BTP,$E11=""CTZ"),S$10,S$9))</f>
        <v>101.172</v>
      </c>
      <c r="T150" s="43">
        <f>_xll.RtGet("IDN",$N150,IF(OR($G150="BTP,$E11=""CTZ"),T$10,T$9))</f>
        <v>101.19200000000001</v>
      </c>
      <c r="U150" s="25">
        <f t="shared" si="21"/>
        <v>101.182</v>
      </c>
      <c r="V150" s="12"/>
      <c r="W150" s="25">
        <f t="shared" si="22"/>
        <v>101.182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2.1205479452054794</v>
      </c>
      <c r="Z150" s="14">
        <v>-2.1323312518316664</v>
      </c>
      <c r="AA150" s="14">
        <v>6.6172715331206597E-2</v>
      </c>
      <c r="AB150" s="14">
        <v>6.6910166026172932E-2</v>
      </c>
      <c r="AC150" s="14">
        <v>2.1575354543287517</v>
      </c>
      <c r="AD150" s="34">
        <v>-5.5260208552843993E-3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-0.88917015963954782</v>
      </c>
      <c r="AI150" s="14">
        <v>2.1306473119902587</v>
      </c>
      <c r="AJ150" s="14">
        <v>2.1558315632179834</v>
      </c>
      <c r="AK150" s="246">
        <v>-0.4124488085295005</v>
      </c>
      <c r="AL150" s="213">
        <f>IF(U150&gt;0,_xll.xlBondZSpread(F150,H150,G150,J150,K150,L150,M150,D150,U150,"annual",5)*100,"-")</f>
        <v>-41.478968975055622</v>
      </c>
      <c r="AM150" s="266">
        <f>(-IF($AL$9="",VLOOKUP(VLOOKUP(E150,'DB Basis'!$D$2:$H$65205,4,0),Bonds!$AR$1:$AS$6,2,0),$AL$9)*VLOOKUP(E150,'DB Basis'!$D$2:$E$65205,2,0))+IF(V150="",W150,V150)</f>
        <v>2.0935581600000006</v>
      </c>
      <c r="AN150" s="275" t="str">
        <f>IF($AN$9+(($AL$9-$AM$9))*('DB Basis'!F310/10-'DB Basis'!E310),," ")</f>
        <v xml:space="preserve"> </v>
      </c>
      <c r="AO150" s="648">
        <f>IF(U150&gt;0,_xll.xlShmImplSwap2(curveName,curveName,D150,G150,,1,8,2,4),"-")</f>
        <v>-1.3797253647958418E-3</v>
      </c>
      <c r="AP150" s="649">
        <f t="shared" si="17"/>
        <v>-4.1462954904885573E-3</v>
      </c>
      <c r="AQ150" s="391">
        <f t="shared" si="18"/>
        <v>-5.9992613272772983</v>
      </c>
      <c r="AR150" s="391">
        <f t="shared" si="19"/>
        <v>-29.172978194848266</v>
      </c>
      <c r="AS150" s="393"/>
      <c r="AT150" s="242">
        <f t="shared" si="20"/>
        <v>-0.54503219394585856</v>
      </c>
      <c r="AU150" s="701" t="str">
        <f t="shared" si="16"/>
        <v>EURO12M  17-Apr-20  0</v>
      </c>
      <c r="AV150" s="717"/>
      <c r="AW150" s="699"/>
      <c r="AX150" s="699"/>
      <c r="AY150" s="699"/>
      <c r="AZ150" s="699"/>
      <c r="BA150" s="699"/>
      <c r="BB150" s="698"/>
      <c r="BC150" s="711"/>
      <c r="BE150" s="721">
        <f>_xll.xlDateShiftMonth(BE149,1)</f>
        <v>47419</v>
      </c>
      <c r="BF150" s="722">
        <v>2.2371080329669116E-2</v>
      </c>
    </row>
    <row r="151" spans="1:58">
      <c r="A151" s="10"/>
      <c r="B151" s="11"/>
      <c r="C151" s="12"/>
      <c r="D151" s="735">
        <f>MAX(_xll.xlDateSettle("TARGET",$D$4,2),L151)</f>
        <v>43164</v>
      </c>
      <c r="E151" s="733" t="s">
        <v>661</v>
      </c>
      <c r="F151" s="13" t="s">
        <v>1438</v>
      </c>
      <c r="G151" s="35">
        <v>44016</v>
      </c>
      <c r="H151" s="37">
        <v>3</v>
      </c>
      <c r="I151" s="11">
        <v>44016</v>
      </c>
      <c r="J151" s="11">
        <v>40298</v>
      </c>
      <c r="K151" s="11">
        <v>40728</v>
      </c>
      <c r="L151" s="11">
        <v>40298</v>
      </c>
      <c r="M151" s="12">
        <v>98.95</v>
      </c>
      <c r="N151" s="12" t="s">
        <v>1468</v>
      </c>
      <c r="O151" s="12" t="s">
        <v>1203</v>
      </c>
      <c r="P151" s="12" t="s">
        <v>1469</v>
      </c>
      <c r="Q151" s="15">
        <v>22000000000</v>
      </c>
      <c r="R151" s="12"/>
      <c r="S151" s="43">
        <f>_xll.RtGet("IDN",$N151,IF(OR($G151="BTP,$E11=""CTZ"),S$10,S$9))</f>
        <v>108.30800000000001</v>
      </c>
      <c r="T151" s="43">
        <f>_xll.RtGet("IDN",$N151,IF(OR($G151="BTP,$E11=""CTZ"),T$10,T$9))</f>
        <v>108.337</v>
      </c>
      <c r="U151" s="25">
        <f t="shared" si="21"/>
        <v>108.32250000000001</v>
      </c>
      <c r="V151" s="12"/>
      <c r="W151" s="25">
        <f t="shared" si="22"/>
        <v>108.32250000000001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2.0054794520547947</v>
      </c>
      <c r="Y151" s="14">
        <v>2.2496390925838456</v>
      </c>
      <c r="Z151" s="14">
        <v>-2.2617828156002111</v>
      </c>
      <c r="AA151" s="14">
        <v>7.4401610411759411E-2</v>
      </c>
      <c r="AB151" s="14">
        <v>7.5207029526803956E-2</v>
      </c>
      <c r="AC151" s="14">
        <v>2.4953799253182751</v>
      </c>
      <c r="AD151" s="34">
        <v>-5.3693138886444017E-3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-1.110443784862893</v>
      </c>
      <c r="AI151" s="14">
        <v>2.1557311417138521</v>
      </c>
      <c r="AJ151" s="14">
        <v>2.3783746110716049</v>
      </c>
      <c r="AK151" s="246">
        <v>-0.46689187636533469</v>
      </c>
      <c r="AL151" s="213">
        <f>IF(U151&gt;0,_xll.xlBondZSpread(F151,H151,G151,J151,K151,L151,M151,D151,U151,"annual",5)*100,"-")</f>
        <v>-44.678293315167338</v>
      </c>
      <c r="AM151" s="266">
        <f>(-IF($AL$9="",VLOOKUP(VLOOKUP(E151,'DB Basis'!$D$2:$H$65205,4,0),Bonds!$AR$1:$AS$6,2,0),$AL$9)*VLOOKUP(E151,'DB Basis'!$D$2:$E$65205,2,0))+IF(V151="",W151,V151)</f>
        <v>-27.618184999999997</v>
      </c>
      <c r="AN151" s="275" t="str">
        <f>IF($AN$9+(($AL$9-$AM$9))*('DB Basis'!F311/10-'DB Basis'!E311),," ")</f>
        <v xml:space="preserve"> </v>
      </c>
      <c r="AO151" s="648">
        <f>IF(U151&gt;0,_xll.xlShmImplSwap2(curveName,curveName,D151,G151,,1,8,2,4),"-")</f>
        <v>-8.4581473809615187E-4</v>
      </c>
      <c r="AP151" s="649">
        <f t="shared" si="17"/>
        <v>-4.5234991505482495E-3</v>
      </c>
      <c r="AQ151" s="391">
        <f t="shared" si="18"/>
        <v>7.3330824132819377</v>
      </c>
      <c r="AR151" s="391">
        <f t="shared" si="19"/>
        <v>-17.651196913049699</v>
      </c>
      <c r="AS151" s="393"/>
      <c r="AT151" s="242">
        <f t="shared" si="20"/>
        <v>-0.52957616435944788</v>
      </c>
      <c r="AU151" s="701" t="str">
        <f t="shared" si="16"/>
        <v>BUND  04-Jul-20  3</v>
      </c>
      <c r="AV151" s="717"/>
      <c r="AW151" s="699"/>
      <c r="AX151" s="699"/>
      <c r="AY151" s="699"/>
      <c r="AZ151" s="699"/>
      <c r="BA151" s="699"/>
      <c r="BB151" s="698"/>
      <c r="BC151" s="711"/>
      <c r="BE151" s="721">
        <f>_xll.xlDateShiftMonth(BE150,1)</f>
        <v>47450</v>
      </c>
      <c r="BF151" s="722">
        <v>2.2456385641271243E-2</v>
      </c>
    </row>
    <row r="152" spans="1:58">
      <c r="A152" s="10"/>
      <c r="B152" s="11"/>
      <c r="C152" s="12"/>
      <c r="D152" s="735">
        <f>MAX(_xll.xlDateSettle("TARGET",$D$4,2),L152)</f>
        <v>43164</v>
      </c>
      <c r="E152" s="733" t="s">
        <v>662</v>
      </c>
      <c r="F152" s="13" t="s">
        <v>1438</v>
      </c>
      <c r="G152" s="35">
        <v>44078</v>
      </c>
      <c r="H152" s="37">
        <v>2.25</v>
      </c>
      <c r="I152" s="11">
        <v>44078</v>
      </c>
      <c r="J152" s="11">
        <v>40410</v>
      </c>
      <c r="K152" s="11">
        <v>40790</v>
      </c>
      <c r="L152" s="11">
        <v>40410</v>
      </c>
      <c r="M152" s="12">
        <v>98.97</v>
      </c>
      <c r="N152" s="12" t="s">
        <v>1470</v>
      </c>
      <c r="O152" s="12" t="s">
        <v>1203</v>
      </c>
      <c r="P152" s="12" t="s">
        <v>1471</v>
      </c>
      <c r="Q152" s="15">
        <v>16000000000</v>
      </c>
      <c r="R152" s="12"/>
      <c r="S152" s="43">
        <f>_xll.RtGet("IDN",$N152,IF(OR($G152="BTP,$E11=""CTZ"),S$10,S$9))</f>
        <v>106.94200000000001</v>
      </c>
      <c r="T152" s="43">
        <f>_xll.RtGet("IDN",$N152,IF(OR($G152="BTP,$E11=""CTZ"),T$10,T$9))</f>
        <v>106.962</v>
      </c>
      <c r="U152" s="25">
        <f t="shared" si="21"/>
        <v>106.952</v>
      </c>
      <c r="V152" s="12"/>
      <c r="W152" s="25">
        <f t="shared" si="22"/>
        <v>106.952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1.1219178082191781</v>
      </c>
      <c r="Y152" s="14">
        <v>2.4386483342206291</v>
      </c>
      <c r="Z152" s="14">
        <v>-2.4510062497271408</v>
      </c>
      <c r="AA152" s="14">
        <v>8.4861854106912035E-2</v>
      </c>
      <c r="AB152" s="14">
        <v>8.572411276489629E-2</v>
      </c>
      <c r="AC152" s="14">
        <v>2.6488989386834305</v>
      </c>
      <c r="AD152" s="34">
        <v>-5.0421167429804611E-3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-1.1982921456952209</v>
      </c>
      <c r="AI152" s="14">
        <v>2.354997400596559</v>
      </c>
      <c r="AJ152" s="14">
        <v>2.5451379551064233</v>
      </c>
      <c r="AK152" s="246">
        <v>-0.47081618632539468</v>
      </c>
      <c r="AL152" s="213">
        <f>IF(U152&gt;0,_xll.xlBondZSpread(F152,H152,G152,J152,K152,L152,M152,D152,U152,"annual",5)*100,"-")</f>
        <v>-45.549674602752596</v>
      </c>
      <c r="AM152" s="266">
        <f>(-IF($AL$9="",VLOOKUP(VLOOKUP(E152,'DB Basis'!$D$2:$H$65205,4,0),Bonds!$AR$1:$AS$6,2,0),$AL$9)*VLOOKUP(E152,'DB Basis'!$D$2:$E$65205,2,0))+IF(V152="",W152,V152)</f>
        <v>-36.267222500000003</v>
      </c>
      <c r="AN152" s="275" t="str">
        <f>IF($AN$9+(($AL$9-$AM$9))*('DB Basis'!F312/10-'DB Basis'!E312),," ")</f>
        <v xml:space="preserve"> </v>
      </c>
      <c r="AO152" s="648">
        <f>IF(U152&gt;0,_xll.xlShmImplSwap2(curveName,curveName,D152,G152,,1,8,2,4),"-")</f>
        <v>-4.4620839505308803E-4</v>
      </c>
      <c r="AP152" s="649">
        <f t="shared" si="17"/>
        <v>-4.5959083479273728E-3</v>
      </c>
      <c r="AQ152" s="391">
        <f t="shared" si="18"/>
        <v>19.262412607635209</v>
      </c>
      <c r="AR152" s="391">
        <f t="shared" si="19"/>
        <v>-4.2627995231258078</v>
      </c>
      <c r="AS152" s="393"/>
      <c r="AT152" s="242">
        <f t="shared" si="20"/>
        <v>-0.49730466506108656</v>
      </c>
      <c r="AU152" s="701" t="str">
        <f t="shared" si="16"/>
        <v>BUND  04-Sep-20  2.25</v>
      </c>
      <c r="AV152" s="717"/>
      <c r="AW152" s="699"/>
      <c r="AX152" s="699"/>
      <c r="AY152" s="699"/>
      <c r="AZ152" s="699"/>
      <c r="BA152" s="699"/>
      <c r="BB152" s="698"/>
      <c r="BC152" s="711"/>
      <c r="BE152" s="721">
        <f>_xll.xlDateShiftMonth(BE151,1)</f>
        <v>47480</v>
      </c>
      <c r="BF152" s="722">
        <v>2.2538088223592923E-2</v>
      </c>
    </row>
    <row r="153" spans="1:58">
      <c r="A153" s="10"/>
      <c r="B153" s="11"/>
      <c r="C153" s="12"/>
      <c r="D153" s="735">
        <f>MAX(_xll.xlDateSettle("TARGET",$D$4,2),L153)</f>
        <v>43164</v>
      </c>
      <c r="E153" s="733" t="s">
        <v>763</v>
      </c>
      <c r="F153" s="13" t="s">
        <v>1438</v>
      </c>
      <c r="G153" s="35">
        <v>44120</v>
      </c>
      <c r="H153" s="37">
        <v>0.25</v>
      </c>
      <c r="I153" s="11">
        <v>44120</v>
      </c>
      <c r="J153" s="11">
        <v>42188</v>
      </c>
      <c r="K153" s="11">
        <v>42659</v>
      </c>
      <c r="L153" s="11">
        <v>42188</v>
      </c>
      <c r="M153" s="12">
        <v>100.43</v>
      </c>
      <c r="N153" s="12" t="s">
        <v>1472</v>
      </c>
      <c r="O153" s="12" t="s">
        <v>1203</v>
      </c>
      <c r="P153" s="12" t="s">
        <v>1473</v>
      </c>
      <c r="Q153" s="15">
        <v>19000000000</v>
      </c>
      <c r="R153" s="12"/>
      <c r="S153" s="43">
        <f>_xll.RtGet("IDN",$N153,IF(OR($G153="BTP,$E11=""CTZ"),S$10,S$9))</f>
        <v>101.911</v>
      </c>
      <c r="T153" s="43">
        <f>_xll.RtGet("IDN",$N153,IF(OR($G153="BTP,$E11=""CTZ"),T$10,T$9))</f>
        <v>101.941</v>
      </c>
      <c r="U153" s="25">
        <f t="shared" si="21"/>
        <v>101.926</v>
      </c>
      <c r="V153" s="12"/>
      <c r="W153" s="25">
        <f t="shared" si="22"/>
        <v>101.926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9.5890410958904104E-2</v>
      </c>
      <c r="Y153" s="14">
        <v>2.609053324167375</v>
      </c>
      <c r="Z153" s="14">
        <v>-2.6216288737868565</v>
      </c>
      <c r="AA153" s="14">
        <v>9.4284585230339127E-2</v>
      </c>
      <c r="AB153" s="14">
        <v>9.5195672741662546E-2</v>
      </c>
      <c r="AC153" s="14">
        <v>2.6746354152479057</v>
      </c>
      <c r="AD153" s="34">
        <v>-4.7968471935689282E-3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-1.2270663103088593</v>
      </c>
      <c r="AI153" s="14">
        <v>2.6088828918967648</v>
      </c>
      <c r="AJ153" s="14">
        <v>2.6616316449211728</v>
      </c>
      <c r="AK153" s="246">
        <v>-0.46102033414364429</v>
      </c>
      <c r="AL153" s="213">
        <f>IF(U153&gt;0,_xll.xlBondZSpread(F153,H153,G153,J153,K153,L153,M153,D153,U153,"annual",5)*100,"-")</f>
        <v>-46.213870760946165</v>
      </c>
      <c r="AM153" s="266">
        <f>(-IF($AL$9="",VLOOKUP(VLOOKUP(E153,'DB Basis'!$D$2:$H$65205,4,0),Bonds!$AR$1:$AS$6,2,0),$AL$9)*VLOOKUP(E153,'DB Basis'!$D$2:$E$65205,2,0))+IF(V153="",W153,V153)</f>
        <v>-41.629155000000011</v>
      </c>
      <c r="AN153" s="275" t="str">
        <f>IF($AN$9+(($AL$9-$AM$9))*('DB Basis'!F313/10-'DB Basis'!E313),," ")</f>
        <v xml:space="preserve"> </v>
      </c>
      <c r="AO153" s="648">
        <f>IF(U153&gt;0,_xll.xlShmImplSwap2(curveName,curveName,D153,G153,,1,8,2,4),"-")</f>
        <v>-1.6590753982841347E-4</v>
      </c>
      <c r="AP153" s="649">
        <f t="shared" si="17"/>
        <v>-4.6309396537405146E-3</v>
      </c>
      <c r="AQ153" s="391">
        <f t="shared" si="18"/>
        <v>21.315091794097508</v>
      </c>
      <c r="AR153" s="391">
        <f t="shared" si="19"/>
        <v>-3.0443872909039875</v>
      </c>
      <c r="AS153" s="393"/>
      <c r="AT153" s="242">
        <f t="shared" si="20"/>
        <v>-0.47311369580405865</v>
      </c>
      <c r="AU153" s="701" t="str">
        <f t="shared" si="16"/>
        <v>BUND  16-Oct-20  0.25</v>
      </c>
      <c r="AV153" s="717"/>
      <c r="AW153" s="699"/>
      <c r="AX153" s="699"/>
      <c r="AY153" s="699"/>
      <c r="AZ153" s="699"/>
      <c r="BA153" s="699"/>
      <c r="BB153" s="698"/>
      <c r="BC153" s="711"/>
      <c r="BE153" s="721">
        <f>_xll.xlDateShiftMonth(BE152,1)</f>
        <v>47511</v>
      </c>
      <c r="BF153" s="722">
        <v>2.2621679133068038E-2</v>
      </c>
    </row>
    <row r="154" spans="1:58">
      <c r="A154" s="10"/>
      <c r="B154" s="11"/>
      <c r="C154" s="12"/>
      <c r="D154" s="735">
        <f>MAX(_xll.xlDateSettle("TARGET",$D$4,2),L154)</f>
        <v>43164</v>
      </c>
      <c r="E154" s="733" t="s">
        <v>663</v>
      </c>
      <c r="F154" s="13" t="s">
        <v>1438</v>
      </c>
      <c r="G154" s="35">
        <v>44200</v>
      </c>
      <c r="H154" s="37">
        <v>2.5</v>
      </c>
      <c r="I154" s="11">
        <v>44200</v>
      </c>
      <c r="J154" s="11">
        <v>40508</v>
      </c>
      <c r="K154" s="11">
        <v>40912</v>
      </c>
      <c r="L154" s="11">
        <v>40508</v>
      </c>
      <c r="M154" s="12">
        <v>99.21</v>
      </c>
      <c r="N154" s="12" t="s">
        <v>1474</v>
      </c>
      <c r="O154" s="12" t="s">
        <v>1203</v>
      </c>
      <c r="P154" s="12" t="s">
        <v>1475</v>
      </c>
      <c r="Q154" s="15">
        <v>19000000000</v>
      </c>
      <c r="R154" s="12"/>
      <c r="S154" s="43">
        <f>_xll.RtGet("IDN",$N154,IF(OR($G154="BTP,$E11=""CTZ"),S$10,S$9))</f>
        <v>108.416</v>
      </c>
      <c r="T154" s="43">
        <f>_xll.RtGet("IDN",$N154,IF(OR($G154="BTP,$E11=""CTZ"),T$10,T$9))</f>
        <v>108.43600000000001</v>
      </c>
      <c r="U154" s="25">
        <f t="shared" si="21"/>
        <v>108.426</v>
      </c>
      <c r="V154" s="12"/>
      <c r="W154" s="25">
        <f t="shared" si="22"/>
        <v>108.426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0.41095890410958902</v>
      </c>
      <c r="Y154" s="14">
        <v>2.7663449465928203</v>
      </c>
      <c r="Z154" s="14">
        <v>-2.7787329231775022</v>
      </c>
      <c r="AA154" s="14">
        <v>0.10529594425167656</v>
      </c>
      <c r="AB154" s="14">
        <v>0.10624110788375676</v>
      </c>
      <c r="AC154" s="14">
        <v>3.0242895372850853</v>
      </c>
      <c r="AD154" s="34">
        <v>-4.4584660388975392E-3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-1.429968217196151</v>
      </c>
      <c r="AI154" s="14">
        <v>2.6493064071296204</v>
      </c>
      <c r="AJ154" s="14">
        <v>2.8834245255716073</v>
      </c>
      <c r="AK154" s="246">
        <v>-0.49592704942144178</v>
      </c>
      <c r="AL154" s="213">
        <f>IF(U154&gt;0,_xll.xlBondZSpread(F154,H154,G154,J154,K154,L154,M154,D154,U154,"annual",5)*100,"-")</f>
        <v>-47.66921666368836</v>
      </c>
      <c r="AM154" s="266">
        <f>(-IF($AL$9="",VLOOKUP(VLOOKUP(E154,'DB Basis'!$D$2:$H$65205,4,0),Bonds!$AR$1:$AS$6,2,0),$AL$9)*VLOOKUP(E154,'DB Basis'!$D$2:$E$65205,2,0))+IF(V154="",W154,V154)</f>
        <v>-53.381487500000006</v>
      </c>
      <c r="AN154" s="275" t="str">
        <f>IF($AN$9+(($AL$9-$AM$9))*('DB Basis'!F314/10-'DB Basis'!E314),," ")</f>
        <v xml:space="preserve"> </v>
      </c>
      <c r="AO154" s="648">
        <f>IF(U154&gt;0,_xll.xlShmImplSwap2(curveName,curveName,D154,G154,,1,8,2,4),"-")</f>
        <v>3.7303211901464718E-4</v>
      </c>
      <c r="AP154" s="649">
        <f t="shared" si="17"/>
        <v>-4.831498157912186E-3</v>
      </c>
      <c r="AQ154" s="391">
        <f t="shared" si="18"/>
        <v>15.438640181882123</v>
      </c>
      <c r="AR154" s="391">
        <f t="shared" si="19"/>
        <v>-9.1504817528325084</v>
      </c>
      <c r="AS154" s="393"/>
      <c r="AT154" s="242">
        <f t="shared" si="20"/>
        <v>-0.43973911616523675</v>
      </c>
      <c r="AU154" s="701" t="str">
        <f t="shared" si="16"/>
        <v>BUND  04-Jan-21  2.5</v>
      </c>
      <c r="AV154" s="717"/>
      <c r="AW154" s="699"/>
      <c r="AX154" s="699"/>
      <c r="AY154" s="699"/>
      <c r="AZ154" s="699"/>
      <c r="BA154" s="699"/>
      <c r="BB154" s="698"/>
      <c r="BC154" s="711"/>
      <c r="BE154" s="721">
        <f>_xll.xlDateShiftMonth(BE153,1)</f>
        <v>47542</v>
      </c>
      <c r="BF154" s="722">
        <v>2.2704421117091318E-2</v>
      </c>
    </row>
    <row r="155" spans="1:58">
      <c r="A155" s="10"/>
      <c r="B155" s="11"/>
      <c r="C155" s="12"/>
      <c r="D155" s="735">
        <f>MAX(_xll.xlDateSettle("TARGET",$D$4,2),L155)</f>
        <v>43164</v>
      </c>
      <c r="E155" s="733" t="s">
        <v>816</v>
      </c>
      <c r="F155" s="13" t="s">
        <v>1438</v>
      </c>
      <c r="G155" s="35">
        <v>44295</v>
      </c>
      <c r="H155" s="37">
        <v>0</v>
      </c>
      <c r="I155" s="11">
        <v>44295</v>
      </c>
      <c r="J155" s="11">
        <v>42405</v>
      </c>
      <c r="K155" s="11">
        <v>42834</v>
      </c>
      <c r="L155" s="11">
        <v>42405</v>
      </c>
      <c r="M155" s="12">
        <v>101.24</v>
      </c>
      <c r="N155" s="12" t="s">
        <v>621</v>
      </c>
      <c r="O155" s="12" t="s">
        <v>1222</v>
      </c>
      <c r="P155" s="12" t="s">
        <v>1476</v>
      </c>
      <c r="Q155" s="15">
        <v>21000000000</v>
      </c>
      <c r="R155" s="12"/>
      <c r="S155" s="43">
        <f>_xll.BDP(E155&amp;"@cbbt Corp",$S$10)</f>
        <v>101.199</v>
      </c>
      <c r="T155" s="43">
        <f>_xll.BDP(E155&amp;"@cbbt Corp",$T$10)</f>
        <v>101.232</v>
      </c>
      <c r="U155" s="25">
        <f t="shared" si="21"/>
        <v>101.21549999999999</v>
      </c>
      <c r="V155" s="12"/>
      <c r="W155" s="25">
        <f t="shared" si="22"/>
        <v>101.21549999999999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0</v>
      </c>
      <c r="Y155" s="14">
        <v>3.1416666666666666</v>
      </c>
      <c r="Z155" s="14">
        <v>-3.1537716478181541</v>
      </c>
      <c r="AA155" s="14">
        <v>0.13011736111111111</v>
      </c>
      <c r="AB155" s="14">
        <v>0.13112198876581097</v>
      </c>
      <c r="AC155" s="14">
        <v>3.1921058572038419</v>
      </c>
      <c r="AD155" s="34">
        <v>-3.838255691415088E-3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-1.5131004241782762</v>
      </c>
      <c r="AI155" s="14">
        <v>3.1085089948237465</v>
      </c>
      <c r="AJ155" s="14">
        <v>3.1462929216558293</v>
      </c>
      <c r="AK155" s="246">
        <v>-0.48091530631609547</v>
      </c>
      <c r="AL155" s="213">
        <f>IF(U155&gt;0,_xll.xlBondZSpread(F155,H155,G155,J155,K155,L155,M155,D155,U155,"annual",5)*100,"-")</f>
        <v>-48.535746124881932</v>
      </c>
      <c r="AM155" s="266">
        <f>(-IF($AL$9="",VLOOKUP(VLOOKUP(E155,'DB Basis'!$D$2:$H$65205,4,0),Bonds!$AR$1:$AS$6,2,0),$AL$9)*VLOOKUP(E155,'DB Basis'!$D$2:$E$65205,2,0))+IF(V155="",W155,V155)</f>
        <v>31.205429999999978</v>
      </c>
      <c r="AN155" s="275" t="str">
        <f>IF($AN$9+(($AL$9-$AM$9))*('DB Basis'!F315/10-'DB Basis'!E315),," ")</f>
        <v xml:space="preserve"> </v>
      </c>
      <c r="AO155" s="648">
        <f>IF(U155&gt;0,_xll.xlShmImplSwap2(curveName,curveName,D155,G155,,1,8,2,4),"-")</f>
        <v>9.5935783366832847E-4</v>
      </c>
      <c r="AP155" s="649">
        <f t="shared" si="17"/>
        <v>-4.7976135250834169E-3</v>
      </c>
      <c r="AQ155" s="391">
        <f t="shared" si="18"/>
        <v>23.829134403273127</v>
      </c>
      <c r="AR155" s="391">
        <f t="shared" si="19"/>
        <v>1.3018832613158644</v>
      </c>
      <c r="AS155" s="393"/>
      <c r="AT155" s="242">
        <f t="shared" si="20"/>
        <v>-0.378567684632721</v>
      </c>
      <c r="AU155" s="701" t="str">
        <f t="shared" si="16"/>
        <v>BUND  09-Apr-21  0</v>
      </c>
      <c r="AV155" s="717"/>
      <c r="AW155" s="699"/>
      <c r="AX155" s="699"/>
      <c r="AY155" s="699"/>
      <c r="AZ155" s="699"/>
      <c r="BA155" s="699"/>
      <c r="BB155" s="698"/>
      <c r="BC155" s="711"/>
      <c r="BE155" s="721">
        <f>_xll.xlDateShiftMonth(BE154,1)</f>
        <v>47570</v>
      </c>
      <c r="BF155" s="722">
        <v>2.2778426022431034E-2</v>
      </c>
    </row>
    <row r="156" spans="1:58">
      <c r="A156" s="10"/>
      <c r="B156" s="11"/>
      <c r="C156" s="12"/>
      <c r="D156" s="735">
        <f>MAX(_xll.xlDateSettle("TARGET",$D$4,2),L156)</f>
        <v>43164</v>
      </c>
      <c r="E156" s="733" t="s">
        <v>664</v>
      </c>
      <c r="F156" s="13" t="s">
        <v>1438</v>
      </c>
      <c r="G156" s="35">
        <v>44381</v>
      </c>
      <c r="H156" s="37">
        <v>3.25</v>
      </c>
      <c r="I156" s="11">
        <v>44381</v>
      </c>
      <c r="J156" s="11">
        <v>40662</v>
      </c>
      <c r="K156" s="11">
        <v>41094</v>
      </c>
      <c r="L156" s="11">
        <v>40662</v>
      </c>
      <c r="M156" s="12">
        <v>99.72</v>
      </c>
      <c r="N156" s="12" t="s">
        <v>1477</v>
      </c>
      <c r="O156" s="12" t="s">
        <v>1203</v>
      </c>
      <c r="P156" s="12" t="s">
        <v>1478</v>
      </c>
      <c r="Q156" s="15">
        <v>19000000000</v>
      </c>
      <c r="R156" s="12"/>
      <c r="S156" s="43">
        <f>_xll.BDP(E156&amp;"@cbbt Corp",$S$10)</f>
        <v>112.053</v>
      </c>
      <c r="T156" s="43">
        <f>_xll.BDP(E156&amp;"@cbbt Corp",$T$10)</f>
        <v>112.087</v>
      </c>
      <c r="U156" s="25">
        <f t="shared" si="21"/>
        <v>112.07</v>
      </c>
      <c r="V156" s="12"/>
      <c r="W156" s="25">
        <f t="shared" si="22"/>
        <v>112.07</v>
      </c>
      <c r="X156" s="14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2.1726027397260275</v>
      </c>
      <c r="Y156" s="14">
        <v>3.1602261319882428</v>
      </c>
      <c r="Z156" s="14">
        <v>-3.171183770097195</v>
      </c>
      <c r="AA156" s="14">
        <v>0.1351724362544357</v>
      </c>
      <c r="AB156" s="14">
        <v>0.13611144406709749</v>
      </c>
      <c r="AC156" s="14">
        <v>3.6228430144326751</v>
      </c>
      <c r="AD156" s="34">
        <v>-3.4553778357545514E-3</v>
      </c>
      <c r="AE156" s="12"/>
      <c r="AF156" s="12"/>
      <c r="AG156" s="12"/>
      <c r="AH156" s="14">
        <f t="array" ref="AH156:AK156">_xll.xlBondLiborSpread(F156,H156,I156,J156,K156,L156,M156,D156,D156,W156,1,$AH$10&amp;$AI$10&amp;$AJ$10&amp;$AK$10)</f>
        <v>-1.7150641271685472</v>
      </c>
      <c r="AI156" s="14">
        <v>2.9643809497559195</v>
      </c>
      <c r="AJ156" s="14">
        <v>3.3865859521217727</v>
      </c>
      <c r="AK156" s="246">
        <v>-0.50642864271435939</v>
      </c>
      <c r="AL156" s="213">
        <f>IF(U156&gt;0,_xll.xlBondZSpread(F156,H156,G156,J156,K156,L156,M156,D156,U156,"annual",5)*100,"-")</f>
        <v>-47.754476204292956</v>
      </c>
      <c r="AM156" s="266">
        <f>(-IF($AL$9="",VLOOKUP(VLOOKUP(E156,'DB Basis'!$D$2:$H$65205,4,0),Bonds!$AR$1:$AS$6,2,0),$AL$9)*VLOOKUP(E156,'DB Basis'!$D$2:$E$65205,2,0))+IF(V156="",W156,V156)</f>
        <v>31.440424999999976</v>
      </c>
      <c r="AN156" s="275" t="str">
        <f>IF($AN$9+(($AL$9-$AM$9))*('DB Basis'!F316/10-'DB Basis'!E316),," ")</f>
        <v xml:space="preserve"> </v>
      </c>
      <c r="AO156" s="648">
        <f>IF(U156&gt;0,_xll.xlShmImplSwap2(curveName,curveName,D156,G156,,1,8,2,4),"-")</f>
        <v>1.4355670071153237E-3</v>
      </c>
      <c r="AP156" s="649">
        <f t="shared" si="17"/>
        <v>-4.890944842869875E-3</v>
      </c>
      <c r="AQ156" s="391">
        <f t="shared" si="18"/>
        <v>16.250048525127426</v>
      </c>
      <c r="AR156" s="391">
        <f t="shared" si="19"/>
        <v>-3.9611547665182778</v>
      </c>
      <c r="AS156" s="393"/>
      <c r="AT156" s="242">
        <f t="shared" si="20"/>
        <v>-0.34080438927990098</v>
      </c>
      <c r="AU156" s="701" t="str">
        <f t="shared" si="16"/>
        <v>BUND  04-Jul-21  3.25</v>
      </c>
      <c r="AV156" s="717"/>
      <c r="AW156" s="699"/>
      <c r="AX156" s="699"/>
      <c r="AY156" s="699"/>
      <c r="AZ156" s="699"/>
      <c r="BA156" s="699"/>
      <c r="BB156" s="698"/>
      <c r="BC156" s="711"/>
      <c r="BE156" s="721">
        <f>_xll.xlDateShiftMonth(BE155,1)</f>
        <v>47601</v>
      </c>
      <c r="BF156" s="722">
        <v>2.2859551909819517E-2</v>
      </c>
    </row>
    <row r="157" spans="1:58">
      <c r="A157" s="10"/>
      <c r="B157" s="11"/>
      <c r="C157" s="12"/>
      <c r="D157" s="735">
        <f>MAX(_xll.xlDateSettle("TARGET",$D$4,2),L157)</f>
        <v>43164</v>
      </c>
      <c r="E157" s="733" t="s">
        <v>665</v>
      </c>
      <c r="F157" s="13" t="s">
        <v>1438</v>
      </c>
      <c r="G157" s="35">
        <v>44443</v>
      </c>
      <c r="H157" s="37">
        <v>2.25</v>
      </c>
      <c r="I157" s="11">
        <v>44443</v>
      </c>
      <c r="J157" s="11">
        <v>40781</v>
      </c>
      <c r="K157" s="11">
        <v>41156</v>
      </c>
      <c r="L157" s="11">
        <v>40781</v>
      </c>
      <c r="M157" s="12">
        <v>100.88</v>
      </c>
      <c r="N157" s="12" t="s">
        <v>1479</v>
      </c>
      <c r="O157" s="12" t="s">
        <v>1203</v>
      </c>
      <c r="P157" s="12" t="s">
        <v>1480</v>
      </c>
      <c r="Q157" s="15">
        <v>16000000000</v>
      </c>
      <c r="R157" s="12"/>
      <c r="S157" s="43">
        <f>_xll.RtGet("IDN",$N157,IF(OR($G157="BTP,$E11=""CTZ"),S$10,S$9))</f>
        <v>108.98700000000001</v>
      </c>
      <c r="T157" s="43">
        <f>_xll.RtGet("IDN",$N157,IF(OR($G157="BTP,$E11=""CTZ"),T$10,T$9))</f>
        <v>109.017</v>
      </c>
      <c r="U157" s="25">
        <f t="shared" si="21"/>
        <v>109.00200000000001</v>
      </c>
      <c r="V157" s="12"/>
      <c r="W157" s="25">
        <f t="shared" si="22"/>
        <v>109.00200000000001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1.1219178082191781</v>
      </c>
      <c r="Y157" s="14">
        <v>3.3783447558098207</v>
      </c>
      <c r="Z157" s="14">
        <v>-3.3886199812080195</v>
      </c>
      <c r="AA157" s="14">
        <v>0.1506327374192028</v>
      </c>
      <c r="AB157" s="14">
        <v>0.15155042891227649</v>
      </c>
      <c r="AC157" s="14">
        <v>3.7316812357239826</v>
      </c>
      <c r="AD157" s="34">
        <v>-3.0322743346493965E-3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-1.7463875732718332</v>
      </c>
      <c r="AI157" s="14">
        <v>3.2329575485244479</v>
      </c>
      <c r="AJ157" s="14">
        <v>3.560259513511681</v>
      </c>
      <c r="AK157" s="246">
        <v>-0.4905225494501308</v>
      </c>
      <c r="AL157" s="213">
        <f>IF(U157&gt;0,_xll.xlBondZSpread(F157,H157,G157,J157,K157,L157,M157,D157,U157,"annual",5)*100,"-")</f>
        <v>-47.191401490031794</v>
      </c>
      <c r="AM157" s="266">
        <f>(-IF($AL$9="",VLOOKUP(VLOOKUP(E157,'DB Basis'!$D$2:$H$65205,4,0),Bonds!$AR$1:$AS$6,2,0),$AL$9)*VLOOKUP(E157,'DB Basis'!$D$2:$E$65205,2,0))+IF(V157="",W157,V157)</f>
        <v>26.405850000000001</v>
      </c>
      <c r="AN157" s="275" t="str">
        <f>IF($AN$9+(($AL$9-$AM$9))*('DB Basis'!F317/10-'DB Basis'!E317),," ")</f>
        <v xml:space="preserve"> </v>
      </c>
      <c r="AO157" s="648">
        <f>IF(U157&gt;0,_xll.xlShmImplSwap2(curveName,curveName,D157,G157,,1,8,2,4),"-")</f>
        <v>1.7773396520090736E-3</v>
      </c>
      <c r="AP157" s="649">
        <f t="shared" si="17"/>
        <v>-4.8096139866584701E-3</v>
      </c>
      <c r="AQ157" s="391">
        <f t="shared" si="18"/>
        <v>24.908512565061542</v>
      </c>
      <c r="AR157" s="391">
        <f t="shared" si="19"/>
        <v>4.7880262124456081</v>
      </c>
      <c r="AS157" s="393"/>
      <c r="AT157" s="242">
        <f t="shared" si="20"/>
        <v>-0.29907363300651585</v>
      </c>
      <c r="AU157" s="701" t="str">
        <f t="shared" si="16"/>
        <v>BUND  04-Sep-21  2.25</v>
      </c>
      <c r="AV157" s="717"/>
      <c r="AW157" s="699"/>
      <c r="AX157" s="699"/>
      <c r="AY157" s="699"/>
      <c r="AZ157" s="699"/>
      <c r="BA157" s="699"/>
      <c r="BB157" s="698"/>
      <c r="BC157" s="711"/>
      <c r="BE157" s="721">
        <f>_xll.xlDateShiftMonth(BE156,1)</f>
        <v>47631</v>
      </c>
      <c r="BF157" s="722">
        <v>2.293725214445215E-2</v>
      </c>
    </row>
    <row r="158" spans="1:58">
      <c r="A158" s="10"/>
      <c r="B158" s="11"/>
      <c r="C158" s="12"/>
      <c r="D158" s="735">
        <f>MAX(_xll.xlDateSettle("TARGET",$D$4,2),L158)</f>
        <v>43164</v>
      </c>
      <c r="E158" s="733" t="s">
        <v>904</v>
      </c>
      <c r="F158" s="13" t="s">
        <v>1438</v>
      </c>
      <c r="G158" s="35">
        <v>44477</v>
      </c>
      <c r="H158" s="37">
        <v>0</v>
      </c>
      <c r="I158" s="11">
        <v>44477</v>
      </c>
      <c r="J158" s="11">
        <v>42573</v>
      </c>
      <c r="K158" s="11">
        <v>43016</v>
      </c>
      <c r="L158" s="11">
        <v>42573</v>
      </c>
      <c r="M158" s="12">
        <v>102.71</v>
      </c>
      <c r="N158" s="12" t="s">
        <v>1481</v>
      </c>
      <c r="O158" s="12" t="s">
        <v>1203</v>
      </c>
      <c r="P158" s="12" t="s">
        <v>1482</v>
      </c>
      <c r="Q158" s="15">
        <v>19000000000</v>
      </c>
      <c r="R158" s="12"/>
      <c r="S158" s="43">
        <f>_xll.BDP(E158&amp;"@cbbt Corp",$S$10)</f>
        <v>101.02</v>
      </c>
      <c r="T158" s="43">
        <f>_xll.BDP(E158&amp;"@cbbt Corp",$T$10)</f>
        <v>101.05200000000001</v>
      </c>
      <c r="U158" s="25">
        <f t="shared" si="21"/>
        <v>101.036</v>
      </c>
      <c r="V158" s="12"/>
      <c r="W158" s="25">
        <f t="shared" si="22"/>
        <v>101.036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0</v>
      </c>
      <c r="Y158" s="14">
        <v>3.6472222222222217</v>
      </c>
      <c r="Z158" s="14">
        <v>-3.6575435012895094</v>
      </c>
      <c r="AA158" s="14">
        <v>0.16949452160493825</v>
      </c>
      <c r="AB158" s="14">
        <v>0.17045518452383424</v>
      </c>
      <c r="AC158" s="14">
        <v>3.6954358150509847</v>
      </c>
      <c r="AD158" s="34">
        <v>-2.8219157453576215E-3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-1.7358549655484836</v>
      </c>
      <c r="AI158" s="14">
        <v>3.6109106954320325</v>
      </c>
      <c r="AJ158" s="14">
        <v>3.6483197302367083</v>
      </c>
      <c r="AK158" s="246">
        <v>-0.47579573444782997</v>
      </c>
      <c r="AL158" s="213">
        <f>IF(U158&gt;0,_xll.xlBondZSpread(F158,H158,G158,J158,K158,L158,M158,D158,U158,"annual",5)*100,"-")</f>
        <v>-48.151166985830073</v>
      </c>
      <c r="AM158" s="266">
        <f>(-IF($AL$9="",VLOOKUP(VLOOKUP(E158,'DB Basis'!$D$2:$H$65205,4,0),Bonds!$AR$1:$AS$6,2,0),$AL$9)*VLOOKUP(E158,'DB Basis'!$D$2:$E$65205,2,0))+IF(V158="",W158,V158)</f>
        <v>20.799739999999986</v>
      </c>
      <c r="AN158" s="275" t="str">
        <f>IF($AN$9+(($AL$9-$AM$9))*('DB Basis'!F318/10-'DB Basis'!E318),," ")</f>
        <v xml:space="preserve"> </v>
      </c>
      <c r="AO158" s="648">
        <f>IF(U158&gt;0,_xll.xlShmImplSwap2(curveName,curveName,D158,G158,,1,8,2,4),"-")</f>
        <v>1.9479752638580849E-3</v>
      </c>
      <c r="AP158" s="649">
        <f t="shared" si="17"/>
        <v>-4.7698910092157064E-3</v>
      </c>
      <c r="AQ158" s="391">
        <f t="shared" si="18"/>
        <v>22.582613262205257</v>
      </c>
      <c r="AR158" s="391">
        <f t="shared" si="19"/>
        <v>4.2643784607672828</v>
      </c>
      <c r="AS158" s="393"/>
      <c r="AT158" s="242">
        <f t="shared" si="20"/>
        <v>-0.27832593652842291</v>
      </c>
      <c r="AU158" s="701" t="str">
        <f t="shared" si="16"/>
        <v>BUND  08-Oct-21  0</v>
      </c>
      <c r="AV158" s="717"/>
      <c r="AW158" s="699"/>
      <c r="AX158" s="699"/>
      <c r="AY158" s="699"/>
      <c r="AZ158" s="699"/>
      <c r="BA158" s="699"/>
      <c r="BB158" s="698"/>
      <c r="BC158" s="711"/>
      <c r="BE158" s="721">
        <f>_xll.xlDateShiftMonth(BE157,1)</f>
        <v>47662</v>
      </c>
      <c r="BF158" s="722">
        <v>2.3016706601122549E-2</v>
      </c>
    </row>
    <row r="159" spans="1:58">
      <c r="A159" s="10"/>
      <c r="B159" s="11"/>
      <c r="C159" s="12"/>
      <c r="D159" s="735">
        <f>MAX(_xll.xlDateSettle("TARGET",$D$4,2),L159)</f>
        <v>43164</v>
      </c>
      <c r="E159" s="733" t="s">
        <v>666</v>
      </c>
      <c r="F159" s="13" t="s">
        <v>1438</v>
      </c>
      <c r="G159" s="35">
        <v>44565</v>
      </c>
      <c r="H159" s="37">
        <v>2</v>
      </c>
      <c r="I159" s="11">
        <v>44565</v>
      </c>
      <c r="J159" s="11">
        <v>40872</v>
      </c>
      <c r="K159" s="11">
        <v>41278</v>
      </c>
      <c r="L159" s="11">
        <v>40872</v>
      </c>
      <c r="M159" s="12">
        <v>100.15</v>
      </c>
      <c r="N159" s="12" t="s">
        <v>1483</v>
      </c>
      <c r="O159" s="12" t="s">
        <v>1203</v>
      </c>
      <c r="P159" s="12" t="s">
        <v>1484</v>
      </c>
      <c r="Q159" s="15">
        <v>20000000000</v>
      </c>
      <c r="R159" s="12"/>
      <c r="S159" s="43">
        <f>_xll.RtGet("IDN",$N159,IF(OR($G159="BTP,$E11=""CTZ"),S$10,S$9))</f>
        <v>108.651</v>
      </c>
      <c r="T159" s="43">
        <f>_xll.RtGet("IDN",$N159,IF(OR($G159="BTP,$E11=""CTZ"),T$10,T$9))</f>
        <v>108.67100000000001</v>
      </c>
      <c r="U159" s="25">
        <f t="shared" si="21"/>
        <v>108.661</v>
      </c>
      <c r="V159" s="12"/>
      <c r="W159" s="25">
        <f t="shared" si="22"/>
        <v>108.661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0.32876712328767121</v>
      </c>
      <c r="Y159" s="14">
        <v>3.7251083209946207</v>
      </c>
      <c r="Z159" s="14">
        <v>-3.7342430115445393</v>
      </c>
      <c r="AA159" s="14">
        <v>0.1784703010385412</v>
      </c>
      <c r="AB159" s="14">
        <v>0.1793466620474197</v>
      </c>
      <c r="AC159" s="14">
        <v>4.0699429518078034</v>
      </c>
      <c r="AD159" s="34">
        <v>-2.4461960623473229E-3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-1.9276721704218116</v>
      </c>
      <c r="AI159" s="14">
        <v>3.5693436041645117</v>
      </c>
      <c r="AJ159" s="14">
        <v>3.8902192820088644</v>
      </c>
      <c r="AK159" s="246">
        <v>-0.4955176124227082</v>
      </c>
      <c r="AL159" s="213">
        <f>IF(U159&gt;0,_xll.xlBondZSpread(F159,H159,G159,J159,K159,L159,M159,D159,U159,"annual",5)*100,"-")</f>
        <v>-47.880578823856574</v>
      </c>
      <c r="AM159" s="266">
        <f>(-IF($AL$9="",VLOOKUP(VLOOKUP(E159,'DB Basis'!$D$2:$H$65205,4,0),Bonds!$AR$1:$AS$6,2,0),$AL$9)*VLOOKUP(E159,'DB Basis'!$D$2:$E$65205,2,0))+IF(V159="",W159,V159)</f>
        <v>19.116284999999976</v>
      </c>
      <c r="AN159" s="275" t="str">
        <f>IF($AN$9+(($AL$9-$AM$9))*('DB Basis'!F319/10-'DB Basis'!E319),," ")</f>
        <v xml:space="preserve"> </v>
      </c>
      <c r="AO159" s="648">
        <f>IF(U159&gt;0,_xll.xlShmImplSwap2(curveName,curveName,D159,G159,,1,8,2,4),"-")</f>
        <v>2.4308118224557083E-3</v>
      </c>
      <c r="AP159" s="649">
        <f t="shared" si="17"/>
        <v>-4.8770078848030312E-3</v>
      </c>
      <c r="AQ159" s="391">
        <f t="shared" si="18"/>
        <v>15.583827761222611</v>
      </c>
      <c r="AR159" s="391">
        <f t="shared" si="19"/>
        <v>-4.4429158624288148</v>
      </c>
      <c r="AS159" s="393"/>
      <c r="AT159" s="242">
        <f t="shared" si="20"/>
        <v>-0.24126865272466747</v>
      </c>
      <c r="AU159" s="701" t="str">
        <f t="shared" si="16"/>
        <v>BUND  04-Jan-22  2</v>
      </c>
      <c r="AV159" s="717"/>
      <c r="AW159" s="699"/>
      <c r="AX159" s="699"/>
      <c r="AY159" s="699"/>
      <c r="AZ159" s="699"/>
      <c r="BA159" s="699"/>
      <c r="BB159" s="698"/>
      <c r="BC159" s="711"/>
      <c r="BE159" s="721">
        <f>_xll.xlDateShiftMonth(BE158,1)</f>
        <v>47692</v>
      </c>
      <c r="BF159" s="722">
        <v>2.3092789051028507E-2</v>
      </c>
    </row>
    <row r="160" spans="1:58">
      <c r="A160" s="10"/>
      <c r="B160" s="11"/>
      <c r="C160" s="12"/>
      <c r="D160" s="735">
        <f>MAX(_xll.xlDateSettle("TARGET",$D$4,2),L160)</f>
        <v>43164</v>
      </c>
      <c r="E160" s="733" t="s">
        <v>942</v>
      </c>
      <c r="F160" s="13" t="s">
        <v>1438</v>
      </c>
      <c r="G160" s="35">
        <v>44659</v>
      </c>
      <c r="H160" s="37">
        <v>0</v>
      </c>
      <c r="I160" s="11">
        <v>44659</v>
      </c>
      <c r="J160" s="11">
        <v>42769</v>
      </c>
      <c r="K160" s="11">
        <v>43198</v>
      </c>
      <c r="L160" s="11">
        <v>42769</v>
      </c>
      <c r="M160" s="12">
        <v>999</v>
      </c>
      <c r="N160" s="12" t="s">
        <v>1485</v>
      </c>
      <c r="O160" s="12" t="s">
        <v>1222</v>
      </c>
      <c r="P160" s="12" t="s">
        <v>1486</v>
      </c>
      <c r="Q160" s="15">
        <v>18000000000</v>
      </c>
      <c r="R160" s="12"/>
      <c r="S160" s="43">
        <f>_xll.RtGet("IDN",$N160,IF(OR($G160="BTP,$E11=""CTZ"),S$10,S$9))</f>
        <v>100.765</v>
      </c>
      <c r="T160" s="43">
        <f>_xll.RtGet("IDN",$N160,IF(OR($G160="BTP,$E11=""CTZ"),T$10,T$9))</f>
        <v>100.8</v>
      </c>
      <c r="U160" s="25">
        <f t="shared" si="21"/>
        <v>100.7825</v>
      </c>
      <c r="V160" s="12"/>
      <c r="W160" s="25">
        <f t="shared" si="22"/>
        <v>100.7825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0</v>
      </c>
      <c r="Y160" s="14">
        <v>4.1527777777777777</v>
      </c>
      <c r="Z160" s="14">
        <v>-4.1605796405961577</v>
      </c>
      <c r="AA160" s="14">
        <v>0.21398341049382716</v>
      </c>
      <c r="AB160" s="14">
        <v>0.21478819106591127</v>
      </c>
      <c r="AC160" s="14">
        <v>4.1931363988815917</v>
      </c>
      <c r="AD160" s="34">
        <v>-1.8751865582271169E-3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-1.9739216602344527</v>
      </c>
      <c r="AI160" s="14">
        <v>4.1156683956484716</v>
      </c>
      <c r="AJ160" s="14">
        <v>4.1478735008444207</v>
      </c>
      <c r="AK160" s="246">
        <v>-0.4758876228584607</v>
      </c>
      <c r="AL160" s="213">
        <f>IF(U160&gt;0,_xll.xlBondZSpread(F160,H160,G160,J160,K160,L160,M160,D160,U160,"annual",5)*100,"-")</f>
        <v>-48.315747268428474</v>
      </c>
      <c r="AM160" s="266">
        <f>(-IF($AL$9="",VLOOKUP(VLOOKUP(E160,'DB Basis'!$D$2:$H$65205,4,0),Bonds!$AR$1:$AS$6,2,0),$AL$9)*VLOOKUP(E160,'DB Basis'!$D$2:$E$65205,2,0))+IF(V160="",W160,V160)</f>
        <v>10.320049999999995</v>
      </c>
      <c r="AN160" s="275" t="str">
        <f>IF($AN$9+(($AL$9-$AM$9))*('DB Basis'!F320/10-'DB Basis'!E320),," ")</f>
        <v xml:space="preserve"> </v>
      </c>
      <c r="AO160" s="648">
        <f>IF(U160&gt;0,_xll.xlShmImplSwap2(curveName,curveName,D160,G160,,1,8,2,4),"-")</f>
        <v>2.9167193601169548E-3</v>
      </c>
      <c r="AP160" s="649">
        <f t="shared" si="17"/>
        <v>-4.7919059183440717E-3</v>
      </c>
      <c r="AQ160" s="391">
        <f t="shared" si="18"/>
        <v>22.172177553603746</v>
      </c>
      <c r="AR160" s="391">
        <f t="shared" si="19"/>
        <v>3.304491250800023</v>
      </c>
      <c r="AS160" s="393"/>
      <c r="AT160" s="242">
        <f t="shared" si="20"/>
        <v>-0.18494990711281153</v>
      </c>
      <c r="AU160" s="701" t="str">
        <f t="shared" si="16"/>
        <v>BUND  08-Apr-22  0</v>
      </c>
      <c r="AV160" s="717"/>
      <c r="AW160" s="699"/>
      <c r="AX160" s="699"/>
      <c r="AY160" s="699"/>
      <c r="AZ160" s="699"/>
      <c r="BA160" s="699"/>
      <c r="BB160" s="698"/>
      <c r="BC160" s="711"/>
      <c r="BE160" s="721">
        <f>_xll.xlDateShiftMonth(BE159,1)</f>
        <v>47723</v>
      </c>
      <c r="BF160" s="722">
        <v>2.3170571516648534E-2</v>
      </c>
    </row>
    <row r="161" spans="1:58">
      <c r="A161" s="10"/>
      <c r="B161" s="11"/>
      <c r="C161" s="12"/>
      <c r="D161" s="735">
        <f>MAX(_xll.xlDateSettle("TARGET",$D$4,2),L161)</f>
        <v>43164</v>
      </c>
      <c r="E161" s="733" t="s">
        <v>667</v>
      </c>
      <c r="F161" s="13" t="s">
        <v>1438</v>
      </c>
      <c r="G161" s="35">
        <v>44746</v>
      </c>
      <c r="H161" s="37">
        <v>1.75</v>
      </c>
      <c r="I161" s="11">
        <v>44746</v>
      </c>
      <c r="J161" s="11">
        <v>41012</v>
      </c>
      <c r="K161" s="11">
        <v>41459</v>
      </c>
      <c r="L161" s="11">
        <v>41012</v>
      </c>
      <c r="M161" s="12">
        <v>99.77</v>
      </c>
      <c r="N161" s="12" t="s">
        <v>1487</v>
      </c>
      <c r="O161" s="12" t="s">
        <v>1203</v>
      </c>
      <c r="P161" s="12" t="s">
        <v>1488</v>
      </c>
      <c r="Q161" s="15">
        <v>24000000000</v>
      </c>
      <c r="R161" s="12"/>
      <c r="S161" s="43">
        <f>_xll.RtGet("IDN",$N161,IF(OR($G161="BTP,$E11=""CTZ"),S$10,S$9))</f>
        <v>108.36200000000001</v>
      </c>
      <c r="T161" s="43">
        <f>_xll.RtGet("IDN",$N161,IF(OR($G161="BTP,$E11=""CTZ"),T$10,T$9))</f>
        <v>108.38800000000001</v>
      </c>
      <c r="U161" s="25">
        <f t="shared" si="21"/>
        <v>108.375</v>
      </c>
      <c r="V161" s="12"/>
      <c r="W161" s="25">
        <f t="shared" si="22"/>
        <v>108.375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1.1698630136986301</v>
      </c>
      <c r="Y161" s="14">
        <v>4.1713828820735621</v>
      </c>
      <c r="Z161" s="14">
        <v>-4.1786724411607157</v>
      </c>
      <c r="AA161" s="14">
        <v>0.22026270526428426</v>
      </c>
      <c r="AB161" s="14">
        <v>0.22103320318877306</v>
      </c>
      <c r="AC161" s="14">
        <v>4.5775212562091383</v>
      </c>
      <c r="AD161" s="34">
        <v>-1.7444676964980428E-3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-2.2608671520840837</v>
      </c>
      <c r="AI161" s="14">
        <v>4.0036201177015194</v>
      </c>
      <c r="AJ161" s="14">
        <v>4.3857601735250089</v>
      </c>
      <c r="AK161" s="246">
        <v>-0.51550177452291934</v>
      </c>
      <c r="AL161" s="213">
        <f>IF(U161&gt;0,_xll.xlBondZSpread(F161,H161,G161,J161,K161,L161,M161,D161,U161,"annual",5)*100,"-")</f>
        <v>-50.021630092280986</v>
      </c>
      <c r="AM161" s="266">
        <f>(-IF($AL$9="",VLOOKUP(VLOOKUP(E161,'DB Basis'!$D$2:$H$65205,4,0),Bonds!$AR$1:$AS$6,2,0),$AL$9)*VLOOKUP(E161,'DB Basis'!$D$2:$E$65205,2,0))+IF(V161="",W161,V161)</f>
        <v>8.3418849999999907</v>
      </c>
      <c r="AN161" s="275" t="str">
        <f>IF($AN$9+(($AL$9-$AM$9))*('DB Basis'!F321/10-'DB Basis'!E321),," ")</f>
        <v xml:space="preserve"> </v>
      </c>
      <c r="AO161" s="648">
        <f>IF(U161&gt;0,_xll.xlShmImplSwap2(curveName,curveName,D161,G161,,1,8,2,4),"-")</f>
        <v>3.3464655748565377E-3</v>
      </c>
      <c r="AP161" s="649">
        <f t="shared" si="17"/>
        <v>-5.09093327135458E-3</v>
      </c>
      <c r="AQ161" s="391">
        <f t="shared" si="18"/>
        <v>5.4841821300128792</v>
      </c>
      <c r="AR161" s="391">
        <f t="shared" si="19"/>
        <v>-12.545400442394888</v>
      </c>
      <c r="AS161" s="393"/>
      <c r="AT161" s="242">
        <f t="shared" si="20"/>
        <v>-0.17205708787377957</v>
      </c>
      <c r="AU161" s="701" t="str">
        <f t="shared" si="16"/>
        <v>BUND  04-Jul-22  1.75</v>
      </c>
      <c r="AV161" s="717"/>
      <c r="AW161" s="699"/>
      <c r="AX161" s="699"/>
      <c r="AY161" s="699"/>
      <c r="AZ161" s="699"/>
      <c r="BA161" s="699"/>
      <c r="BB161" s="698"/>
      <c r="BC161" s="711"/>
      <c r="BE161" s="721">
        <f>_xll.xlDateShiftMonth(BE160,1)</f>
        <v>47754</v>
      </c>
      <c r="BF161" s="722">
        <v>2.3247504067162375E-2</v>
      </c>
    </row>
    <row r="162" spans="1:58">
      <c r="A162" s="10"/>
      <c r="B162" s="11"/>
      <c r="C162" s="12"/>
      <c r="D162" s="735">
        <f>MAX(_xll.xlDateSettle("TARGET",$D$4,2),L162)</f>
        <v>43164</v>
      </c>
      <c r="E162" s="733" t="s">
        <v>668</v>
      </c>
      <c r="F162" s="13" t="s">
        <v>1438</v>
      </c>
      <c r="G162" s="35">
        <v>44808</v>
      </c>
      <c r="H162" s="37">
        <v>1.5</v>
      </c>
      <c r="I162" s="11">
        <v>44808</v>
      </c>
      <c r="J162" s="11">
        <v>41156</v>
      </c>
      <c r="K162" s="11">
        <v>41521</v>
      </c>
      <c r="L162" s="11">
        <v>41159</v>
      </c>
      <c r="M162" s="12">
        <v>100.76</v>
      </c>
      <c r="N162" s="12" t="s">
        <v>1489</v>
      </c>
      <c r="O162" s="12" t="s">
        <v>1203</v>
      </c>
      <c r="P162" s="12" t="s">
        <v>1490</v>
      </c>
      <c r="Q162" s="15">
        <v>18000000000</v>
      </c>
      <c r="R162" s="12"/>
      <c r="S162" s="43">
        <f>_xll.RtGet("IDN",$N162,IF(OR($G162="BTP,$E11=""CTZ"),S$10,S$9))</f>
        <v>107.33</v>
      </c>
      <c r="T162" s="43">
        <f>_xll.RtGet("IDN",$N162,IF(OR($G162="BTP,$E11=""CTZ"),T$10,T$9))</f>
        <v>107.42</v>
      </c>
      <c r="U162" s="25">
        <f t="shared" si="21"/>
        <v>107.375</v>
      </c>
      <c r="V162" s="12"/>
      <c r="W162" s="25">
        <f t="shared" si="22"/>
        <v>107.375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0.74794520547945209</v>
      </c>
      <c r="Y162" s="14">
        <v>4.3623626064077223</v>
      </c>
      <c r="Z162" s="14">
        <v>-4.3681448980639495</v>
      </c>
      <c r="AA162" s="14">
        <v>0.2379008466401665</v>
      </c>
      <c r="AB162" s="14">
        <v>0.23853193758261643</v>
      </c>
      <c r="AC162" s="14">
        <v>4.7229671932640827</v>
      </c>
      <c r="AD162" s="34">
        <v>-1.3237408079378923E-3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-2.2929949226427206</v>
      </c>
      <c r="AI162" s="14">
        <v>4.2150881323779918</v>
      </c>
      <c r="AJ162" s="14">
        <v>4.557477431733723</v>
      </c>
      <c r="AK162" s="246">
        <v>-0.50312809157903715</v>
      </c>
      <c r="AL162" s="213">
        <f>IF(U162&gt;0,_xll.xlBondZSpread(F162,H162,G162,J162,K162,L162,M162,D162,U162,"annual",5)*100,"-")</f>
        <v>-49.152225845051014</v>
      </c>
      <c r="AM162" s="266">
        <f>(-IF($AL$9="",VLOOKUP(VLOOKUP(E162,'DB Basis'!$D$2:$H$65205,4,0),Bonds!$AR$1:$AS$6,2,0),$AL$9)*VLOOKUP(E162,'DB Basis'!$D$2:$E$65205,2,0))+IF(V162="",W162,V162)</f>
        <v>4.3264699999999863</v>
      </c>
      <c r="AN162" s="275" t="str">
        <f>IF($AN$9+(($AL$9-$AM$9))*('DB Basis'!F322/10-'DB Basis'!E322),," ")</f>
        <v xml:space="preserve"> </v>
      </c>
      <c r="AO162" s="648">
        <f>IF(U162&gt;0,_xll.xlShmImplSwap2(curveName,curveName,D162,G162,,1,8,2,4),"-")</f>
        <v>3.6722939176080309E-3</v>
      </c>
      <c r="AP162" s="649">
        <f t="shared" si="17"/>
        <v>-4.9960347255459236E-3</v>
      </c>
      <c r="AQ162" s="391">
        <f t="shared" si="18"/>
        <v>24.768599084589511</v>
      </c>
      <c r="AR162" s="391">
        <f t="shared" si="19"/>
        <v>5.5867692290580013</v>
      </c>
      <c r="AS162" s="393"/>
      <c r="AT162" s="242">
        <f t="shared" si="20"/>
        <v>-0.13056073722127159</v>
      </c>
      <c r="AU162" s="701" t="str">
        <f t="shared" si="16"/>
        <v>BUND  04-Sep-22  1.5</v>
      </c>
      <c r="AV162" s="717"/>
      <c r="AW162" s="699"/>
      <c r="AX162" s="699"/>
      <c r="AY162" s="699"/>
      <c r="AZ162" s="699"/>
      <c r="BA162" s="699"/>
      <c r="BB162" s="698"/>
      <c r="BC162" s="711"/>
      <c r="BE162" s="721">
        <f>_xll.xlDateShiftMonth(BE161,1)</f>
        <v>47784</v>
      </c>
      <c r="BF162" s="722">
        <v>2.3321145553808119E-2</v>
      </c>
    </row>
    <row r="163" spans="1:58">
      <c r="A163" s="10"/>
      <c r="B163" s="11"/>
      <c r="C163" s="12"/>
      <c r="D163" s="735">
        <f>MAX(_xll.xlDateSettle("TARGET",$D$4,2),L163)</f>
        <v>43164</v>
      </c>
      <c r="E163" s="733" t="s">
        <v>1014</v>
      </c>
      <c r="F163" s="13" t="s">
        <v>1438</v>
      </c>
      <c r="G163" s="35">
        <v>44841</v>
      </c>
      <c r="H163" s="37">
        <v>0</v>
      </c>
      <c r="I163" s="11">
        <v>44841</v>
      </c>
      <c r="J163" s="11">
        <v>42923</v>
      </c>
      <c r="K163" s="11">
        <v>43380</v>
      </c>
      <c r="L163" s="11">
        <v>42923</v>
      </c>
      <c r="M163" s="12">
        <v>100.75</v>
      </c>
      <c r="N163" s="12" t="s">
        <v>1491</v>
      </c>
      <c r="O163" s="12" t="s">
        <v>1203</v>
      </c>
      <c r="P163" s="12" t="s">
        <v>1492</v>
      </c>
      <c r="Q163" s="15">
        <v>17000000000</v>
      </c>
      <c r="R163" s="12"/>
      <c r="S163" s="43">
        <f>_xll.RtGet("IDN",$N163,IF(OR($G163="BTP,$E11=""CTZ"),S$10,S$9))</f>
        <v>100.431</v>
      </c>
      <c r="T163" s="43">
        <f>_xll.RtGet("IDN",$N163,IF(OR($G163="BTP,$E11=""CTZ"),T$10,T$9))</f>
        <v>100.47200000000001</v>
      </c>
      <c r="U163" s="25">
        <f t="shared" si="21"/>
        <v>100.45150000000001</v>
      </c>
      <c r="V163" s="12"/>
      <c r="W163" s="25">
        <f t="shared" si="22"/>
        <v>100.45150000000001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</v>
      </c>
      <c r="Y163" s="14">
        <v>4.6583333333333332</v>
      </c>
      <c r="Z163" s="14">
        <v>-4.6628403501750562</v>
      </c>
      <c r="AA163" s="14">
        <v>0.26358402777777779</v>
      </c>
      <c r="AB163" s="14">
        <v>0.26409431858852978</v>
      </c>
      <c r="AC163" s="14">
        <v>4.6838933690594331</v>
      </c>
      <c r="AD163" s="34">
        <v>-9.665818530661237E-4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-2.1927280408124403</v>
      </c>
      <c r="AI163" s="14">
        <v>4.6237678002862195</v>
      </c>
      <c r="AJ163" s="14">
        <v>4.6446441119045119</v>
      </c>
      <c r="AK163" s="246">
        <v>-0.47209818190210567</v>
      </c>
      <c r="AL163" s="213">
        <f>IF(U163&gt;0,_xll.xlBondZSpread(F163,H163,G163,J163,K163,L163,M163,D163,U163,"annual",5)*100,"-")</f>
        <v>-48.102873975703922</v>
      </c>
      <c r="AM163" s="266">
        <f>(-IF($AL$9="",VLOOKUP(VLOOKUP(E163,'DB Basis'!$D$2:$H$65205,4,0),Bonds!$AR$1:$AS$6,2,0),$AL$9)*VLOOKUP(E163,'DB Basis'!$D$2:$E$65205,2,0))+IF(V163="",W163,V163)</f>
        <v>1.1697290000000748E-2</v>
      </c>
      <c r="AN163" s="275" t="str">
        <f>IF($AN$9+(($AL$9-$AM$9))*('DB Basis'!F323/10-'DB Basis'!E323),," ")</f>
        <v xml:space="preserve"> </v>
      </c>
      <c r="AO163" s="648">
        <f>IF(U163&gt;0,_xll.xlShmImplSwap2(curveName,curveName,D163,G163,,1,8,2,4),"-")</f>
        <v>3.809910645312969E-3</v>
      </c>
      <c r="AP163" s="649">
        <f t="shared" si="17"/>
        <v>-4.7764924983790926E-3</v>
      </c>
      <c r="AQ163" s="391">
        <f t="shared" si="18"/>
        <v>39.5039450085441</v>
      </c>
      <c r="AR163" s="391">
        <f t="shared" si="19"/>
        <v>24.282700883604033</v>
      </c>
      <c r="AS163" s="393"/>
      <c r="AT163" s="242">
        <f t="shared" si="20"/>
        <v>-9.5334100576384806E-2</v>
      </c>
      <c r="AU163" s="701" t="str">
        <f t="shared" si="16"/>
        <v>BUND  07-Oct-22  0</v>
      </c>
      <c r="AV163" s="717"/>
      <c r="AW163" s="699"/>
      <c r="AX163" s="699"/>
      <c r="AY163" s="699"/>
      <c r="AZ163" s="699"/>
      <c r="BA163" s="699"/>
      <c r="BB163" s="698"/>
      <c r="BC163" s="711"/>
      <c r="BE163" s="721">
        <f>_xll.xlDateShiftMonth(BE162,1)</f>
        <v>47815</v>
      </c>
      <c r="BF163" s="722">
        <v>2.3396405268180261E-2</v>
      </c>
    </row>
    <row r="164" spans="1:58">
      <c r="A164" s="10"/>
      <c r="B164" s="11"/>
      <c r="C164" s="12"/>
      <c r="D164" s="735">
        <f>MAX(_xll.xlDateSettle("TARGET",$D$4,2),L164)</f>
        <v>43164</v>
      </c>
      <c r="E164" s="733" t="s">
        <v>669</v>
      </c>
      <c r="F164" s="13" t="s">
        <v>1438</v>
      </c>
      <c r="G164" s="35">
        <v>44972</v>
      </c>
      <c r="H164" s="37">
        <v>1.5</v>
      </c>
      <c r="I164" s="11">
        <v>44972</v>
      </c>
      <c r="J164" s="11">
        <v>41292</v>
      </c>
      <c r="K164" s="11">
        <v>41685</v>
      </c>
      <c r="L164" s="11">
        <v>41292</v>
      </c>
      <c r="M164" s="12">
        <v>99.41</v>
      </c>
      <c r="N164" s="12" t="s">
        <v>1493</v>
      </c>
      <c r="O164" s="12" t="s">
        <v>1203</v>
      </c>
      <c r="P164" s="12" t="s">
        <v>1494</v>
      </c>
      <c r="Q164" s="15">
        <v>18000000000</v>
      </c>
      <c r="R164" s="12"/>
      <c r="S164" s="43">
        <f>_xll.RtGet("IDN",$N164,IF(OR($G164="BTP,$E11=""CTZ"),S$10,S$9))</f>
        <v>107.611</v>
      </c>
      <c r="T164" s="43">
        <f>_xll.RtGet("IDN",$N164,IF(OR($G164="BTP,$E11=""CTZ"),T$10,T$9))</f>
        <v>107.64400000000001</v>
      </c>
      <c r="U164" s="25">
        <f t="shared" si="21"/>
        <v>107.6275</v>
      </c>
      <c r="V164" s="12"/>
      <c r="W164" s="25">
        <f t="shared" si="22"/>
        <v>107.6275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7.3972602739726029E-2</v>
      </c>
      <c r="Y164" s="14">
        <v>4.8113052882605141</v>
      </c>
      <c r="Z164" s="14">
        <v>-4.8131780925553116</v>
      </c>
      <c r="AA164" s="14">
        <v>0.28358621860482469</v>
      </c>
      <c r="AB164" s="14">
        <v>0.28380703388140943</v>
      </c>
      <c r="AC164" s="14">
        <v>5.1838640372160683</v>
      </c>
      <c r="AD164" s="34">
        <v>-3.8909931428147623E-4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-2.4331513071133828</v>
      </c>
      <c r="AI164" s="14">
        <v>4.64272593898027</v>
      </c>
      <c r="AJ164" s="14">
        <v>5.000284205191126</v>
      </c>
      <c r="AK164" s="246">
        <v>-0.48660260242555042</v>
      </c>
      <c r="AL164" s="213">
        <f>IF(U164&gt;0,_xll.xlBondZSpread(F164,H164,G164,J164,K164,L164,M164,D164,U164,"annual",5)*100,"-")</f>
        <v>-47.581217572691102</v>
      </c>
      <c r="AM164" s="266">
        <f>(-IF($AL$9="",VLOOKUP(VLOOKUP(E164,'DB Basis'!$D$2:$H$65205,4,0),Bonds!$AR$1:$AS$6,2,0),$AL$9)*VLOOKUP(E164,'DB Basis'!$D$2:$E$65205,2,0))+IF(V164="",W164,V164)</f>
        <v>1.0841040149999941</v>
      </c>
      <c r="AN164" s="275" t="str">
        <f>IF($AN$9+(($AL$9-$AM$9))*('DB Basis'!F324/10-'DB Basis'!E324),," ")</f>
        <v xml:space="preserve"> </v>
      </c>
      <c r="AO164" s="648">
        <f>IF(U164&gt;0,_xll.xlShmImplSwap2(curveName,curveName,D164,G164,,1,8,2,4),"-")</f>
        <v>4.4549634791368822E-3</v>
      </c>
      <c r="AP164" s="649">
        <f t="shared" si="17"/>
        <v>-4.8440627934183585E-3</v>
      </c>
      <c r="AQ164" s="391">
        <f t="shared" si="18"/>
        <v>16.090162340182925</v>
      </c>
      <c r="AR164" s="391">
        <f t="shared" si="19"/>
        <v>-1.8826837930787828</v>
      </c>
      <c r="AS164" s="393"/>
      <c r="AT164" s="242">
        <f t="shared" si="20"/>
        <v>-3.837691866885793E-2</v>
      </c>
      <c r="AU164" s="701" t="str">
        <f t="shared" si="16"/>
        <v>BUND  15-Feb-23  1.5</v>
      </c>
      <c r="AV164" s="717"/>
      <c r="AW164" s="699"/>
      <c r="AX164" s="699"/>
      <c r="AY164" s="699"/>
      <c r="AZ164" s="699"/>
      <c r="BA164" s="699"/>
      <c r="BB164" s="698"/>
      <c r="BC164" s="711"/>
      <c r="BE164" s="721">
        <f>_xll.xlDateShiftMonth(BE163,1)</f>
        <v>47845</v>
      </c>
      <c r="BF164" s="722">
        <v>2.3468427610011961E-2</v>
      </c>
    </row>
    <row r="165" spans="1:58">
      <c r="A165" s="10"/>
      <c r="B165" s="11"/>
      <c r="C165" s="12"/>
      <c r="D165" s="735">
        <f>MAX(_xll.xlDateSettle("TARGET",$D$4,2),L165)</f>
        <v>43164</v>
      </c>
      <c r="E165" s="733" t="s">
        <v>2030</v>
      </c>
      <c r="F165" s="13" t="s">
        <v>1438</v>
      </c>
      <c r="G165" s="35">
        <v>45030</v>
      </c>
      <c r="H165" s="37">
        <v>0</v>
      </c>
      <c r="I165" s="11">
        <v>45030</v>
      </c>
      <c r="J165" s="11">
        <v>43133</v>
      </c>
      <c r="K165" s="11">
        <v>43569</v>
      </c>
      <c r="L165" s="11">
        <v>43133</v>
      </c>
      <c r="M165" s="12">
        <v>99.6</v>
      </c>
      <c r="N165" s="12" t="s">
        <v>2031</v>
      </c>
      <c r="O165" s="12" t="s">
        <v>1222</v>
      </c>
      <c r="P165" s="12" t="s">
        <v>2032</v>
      </c>
      <c r="Q165" s="15">
        <v>4000000000</v>
      </c>
      <c r="R165" s="12"/>
      <c r="S165" s="43">
        <f>_xll.RtGet("IDN",$N165,IF(OR($G165="BTP,$E11=""CTZ"),S$10,S$9))</f>
        <v>99.92</v>
      </c>
      <c r="T165" s="43">
        <f>_xll.RtGet("IDN",$N165,IF(OR($G165="BTP,$E11=""CTZ"),T$10,T$9))</f>
        <v>99.95</v>
      </c>
      <c r="U165" s="25">
        <f t="shared" si="21"/>
        <v>99.935000000000002</v>
      </c>
      <c r="V165" s="12"/>
      <c r="W165" s="25">
        <f t="shared" si="22"/>
        <v>99.935000000000002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</v>
      </c>
      <c r="Y165" s="14">
        <v>5.1833333333333336</v>
      </c>
      <c r="Z165" s="14">
        <v>-5.1826829921656126</v>
      </c>
      <c r="AA165" s="14">
        <v>0.3205027777777778</v>
      </c>
      <c r="AB165" s="14">
        <v>0.32042235729877433</v>
      </c>
      <c r="AC165" s="14">
        <v>5.1793148020408353</v>
      </c>
      <c r="AD165" s="34">
        <v>1.2545057082491179E-4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-2.3267150329540414</v>
      </c>
      <c r="AI165" s="14">
        <v>5.160514087351058</v>
      </c>
      <c r="AJ165" s="14">
        <v>5.1571597531942803</v>
      </c>
      <c r="AK165" s="246">
        <v>-0.45116210168065923</v>
      </c>
      <c r="AL165" s="213">
        <f>IF(U165&gt;0,_xll.xlBondZSpread(F165,H165,G165,J165,K165,L165,M165,D165,U165,"annual",5)*100,"-")</f>
        <v>-46.190206090952785</v>
      </c>
      <c r="AM165" s="266" t="e">
        <f>(-IF($AL$9="",VLOOKUP(VLOOKUP(E165,'DB Basis'!$D$2:$H$65205,4,0),Bonds!$AR$1:$AS$6,2,0),$AL$9)*VLOOKUP(E165,'DB Basis'!$D$2:$E$65205,2,0))+IF(V165="",W165,V165)</f>
        <v>#N/A</v>
      </c>
      <c r="AN165" s="275" t="str">
        <f>IF($AN$9+(($AL$9-$AM$9))*('DB Basis'!F325/10-'DB Basis'!E325),," ")</f>
        <v xml:space="preserve"> </v>
      </c>
      <c r="AO165" s="648">
        <f>IF(U165&gt;0,_xll.xlShmImplSwap2(curveName,curveName,D165,G165,,1,8,2,4),"-")</f>
        <v>4.7127434290316333E-3</v>
      </c>
      <c r="AP165" s="649">
        <f t="shared" si="17"/>
        <v>-4.5872928582067216E-3</v>
      </c>
      <c r="AQ165" s="391">
        <f t="shared" si="18"/>
        <v>32.381156562729586</v>
      </c>
      <c r="AR165" s="391">
        <f t="shared" si="19"/>
        <v>16.15879764693922</v>
      </c>
      <c r="AS165" s="393"/>
      <c r="AT165" s="242">
        <f t="shared" si="20"/>
        <v>1.2373206985470753E-2</v>
      </c>
      <c r="AU165" s="701" t="str">
        <f t="shared" si="16"/>
        <v>BUND  14-Apr-23  0</v>
      </c>
      <c r="AV165" s="717"/>
      <c r="AW165" s="699"/>
      <c r="AX165" s="699"/>
      <c r="AY165" s="699"/>
      <c r="AZ165" s="699"/>
      <c r="BA165" s="699"/>
      <c r="BB165" s="698"/>
      <c r="BC165" s="711"/>
      <c r="BE165" s="721">
        <f>_xll.xlDateShiftMonth(BE164,1)</f>
        <v>47876</v>
      </c>
      <c r="BF165" s="722">
        <v>2.354201392791011E-2</v>
      </c>
    </row>
    <row r="166" spans="1:58">
      <c r="A166" s="10"/>
      <c r="B166" s="11"/>
      <c r="C166" s="12"/>
      <c r="D166" s="735">
        <f>MAX(_xll.xlDateSettle("TARGET",$D$4,2),L166)</f>
        <v>43164</v>
      </c>
      <c r="E166" s="733" t="s">
        <v>670</v>
      </c>
      <c r="F166" s="13" t="s">
        <v>1438</v>
      </c>
      <c r="G166" s="35">
        <v>45061</v>
      </c>
      <c r="H166" s="37">
        <v>1.5</v>
      </c>
      <c r="I166" s="11">
        <v>45061</v>
      </c>
      <c r="J166" s="11">
        <v>41409</v>
      </c>
      <c r="K166" s="11">
        <v>41774</v>
      </c>
      <c r="L166" s="11">
        <v>41418</v>
      </c>
      <c r="M166" s="12">
        <v>100.84</v>
      </c>
      <c r="N166" s="12" t="s">
        <v>1495</v>
      </c>
      <c r="O166" s="12" t="s">
        <v>1203</v>
      </c>
      <c r="P166" s="12" t="s">
        <v>1496</v>
      </c>
      <c r="Q166" s="15">
        <v>18000000000</v>
      </c>
      <c r="R166" s="12"/>
      <c r="S166" s="43">
        <f>_xll.RtGet("IDN",$N166,IF(OR($G166="BTP,$E11=""CTZ"),S$10,S$9))</f>
        <v>107.7</v>
      </c>
      <c r="T166" s="43">
        <f>_xll.RtGet("IDN",$N166,IF(OR($G166="BTP,$E11=""CTZ"),T$10,T$9))</f>
        <v>107.74000000000001</v>
      </c>
      <c r="U166" s="25">
        <f t="shared" si="21"/>
        <v>107.72</v>
      </c>
      <c r="V166" s="12"/>
      <c r="W166" s="25">
        <f t="shared" si="22"/>
        <v>107.72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1.2082191780821918</v>
      </c>
      <c r="Y166" s="14">
        <v>4.9880041749945336</v>
      </c>
      <c r="Z166" s="14">
        <v>-4.9873454681396421</v>
      </c>
      <c r="AA166" s="14">
        <v>0.30582809937418659</v>
      </c>
      <c r="AB166" s="14">
        <v>0.30574733049077085</v>
      </c>
      <c r="AC166" s="14">
        <v>5.4326269999762644</v>
      </c>
      <c r="AD166" s="34">
        <v>1.3207564196304582E-4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-2.4807446565071212</v>
      </c>
      <c r="AI166" s="14">
        <v>4.8113496448764863</v>
      </c>
      <c r="AJ166" s="14">
        <v>5.2409174865949382</v>
      </c>
      <c r="AK166" s="246">
        <v>-0.47334167402030308</v>
      </c>
      <c r="AL166" s="213">
        <f>IF(U166&gt;0,_xll.xlBondZSpread(F166,H166,G166,J166,K166,L166,M166,D166,U166,"annual",5)*100,"-")</f>
        <v>-46.300784959532052</v>
      </c>
      <c r="AM166" s="266">
        <f>(-IF($AL$9="",VLOOKUP(VLOOKUP(E166,'DB Basis'!$D$2:$H$65205,4,0),Bonds!$AR$1:$AS$6,2,0),$AL$9)*VLOOKUP(E166,'DB Basis'!$D$2:$E$65205,2,0))+IF(V166="",W166,V166)</f>
        <v>2.2220352849999756</v>
      </c>
      <c r="AN166" s="275" t="str">
        <f>IF($AN$9+(($AL$9-$AM$9))*('DB Basis'!F326/10-'DB Basis'!E326),," ")</f>
        <v xml:space="preserve"> </v>
      </c>
      <c r="AO166" s="648">
        <f>IF(U166&gt;0,_xll.xlShmImplSwap2(curveName,curveName,D166,G166,,1,8,2,4),"-")</f>
        <v>4.8467945958361545E-3</v>
      </c>
      <c r="AP166" s="649">
        <f t="shared" si="17"/>
        <v>-4.7147189538731087E-3</v>
      </c>
      <c r="AQ166" s="391">
        <f t="shared" si="18"/>
        <v>0.78004869852223191</v>
      </c>
      <c r="AR166" s="391">
        <f t="shared" si="19"/>
        <v>-15.003395134913317</v>
      </c>
      <c r="AS166" s="393"/>
      <c r="AT166" s="242">
        <f t="shared" si="20"/>
        <v>1.3026638659368903E-2</v>
      </c>
      <c r="AU166" s="701" t="str">
        <f t="shared" si="16"/>
        <v>BUND  15-May-23  1.5</v>
      </c>
      <c r="AV166" s="717"/>
      <c r="AW166" s="699"/>
      <c r="AX166" s="699"/>
      <c r="AY166" s="699"/>
      <c r="AZ166" s="699"/>
      <c r="BA166" s="699"/>
      <c r="BB166" s="698"/>
      <c r="BC166" s="711"/>
      <c r="BE166" s="721">
        <f>_xll.xlDateShiftMonth(BE165,1)</f>
        <v>47907</v>
      </c>
      <c r="BF166" s="722">
        <v>2.3614749616470403E-2</v>
      </c>
    </row>
    <row r="167" spans="1:58">
      <c r="A167" s="10"/>
      <c r="B167" s="11"/>
      <c r="C167" s="12"/>
      <c r="D167" s="735">
        <f>MAX(_xll.xlDateSettle("TARGET",$D$4,2),L167)</f>
        <v>43164</v>
      </c>
      <c r="E167" s="733" t="s">
        <v>671</v>
      </c>
      <c r="F167" s="13" t="s">
        <v>1438</v>
      </c>
      <c r="G167" s="35">
        <v>45153</v>
      </c>
      <c r="H167" s="37">
        <v>2</v>
      </c>
      <c r="I167" s="11">
        <v>45153</v>
      </c>
      <c r="J167" s="11">
        <v>41501</v>
      </c>
      <c r="K167" s="11">
        <v>41866</v>
      </c>
      <c r="L167" s="11">
        <v>41530</v>
      </c>
      <c r="M167" s="12">
        <v>99.49</v>
      </c>
      <c r="N167" s="12" t="s">
        <v>1497</v>
      </c>
      <c r="O167" s="12" t="s">
        <v>1203</v>
      </c>
      <c r="P167" s="12" t="s">
        <v>1498</v>
      </c>
      <c r="Q167" s="15">
        <v>18000000000</v>
      </c>
      <c r="R167" s="12"/>
      <c r="S167" s="43">
        <f>_xll.RtGet("IDN",$N167,IF(OR($G167="BTP,$E11=""CTZ"),S$10,S$9))</f>
        <v>110.52</v>
      </c>
      <c r="T167" s="43">
        <f>_xll.RtGet("IDN",$N167,IF(OR($G167="BTP,$E11=""CTZ"),T$10,T$9))</f>
        <v>110.56</v>
      </c>
      <c r="U167" s="25">
        <f t="shared" si="21"/>
        <v>110.53999999999999</v>
      </c>
      <c r="V167" s="12"/>
      <c r="W167" s="25">
        <f t="shared" si="22"/>
        <v>110.53999999999999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1.106849315068493</v>
      </c>
      <c r="Y167" s="14">
        <v>5.1781623798139442</v>
      </c>
      <c r="Z167" s="14">
        <v>-5.1750053994015159</v>
      </c>
      <c r="AA167" s="14">
        <v>0.32903917933854621</v>
      </c>
      <c r="AB167" s="14">
        <v>0.32863808971895625</v>
      </c>
      <c r="AC167" s="14">
        <v>5.7777309321792814</v>
      </c>
      <c r="AD167" s="34">
        <v>6.1004388678049734E-4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-2.56805976371218</v>
      </c>
      <c r="AI167" s="14">
        <v>4.9162504082742888</v>
      </c>
      <c r="AJ167" s="14">
        <v>5.4888386852774342</v>
      </c>
      <c r="AK167" s="246">
        <v>-0.46786941846194591</v>
      </c>
      <c r="AL167" s="213">
        <f>IF(U167&gt;0,_xll.xlBondZSpread(F167,H167,G167,J167,K167,L167,M167,D167,U167,"annual",5)*100,"-")</f>
        <v>-45.080683016347045</v>
      </c>
      <c r="AM167" s="266">
        <f>(-IF($AL$9="",VLOOKUP(VLOOKUP(E167,'DB Basis'!$D$2:$H$65205,4,0),Bonds!$AR$1:$AS$6,2,0),$AL$9)*VLOOKUP(E167,'DB Basis'!$D$2:$E$65205,2,0))+IF(V167="",W167,V167)</f>
        <v>3.1507145549999791</v>
      </c>
      <c r="AN167" s="275" t="str">
        <f>IF($AN$9+(($AL$9-$AM$9))*('DB Basis'!F327/10-'DB Basis'!E327),," ")</f>
        <v xml:space="preserve"> </v>
      </c>
      <c r="AO167" s="648">
        <f>IF(U167&gt;0,_xll.xlShmImplSwap2(curveName,curveName,D167,G167,,1,8,2,4),"-")</f>
        <v>5.2495878740170723E-3</v>
      </c>
      <c r="AP167" s="649">
        <f t="shared" si="17"/>
        <v>-4.6395439872365749E-3</v>
      </c>
      <c r="AQ167" s="391">
        <f t="shared" si="18"/>
        <v>18.962870582431499</v>
      </c>
      <c r="AR167" s="391">
        <f t="shared" si="19"/>
        <v>2.9824850893842187</v>
      </c>
      <c r="AS167" s="393"/>
      <c r="AT167" s="242">
        <f t="shared" si="20"/>
        <v>6.0168712120816176E-2</v>
      </c>
      <c r="AU167" s="701" t="str">
        <f t="shared" si="16"/>
        <v>BUND  15-Aug-23  2</v>
      </c>
      <c r="AV167" s="717"/>
      <c r="AW167" s="699"/>
      <c r="AX167" s="699"/>
      <c r="AY167" s="699"/>
      <c r="AZ167" s="699"/>
      <c r="BA167" s="699"/>
      <c r="BB167" s="698"/>
      <c r="BC167" s="711"/>
      <c r="BE167" s="721">
        <f>_xll.xlDateShiftMonth(BE166,1)</f>
        <v>47935</v>
      </c>
      <c r="BF167" s="722">
        <v>2.3679715112994586E-2</v>
      </c>
    </row>
    <row r="168" spans="1:58">
      <c r="A168" s="10"/>
      <c r="B168" s="11"/>
      <c r="C168" s="12"/>
      <c r="D168" s="735">
        <f>MAX(_xll.xlDateSettle("TARGET",$D$4,2),L168)</f>
        <v>43164</v>
      </c>
      <c r="E168" s="733" t="s">
        <v>672</v>
      </c>
      <c r="F168" s="13" t="s">
        <v>1438</v>
      </c>
      <c r="G168" s="35">
        <v>45295</v>
      </c>
      <c r="H168" s="37">
        <v>6.25</v>
      </c>
      <c r="I168" s="11">
        <v>45295</v>
      </c>
      <c r="J168" s="11">
        <v>34338</v>
      </c>
      <c r="K168" s="11">
        <v>34703</v>
      </c>
      <c r="L168" s="11">
        <v>34338</v>
      </c>
      <c r="M168" s="12">
        <v>100.4</v>
      </c>
      <c r="N168" s="12" t="s">
        <v>1499</v>
      </c>
      <c r="O168" s="12" t="s">
        <v>1203</v>
      </c>
      <c r="P168" s="12" t="s">
        <v>1500</v>
      </c>
      <c r="Q168" s="15">
        <v>10250000000</v>
      </c>
      <c r="R168" s="12"/>
      <c r="S168" s="43">
        <f>_xll.RtGet("IDN",$N168,IF(OR($G168="BTP,$E11=""CTZ"),S$10,S$9))</f>
        <v>135.59800000000001</v>
      </c>
      <c r="T168" s="43">
        <f>_xll.RtGet("IDN",$N168,IF(OR($G168="BTP,$E11=""CTZ"),T$10,T$9))</f>
        <v>135.69800000000001</v>
      </c>
      <c r="U168" s="25">
        <f t="shared" si="21"/>
        <v>135.64800000000002</v>
      </c>
      <c r="V168" s="12"/>
      <c r="W168" s="25">
        <f t="shared" si="22"/>
        <v>135.64800000000002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1.0273972602739725</v>
      </c>
      <c r="Y168" s="14">
        <v>5.1514185280474827</v>
      </c>
      <c r="Z168" s="14">
        <v>-5.1454082569769115</v>
      </c>
      <c r="AA168" s="14">
        <v>0.33730372213543108</v>
      </c>
      <c r="AB168" s="14">
        <v>0.33651710223549364</v>
      </c>
      <c r="AC168" s="14">
        <v>7.032507770469465</v>
      </c>
      <c r="AD168" s="34">
        <v>1.1680836048057475E-3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-2.9296086816348685</v>
      </c>
      <c r="AI168" s="14">
        <v>4.2945649915117814</v>
      </c>
      <c r="AJ168" s="14">
        <v>5.8696137627493794</v>
      </c>
      <c r="AK168" s="246">
        <v>-0.49911438810969055</v>
      </c>
      <c r="AL168" s="213">
        <f>IF(U168&gt;0,_xll.xlBondZSpread(F168,H168,G168,J168,K168,L168,M168,D168,U168,"annual",5)*100,"-")</f>
        <v>-42.270678569198225</v>
      </c>
      <c r="AM168" s="266">
        <f>(-IF($AL$9="",VLOOKUP(VLOOKUP(E168,'DB Basis'!$D$2:$H$65205,4,0),Bonds!$AR$1:$AS$6,2,0),$AL$9)*VLOOKUP(E168,'DB Basis'!$D$2:$E$65205,2,0))+IF(V168="",W168,V168)</f>
        <v>-16.958219999999983</v>
      </c>
      <c r="AN168" s="275" t="str">
        <f>IF($AN$9+(($AL$9-$AM$9))*('DB Basis'!F328/10-'DB Basis'!E328),," ")</f>
        <v xml:space="preserve"> </v>
      </c>
      <c r="AO168" s="648">
        <f>IF(U168&gt;0,_xll.xlShmImplSwap2(curveName,curveName,D168,G168,,1,8,2,4),"-")</f>
        <v>5.8699351336765574E-3</v>
      </c>
      <c r="AP168" s="649">
        <f t="shared" si="17"/>
        <v>-4.7018515288708099E-3</v>
      </c>
      <c r="AQ168" s="391">
        <f t="shared" si="18"/>
        <v>14.343978667550443</v>
      </c>
      <c r="AR168" s="391">
        <f t="shared" si="19"/>
        <v>-1.60156709130252</v>
      </c>
      <c r="AS168" s="393"/>
      <c r="AT168" s="242">
        <f t="shared" si="20"/>
        <v>0.11520824595344359</v>
      </c>
      <c r="AU168" s="701" t="str">
        <f t="shared" si="16"/>
        <v>BUND  04-Jan-24  6.25</v>
      </c>
      <c r="AV168" s="717"/>
      <c r="AW168" s="699"/>
      <c r="AX168" s="699"/>
      <c r="AY168" s="699"/>
      <c r="AZ168" s="699"/>
      <c r="BA168" s="699"/>
      <c r="BB168" s="698"/>
      <c r="BC168" s="711"/>
      <c r="BE168" s="721">
        <f>_xll.xlDateShiftMonth(BE167,1)</f>
        <v>47966</v>
      </c>
      <c r="BF168" s="722">
        <v>2.3750831462040239E-2</v>
      </c>
    </row>
    <row r="169" spans="1:58">
      <c r="A169" s="10"/>
      <c r="B169" s="11"/>
      <c r="C169" s="12"/>
      <c r="D169" s="735">
        <f>MAX(_xll.xlDateSettle("TARGET",$D$4,2),L169)</f>
        <v>43164</v>
      </c>
      <c r="E169" s="733" t="s">
        <v>415</v>
      </c>
      <c r="F169" s="13" t="s">
        <v>1438</v>
      </c>
      <c r="G169" s="35">
        <v>45337</v>
      </c>
      <c r="H169" s="37">
        <v>1.75</v>
      </c>
      <c r="I169" s="11">
        <v>45337</v>
      </c>
      <c r="J169" s="11">
        <v>41670</v>
      </c>
      <c r="K169" s="11">
        <v>42050</v>
      </c>
      <c r="L169" s="11">
        <v>41670</v>
      </c>
      <c r="M169" s="12">
        <v>99.78</v>
      </c>
      <c r="N169" s="12" t="s">
        <v>1501</v>
      </c>
      <c r="O169" s="12" t="s">
        <v>1222</v>
      </c>
      <c r="P169" s="12" t="s">
        <v>1502</v>
      </c>
      <c r="Q169" s="15">
        <v>18000000000</v>
      </c>
      <c r="R169" s="12"/>
      <c r="S169" s="43">
        <f>_xll.RtGet("IDN",$N169,IF(OR($G169="BTP,$E11=""CTZ"),S$10,S$9))</f>
        <v>109.465</v>
      </c>
      <c r="T169" s="43">
        <f>_xll.RtGet("IDN",$N169,IF(OR($G169="BTP,$E11=""CTZ"),T$10,T$9))</f>
        <v>109.52500000000001</v>
      </c>
      <c r="U169" s="25">
        <f t="shared" si="21"/>
        <v>109.495</v>
      </c>
      <c r="V169" s="12"/>
      <c r="W169" s="25">
        <f t="shared" si="22"/>
        <v>109.495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8.6301369863013691E-2</v>
      </c>
      <c r="Y169" s="14">
        <v>5.7119346585497146</v>
      </c>
      <c r="Z169" s="14">
        <v>-5.703592859861474</v>
      </c>
      <c r="AA169" s="14">
        <v>0.39157090664880678</v>
      </c>
      <c r="AB169" s="14">
        <v>0.39042802924715814</v>
      </c>
      <c r="AC169" s="14">
        <v>6.250071842855931</v>
      </c>
      <c r="AD169" s="34">
        <v>1.4625515688695238E-3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-2.7516624404538201</v>
      </c>
      <c r="AI169" s="14">
        <v>5.4587624892438784</v>
      </c>
      <c r="AJ169" s="14">
        <v>5.9817829744033704</v>
      </c>
      <c r="AK169" s="246">
        <v>-0.46000706682747333</v>
      </c>
      <c r="AL169" s="213">
        <f>IF(U169&gt;0,_xll.xlBondZSpread(F169,H169,G169,J169,K169,L169,M169,D169,U169,"annual",5)*100,"-")</f>
        <v>-44.70139209872616</v>
      </c>
      <c r="AM169" s="266">
        <f>(-IF($AL$9="",VLOOKUP(VLOOKUP(E169,'DB Basis'!$D$2:$H$65205,4,0),Bonds!$AR$1:$AS$6,2,0),$AL$9)*VLOOKUP(E169,'DB Basis'!$D$2:$E$65205,2,0))+IF(V169="",W169,V169)</f>
        <v>-25.805360000000007</v>
      </c>
      <c r="AN169" s="275" t="str">
        <f>IF($AN$9+(($AL$9-$AM$9))*('DB Basis'!F329/10-'DB Basis'!E329),," ")</f>
        <v xml:space="preserve"> </v>
      </c>
      <c r="AO169" s="648">
        <f>IF(U169&gt;0,_xll.xlShmImplSwap2(curveName,curveName,D169,G169,,1,8,2,4),"-")</f>
        <v>6.052943406904019E-3</v>
      </c>
      <c r="AP169" s="649">
        <f t="shared" si="17"/>
        <v>-4.5903918380344952E-3</v>
      </c>
      <c r="AQ169" s="391">
        <f t="shared" si="18"/>
        <v>25.590668305542469</v>
      </c>
      <c r="AR169" s="391">
        <f t="shared" si="19"/>
        <v>9.6863778941083059</v>
      </c>
      <c r="AS169" s="393"/>
      <c r="AT169" s="242">
        <f t="shared" si="20"/>
        <v>0.14425166158713112</v>
      </c>
      <c r="AU169" s="701" t="str">
        <f t="shared" si="16"/>
        <v>BUND  15-Feb-24  1.75</v>
      </c>
      <c r="AV169" s="717"/>
      <c r="AW169" s="699"/>
      <c r="AX169" s="699"/>
      <c r="AY169" s="699"/>
      <c r="AZ169" s="699"/>
      <c r="BA169" s="699"/>
      <c r="BB169" s="698"/>
      <c r="BC169" s="711"/>
      <c r="BE169" s="721">
        <f>_xll.xlDateShiftMonth(BE168,1)</f>
        <v>47996</v>
      </c>
      <c r="BF169" s="722">
        <v>2.3818843424337242E-2</v>
      </c>
    </row>
    <row r="170" spans="1:58">
      <c r="A170" s="10"/>
      <c r="B170" s="11"/>
      <c r="C170" s="12"/>
      <c r="D170" s="735">
        <f>MAX(_xll.xlDateSettle("TARGET",$D$4,2),L170)</f>
        <v>43164</v>
      </c>
      <c r="E170" s="733" t="s">
        <v>416</v>
      </c>
      <c r="F170" s="13" t="s">
        <v>1438</v>
      </c>
      <c r="G170" s="35">
        <v>45427</v>
      </c>
      <c r="H170" s="37">
        <v>1.5</v>
      </c>
      <c r="I170" s="11">
        <v>45427</v>
      </c>
      <c r="J170" s="11">
        <v>41774</v>
      </c>
      <c r="K170" s="11">
        <v>42139</v>
      </c>
      <c r="L170" s="11">
        <v>41782</v>
      </c>
      <c r="M170" s="12">
        <v>100.83</v>
      </c>
      <c r="N170" s="12" t="s">
        <v>1503</v>
      </c>
      <c r="O170" s="12" t="s">
        <v>1203</v>
      </c>
      <c r="P170" s="12" t="s">
        <v>1504</v>
      </c>
      <c r="Q170" s="15">
        <v>18000000000</v>
      </c>
      <c r="R170" s="12"/>
      <c r="S170" s="43">
        <f>_xll.RtGet("IDN",$N170,IF(OR($G170="BTP,$E11=""CTZ"),S$10,S$9))</f>
        <v>108.07300000000001</v>
      </c>
      <c r="T170" s="43">
        <f>_xll.RtGet("IDN",$N170,IF(OR($G170="BTP,$E11=""CTZ"),T$10,T$9))</f>
        <v>108.114</v>
      </c>
      <c r="U170" s="25">
        <f t="shared" si="21"/>
        <v>108.09350000000001</v>
      </c>
      <c r="V170" s="12"/>
      <c r="W170" s="25">
        <f t="shared" si="22"/>
        <v>108.09350000000001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1.2082191780821918</v>
      </c>
      <c r="Y170" s="14">
        <v>5.9073145193487075</v>
      </c>
      <c r="Z170" s="14">
        <v>-5.8964231505527405</v>
      </c>
      <c r="AA170" s="14">
        <v>0.41966928368196987</v>
      </c>
      <c r="AB170" s="14">
        <v>0.41812321419864851</v>
      </c>
      <c r="AC170" s="14">
        <v>6.4448924926736595</v>
      </c>
      <c r="AD170" s="34">
        <v>1.8471145162162316E-3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-2.8331243382162592</v>
      </c>
      <c r="AI170" s="14">
        <v>5.6920612246910238</v>
      </c>
      <c r="AJ170" s="14">
        <v>6.2215207752562884</v>
      </c>
      <c r="AK170" s="246">
        <v>-0.45537488992786623</v>
      </c>
      <c r="AL170" s="213">
        <f>IF(U170&gt;0,_xll.xlBondZSpread(F170,H170,G170,J170,K170,L170,M170,D170,U170,"annual",5)*100,"-")</f>
        <v>-44.638164930095812</v>
      </c>
      <c r="AM170" s="266">
        <f>(-IF($AL$9="",VLOOKUP(VLOOKUP(E170,'DB Basis'!$D$2:$H$65205,4,0),Bonds!$AR$1:$AS$6,2,0),$AL$9)*VLOOKUP(E170,'DB Basis'!$D$2:$E$65205,2,0))+IF(V170="",W170,V170)</f>
        <v>-31.271115000000009</v>
      </c>
      <c r="AN170" s="275" t="str">
        <f>IF($AN$9+(($AL$9-$AM$9))*('DB Basis'!F330/10-'DB Basis'!E330),," ")</f>
        <v xml:space="preserve"> </v>
      </c>
      <c r="AO170" s="648">
        <f>IF(U170&gt;0,_xll.xlShmImplSwap2(curveName,curveName,D170,G170,,1,8,2,4),"-")</f>
        <v>6.4063719676251832E-3</v>
      </c>
      <c r="AP170" s="649">
        <f t="shared" si="17"/>
        <v>-4.5592574514089516E-3</v>
      </c>
      <c r="AQ170" s="391">
        <f t="shared" si="18"/>
        <v>15.596163975727594</v>
      </c>
      <c r="AR170" s="391">
        <f t="shared" si="19"/>
        <v>1.2626723464803786</v>
      </c>
      <c r="AS170" s="393"/>
      <c r="AT170" s="242">
        <f t="shared" si="20"/>
        <v>0.18218115776379268</v>
      </c>
      <c r="AU170" s="701" t="str">
        <f t="shared" si="16"/>
        <v>BUND  15-May-24  1.5</v>
      </c>
      <c r="AV170" s="717"/>
      <c r="AW170" s="699"/>
      <c r="AX170" s="699"/>
      <c r="AY170" s="699"/>
      <c r="AZ170" s="699"/>
      <c r="BA170" s="699"/>
      <c r="BB170" s="698"/>
      <c r="BC170" s="711"/>
      <c r="BE170" s="721">
        <f>_xll.xlDateShiftMonth(BE169,1)</f>
        <v>48027</v>
      </c>
      <c r="BF170" s="722">
        <v>2.3888284989856835E-2</v>
      </c>
    </row>
    <row r="171" spans="1:58">
      <c r="A171" s="10"/>
      <c r="B171" s="11"/>
      <c r="C171" s="12"/>
      <c r="D171" s="735">
        <f>MAX(_xll.xlDateSettle("TARGET",$D$4,2),L171)</f>
        <v>43164</v>
      </c>
      <c r="E171" s="733" t="s">
        <v>417</v>
      </c>
      <c r="F171" s="13" t="s">
        <v>1438</v>
      </c>
      <c r="G171" s="35">
        <v>45519</v>
      </c>
      <c r="H171" s="37">
        <v>1</v>
      </c>
      <c r="I171" s="11">
        <v>45519</v>
      </c>
      <c r="J171" s="11">
        <v>41866</v>
      </c>
      <c r="K171" s="11">
        <v>42231</v>
      </c>
      <c r="L171" s="11">
        <v>41894</v>
      </c>
      <c r="M171" s="12">
        <v>99.55</v>
      </c>
      <c r="N171" s="12" t="s">
        <v>1505</v>
      </c>
      <c r="O171" s="12" t="s">
        <v>1203</v>
      </c>
      <c r="P171" s="12" t="s">
        <v>1506</v>
      </c>
      <c r="Q171" s="15">
        <v>18000000000</v>
      </c>
      <c r="R171" s="12"/>
      <c r="S171" s="43">
        <f>_xll.RtGet("IDN",$N171,IF(OR($G171="BTP,$E11=""CTZ"),S$10,S$9))</f>
        <v>104.97</v>
      </c>
      <c r="T171" s="43">
        <f>_xll.RtGet("IDN",$N171,IF(OR($G171="BTP,$E11=""CTZ"),T$10,T$9))</f>
        <v>104.99000000000001</v>
      </c>
      <c r="U171" s="25">
        <f t="shared" si="21"/>
        <v>104.98</v>
      </c>
      <c r="V171" s="12"/>
      <c r="W171" s="25">
        <f t="shared" si="22"/>
        <v>104.98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0.55342465753424652</v>
      </c>
      <c r="Y171" s="14">
        <v>6.2485116340238029</v>
      </c>
      <c r="Z171" s="14">
        <v>-6.2347274683608713</v>
      </c>
      <c r="AA171" s="14">
        <v>0.46112427201700351</v>
      </c>
      <c r="AB171" s="14">
        <v>0.45909204327161168</v>
      </c>
      <c r="AC171" s="14">
        <v>6.579722420187295</v>
      </c>
      <c r="AD171" s="34">
        <v>2.2108249344731067E-3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-2.9195845650213146</v>
      </c>
      <c r="AI171" s="14">
        <v>6.1266113708066259</v>
      </c>
      <c r="AJ171" s="14">
        <v>6.4656227950701375</v>
      </c>
      <c r="AK171" s="246">
        <v>-0.45155504079938197</v>
      </c>
      <c r="AL171" s="213">
        <f>IF(U171&gt;0,_xll.xlBondZSpread(F171,H171,G171,J171,K171,L171,M171,D171,U171,"annual",5)*100,"-")</f>
        <v>-45.088980115588512</v>
      </c>
      <c r="AM171" s="266">
        <f>(-IF($AL$9="",VLOOKUP(VLOOKUP(E171,'DB Basis'!$D$2:$H$65205,4,0),Bonds!$AR$1:$AS$6,2,0),$AL$9)*VLOOKUP(E171,'DB Basis'!$D$2:$E$65205,2,0))+IF(V171="",W171,V171)</f>
        <v>-37.006715</v>
      </c>
      <c r="AN171" s="275" t="str">
        <f>IF($AN$9+(($AL$9-$AM$9))*('DB Basis'!F331/10-'DB Basis'!E331),," ")</f>
        <v xml:space="preserve"> </v>
      </c>
      <c r="AO171" s="648">
        <f>IF(U171&gt;0,_xll.xlShmImplSwap2(curveName,curveName,D171,G171,,1,8,2,4),"-")</f>
        <v>6.7646095593763876E-3</v>
      </c>
      <c r="AP171" s="649">
        <f t="shared" si="17"/>
        <v>-4.553784624903281E-3</v>
      </c>
      <c r="AQ171" s="391">
        <f t="shared" si="18"/>
        <v>14.429815506930368</v>
      </c>
      <c r="AR171" s="391">
        <f t="shared" si="19"/>
        <v>0.21712844288801905</v>
      </c>
      <c r="AS171" s="393"/>
      <c r="AT171" s="242">
        <f t="shared" si="20"/>
        <v>0.21805396613981329</v>
      </c>
      <c r="AU171" s="701" t="str">
        <f t="shared" si="16"/>
        <v>BUND  15-Aug-24  1</v>
      </c>
      <c r="AV171" s="717"/>
      <c r="AW171" s="699"/>
      <c r="AX171" s="699"/>
      <c r="AY171" s="699"/>
      <c r="AZ171" s="699"/>
      <c r="BA171" s="699"/>
      <c r="BB171" s="698"/>
      <c r="BC171" s="711"/>
      <c r="BE171" s="721">
        <f>_xll.xlDateShiftMonth(BE170,1)</f>
        <v>48057</v>
      </c>
      <c r="BF171" s="722">
        <v>2.3954675922774282E-2</v>
      </c>
    </row>
    <row r="172" spans="1:58">
      <c r="A172" s="10"/>
      <c r="B172" s="11"/>
      <c r="C172" s="12"/>
      <c r="D172" s="735">
        <f>MAX(_xll.xlDateSettle("TARGET",$D$4,2),L172)</f>
        <v>43164</v>
      </c>
      <c r="E172" s="733" t="s">
        <v>590</v>
      </c>
      <c r="F172" s="13" t="s">
        <v>1438</v>
      </c>
      <c r="G172" s="35">
        <v>45703</v>
      </c>
      <c r="H172" s="37">
        <v>0.5</v>
      </c>
      <c r="I172" s="11">
        <v>45703</v>
      </c>
      <c r="J172" s="11">
        <v>42020</v>
      </c>
      <c r="K172" s="11">
        <v>42415</v>
      </c>
      <c r="L172" s="11">
        <v>42020</v>
      </c>
      <c r="M172" s="12">
        <v>99.82</v>
      </c>
      <c r="N172" s="12" t="s">
        <v>1507</v>
      </c>
      <c r="O172" s="12" t="s">
        <v>1222</v>
      </c>
      <c r="P172" s="12" t="s">
        <v>1508</v>
      </c>
      <c r="Q172" s="15">
        <v>23000000000</v>
      </c>
      <c r="R172" s="12"/>
      <c r="S172" s="43">
        <f>_xll.RtGet("IDN",$N172,IF(OR($G172="BTP,$E11=""CTZ"),S$10,S$9))</f>
        <v>101.45400000000001</v>
      </c>
      <c r="T172" s="43">
        <f>_xll.RtGet("IDN",$N172,IF(OR($G172="BTP,$E11=""CTZ"),T$10,T$9))</f>
        <v>101.474</v>
      </c>
      <c r="U172" s="25">
        <f t="shared" si="21"/>
        <v>101.464</v>
      </c>
      <c r="V172" s="12"/>
      <c r="W172" s="25">
        <f t="shared" si="22"/>
        <v>101.464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2.4657534246575342E-2</v>
      </c>
      <c r="Y172" s="14">
        <v>6.8479972006057626</v>
      </c>
      <c r="Z172" s="14">
        <v>-6.8284024947633242</v>
      </c>
      <c r="AA172" s="14">
        <v>0.5417815133186501</v>
      </c>
      <c r="AB172" s="14">
        <v>0.53868546616476976</v>
      </c>
      <c r="AC172" s="14">
        <v>6.9300548371984405</v>
      </c>
      <c r="AD172" s="34">
        <v>2.8695881745925689E-3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-3.1620979362445514</v>
      </c>
      <c r="AI172" s="14">
        <v>6.8538482682396653</v>
      </c>
      <c r="AJ172" s="14">
        <v>6.9558785968706438</v>
      </c>
      <c r="AK172" s="246">
        <v>-0.45459360628679385</v>
      </c>
      <c r="AL172" s="213">
        <f>IF(U172&gt;0,_xll.xlBondZSpread(F172,H172,G172,J172,K172,L172,M172,D172,U172,"annual",5)*100,"-")</f>
        <v>-46.40484872773451</v>
      </c>
      <c r="AM172" s="266">
        <f>(-IF($AL$9="",VLOOKUP(VLOOKUP(E172,'DB Basis'!$D$2:$H$65205,4,0),Bonds!$AR$1:$AS$6,2,0),$AL$9)*VLOOKUP(E172,'DB Basis'!$D$2:$E$65205,2,0))+IF(V172="",W172,V172)</f>
        <v>-47.602385000000027</v>
      </c>
      <c r="AN172" s="275" t="str">
        <f>IF($AN$9+(($AL$9-$AM$9))*('DB Basis'!F332/10-'DB Basis'!E332),," ")</f>
        <v xml:space="preserve"> </v>
      </c>
      <c r="AO172" s="648">
        <f>IF(U172&gt;0,_xll.xlShmImplSwap2(curveName,curveName,D172,G172,,1,8,2,4),"-")</f>
        <v>7.4865643367208025E-3</v>
      </c>
      <c r="AP172" s="649">
        <f t="shared" si="17"/>
        <v>-4.6169761621282336E-3</v>
      </c>
      <c r="AQ172" s="391">
        <f t="shared" si="18"/>
        <v>13.067857752369767</v>
      </c>
      <c r="AR172" s="391">
        <f t="shared" si="19"/>
        <v>-1.2535277764732455</v>
      </c>
      <c r="AS172" s="393"/>
      <c r="AT172" s="242">
        <f t="shared" si="20"/>
        <v>0.28302787475433555</v>
      </c>
      <c r="AU172" s="701" t="str">
        <f t="shared" si="16"/>
        <v>BUND  15-Feb-25  0.5</v>
      </c>
      <c r="AV172" s="717"/>
      <c r="AW172" s="699"/>
      <c r="AX172" s="699"/>
      <c r="AY172" s="699"/>
      <c r="AZ172" s="699"/>
      <c r="BA172" s="699"/>
      <c r="BB172" s="698"/>
      <c r="BC172" s="711"/>
      <c r="BE172" s="721">
        <f>_xll.xlDateShiftMonth(BE171,1)</f>
        <v>48088</v>
      </c>
      <c r="BF172" s="722">
        <v>2.4022442144435528E-2</v>
      </c>
    </row>
    <row r="173" spans="1:58">
      <c r="A173" s="10"/>
      <c r="B173" s="11"/>
      <c r="C173" s="12"/>
      <c r="D173" s="735">
        <f>MAX(_xll.xlDateSettle("TARGET",$D$4,2),L173)</f>
        <v>43164</v>
      </c>
      <c r="E173" s="733" t="s">
        <v>765</v>
      </c>
      <c r="F173" s="13" t="s">
        <v>1438</v>
      </c>
      <c r="G173" s="35">
        <v>45884</v>
      </c>
      <c r="H173" s="37">
        <v>1</v>
      </c>
      <c r="I173" s="11">
        <v>45884</v>
      </c>
      <c r="J173" s="11">
        <v>42202</v>
      </c>
      <c r="K173" s="11">
        <v>42597</v>
      </c>
      <c r="L173" s="11">
        <v>42202</v>
      </c>
      <c r="M173" s="12">
        <v>101.18</v>
      </c>
      <c r="N173" s="12" t="s">
        <v>1509</v>
      </c>
      <c r="O173" s="12" t="s">
        <v>1203</v>
      </c>
      <c r="P173" s="12" t="s">
        <v>1510</v>
      </c>
      <c r="Q173" s="15">
        <v>23000000000</v>
      </c>
      <c r="R173" s="12"/>
      <c r="S173" s="43">
        <f>_xll.RtGet("IDN",$N173,IF(OR($G173="BTP,$E11=""CTZ"),S$10,S$9))</f>
        <v>104.79900000000001</v>
      </c>
      <c r="T173" s="43">
        <f>_xll.RtGet("IDN",$N173,IF(OR($G173="BTP,$E11=""CTZ"),T$10,T$9))</f>
        <v>104.82900000000001</v>
      </c>
      <c r="U173" s="25">
        <f t="shared" si="21"/>
        <v>104.81400000000001</v>
      </c>
      <c r="V173" s="12"/>
      <c r="W173" s="25">
        <f t="shared" si="22"/>
        <v>104.81400000000001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0.55342465753424652</v>
      </c>
      <c r="Y173" s="14">
        <v>7.1830574457217997</v>
      </c>
      <c r="Z173" s="14">
        <v>-7.1584291485458635</v>
      </c>
      <c r="AA173" s="14">
        <v>0.60030230043844235</v>
      </c>
      <c r="AB173" s="14">
        <v>0.59619288654470648</v>
      </c>
      <c r="AC173" s="14">
        <v>7.5426537246606529</v>
      </c>
      <c r="AD173" s="34">
        <v>3.440426625389098E-3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-3.4226154528832113</v>
      </c>
      <c r="AI173" s="14">
        <v>7.04557206602788</v>
      </c>
      <c r="AJ173" s="14">
        <v>7.4237378383642065</v>
      </c>
      <c r="AK173" s="246">
        <v>-0.46103668090162081</v>
      </c>
      <c r="AL173" s="213">
        <f>IF(U173&gt;0,_xll.xlBondZSpread(F173,H173,G173,J173,K173,L173,M173,D173,U173,"annual",5)*100,"-")</f>
        <v>-46.244049123320671</v>
      </c>
      <c r="AM173" s="266">
        <f>(-IF($AL$9="",VLOOKUP(VLOOKUP(E173,'DB Basis'!$D$2:$H$65205,4,0),Bonds!$AR$1:$AS$6,2,0),$AL$9)*VLOOKUP(E173,'DB Basis'!$D$2:$E$65205,2,0))+IF(V173="",W173,V173)</f>
        <v>18.489334999999997</v>
      </c>
      <c r="AN173" s="275" t="str">
        <f>IF($AN$9+(($AL$9-$AM$9))*('DB Basis'!F333/10-'DB Basis'!E333),," ")</f>
        <v xml:space="preserve"> </v>
      </c>
      <c r="AO173" s="648">
        <f>IF(U173&gt;0,_xll.xlShmImplSwap2(curveName,curveName,D173,G173,,1,8,2,4),"-")</f>
        <v>8.0990520393628244E-3</v>
      </c>
      <c r="AP173" s="649">
        <f t="shared" si="17"/>
        <v>-4.6586254139737264E-3</v>
      </c>
      <c r="AQ173" s="391">
        <f t="shared" si="18"/>
        <v>11.511383123797412</v>
      </c>
      <c r="AR173" s="391">
        <f t="shared" si="19"/>
        <v>-0.8398882278234725</v>
      </c>
      <c r="AS173" s="393"/>
      <c r="AT173" s="242">
        <f t="shared" si="20"/>
        <v>0.33932974935344529</v>
      </c>
      <c r="AU173" s="701" t="str">
        <f t="shared" si="16"/>
        <v>BUND  15-Aug-25  1</v>
      </c>
      <c r="AV173" s="717"/>
      <c r="AW173" s="699"/>
      <c r="AX173" s="699"/>
      <c r="AY173" s="699"/>
      <c r="AZ173" s="699"/>
      <c r="BA173" s="699"/>
      <c r="BB173" s="698"/>
      <c r="BC173" s="711"/>
      <c r="BE173" s="721">
        <f>_xll.xlDateShiftMonth(BE172,1)</f>
        <v>48119</v>
      </c>
      <c r="BF173" s="722">
        <v>2.4089356747104568E-2</v>
      </c>
    </row>
    <row r="174" spans="1:58">
      <c r="A174" s="10"/>
      <c r="B174" s="11"/>
      <c r="C174" s="12"/>
      <c r="D174" s="735">
        <f>MAX(_xll.xlDateSettle("TARGET",$D$4,2),L174)</f>
        <v>43164</v>
      </c>
      <c r="E174" s="733" t="s">
        <v>818</v>
      </c>
      <c r="F174" s="13" t="s">
        <v>1438</v>
      </c>
      <c r="G174" s="35">
        <v>46068</v>
      </c>
      <c r="H174" s="37">
        <v>0.5</v>
      </c>
      <c r="I174" s="11">
        <v>46068</v>
      </c>
      <c r="J174" s="11">
        <v>42384</v>
      </c>
      <c r="K174" s="11">
        <v>42781</v>
      </c>
      <c r="L174" s="11">
        <v>42384</v>
      </c>
      <c r="M174" s="12">
        <v>99.11</v>
      </c>
      <c r="N174" s="12" t="s">
        <v>1511</v>
      </c>
      <c r="O174" s="12" t="s">
        <v>1222</v>
      </c>
      <c r="P174" s="12" t="s">
        <v>1512</v>
      </c>
      <c r="Q174" s="15">
        <v>26000000000</v>
      </c>
      <c r="R174" s="12"/>
      <c r="S174" s="43">
        <f>_xll.RtGet("IDN",$N174,IF(OR($G174="BTP,$E11=""CTZ"),S$10,S$9))</f>
        <v>100.678</v>
      </c>
      <c r="T174" s="43">
        <f>_xll.RtGet("IDN",$N174,IF(OR($G174="BTP,$E11=""CTZ"),T$10,T$9))</f>
        <v>100.69800000000001</v>
      </c>
      <c r="U174" s="25">
        <f t="shared" si="21"/>
        <v>100.688</v>
      </c>
      <c r="V174" s="12"/>
      <c r="W174" s="25">
        <f t="shared" si="22"/>
        <v>100.688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2.4657534246575342E-2</v>
      </c>
      <c r="Y174" s="14">
        <v>7.8133477945310075</v>
      </c>
      <c r="Z174" s="14">
        <v>-7.7812999018645659</v>
      </c>
      <c r="AA174" s="14">
        <v>0.69531265675376164</v>
      </c>
      <c r="AB174" s="14">
        <v>0.68962044736373529</v>
      </c>
      <c r="AC174" s="14">
        <v>7.8367550658434482</v>
      </c>
      <c r="AD174" s="34">
        <v>4.1185782486799815E-3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-3.581893756911855</v>
      </c>
      <c r="AI174" s="14">
        <v>7.8468957354325637</v>
      </c>
      <c r="AJ174" s="14">
        <v>7.9028172290955965</v>
      </c>
      <c r="AK174" s="246">
        <v>-0.45324264158919025</v>
      </c>
      <c r="AL174" s="213">
        <f>IF(U174&gt;0,_xll.xlBondZSpread(F174,H174,G174,J174,K174,L174,M174,D174,U174,"annual",5)*100,"-")</f>
        <v>-46.621312468045666</v>
      </c>
      <c r="AM174" s="266">
        <f>(-IF($AL$9="",VLOOKUP(VLOOKUP(E174,'DB Basis'!$D$2:$H$65205,4,0),Bonds!$AR$1:$AS$6,2,0),$AL$9)*VLOOKUP(E174,'DB Basis'!$D$2:$E$65205,2,0))+IF(V174="",W174,V174)</f>
        <v>11.331599999999995</v>
      </c>
      <c r="AN174" s="275" t="str">
        <f>IF($AN$9+(($AL$9-$AM$9))*('DB Basis'!F334/10-'DB Basis'!E334),," ")</f>
        <v xml:space="preserve"> </v>
      </c>
      <c r="AO174" s="648">
        <f>IF(U174&gt;0,_xll.xlShmImplSwap2(curveName,curveName,D174,G174,,1,8,2,4),"-")</f>
        <v>8.7312228087486135E-3</v>
      </c>
      <c r="AP174" s="649">
        <f t="shared" si="17"/>
        <v>-4.612644560068632E-3</v>
      </c>
      <c r="AQ174" s="391">
        <f t="shared" si="18"/>
        <v>13.452464266368068</v>
      </c>
      <c r="AR174" s="391">
        <f t="shared" si="19"/>
        <v>0.91212019974779557</v>
      </c>
      <c r="AS174" s="393"/>
      <c r="AT174" s="242">
        <f t="shared" si="20"/>
        <v>0.40621593685610774</v>
      </c>
      <c r="AU174" s="701" t="str">
        <f t="shared" si="16"/>
        <v>BUND  15-Feb-26  0.5</v>
      </c>
      <c r="AV174" s="717"/>
      <c r="AW174" s="699"/>
      <c r="AX174" s="699"/>
      <c r="AY174" s="699"/>
      <c r="AZ174" s="699"/>
      <c r="BA174" s="699"/>
      <c r="BB174" s="698"/>
      <c r="BC174" s="711"/>
      <c r="BE174" s="721">
        <f>_xll.xlDateShiftMonth(BE173,1)</f>
        <v>48149</v>
      </c>
      <c r="BF174" s="722">
        <v>2.4153301823186969E-2</v>
      </c>
    </row>
    <row r="175" spans="1:58">
      <c r="A175" s="10"/>
      <c r="B175" s="11"/>
      <c r="C175" s="12"/>
      <c r="D175" s="735">
        <f>MAX(_xll.xlDateSettle("TARGET",$D$4,2),L175)</f>
        <v>43164</v>
      </c>
      <c r="E175" s="733" t="s">
        <v>905</v>
      </c>
      <c r="F175" s="13" t="s">
        <v>1438</v>
      </c>
      <c r="G175" s="35">
        <v>46249</v>
      </c>
      <c r="H175" s="37">
        <v>0</v>
      </c>
      <c r="I175" s="11">
        <v>46249</v>
      </c>
      <c r="J175" s="11">
        <v>42566</v>
      </c>
      <c r="K175" s="11">
        <v>42962</v>
      </c>
      <c r="L175" s="11">
        <v>42566</v>
      </c>
      <c r="M175" s="12">
        <v>100.48</v>
      </c>
      <c r="N175" s="12" t="s">
        <v>621</v>
      </c>
      <c r="O175" s="12" t="s">
        <v>1203</v>
      </c>
      <c r="P175" s="12" t="s">
        <v>1513</v>
      </c>
      <c r="Q175" s="15">
        <v>25000000000</v>
      </c>
      <c r="R175" s="12"/>
      <c r="S175" s="43">
        <f>_xll.BDP(E175&amp;"@cbbt Corp",$S$10)</f>
        <v>96.03</v>
      </c>
      <c r="T175" s="43">
        <f>_xll.BDP(E175&amp;"@cbbt Corp",$T$10)</f>
        <v>96.066000000000003</v>
      </c>
      <c r="U175" s="25">
        <f t="shared" si="21"/>
        <v>96.048000000000002</v>
      </c>
      <c r="V175" s="12"/>
      <c r="W175" s="25">
        <f t="shared" si="22"/>
        <v>96.048000000000002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0</v>
      </c>
      <c r="Y175" s="14">
        <v>8.5694444444444446</v>
      </c>
      <c r="Z175" s="14">
        <v>-8.5292168126288832</v>
      </c>
      <c r="AA175" s="14">
        <v>0.82004822530864185</v>
      </c>
      <c r="AB175" s="14">
        <v>0.81236717458633212</v>
      </c>
      <c r="AC175" s="14">
        <v>8.1921437514999695</v>
      </c>
      <c r="AD175" s="34">
        <v>4.7164239497007963E-3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-3.683103270608882</v>
      </c>
      <c r="AI175" s="14">
        <v>8.714177909684711</v>
      </c>
      <c r="AJ175" s="14">
        <v>8.3697935986939722</v>
      </c>
      <c r="AK175" s="246">
        <v>-0.44004708445661023</v>
      </c>
      <c r="AL175" s="213">
        <f>IF(U175&gt;0,_xll.xlBondZSpread(F175,H175,G175,J175,K175,L175,M175,D175,U175,"annual",5)*100,"-")</f>
        <v>-46.558714639229962</v>
      </c>
      <c r="AM175" s="266">
        <f>(-IF($AL$9="",VLOOKUP(VLOOKUP(E175,'DB Basis'!$D$2:$H$65205,4,0),Bonds!$AR$1:$AS$6,2,0),$AL$9)*VLOOKUP(E175,'DB Basis'!$D$2:$E$65205,2,0))+IF(V175="",W175,V175)</f>
        <v>4.1385600000000125</v>
      </c>
      <c r="AN175" s="275" t="str">
        <f>IF($AN$9+(($AL$9-$AM$9))*('DB Basis'!F335/10-'DB Basis'!E335),," ")</f>
        <v xml:space="preserve"> </v>
      </c>
      <c r="AO175" s="648">
        <f>IF(U175&gt;0,_xll.xlShmImplSwap2(curveName,curveName,D175,G175,,1,8,2,4),"-")</f>
        <v>9.2821764331494708E-3</v>
      </c>
      <c r="AP175" s="649">
        <f t="shared" si="17"/>
        <v>-4.5657524834486745E-3</v>
      </c>
      <c r="AQ175" s="391">
        <f t="shared" si="18"/>
        <v>12.056004468099305</v>
      </c>
      <c r="AR175" s="391">
        <f t="shared" si="19"/>
        <v>0.94561369979472398</v>
      </c>
      <c r="AS175" s="393"/>
      <c r="AT175" s="242">
        <f t="shared" si="20"/>
        <v>0.46518154024446212</v>
      </c>
      <c r="AU175" s="701" t="str">
        <f t="shared" si="16"/>
        <v>BUND  15-Aug-26  0</v>
      </c>
      <c r="AV175" s="717"/>
      <c r="AW175" s="699"/>
      <c r="AX175" s="699"/>
      <c r="AY175" s="699"/>
      <c r="AZ175" s="699"/>
      <c r="BA175" s="699"/>
      <c r="BB175" s="698"/>
      <c r="BC175" s="711"/>
      <c r="BE175" s="721">
        <f>_xll.xlDateShiftMonth(BE174,1)</f>
        <v>48180</v>
      </c>
      <c r="BF175" s="722">
        <v>2.4218540236906332E-2</v>
      </c>
    </row>
    <row r="176" spans="1:58">
      <c r="A176" s="10"/>
      <c r="B176" s="11"/>
      <c r="C176" s="12"/>
      <c r="D176" s="735">
        <f>MAX(_xll.xlDateSettle("TARGET",$D$4,2),L176)</f>
        <v>43164</v>
      </c>
      <c r="E176" s="733" t="s">
        <v>944</v>
      </c>
      <c r="F176" s="13" t="s">
        <v>1438</v>
      </c>
      <c r="G176" s="35">
        <v>46433</v>
      </c>
      <c r="H176" s="37">
        <v>0.25</v>
      </c>
      <c r="I176" s="11">
        <v>46433</v>
      </c>
      <c r="J176" s="11">
        <v>42748</v>
      </c>
      <c r="K176" s="11">
        <v>43146</v>
      </c>
      <c r="L176" s="11">
        <v>42748</v>
      </c>
      <c r="M176" s="12">
        <v>98.91</v>
      </c>
      <c r="N176" s="12" t="s">
        <v>1514</v>
      </c>
      <c r="O176" s="12" t="s">
        <v>1222</v>
      </c>
      <c r="P176" s="12" t="s">
        <v>1515</v>
      </c>
      <c r="Q176" s="15">
        <v>26000000000</v>
      </c>
      <c r="R176" s="12"/>
      <c r="S176" s="43">
        <f>_xll.BDP(E176&amp;"@cbbt Corp",$S$10)</f>
        <v>97.513999999999996</v>
      </c>
      <c r="T176" s="43">
        <f>_xll.BDP(E176&amp;"@cbbt Corp",$T$10)</f>
        <v>97.545000000000002</v>
      </c>
      <c r="U176" s="25">
        <f t="shared" si="21"/>
        <v>97.529499999999999</v>
      </c>
      <c r="V176" s="12"/>
      <c r="W176" s="25">
        <f t="shared" si="22"/>
        <v>97.529499999999999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1.2328767123287671E-2</v>
      </c>
      <c r="Y176" s="14">
        <v>8.8600097603081913</v>
      </c>
      <c r="Z176" s="14">
        <v>-8.8130024796801649</v>
      </c>
      <c r="AA176" s="14">
        <v>0.87867256875560817</v>
      </c>
      <c r="AB176" s="14">
        <v>0.86937360887541759</v>
      </c>
      <c r="AC176" s="14">
        <v>8.5963653553534414</v>
      </c>
      <c r="AD176" s="34">
        <v>5.3338520025024557E-3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-3.8904294189913893</v>
      </c>
      <c r="AI176" s="14">
        <v>9.0548206922272438</v>
      </c>
      <c r="AJ176" s="14">
        <v>8.8322376947823464</v>
      </c>
      <c r="AK176" s="246">
        <v>-0.44048060677643036</v>
      </c>
      <c r="AL176" s="213">
        <f>IF(U176&gt;0,_xll.xlBondZSpread(F176,H176,G176,J176,K176,L176,M176,D176,U176,"annual",5)*100,"-")</f>
        <v>-46.276138348717375</v>
      </c>
      <c r="AM176" s="266">
        <f>(-IF($AL$9="",VLOOKUP(VLOOKUP(E176,'DB Basis'!$D$2:$H$65205,4,0),Bonds!$AR$1:$AS$6,2,0),$AL$9)*VLOOKUP(E176,'DB Basis'!$D$2:$E$65205,2,0))+IF(V176="",W176,V176)</f>
        <v>8.7972099999973352E-3</v>
      </c>
      <c r="AN176" s="275" t="str">
        <f>IF($AN$9+(($AL$9-$AM$9))*('DB Basis'!F336/10-'DB Basis'!E336),," ")</f>
        <v xml:space="preserve"> </v>
      </c>
      <c r="AO176" s="648">
        <f>IF(U176&gt;0,_xll.xlShmImplSwap2(curveName,curveName,D176,G176,,1,8,2,4),"-")</f>
        <v>9.8349691591272173E-3</v>
      </c>
      <c r="AP176" s="649">
        <f t="shared" si="17"/>
        <v>-4.5011171566247616E-3</v>
      </c>
      <c r="AQ176" s="391">
        <f t="shared" si="18"/>
        <v>12.247893438728573</v>
      </c>
      <c r="AR176" s="391">
        <f t="shared" si="19"/>
        <v>1.2821681679743597</v>
      </c>
      <c r="AS176" s="393"/>
      <c r="AT176" s="242">
        <f t="shared" si="20"/>
        <v>0.52607855367147516</v>
      </c>
      <c r="AU176" s="701" t="str">
        <f t="shared" si="16"/>
        <v>BUND  15-Feb-27  0.25</v>
      </c>
      <c r="AV176" s="717"/>
      <c r="AW176" s="699"/>
      <c r="AX176" s="699"/>
      <c r="AY176" s="699"/>
      <c r="AZ176" s="699"/>
      <c r="BA176" s="699"/>
      <c r="BB176" s="698"/>
      <c r="BC176" s="711"/>
      <c r="BE176" s="721">
        <f>_xll.xlDateShiftMonth(BE175,1)</f>
        <v>48210</v>
      </c>
      <c r="BF176" s="722">
        <v>2.4280862923521808E-2</v>
      </c>
    </row>
    <row r="177" spans="1:58">
      <c r="A177" s="10"/>
      <c r="B177" s="11"/>
      <c r="C177" s="12"/>
      <c r="D177" s="735">
        <f>MAX(_xll.xlDateSettle("TARGET",$D$4,2),L177)</f>
        <v>43164</v>
      </c>
      <c r="E177" s="733" t="s">
        <v>673</v>
      </c>
      <c r="F177" s="13" t="s">
        <v>1438</v>
      </c>
      <c r="G177" s="35">
        <v>46572</v>
      </c>
      <c r="H177" s="37">
        <v>6.5</v>
      </c>
      <c r="I177" s="11">
        <v>46572</v>
      </c>
      <c r="J177" s="11">
        <v>35615</v>
      </c>
      <c r="K177" s="11">
        <v>35980</v>
      </c>
      <c r="L177" s="11">
        <v>35615</v>
      </c>
      <c r="M177" s="12">
        <v>103.89</v>
      </c>
      <c r="N177" s="12" t="s">
        <v>1516</v>
      </c>
      <c r="O177" s="12" t="s">
        <v>1203</v>
      </c>
      <c r="P177" s="12" t="s">
        <v>1517</v>
      </c>
      <c r="Q177" s="15">
        <v>11250000000</v>
      </c>
      <c r="R177" s="12"/>
      <c r="S177" s="43">
        <f>_xll.RtGet("IDN",$N177,IF(OR($G177="BTP,$E11=""CTZ"),S$10,S$9))</f>
        <v>154.05199999999999</v>
      </c>
      <c r="T177" s="43">
        <f>_xll.RtGet("IDN",$N177,IF(OR($G177="BTP,$E11=""CTZ"),T$10,T$9))</f>
        <v>154.19200000000001</v>
      </c>
      <c r="U177" s="25">
        <f t="shared" si="21"/>
        <v>154.12200000000001</v>
      </c>
      <c r="V177" s="12"/>
      <c r="W177" s="25">
        <f t="shared" si="22"/>
        <v>154.12200000000001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4.3452054794520549</v>
      </c>
      <c r="Y177" s="14">
        <v>7.5149970075294172</v>
      </c>
      <c r="Z177" s="14">
        <v>-7.4748246820135584</v>
      </c>
      <c r="AA177" s="14">
        <v>0.72242469340329385</v>
      </c>
      <c r="AB177" s="14">
        <v>0.71472172000241119</v>
      </c>
      <c r="AC177" s="14">
        <v>11.845147879512297</v>
      </c>
      <c r="AD177" s="34">
        <v>5.3743484787116547E-3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-4.657839758293508</v>
      </c>
      <c r="AI177" s="14">
        <v>5.7961536044867801</v>
      </c>
      <c r="AJ177" s="14">
        <v>9.185002642326733</v>
      </c>
      <c r="AK177" s="246">
        <v>-0.50711360025407537</v>
      </c>
      <c r="AL177" s="213">
        <f>IF(U177&gt;0,_xll.xlBondZSpread(F177,H177,G177,J177,K177,L177,M177,D177,U177,"annual",5)*100,"-")</f>
        <v>-40.212544482374511</v>
      </c>
      <c r="AM177" s="266">
        <f>(-IF($AL$9="",VLOOKUP(VLOOKUP(E177,'DB Basis'!$D$2:$H$65205,4,0),Bonds!$AR$1:$AS$6,2,0),$AL$9)*VLOOKUP(E177,'DB Basis'!$D$2:$E$65205,2,0))+IF(V177="",W177,V177)</f>
        <v>18.970445000000012</v>
      </c>
      <c r="AN177" s="275" t="str">
        <f>IF($AN$9+(($AL$9-$AM$9))*('DB Basis'!F337/10-'DB Basis'!E337),," ")</f>
        <v xml:space="preserve"> </v>
      </c>
      <c r="AO177" s="648">
        <f>IF(U177&gt;0,_xll.xlShmImplSwap2(curveName,curveName,D177,G177,,1,8,2,4),"-")</f>
        <v>1.0205038115504116E-2</v>
      </c>
      <c r="AP177" s="649">
        <f t="shared" si="17"/>
        <v>-4.8306896367924616E-3</v>
      </c>
      <c r="AQ177" s="391">
        <f t="shared" si="18"/>
        <v>1.0633966774357988</v>
      </c>
      <c r="AR177" s="391">
        <f t="shared" si="19"/>
        <v>-8.6542413856985991</v>
      </c>
      <c r="AS177" s="393"/>
      <c r="AT177" s="242">
        <f t="shared" si="20"/>
        <v>0.53007272666745087</v>
      </c>
      <c r="AU177" s="701" t="str">
        <f t="shared" si="16"/>
        <v>BUND  04-Jul-27  6.5</v>
      </c>
      <c r="AV177" s="717"/>
      <c r="AW177" s="699"/>
      <c r="AX177" s="699"/>
      <c r="AY177" s="699"/>
      <c r="AZ177" s="699"/>
      <c r="BA177" s="699"/>
      <c r="BB177" s="698"/>
      <c r="BC177" s="711"/>
      <c r="BE177" s="721">
        <f>_xll.xlDateShiftMonth(BE176,1)</f>
        <v>48241</v>
      </c>
      <c r="BF177" s="722">
        <v>2.4344424587959202E-2</v>
      </c>
    </row>
    <row r="178" spans="1:58">
      <c r="A178" s="10"/>
      <c r="B178" s="11"/>
      <c r="C178" s="12"/>
      <c r="D178" s="735">
        <f>MAX(_xll.xlDateSettle("TARGET",$D$4,2),L178)</f>
        <v>43164</v>
      </c>
      <c r="E178" s="733" t="s">
        <v>1016</v>
      </c>
      <c r="F178" s="13" t="s">
        <v>1438</v>
      </c>
      <c r="G178" s="35">
        <v>46614</v>
      </c>
      <c r="H178" s="37">
        <v>0.5</v>
      </c>
      <c r="I178" s="11">
        <v>46614</v>
      </c>
      <c r="J178" s="11">
        <v>42930</v>
      </c>
      <c r="K178" s="11">
        <v>43327</v>
      </c>
      <c r="L178" s="11">
        <v>42930</v>
      </c>
      <c r="M178" s="12">
        <v>99.1</v>
      </c>
      <c r="N178" s="12" t="s">
        <v>621</v>
      </c>
      <c r="O178" s="12" t="s">
        <v>1203</v>
      </c>
      <c r="P178" s="12" t="s">
        <v>1518</v>
      </c>
      <c r="Q178" s="15">
        <v>25000000000</v>
      </c>
      <c r="R178" s="12"/>
      <c r="S178" s="43">
        <f>_xll.BDP(E178&amp;"@cbbt Corp",$S$10)</f>
        <v>99.111999999999995</v>
      </c>
      <c r="T178" s="43">
        <f>_xll.BDP(E178&amp;"@cbbt Corp",$T$10)</f>
        <v>99.147999999999996</v>
      </c>
      <c r="U178" s="25">
        <f t="shared" si="21"/>
        <v>99.13</v>
      </c>
      <c r="V178" s="12"/>
      <c r="W178" s="25">
        <f t="shared" si="22"/>
        <v>99.13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0.32054794520547941</v>
      </c>
      <c r="Y178" s="14">
        <v>9.2204963123700878</v>
      </c>
      <c r="Z178" s="14">
        <v>-9.1659652360396962</v>
      </c>
      <c r="AA178" s="14">
        <v>0.95635738455544772</v>
      </c>
      <c r="AB178" s="14">
        <v>0.94507881956658735</v>
      </c>
      <c r="AC178" s="14">
        <v>9.1156044283053461</v>
      </c>
      <c r="AD178" s="34">
        <v>5.9492998873082285E-3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-3.9829222210653046</v>
      </c>
      <c r="AI178" s="14">
        <v>9.3415265804969589</v>
      </c>
      <c r="AJ178" s="14">
        <v>9.2901993707512407</v>
      </c>
      <c r="AK178" s="246">
        <v>-0.42872300820636045</v>
      </c>
      <c r="AL178" s="213">
        <f>IF(U178&gt;0,_xll.xlBondZSpread(F178,H178,G178,J178,K178,L178,M178,D178,U178,"annual",5)*100,"-")</f>
        <v>-44.688526237644709</v>
      </c>
      <c r="AM178" s="266">
        <f>(-IF($AL$9="",VLOOKUP(VLOOKUP(E178,'DB Basis'!$D$2:$H$65205,4,0),Bonds!$AR$1:$AS$6,2,0),$AL$9)*VLOOKUP(E178,'DB Basis'!$D$2:$E$65205,2,0))+IF(V178="",W178,V178)</f>
        <v>1.3940440249999853</v>
      </c>
      <c r="AN178" s="275" t="str">
        <f>IF($AN$9+(($AL$9-$AM$9))*('DB Basis'!F338/10-'DB Basis'!E338),," ")</f>
        <v xml:space="preserve"> </v>
      </c>
      <c r="AO178" s="648">
        <f>IF(U178&gt;0,_xll.xlShmImplSwap2(curveName,curveName,D178,G178,,1,8,2,4),"-")</f>
        <v>1.0317117458405882E-2</v>
      </c>
      <c r="AP178" s="649">
        <f t="shared" si="17"/>
        <v>-4.3678175710976531E-3</v>
      </c>
      <c r="AQ178" s="391">
        <f t="shared" si="18"/>
        <v>49.966015270892733</v>
      </c>
      <c r="AR178" s="391">
        <f t="shared" si="19"/>
        <v>40.225786661572648</v>
      </c>
      <c r="AS178" s="393"/>
      <c r="AT178" s="242">
        <f t="shared" si="20"/>
        <v>0.58678026285779783</v>
      </c>
      <c r="AU178" s="701" t="str">
        <f t="shared" si="16"/>
        <v>BUND  15-Aug-27  0.5</v>
      </c>
      <c r="AV178" s="717"/>
      <c r="AW178" s="699"/>
      <c r="AX178" s="699"/>
      <c r="AY178" s="699"/>
      <c r="AZ178" s="699"/>
      <c r="BA178" s="699"/>
      <c r="BB178" s="698"/>
      <c r="BC178" s="711"/>
      <c r="BE178" s="721">
        <f>_xll.xlDateShiftMonth(BE177,1)</f>
        <v>48272</v>
      </c>
      <c r="BF178" s="722">
        <v>2.4407133919172722E-2</v>
      </c>
    </row>
    <row r="179" spans="1:58">
      <c r="A179" s="10"/>
      <c r="B179" s="11"/>
      <c r="C179" s="12"/>
      <c r="D179" s="735">
        <f>MAX(_xll.xlDateSettle("TARGET",$D$4,2),L179)</f>
        <v>43164</v>
      </c>
      <c r="E179" s="733" t="s">
        <v>674</v>
      </c>
      <c r="F179" s="13" t="s">
        <v>1438</v>
      </c>
      <c r="G179" s="35">
        <v>46756</v>
      </c>
      <c r="H179" s="37">
        <v>5.625</v>
      </c>
      <c r="I179" s="11">
        <v>46756</v>
      </c>
      <c r="J179" s="11">
        <v>35799</v>
      </c>
      <c r="K179" s="11">
        <v>36164</v>
      </c>
      <c r="L179" s="11">
        <v>35818</v>
      </c>
      <c r="M179" s="12">
        <v>101.74</v>
      </c>
      <c r="N179" s="12" t="s">
        <v>1519</v>
      </c>
      <c r="O179" s="12" t="s">
        <v>1203</v>
      </c>
      <c r="P179" s="12" t="s">
        <v>1520</v>
      </c>
      <c r="Q179" s="15">
        <v>14500000000</v>
      </c>
      <c r="R179" s="12"/>
      <c r="S179" s="43">
        <f>_xll.BDP(E179&amp;"@cbbt Corp",$S$10)</f>
        <v>147.786</v>
      </c>
      <c r="T179" s="43">
        <f>_xll.BDP(E179&amp;"@cbbt Corp",$T$10)</f>
        <v>147.94800000000001</v>
      </c>
      <c r="U179" s="25">
        <f t="shared" si="21"/>
        <v>147.86700000000002</v>
      </c>
      <c r="V179" s="12"/>
      <c r="W179" s="25">
        <f t="shared" si="22"/>
        <v>147.86700000000002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0.92465753424657526</v>
      </c>
      <c r="Y179" s="14">
        <v>8.1694680989127608</v>
      </c>
      <c r="Z179" s="14">
        <v>-8.1208414634625221</v>
      </c>
      <c r="AA179" s="14">
        <v>0.82734344405260329</v>
      </c>
      <c r="AB179" s="14">
        <v>0.81752366252233577</v>
      </c>
      <c r="AC179" s="14">
        <v>12.083136959857654</v>
      </c>
      <c r="AD179" s="34">
        <v>5.9878797637893805E-3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-4.6826738103648751</v>
      </c>
      <c r="AI179" s="14">
        <v>6.4801240326069172</v>
      </c>
      <c r="AJ179" s="14">
        <v>9.6418839583908937</v>
      </c>
      <c r="AK179" s="246">
        <v>-0.485659631517318</v>
      </c>
      <c r="AL179" s="213">
        <f>IF(U179&gt;0,_xll.xlBondZSpread(F179,H179,G179,J179,K179,L179,M179,D179,U179,"annual",5)*100,"-")</f>
        <v>-39.672496157725632</v>
      </c>
      <c r="AM179" s="266">
        <f>(-IF($AL$9="",VLOOKUP(VLOOKUP(E179,'DB Basis'!$D$2:$H$65205,4,0),Bonds!$AR$1:$AS$6,2,0),$AL$9)*VLOOKUP(E179,'DB Basis'!$D$2:$E$65205,2,0))+IF(V179="",W179,V179)</f>
        <v>10.162405000000035</v>
      </c>
      <c r="AN179" s="275" t="str">
        <f>IF($AN$9+(($AL$9-$AM$9))*('DB Basis'!F339/10-'DB Basis'!E339),," ")</f>
        <v xml:space="preserve"> </v>
      </c>
      <c r="AO179" s="648">
        <f>IF(U179&gt;0,_xll.xlShmImplSwap2(curveName,curveName,D179,G179,,1,8,2,4),"-")</f>
        <v>1.0691897302236304E-2</v>
      </c>
      <c r="AP179" s="649">
        <f t="shared" si="17"/>
        <v>-4.7040175384469238E-3</v>
      </c>
      <c r="AQ179" s="391">
        <f t="shared" si="18"/>
        <v>0.99166583912820105</v>
      </c>
      <c r="AR179" s="391">
        <f t="shared" si="19"/>
        <v>-8.6417597241185771</v>
      </c>
      <c r="AS179" s="393"/>
      <c r="AT179" s="242">
        <f t="shared" si="20"/>
        <v>0.59058540136004845</v>
      </c>
      <c r="AU179" s="701" t="str">
        <f t="shared" si="16"/>
        <v>BUND  04-Jan-28  5.625</v>
      </c>
      <c r="AV179" s="717"/>
      <c r="AW179" s="699"/>
      <c r="AX179" s="699"/>
      <c r="AY179" s="699"/>
      <c r="AZ179" s="699"/>
      <c r="BA179" s="699"/>
      <c r="BB179" s="698"/>
      <c r="BC179" s="711"/>
      <c r="BE179" s="721">
        <f>_xll.xlDateShiftMonth(BE178,1)</f>
        <v>48301</v>
      </c>
      <c r="BF179" s="722">
        <v>2.4465025735679369E-2</v>
      </c>
    </row>
    <row r="180" spans="1:58">
      <c r="A180" s="10"/>
      <c r="B180" s="11"/>
      <c r="C180" s="12"/>
      <c r="D180" s="735">
        <f>MAX(_xll.xlDateSettle("TARGET",$D$4,2),L180)</f>
        <v>43164</v>
      </c>
      <c r="E180" s="733" t="s">
        <v>2007</v>
      </c>
      <c r="F180" s="13" t="s">
        <v>1438</v>
      </c>
      <c r="G180" s="35">
        <v>46798</v>
      </c>
      <c r="H180" s="37">
        <v>0.5</v>
      </c>
      <c r="I180" s="11">
        <v>46798</v>
      </c>
      <c r="J180" s="11">
        <v>43112</v>
      </c>
      <c r="K180" s="11">
        <v>43511</v>
      </c>
      <c r="L180" s="11">
        <v>43112</v>
      </c>
      <c r="M180" s="12">
        <v>99.63</v>
      </c>
      <c r="N180" s="12" t="s">
        <v>2008</v>
      </c>
      <c r="O180" s="12" t="s">
        <v>1222</v>
      </c>
      <c r="P180" s="12" t="s">
        <v>2009</v>
      </c>
      <c r="Q180" s="15">
        <v>8000000000</v>
      </c>
      <c r="R180" s="12"/>
      <c r="S180" s="43">
        <f>_xll.RtGet("IDN",$N180,IF(OR($G180="BTP,$E11=""CTZ"),S$10,S$9))</f>
        <v>98.531999999999996</v>
      </c>
      <c r="T180" s="43">
        <f>_xll.RtGet("IDN",$N180,IF(OR($G180="BTP,$E11=""CTZ"),T$10,T$9))</f>
        <v>98.585000000000008</v>
      </c>
      <c r="U180" s="25">
        <f t="shared" si="21"/>
        <v>98.558500000000009</v>
      </c>
      <c r="V180" s="12"/>
      <c r="W180" s="25">
        <f t="shared" si="22"/>
        <v>98.558500000000009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7.1232876712328766E-2</v>
      </c>
      <c r="Y180" s="14">
        <v>9.7235968843600595</v>
      </c>
      <c r="Z180" s="14">
        <v>-9.6607985510155832</v>
      </c>
      <c r="AA180" s="14">
        <v>1.0567688279418614</v>
      </c>
      <c r="AB180" s="14">
        <v>1.0431629528044422</v>
      </c>
      <c r="AC180" s="14">
        <v>9.5284218363886453</v>
      </c>
      <c r="AD180" s="34">
        <v>6.500324998734824E-3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-4.1186826029581889</v>
      </c>
      <c r="AI180" s="14">
        <v>9.8810204518535034</v>
      </c>
      <c r="AJ180" s="14">
        <v>9.7456240771564246</v>
      </c>
      <c r="AK180" s="246">
        <v>-0.4226186614987858</v>
      </c>
      <c r="AL180" s="213">
        <f>IF(U180&gt;0,_xll.xlBondZSpread(F180,H180,G180,J180,K180,L180,M180,D180,U180,"annual",5)*100,"-")</f>
        <v>-44.263704770207561</v>
      </c>
      <c r="AM180" s="266" t="e">
        <f>(-IF($AL$9="",VLOOKUP(VLOOKUP(E180,'DB Basis'!$D$2:$H$65205,4,0),Bonds!$AR$1:$AS$6,2,0),$AL$9)*VLOOKUP(E180,'DB Basis'!$D$2:$E$65205,2,0))+IF(V180="",W180,V180)</f>
        <v>#N/A</v>
      </c>
      <c r="AN180" s="275" t="str">
        <f>IF($AN$9+(($AL$9-$AM$9))*('DB Basis'!F340/10-'DB Basis'!E340),," ")</f>
        <v xml:space="preserve"> </v>
      </c>
      <c r="AO180" s="648">
        <f>IF(U180&gt;0,_xll.xlShmImplSwap2(curveName,curveName,D180,G180,,1,8,2,4),"-")</f>
        <v>1.0813637549555978E-2</v>
      </c>
      <c r="AP180" s="649">
        <f t="shared" si="17"/>
        <v>-4.313312550821154E-3</v>
      </c>
      <c r="AQ180" s="391">
        <f t="shared" si="18"/>
        <v>44.533931132163545</v>
      </c>
      <c r="AR180" s="391">
        <f t="shared" si="19"/>
        <v>33.954123924620468</v>
      </c>
      <c r="AS180" s="393"/>
      <c r="AT180" s="242">
        <f t="shared" si="20"/>
        <v>0.64112794508069493</v>
      </c>
      <c r="AU180" s="701" t="str">
        <f t="shared" si="16"/>
        <v>BUND  15-Feb-28  0.5</v>
      </c>
      <c r="AV180" s="717"/>
      <c r="AW180" s="699"/>
      <c r="AX180" s="699"/>
      <c r="AY180" s="699"/>
      <c r="AZ180" s="699"/>
      <c r="BA180" s="699"/>
      <c r="BB180" s="698"/>
      <c r="BC180" s="711"/>
      <c r="BE180" s="721">
        <f>_xll.xlDateShiftMonth(BE179,1)</f>
        <v>48332</v>
      </c>
      <c r="BF180" s="722">
        <v>2.4526084978584294E-2</v>
      </c>
    </row>
    <row r="181" spans="1:58">
      <c r="A181" s="10"/>
      <c r="B181" s="11"/>
      <c r="C181" s="12"/>
      <c r="D181" s="735">
        <f>MAX(_xll.xlDateSettle("TARGET",$D$4,2),L181)</f>
        <v>43164</v>
      </c>
      <c r="E181" s="733" t="s">
        <v>675</v>
      </c>
      <c r="F181" s="13" t="s">
        <v>1438</v>
      </c>
      <c r="G181" s="35">
        <v>46938</v>
      </c>
      <c r="H181" s="37">
        <v>4.75</v>
      </c>
      <c r="I181" s="11">
        <v>46938</v>
      </c>
      <c r="J181" s="11">
        <v>35980</v>
      </c>
      <c r="K181" s="11">
        <v>36345</v>
      </c>
      <c r="L181" s="11">
        <v>36077</v>
      </c>
      <c r="M181" s="12">
        <v>99.73</v>
      </c>
      <c r="N181" s="12" t="s">
        <v>1521</v>
      </c>
      <c r="O181" s="12" t="s">
        <v>1203</v>
      </c>
      <c r="P181" s="12" t="s">
        <v>1522</v>
      </c>
      <c r="Q181" s="15">
        <v>11250000000</v>
      </c>
      <c r="R181" s="12"/>
      <c r="S181" s="43">
        <f>_xll.BDP(E181&amp;"@cbbt Corp",$S$10)</f>
        <v>140.93600000000001</v>
      </c>
      <c r="T181" s="43">
        <f>_xll.BDP(E181&amp;"@cbbt Corp",$T$10)</f>
        <v>141.084</v>
      </c>
      <c r="U181" s="25">
        <f t="shared" si="21"/>
        <v>141.01</v>
      </c>
      <c r="V181" s="12"/>
      <c r="W181" s="25">
        <f t="shared" si="22"/>
        <v>141.01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3.1753424657534248</v>
      </c>
      <c r="Y181" s="14">
        <v>8.5572489535589593</v>
      </c>
      <c r="Z181" s="14">
        <v>-8.5031819100407144</v>
      </c>
      <c r="AA181" s="14">
        <v>0.91122746604646288</v>
      </c>
      <c r="AB181" s="14">
        <v>0.89974907317954955</v>
      </c>
      <c r="AC181" s="14">
        <v>12.260344538712786</v>
      </c>
      <c r="AD181" s="34">
        <v>6.358447791410933E-3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-4.9459568693081977</v>
      </c>
      <c r="AI181" s="14">
        <v>6.9990790834413659</v>
      </c>
      <c r="AJ181" s="14">
        <v>10.091646145908848</v>
      </c>
      <c r="AK181" s="246">
        <v>-0.49010407200150202</v>
      </c>
      <c r="AL181" s="213">
        <f>IF(U181&gt;0,_xll.xlBondZSpread(F181,H181,G181,J181,K181,L181,M181,D181,U181,"annual",5)*100,"-")</f>
        <v>-41.366993366727563</v>
      </c>
      <c r="AM181" s="266">
        <f>(-IF($AL$9="",VLOOKUP(VLOOKUP(E181,'DB Basis'!$D$2:$H$65205,4,0),Bonds!$AR$1:$AS$6,2,0),$AL$9)*VLOOKUP(E181,'DB Basis'!$D$2:$E$65205,2,0))+IF(V181="",W181,V181)</f>
        <v>2.0288850000000025</v>
      </c>
      <c r="AN181" s="275" t="str">
        <f>IF($AN$9+(($AL$9-$AM$9))*('DB Basis'!F341/10-'DB Basis'!E341),," ")</f>
        <v xml:space="preserve"> </v>
      </c>
      <c r="AO181" s="648">
        <f>IF(U181&gt;0,_xll.xlShmImplSwap2(curveName,curveName,D181,G181,,1,8,2,4),"-")</f>
        <v>1.1136153488559614E-2</v>
      </c>
      <c r="AP181" s="649">
        <f t="shared" si="17"/>
        <v>-4.7777056971486809E-3</v>
      </c>
      <c r="AQ181" s="391">
        <f t="shared" si="18"/>
        <v>-3.6989414766585873</v>
      </c>
      <c r="AR181" s="391">
        <f t="shared" si="19"/>
        <v>-12.107392743539096</v>
      </c>
      <c r="AS181" s="393"/>
      <c r="AT181" s="242">
        <f t="shared" si="20"/>
        <v>0.6271345766871057</v>
      </c>
      <c r="AU181" s="701" t="str">
        <f t="shared" si="16"/>
        <v>BUND  04-Jul-28  4.75</v>
      </c>
      <c r="AV181" s="717"/>
      <c r="AW181" s="699"/>
      <c r="AX181" s="699"/>
      <c r="AY181" s="699"/>
      <c r="AZ181" s="699"/>
      <c r="BA181" s="699"/>
      <c r="BB181" s="698"/>
      <c r="BC181" s="711"/>
      <c r="BE181" s="721">
        <f>_xll.xlDateShiftMonth(BE180,1)</f>
        <v>48362</v>
      </c>
      <c r="BF181" s="722">
        <v>2.4584362630748126E-2</v>
      </c>
    </row>
    <row r="182" spans="1:58">
      <c r="A182" s="10"/>
      <c r="B182" s="11"/>
      <c r="C182" s="12"/>
      <c r="D182" s="735">
        <f>MAX(_xll.xlDateSettle("TARGET",$D$4,2),L182)</f>
        <v>43164</v>
      </c>
      <c r="E182" s="733" t="s">
        <v>676</v>
      </c>
      <c r="F182" s="13" t="s">
        <v>1438</v>
      </c>
      <c r="G182" s="35">
        <v>47487</v>
      </c>
      <c r="H182" s="37">
        <v>6.25</v>
      </c>
      <c r="I182" s="11">
        <v>47487</v>
      </c>
      <c r="J182" s="11">
        <v>36529</v>
      </c>
      <c r="K182" s="11">
        <v>36895</v>
      </c>
      <c r="L182" s="11">
        <v>36546</v>
      </c>
      <c r="M182" s="12">
        <v>100.06</v>
      </c>
      <c r="N182" s="12" t="s">
        <v>1523</v>
      </c>
      <c r="O182" s="12" t="s">
        <v>1203</v>
      </c>
      <c r="P182" s="12" t="s">
        <v>1524</v>
      </c>
      <c r="Q182" s="15">
        <v>9250000000</v>
      </c>
      <c r="R182" s="12"/>
      <c r="S182" s="43">
        <f>_xll.RtGet("IDN",$N182,IF(OR($G182="BTP,$E11=""CTZ"),S$10,S$9))</f>
        <v>162.39500000000001</v>
      </c>
      <c r="T182" s="43">
        <f>_xll.RtGet("IDN",$N182,IF(OR($G182="BTP,$E11=""CTZ"),T$10,T$9))</f>
        <v>162.44499999999999</v>
      </c>
      <c r="U182" s="25">
        <f t="shared" si="21"/>
        <v>162.42000000000002</v>
      </c>
      <c r="V182" s="12"/>
      <c r="W182" s="25">
        <f t="shared" si="22"/>
        <v>162.42000000000002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1.0273972602739725</v>
      </c>
      <c r="Y182" s="14">
        <v>9.3864456799349991</v>
      </c>
      <c r="Z182" s="14">
        <v>-9.3187311767166072</v>
      </c>
      <c r="AA182" s="14">
        <v>1.1039769904419827</v>
      </c>
      <c r="AB182" s="14">
        <v>1.0881061036145683</v>
      </c>
      <c r="AC182" s="14">
        <v>15.231227552729365</v>
      </c>
      <c r="AD182" s="34">
        <v>7.26649112915672E-3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-6.1506513611508575</v>
      </c>
      <c r="AI182" s="14">
        <v>6.9868446545974958</v>
      </c>
      <c r="AJ182" s="14">
        <v>11.419815738558187</v>
      </c>
      <c r="AK182" s="246">
        <v>-0.53859462376294143</v>
      </c>
      <c r="AL182" s="213">
        <f>IF(U182&gt;0,_xll.xlBondZSpread(F182,H182,G182,J182,K182,L182,M182,D182,U182,"annual",5)*100,"-")</f>
        <v>-41.604494408928815</v>
      </c>
      <c r="AM182" s="266">
        <f>(-IF($AL$9="",VLOOKUP(VLOOKUP(E182,'DB Basis'!$D$2:$H$65205,4,0),Bonds!$AR$1:$AS$6,2,0),$AL$9)*VLOOKUP(E182,'DB Basis'!$D$2:$E$65205,2,0))+IF(V182="",W182,V182)</f>
        <v>-9.7506349999999884</v>
      </c>
      <c r="AN182" s="275" t="str">
        <f>IF($AN$9+(($AL$9-$AM$9))*('DB Basis'!F342/10-'DB Basis'!E342),," ")</f>
        <v xml:space="preserve"> </v>
      </c>
      <c r="AO182" s="648">
        <f>IF(U182&gt;0,_xll.xlShmImplSwap2(curveName,curveName,D182,G182,,1,8,2,4),"-")</f>
        <v>1.2352088311307328E-2</v>
      </c>
      <c r="AP182" s="649">
        <f t="shared" si="17"/>
        <v>-5.0855971821506078E-3</v>
      </c>
      <c r="AQ182" s="391">
        <f t="shared" si="18"/>
        <v>6.0370823001313703</v>
      </c>
      <c r="AR182" s="391">
        <f t="shared" si="19"/>
        <v>-2.0470016762423193</v>
      </c>
      <c r="AS182" s="393"/>
      <c r="AT182" s="242">
        <f t="shared" si="20"/>
        <v>0.71669501547847092</v>
      </c>
      <c r="AU182" s="701" t="str">
        <f t="shared" si="16"/>
        <v>BUND  04-Jan-30  6.25</v>
      </c>
      <c r="AV182" s="717"/>
      <c r="AW182" s="699"/>
      <c r="AX182" s="699"/>
      <c r="AY182" s="699"/>
      <c r="AZ182" s="699"/>
      <c r="BA182" s="699"/>
      <c r="BB182" s="698"/>
      <c r="BC182" s="711"/>
      <c r="BE182" s="721">
        <f>_xll.xlDateShiftMonth(BE181,1)</f>
        <v>48393</v>
      </c>
      <c r="BF182" s="722">
        <v>2.4643743728133244E-2</v>
      </c>
    </row>
    <row r="183" spans="1:58">
      <c r="A183" s="10"/>
      <c r="B183" s="11"/>
      <c r="C183" s="12"/>
      <c r="D183" s="735">
        <f>MAX(_xll.xlDateSettle("TARGET",$D$4,2),L183)</f>
        <v>43164</v>
      </c>
      <c r="E183" s="733" t="s">
        <v>677</v>
      </c>
      <c r="F183" s="13" t="s">
        <v>1438</v>
      </c>
      <c r="G183" s="35">
        <v>47852</v>
      </c>
      <c r="H183" s="37">
        <v>5.5</v>
      </c>
      <c r="I183" s="11">
        <v>47852</v>
      </c>
      <c r="J183" s="11">
        <v>36826</v>
      </c>
      <c r="K183" s="11">
        <v>37260</v>
      </c>
      <c r="L183" s="11">
        <v>36826</v>
      </c>
      <c r="M183" s="12">
        <v>99.64</v>
      </c>
      <c r="N183" s="12" t="s">
        <v>1525</v>
      </c>
      <c r="O183" s="12" t="s">
        <v>1222</v>
      </c>
      <c r="P183" s="12" t="s">
        <v>1526</v>
      </c>
      <c r="Q183" s="15">
        <v>17000000000</v>
      </c>
      <c r="R183" s="12"/>
      <c r="S183" s="43">
        <f>_xll.RtGet("IDN",$N183,IF(OR($G183="BTP,$E11=""CTZ"),S$10,S$9))</f>
        <v>157.07500000000002</v>
      </c>
      <c r="T183" s="43">
        <f>_xll.RtGet("IDN",$N183,IF(OR($G183="BTP,$E11=""CTZ"),T$10,T$9))</f>
        <v>157.215</v>
      </c>
      <c r="U183" s="25">
        <f t="shared" si="21"/>
        <v>157.14500000000001</v>
      </c>
      <c r="V183" s="12"/>
      <c r="W183" s="25">
        <f t="shared" si="22"/>
        <v>157.14500000000001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0.90410958904109584</v>
      </c>
      <c r="Y183" s="14">
        <v>10.215988110340405</v>
      </c>
      <c r="Z183" s="14">
        <v>-10.135105106031576</v>
      </c>
      <c r="AA183" s="14">
        <v>1.2972714641227987</v>
      </c>
      <c r="AB183" s="14">
        <v>1.2768110167579181</v>
      </c>
      <c r="AC183" s="14">
        <v>16.01844817790834</v>
      </c>
      <c r="AD183" s="34">
        <v>7.9804782705041599E-3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-6.5199438314524638</v>
      </c>
      <c r="AI183" s="14">
        <v>7.7721726265474036</v>
      </c>
      <c r="AJ183" s="14">
        <v>12.283849631981361</v>
      </c>
      <c r="AK183" s="246">
        <v>-0.53077366027646478</v>
      </c>
      <c r="AL183" s="213">
        <f>IF(U183&gt;0,_xll.xlBondZSpread(F183,H183,G183,J183,K183,L183,M183,D183,U183,"annual",5)*100,"-")</f>
        <v>-42.035706696179489</v>
      </c>
      <c r="AM183" s="266">
        <f>(-IF($AL$9="",VLOOKUP(VLOOKUP(E183,'DB Basis'!$D$2:$H$65205,4,0),Bonds!$AR$1:$AS$6,2,0),$AL$9)*VLOOKUP(E183,'DB Basis'!$D$2:$E$65205,2,0))+IF(V183="",W183,V183)</f>
        <v>-23.482579999999984</v>
      </c>
      <c r="AN183" s="275" t="str">
        <f>IF($AN$9+(($AL$9-$AM$9))*('DB Basis'!F343/10-'DB Basis'!E343),," ")</f>
        <v xml:space="preserve"> </v>
      </c>
      <c r="AO183" s="648">
        <f>IF(U183&gt;0,_xll.xlShmImplSwap2(curveName,curveName,D183,G183,,1,8,2,4),"-")</f>
        <v>1.3030942689714598E-2</v>
      </c>
      <c r="AP183" s="649">
        <f t="shared" si="17"/>
        <v>-5.0504644192104382E-3</v>
      </c>
      <c r="AQ183" s="391">
        <f t="shared" si="18"/>
        <v>7.1398714134743999</v>
      </c>
      <c r="AR183" s="391">
        <f t="shared" si="19"/>
        <v>0.35132762940169593</v>
      </c>
      <c r="AS183" s="393"/>
      <c r="AT183" s="242">
        <f t="shared" si="20"/>
        <v>0.78711566503602681</v>
      </c>
      <c r="AU183" s="701" t="str">
        <f t="shared" si="16"/>
        <v>BUND  04-Jan-31  5.5</v>
      </c>
      <c r="AV183" s="717"/>
      <c r="AW183" s="699"/>
      <c r="AX183" s="699"/>
      <c r="AY183" s="699"/>
      <c r="AZ183" s="699"/>
      <c r="BA183" s="699"/>
      <c r="BB183" s="698"/>
      <c r="BC183" s="711"/>
      <c r="BE183" s="721">
        <f>_xll.xlDateShiftMonth(BE182,1)</f>
        <v>48423</v>
      </c>
      <c r="BF183" s="722">
        <v>2.4700397097375183E-2</v>
      </c>
    </row>
    <row r="184" spans="1:58">
      <c r="A184" s="10"/>
      <c r="B184" s="11"/>
      <c r="C184" s="12"/>
      <c r="D184" s="735">
        <f>MAX(_xll.xlDateSettle("TARGET",$D$4,2),L184)</f>
        <v>43164</v>
      </c>
      <c r="E184" s="733" t="s">
        <v>678</v>
      </c>
      <c r="F184" s="13" t="s">
        <v>1438</v>
      </c>
      <c r="G184" s="35">
        <v>49129</v>
      </c>
      <c r="H184" s="37">
        <v>4.75</v>
      </c>
      <c r="I184" s="11">
        <v>49129</v>
      </c>
      <c r="J184" s="11">
        <v>37652</v>
      </c>
      <c r="K184" s="11">
        <v>38172</v>
      </c>
      <c r="L184" s="11">
        <v>37652</v>
      </c>
      <c r="M184" s="12">
        <v>102.9</v>
      </c>
      <c r="N184" s="12" t="s">
        <v>1527</v>
      </c>
      <c r="O184" s="12" t="s">
        <v>1203</v>
      </c>
      <c r="P184" s="12" t="s">
        <v>1528</v>
      </c>
      <c r="Q184" s="15">
        <v>20000000000</v>
      </c>
      <c r="R184" s="12"/>
      <c r="S184" s="43">
        <f>_xll.RtGet("IDN",$N184,IF(OR($G184="BTP,$E11=""CTZ"),S$10,S$9))</f>
        <v>156.874</v>
      </c>
      <c r="T184" s="43">
        <f>_xll.RtGet("IDN",$N184,IF(OR($G184="BTP,$E11=""CTZ"),T$10,T$9))</f>
        <v>157.03399999999999</v>
      </c>
      <c r="U184" s="25">
        <f t="shared" si="21"/>
        <v>156.95400000000001</v>
      </c>
      <c r="V184" s="12"/>
      <c r="W184" s="25">
        <f t="shared" si="22"/>
        <v>156.95400000000001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3.1753424657534248</v>
      </c>
      <c r="Y184" s="14">
        <v>12.495775364583018</v>
      </c>
      <c r="Z184" s="14">
        <v>-12.376482194357308</v>
      </c>
      <c r="AA184" s="14">
        <v>1.966664051743362</v>
      </c>
      <c r="AB184" s="14">
        <v>1.9292930665364005</v>
      </c>
      <c r="AC184" s="14">
        <v>19.818388486953609</v>
      </c>
      <c r="AD184" s="34">
        <v>9.6386969662275654E-3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-8.1818350458528997</v>
      </c>
      <c r="AI184" s="14">
        <v>9.4567153555034356</v>
      </c>
      <c r="AJ184" s="14">
        <v>15.14297611762559</v>
      </c>
      <c r="AK184" s="246">
        <v>-0.54030561643227371</v>
      </c>
      <c r="AL184" s="213">
        <f>IF(U184&gt;0,_xll.xlBondZSpread(F184,H184,G184,J184,K184,L184,M184,D184,U184,"annual",5)*100,"-")</f>
        <v>-43.053331929968415</v>
      </c>
      <c r="AM184" s="266">
        <f>(-IF($AL$9="",VLOOKUP(VLOOKUP(E184,'DB Basis'!$D$2:$H$65205,4,0),Bonds!$AR$1:$AS$6,2,0),$AL$9)*VLOOKUP(E184,'DB Basis'!$D$2:$E$65205,2,0))+IF(V184="",W184,V184)</f>
        <v>-66.596564999999998</v>
      </c>
      <c r="AN184" s="275" t="str">
        <f>IF($AN$9+(($AL$9-$AM$9))*('DB Basis'!F344/10-'DB Basis'!E344),," ")</f>
        <v xml:space="preserve"> </v>
      </c>
      <c r="AO184" s="648">
        <f>IF(U184&gt;0,_xll.xlShmImplSwap2(curveName,curveName,D184,G184,,1,8,2,4),"-")</f>
        <v>1.4702284957889826E-2</v>
      </c>
      <c r="AP184" s="649">
        <f t="shared" si="17"/>
        <v>-5.0635879916622606E-3</v>
      </c>
      <c r="AQ184" s="391">
        <f t="shared" si="18"/>
        <v>4.7396227403214013</v>
      </c>
      <c r="AR184" s="391">
        <f t="shared" si="19"/>
        <v>-3.7510602544363038E-2</v>
      </c>
      <c r="AS184" s="393"/>
      <c r="AT184" s="242">
        <f t="shared" si="20"/>
        <v>0.95066600214847219</v>
      </c>
      <c r="AU184" s="701" t="str">
        <f t="shared" si="16"/>
        <v>BUND  04-Jul-34  4.75</v>
      </c>
      <c r="AV184" s="717"/>
      <c r="AW184" s="699"/>
      <c r="AX184" s="699"/>
      <c r="AY184" s="699"/>
      <c r="AZ184" s="699"/>
      <c r="BA184" s="699"/>
      <c r="BB184" s="698"/>
      <c r="BC184" s="711"/>
      <c r="BE184" s="721">
        <f>_xll.xlDateShiftMonth(BE183,1)</f>
        <v>48454</v>
      </c>
      <c r="BF184" s="722">
        <v>2.4758099488908197E-2</v>
      </c>
    </row>
    <row r="185" spans="1:58">
      <c r="A185" s="10"/>
      <c r="B185" s="11"/>
      <c r="C185" s="12"/>
      <c r="D185" s="735">
        <f>MAX(_xll.xlDateSettle("TARGET",$D$4,2),L185)</f>
        <v>43164</v>
      </c>
      <c r="E185" s="733" t="s">
        <v>679</v>
      </c>
      <c r="F185" s="13" t="s">
        <v>1438</v>
      </c>
      <c r="G185" s="35">
        <v>50044</v>
      </c>
      <c r="H185" s="37">
        <v>4</v>
      </c>
      <c r="I185" s="11">
        <v>50044</v>
      </c>
      <c r="J185" s="11">
        <v>38356</v>
      </c>
      <c r="K185" s="11">
        <v>38721</v>
      </c>
      <c r="L185" s="11">
        <v>38380</v>
      </c>
      <c r="M185" s="12">
        <v>99.21</v>
      </c>
      <c r="N185" s="12" t="s">
        <v>1529</v>
      </c>
      <c r="O185" s="12" t="s">
        <v>1222</v>
      </c>
      <c r="P185" s="12" t="s">
        <v>1530</v>
      </c>
      <c r="Q185" s="15">
        <v>23000000000</v>
      </c>
      <c r="R185" s="12"/>
      <c r="S185" s="43">
        <f>_xll.RtGet("IDN",$N185,IF(OR($G185="BTP,$E11=""CTZ"),S$10,S$9))</f>
        <v>150.08000000000001</v>
      </c>
      <c r="T185" s="43">
        <f>_xll.RtGet("IDN",$N185,IF(OR($G185="BTP,$E11=""CTZ"),T$10,T$9))</f>
        <v>150.37</v>
      </c>
      <c r="U185" s="25">
        <f t="shared" si="21"/>
        <v>150.22500000000002</v>
      </c>
      <c r="V185" s="12"/>
      <c r="W185" s="25">
        <f t="shared" si="22"/>
        <v>150.22500000000002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0.65753424657534243</v>
      </c>
      <c r="Y185" s="14">
        <v>14.595020547023424</v>
      </c>
      <c r="Z185" s="14">
        <v>-14.44369505240426</v>
      </c>
      <c r="AA185" s="14">
        <v>2.6275161425103453</v>
      </c>
      <c r="AB185" s="14">
        <v>2.5733128738582649</v>
      </c>
      <c r="AC185" s="14">
        <v>21.793025840881342</v>
      </c>
      <c r="AD185" s="34">
        <v>1.0476923537491332E-2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-9.0277061712759448</v>
      </c>
      <c r="AI185" s="14">
        <v>11.313378382068855</v>
      </c>
      <c r="AJ185" s="14">
        <v>17.069912011769695</v>
      </c>
      <c r="AK185" s="246">
        <v>-0.528866590820817</v>
      </c>
      <c r="AL185" s="213">
        <f>IF(U185&gt;0,_xll.xlBondZSpread(F185,H185,G185,J185,K185,L185,M185,D185,U185,"annual",5)*100,"-")</f>
        <v>-43.452043913775931</v>
      </c>
      <c r="AM185" s="266">
        <f>(-IF($AL$9="",VLOOKUP(VLOOKUP(E185,'DB Basis'!$D$2:$H$65205,4,0),Bonds!$AR$1:$AS$6,2,0),$AL$9)*VLOOKUP(E185,'DB Basis'!$D$2:$E$65205,2,0))+IF(V185="",W185,V185)</f>
        <v>-94.547709999999967</v>
      </c>
      <c r="AN185" s="275" t="str">
        <f>IF($AN$9+(($AL$9-$AM$9))*('DB Basis'!F345/10-'DB Basis'!E345),," ")</f>
        <v xml:space="preserve"> </v>
      </c>
      <c r="AO185" s="648">
        <f>IF(U185&gt;0,_xll.xlShmImplSwap2(curveName,curveName,D185,G185,,1,8,2,4),"-")</f>
        <v>1.5416071467294654E-2</v>
      </c>
      <c r="AP185" s="649">
        <f t="shared" si="17"/>
        <v>-4.9391479298033225E-3</v>
      </c>
      <c r="AQ185" s="391">
        <f t="shared" si="18"/>
        <v>3.3437453389210354</v>
      </c>
      <c r="AR185" s="391">
        <f t="shared" si="19"/>
        <v>0.49640024675969835</v>
      </c>
      <c r="AS185" s="393"/>
      <c r="AT185" s="242">
        <f t="shared" si="20"/>
        <v>1.0333404036977751</v>
      </c>
      <c r="AU185" s="701" t="str">
        <f t="shared" si="16"/>
        <v>BUND  04-Jan-37  4</v>
      </c>
      <c r="AV185" s="717"/>
      <c r="AW185" s="699"/>
      <c r="AX185" s="699"/>
      <c r="AY185" s="699"/>
      <c r="AZ185" s="699"/>
      <c r="BA185" s="699"/>
      <c r="BB185" s="698"/>
      <c r="BC185" s="711"/>
      <c r="BE185" s="721">
        <f>_xll.xlDateShiftMonth(BE184,1)</f>
        <v>48485</v>
      </c>
      <c r="BF185" s="722">
        <v>2.4814948552894806E-2</v>
      </c>
    </row>
    <row r="186" spans="1:58">
      <c r="A186" s="10"/>
      <c r="B186" s="11"/>
      <c r="C186" s="12"/>
      <c r="D186" s="735">
        <f>MAX(_xll.xlDateSettle("TARGET",$D$4,2),L186)</f>
        <v>43164</v>
      </c>
      <c r="E186" s="733" t="s">
        <v>680</v>
      </c>
      <c r="F186" s="13" t="s">
        <v>1438</v>
      </c>
      <c r="G186" s="35">
        <v>50955</v>
      </c>
      <c r="H186" s="37">
        <v>4.25</v>
      </c>
      <c r="I186" s="11">
        <v>50955</v>
      </c>
      <c r="J186" s="11">
        <v>39108</v>
      </c>
      <c r="K186" s="11">
        <v>39633</v>
      </c>
      <c r="L186" s="11">
        <v>39108</v>
      </c>
      <c r="M186" s="12">
        <v>102.51</v>
      </c>
      <c r="N186" s="12" t="s">
        <v>1531</v>
      </c>
      <c r="O186" s="12" t="s">
        <v>1203</v>
      </c>
      <c r="P186" s="12" t="s">
        <v>1532</v>
      </c>
      <c r="Q186" s="15">
        <v>14000000000</v>
      </c>
      <c r="R186" s="12"/>
      <c r="S186" s="43">
        <f>_xll.RtGet("IDN",$N186,IF(OR($G186="BTP,$E11=""CTZ"),S$10,S$9))</f>
        <v>159.20500000000001</v>
      </c>
      <c r="T186" s="43">
        <f>_xll.RtGet("IDN",$N186,IF(OR($G186="BTP,$E11=""CTZ"),T$10,T$9))</f>
        <v>159.36500000000001</v>
      </c>
      <c r="U186" s="25">
        <f t="shared" si="21"/>
        <v>159.28500000000003</v>
      </c>
      <c r="V186" s="12"/>
      <c r="W186" s="25">
        <f t="shared" si="22"/>
        <v>159.28500000000003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2.8410958904109589</v>
      </c>
      <c r="Y186" s="14">
        <v>15.718465029127319</v>
      </c>
      <c r="Z186" s="14">
        <v>-15.545539675119251</v>
      </c>
      <c r="AA186" s="14">
        <v>3.1329716952128606</v>
      </c>
      <c r="AB186" s="14">
        <v>3.0644166398783153</v>
      </c>
      <c r="AC186" s="14">
        <v>25.203394579355631</v>
      </c>
      <c r="AD186" s="34">
        <v>1.1123791922390911E-2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-9.7719688817367114</v>
      </c>
      <c r="AI186" s="14">
        <v>11.652217160475903</v>
      </c>
      <c r="AJ186" s="14">
        <v>18.891284766952086</v>
      </c>
      <c r="AK186" s="246">
        <v>-0.51727391769730424</v>
      </c>
      <c r="AL186" s="213">
        <f>IF(U186&gt;0,_xll.xlBondZSpread(F186,H186,G186,J186,K186,L186,M186,D186,U186,"annual",5)*100,"-")</f>
        <v>-40.810087383574526</v>
      </c>
      <c r="AM186" s="266">
        <f>(-IF($AL$9="",VLOOKUP(VLOOKUP(E186,'DB Basis'!$D$2:$H$65205,4,0),Bonds!$AR$1:$AS$6,2,0),$AL$9)*VLOOKUP(E186,'DB Basis'!$D$2:$E$65205,2,0))+IF(V186="",W186,V186)</f>
        <v>-123.94287499999996</v>
      </c>
      <c r="AN186" s="275" t="str">
        <f>IF($AN$9+(($AL$9-$AM$9))*('DB Basis'!F346/10-'DB Basis'!E346),," ")</f>
        <v xml:space="preserve"> </v>
      </c>
      <c r="AO186" s="648">
        <f>IF(U186&gt;0,_xll.xlShmImplSwap2(curveName,curveName,D186,G186,,1,8,2,4),"-")</f>
        <v>1.580425771321697E-2</v>
      </c>
      <c r="AP186" s="649">
        <f t="shared" si="17"/>
        <v>-4.6804657908260591E-3</v>
      </c>
      <c r="AQ186" s="391">
        <f t="shared" si="18"/>
        <v>2.5917339241311352</v>
      </c>
      <c r="AR186" s="391">
        <f t="shared" si="19"/>
        <v>1.0364322802052814</v>
      </c>
      <c r="AS186" s="393"/>
      <c r="AT186" s="242">
        <f t="shared" si="20"/>
        <v>1.0971411211125282</v>
      </c>
      <c r="AU186" s="701" t="str">
        <f t="shared" si="16"/>
        <v>BUND  04-Jul-39  4.25</v>
      </c>
      <c r="AV186" s="717"/>
      <c r="AW186" s="699"/>
      <c r="AX186" s="699"/>
      <c r="AY186" s="699"/>
      <c r="AZ186" s="699"/>
      <c r="BA186" s="699"/>
      <c r="BB186" s="698"/>
      <c r="BC186" s="711"/>
      <c r="BE186" s="721">
        <f>_xll.xlDateShiftMonth(BE185,1)</f>
        <v>48515</v>
      </c>
      <c r="BF186" s="722">
        <v>2.4869151158319815E-2</v>
      </c>
    </row>
    <row r="187" spans="1:58">
      <c r="A187" s="10"/>
      <c r="B187" s="11"/>
      <c r="C187" s="12"/>
      <c r="D187" s="735">
        <f>MAX(_xll.xlDateSettle("TARGET",$D$4,2),L187)</f>
        <v>43164</v>
      </c>
      <c r="E187" s="733" t="s">
        <v>681</v>
      </c>
      <c r="F187" s="13" t="s">
        <v>1438</v>
      </c>
      <c r="G187" s="35">
        <v>51321</v>
      </c>
      <c r="H187" s="37">
        <v>4.75</v>
      </c>
      <c r="I187" s="11">
        <v>51321</v>
      </c>
      <c r="J187" s="11">
        <v>39633</v>
      </c>
      <c r="K187" s="11">
        <v>39998</v>
      </c>
      <c r="L187" s="11">
        <v>39654</v>
      </c>
      <c r="M187" s="12">
        <v>97.48</v>
      </c>
      <c r="N187" s="12" t="s">
        <v>1533</v>
      </c>
      <c r="O187" s="12" t="s">
        <v>1203</v>
      </c>
      <c r="P187" s="12" t="s">
        <v>1534</v>
      </c>
      <c r="Q187" s="15">
        <v>16000000000</v>
      </c>
      <c r="R187" s="12"/>
      <c r="S187" s="43">
        <f>_xll.RtGet("IDN",$N187,IF(OR($G187="BTP,$E11=""CTZ"),S$10,S$9))</f>
        <v>170.977</v>
      </c>
      <c r="T187" s="43">
        <f>_xll.RtGet("IDN",$N187,IF(OR($G187="BTP,$E11=""CTZ"),T$10,T$9))</f>
        <v>171.15700000000001</v>
      </c>
      <c r="U187" s="25">
        <f t="shared" si="21"/>
        <v>171.06700000000001</v>
      </c>
      <c r="V187" s="12"/>
      <c r="W187" s="25">
        <f t="shared" si="22"/>
        <v>171.06700000000001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3.1753424657534248</v>
      </c>
      <c r="Y187" s="14">
        <v>15.969146949415718</v>
      </c>
      <c r="Z187" s="14">
        <v>-15.790591132337438</v>
      </c>
      <c r="AA187" s="14">
        <v>3.2790724041260968</v>
      </c>
      <c r="AB187" s="14">
        <v>3.2061537763503822</v>
      </c>
      <c r="AC187" s="14">
        <v>27.513916848987208</v>
      </c>
      <c r="AD187" s="34">
        <v>1.1307734341533728E-2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-10.263861422453608</v>
      </c>
      <c r="AI187" s="14">
        <v>11.248830250673656</v>
      </c>
      <c r="AJ187" s="14">
        <v>19.600225328770062</v>
      </c>
      <c r="AK187" s="246">
        <v>-0.52366037891349437</v>
      </c>
      <c r="AL187" s="213">
        <f>IF(U187&gt;0,_xll.xlBondZSpread(F187,H187,G187,J187,K187,L187,M187,D187,U187,"annual",5)*100,"-")</f>
        <v>-39.294069480948771</v>
      </c>
      <c r="AM187" s="266">
        <f>(-IF($AL$9="",VLOOKUP(VLOOKUP(E187,'DB Basis'!$D$2:$H$65205,4,0),Bonds!$AR$1:$AS$6,2,0),$AL$9)*VLOOKUP(E187,'DB Basis'!$D$2:$E$65205,2,0))+IF(V187="",W187,V187)</f>
        <v>-138.32953500000002</v>
      </c>
      <c r="AN187" s="275" t="str">
        <f>IF($AN$9+(($AL$9-$AM$9))*('DB Basis'!F347/10-'DB Basis'!E347),," ")</f>
        <v xml:space="preserve"> </v>
      </c>
      <c r="AO187" s="648">
        <f>IF(U187&gt;0,_xll.xlShmImplSwap2(curveName,curveName,D187,G187,,1,8,2,4),"-")</f>
        <v>1.5899319236462681E-2</v>
      </c>
      <c r="AP187" s="649">
        <f t="shared" si="17"/>
        <v>-4.5915848949289531E-3</v>
      </c>
      <c r="AQ187" s="391">
        <f t="shared" si="18"/>
        <v>1.8343984422712636</v>
      </c>
      <c r="AR187" s="391">
        <f t="shared" si="19"/>
        <v>0.88638051919245064</v>
      </c>
      <c r="AS187" s="393"/>
      <c r="AT187" s="242">
        <f t="shared" si="20"/>
        <v>1.1152833871101759</v>
      </c>
      <c r="AU187" s="701" t="str">
        <f t="shared" si="16"/>
        <v>BUND  04-Jul-40  4.75</v>
      </c>
      <c r="AV187" s="717"/>
      <c r="AW187" s="699"/>
      <c r="AX187" s="699"/>
      <c r="AY187" s="699"/>
      <c r="AZ187" s="699"/>
      <c r="BA187" s="699"/>
      <c r="BB187" s="698"/>
      <c r="BC187" s="711"/>
      <c r="BE187" s="721">
        <f>_xll.xlDateShiftMonth(BE186,1)</f>
        <v>48546</v>
      </c>
      <c r="BF187" s="722">
        <v>2.4924320671362996E-2</v>
      </c>
    </row>
    <row r="188" spans="1:58">
      <c r="A188" s="10"/>
      <c r="B188" s="11"/>
      <c r="C188" s="12"/>
      <c r="D188" s="735">
        <f>MAX(_xll.xlDateSettle("TARGET",$D$4,2),L188)</f>
        <v>43164</v>
      </c>
      <c r="E188" s="733" t="s">
        <v>682</v>
      </c>
      <c r="F188" s="13" t="s">
        <v>1438</v>
      </c>
      <c r="G188" s="35">
        <v>52051</v>
      </c>
      <c r="H188" s="37">
        <v>3.25</v>
      </c>
      <c r="I188" s="11">
        <v>52051</v>
      </c>
      <c r="J188" s="11">
        <v>40363</v>
      </c>
      <c r="K188" s="11">
        <v>40728</v>
      </c>
      <c r="L188" s="11">
        <v>40382</v>
      </c>
      <c r="M188" s="12">
        <v>98.38</v>
      </c>
      <c r="N188" s="12" t="s">
        <v>1535</v>
      </c>
      <c r="O188" s="12" t="s">
        <v>1222</v>
      </c>
      <c r="P188" s="12" t="s">
        <v>1536</v>
      </c>
      <c r="Q188" s="15">
        <v>15000000000</v>
      </c>
      <c r="R188" s="12"/>
      <c r="S188" s="43">
        <f>_xll.RtGet("IDN",$N188,IF(OR($G188="BTP,$E11=""CTZ"),S$10,S$9))</f>
        <v>142.99</v>
      </c>
      <c r="T188" s="43">
        <f>_xll.RtGet("IDN",$N188,IF(OR($G188="BTP,$E11=""CTZ"),T$10,T$9))</f>
        <v>143.25</v>
      </c>
      <c r="U188" s="25">
        <f t="shared" si="21"/>
        <v>143.12</v>
      </c>
      <c r="V188" s="12"/>
      <c r="W188" s="25">
        <f t="shared" si="22"/>
        <v>143.12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2.1726027397260275</v>
      </c>
      <c r="Y188" s="14">
        <v>18.215750962395052</v>
      </c>
      <c r="Z188" s="14">
        <v>-18.000356964104501</v>
      </c>
      <c r="AA188" s="14">
        <v>4.148863474799966</v>
      </c>
      <c r="AB188" s="14">
        <v>4.0513262583755081</v>
      </c>
      <c r="AC188" s="14">
        <v>26.15321127817225</v>
      </c>
      <c r="AD188" s="34">
        <v>1.1966095868145035E-2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-9.1572709780151502</v>
      </c>
      <c r="AI188" s="14">
        <v>14.43802118275762</v>
      </c>
      <c r="AJ188" s="14">
        <v>20.977376760541517</v>
      </c>
      <c r="AK188" s="246">
        <v>-0.43653079613081103</v>
      </c>
      <c r="AL188" s="213">
        <f>IF(U188&gt;0,_xll.xlBondZSpread(F188,H188,G188,J188,K188,L188,M188,D188,U188,"annual",5)*100,"-")</f>
        <v>-36.881681943618617</v>
      </c>
      <c r="AM188" s="266" t="e">
        <f>(-IF($AL$9="",VLOOKUP(VLOOKUP(E188,'DB Basis'!$D$2:$H$65205,4,0),Bonds!$AR$1:$AS$6,2,0),$AL$9)*VLOOKUP(E188,'DB Basis'!$D$2:$E$65205,2,0))+IF(V188="",W188,V188)</f>
        <v>#N/A</v>
      </c>
      <c r="AN188" s="275" t="str">
        <f>IF($AN$9+(($AL$9-$AM$9))*('DB Basis'!F348/10-'DB Basis'!E348),," ")</f>
        <v xml:space="preserve"> </v>
      </c>
      <c r="AO188" s="648">
        <f>IF(U188&gt;0,_xll.xlShmImplSwap2(curveName,curveName,D188,G188,,1,8,2,4),"-")</f>
        <v>1.600887216282168E-2</v>
      </c>
      <c r="AP188" s="649">
        <f t="shared" si="17"/>
        <v>-4.0427762946766456E-3</v>
      </c>
      <c r="AQ188" s="391">
        <f t="shared" si="18"/>
        <v>3.2918076330565316</v>
      </c>
      <c r="AR188" s="391">
        <f t="shared" si="19"/>
        <v>2.7440430012615376</v>
      </c>
      <c r="AS188" s="393"/>
      <c r="AT188" s="242">
        <f t="shared" si="20"/>
        <v>1.1802176746663597</v>
      </c>
      <c r="AU188" s="701" t="str">
        <f t="shared" si="16"/>
        <v>BUND  04-Jul-42  3.25</v>
      </c>
      <c r="AV188" s="717"/>
      <c r="AW188" s="699"/>
      <c r="AX188" s="699"/>
      <c r="AY188" s="699"/>
      <c r="AZ188" s="699"/>
      <c r="BA188" s="699"/>
      <c r="BB188" s="698"/>
      <c r="BC188" s="711"/>
      <c r="BE188" s="721">
        <f>_xll.xlDateShiftMonth(BE187,1)</f>
        <v>48576</v>
      </c>
      <c r="BF188" s="722">
        <v>2.4976897633778739E-2</v>
      </c>
    </row>
    <row r="189" spans="1:58">
      <c r="A189" s="10"/>
      <c r="B189" s="11"/>
      <c r="C189" s="12"/>
      <c r="D189" s="735">
        <f>MAX(_xll.xlDateSettle("TARGET",$D$4,2),L189)</f>
        <v>43164</v>
      </c>
      <c r="E189" s="733" t="s">
        <v>683</v>
      </c>
      <c r="F189" s="13" t="s">
        <v>1438</v>
      </c>
      <c r="G189" s="35">
        <v>52782</v>
      </c>
      <c r="H189" s="37">
        <v>2.5</v>
      </c>
      <c r="I189" s="11">
        <v>52782</v>
      </c>
      <c r="J189" s="11">
        <v>41026</v>
      </c>
      <c r="K189" s="11">
        <v>41459</v>
      </c>
      <c r="L189" s="11">
        <v>41026</v>
      </c>
      <c r="M189" s="12">
        <v>101.93</v>
      </c>
      <c r="N189" s="12" t="s">
        <v>1537</v>
      </c>
      <c r="O189" s="12" t="s">
        <v>1203</v>
      </c>
      <c r="P189" s="12" t="s">
        <v>1538</v>
      </c>
      <c r="Q189" s="15">
        <v>23500000000</v>
      </c>
      <c r="R189" s="12"/>
      <c r="S189" s="43">
        <f>_xll.RtGet("IDN",$N189,IF(OR($G189="BTP,$E11=""CTZ"),S$10,S$9))</f>
        <v>127.91500000000001</v>
      </c>
      <c r="T189" s="43">
        <f>_xll.RtGet("IDN",$N189,IF(OR($G189="BTP,$E11=""CTZ"),T$10,T$9))</f>
        <v>128.095</v>
      </c>
      <c r="U189" s="25">
        <f t="shared" si="21"/>
        <v>128.005</v>
      </c>
      <c r="V189" s="12"/>
      <c r="W189" s="25">
        <f t="shared" si="22"/>
        <v>128.005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1.6712328767123288</v>
      </c>
      <c r="Y189" s="14">
        <v>20.235131075709553</v>
      </c>
      <c r="Z189" s="14">
        <v>-19.98614786259655</v>
      </c>
      <c r="AA189" s="14">
        <v>5.0310193428747869</v>
      </c>
      <c r="AB189" s="14">
        <v>4.9079726668013635</v>
      </c>
      <c r="AC189" s="14">
        <v>25.917311901164908</v>
      </c>
      <c r="AD189" s="34">
        <v>1.2457788999101035E-2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-8.4187685439022513</v>
      </c>
      <c r="AI189" s="14">
        <v>17.204787420677718</v>
      </c>
      <c r="AJ189" s="14">
        <v>22.310520201581348</v>
      </c>
      <c r="AK189" s="246">
        <v>-0.3773452374860149</v>
      </c>
      <c r="AL189" s="213">
        <f>IF(U189&gt;0,_xll.xlBondZSpread(F189,H189,G189,J189,K189,L189,M189,D189,U189,"annual",5)*100,"-")</f>
        <v>-34.191868835588323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5" t="str">
        <f>IF($AN$9+(($AL$9-$AM$9))*('DB Basis'!F349/10-'DB Basis'!E349),," ")</f>
        <v xml:space="preserve"> </v>
      </c>
      <c r="AO189" s="648">
        <f>IF(U189&gt;0,_xll.xlShmImplSwap2(curveName,curveName,D189,G189,,1,8,2,4),"-")</f>
        <v>1.6058127134938247E-2</v>
      </c>
      <c r="AP189" s="649">
        <f t="shared" si="17"/>
        <v>-3.6003381358372111E-3</v>
      </c>
      <c r="AQ189" s="391">
        <f t="shared" si="18"/>
        <v>2.4551025006694984</v>
      </c>
      <c r="AR189" s="391">
        <f t="shared" si="19"/>
        <v>2.2091645414007335</v>
      </c>
      <c r="AS189" s="393"/>
      <c r="AT189" s="242">
        <f t="shared" si="20"/>
        <v>1.2287134355277733</v>
      </c>
      <c r="AU189" s="701" t="str">
        <f t="shared" si="16"/>
        <v>BUND  04-Jul-44  2.5</v>
      </c>
      <c r="AV189" s="717"/>
      <c r="AW189" s="699"/>
      <c r="AX189" s="699"/>
      <c r="AY189" s="699"/>
      <c r="AZ189" s="699"/>
      <c r="BA189" s="699"/>
      <c r="BB189" s="698"/>
      <c r="BC189" s="711"/>
      <c r="BE189" s="721">
        <f>_xll.xlDateShiftMonth(BE188,1)</f>
        <v>48607</v>
      </c>
      <c r="BF189" s="722">
        <v>2.5030387035546203E-2</v>
      </c>
    </row>
    <row r="190" spans="1:58">
      <c r="A190" s="10"/>
      <c r="B190" s="11"/>
      <c r="C190" s="12"/>
      <c r="D190" s="735">
        <f>MAX(_xll.xlDateSettle("TARGET",$D$4,2),L190)</f>
        <v>43164</v>
      </c>
      <c r="E190" s="733" t="s">
        <v>418</v>
      </c>
      <c r="F190" s="13" t="s">
        <v>1438</v>
      </c>
      <c r="G190" s="35">
        <v>53554</v>
      </c>
      <c r="H190" s="37">
        <v>2.5</v>
      </c>
      <c r="I190" s="11">
        <v>53554</v>
      </c>
      <c r="J190" s="11">
        <v>41698</v>
      </c>
      <c r="K190" s="11">
        <v>42231</v>
      </c>
      <c r="L190" s="11">
        <v>41698</v>
      </c>
      <c r="M190" s="12">
        <v>99.4</v>
      </c>
      <c r="N190" s="12" t="s">
        <v>1539</v>
      </c>
      <c r="O190" s="12" t="s">
        <v>1203</v>
      </c>
      <c r="P190" s="12" t="s">
        <v>1540</v>
      </c>
      <c r="Q190" s="15">
        <v>23000000000</v>
      </c>
      <c r="R190" s="12"/>
      <c r="S190" s="43">
        <f>_xll.RtGet("IDN",$N190,IF(OR($G190="BTP,$E11=""CTZ"),S$10,S$9))</f>
        <v>129.203</v>
      </c>
      <c r="T190" s="43">
        <f>_xll.RtGet("IDN",$N190,IF(OR($G190="BTP,$E11=""CTZ"),T$10,T$9))</f>
        <v>129.60400000000001</v>
      </c>
      <c r="U190" s="25">
        <f t="shared" si="21"/>
        <v>129.40350000000001</v>
      </c>
      <c r="V190" s="12"/>
      <c r="W190" s="25">
        <f t="shared" si="22"/>
        <v>129.40350000000001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1.3835616438356162</v>
      </c>
      <c r="Y190" s="14">
        <v>21.529459054206164</v>
      </c>
      <c r="Z190" s="14">
        <v>-21.260937962974317</v>
      </c>
      <c r="AA190" s="14">
        <v>5.7243672237561034</v>
      </c>
      <c r="AB190" s="14">
        <v>5.5824660558492383</v>
      </c>
      <c r="AC190" s="14">
        <v>27.806590728381764</v>
      </c>
      <c r="AD190" s="34">
        <v>1.2629785739728189E-2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-8.666179148501481</v>
      </c>
      <c r="AI190" s="14">
        <v>18.099200633136721</v>
      </c>
      <c r="AJ190" s="14">
        <v>23.671412689102009</v>
      </c>
      <c r="AK190" s="246">
        <v>-0.36610316681654043</v>
      </c>
      <c r="AL190" s="213">
        <f>IF(U190&gt;0,_xll.xlBondZSpread(F190,H190,G190,J190,K190,L190,M190,D190,U190,"annual",5)*100,"-")</f>
        <v>-32.85567281469158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5" t="str">
        <f>IF($AN$9+(($AL$9-$AM$9))*('DB Basis'!F350/10-'DB Basis'!E350),," ")</f>
        <v xml:space="preserve"> </v>
      </c>
      <c r="AO190" s="648">
        <f>IF(U190&gt;0,_xll.xlShmImplSwap2(curveName,curveName,D190,G190,,1,8,2,4),"-")</f>
        <v>1.6078271315688994E-2</v>
      </c>
      <c r="AP190" s="649">
        <f t="shared" si="17"/>
        <v>-3.4484855759608045E-3</v>
      </c>
      <c r="AQ190" s="391">
        <f t="shared" si="18"/>
        <v>0.81319702498589652</v>
      </c>
      <c r="AR190" s="391">
        <f t="shared" si="19"/>
        <v>0.71795575589233673</v>
      </c>
      <c r="AS190" s="393"/>
      <c r="AT190" s="242">
        <f t="shared" si="20"/>
        <v>1.2456774976170268</v>
      </c>
      <c r="AU190" s="701" t="str">
        <f t="shared" si="16"/>
        <v>BUND  15-Aug-46  2.5</v>
      </c>
      <c r="AV190" s="717"/>
      <c r="AW190" s="699"/>
      <c r="AX190" s="699"/>
      <c r="AY190" s="699"/>
      <c r="AZ190" s="699"/>
      <c r="BA190" s="699"/>
      <c r="BB190" s="698"/>
      <c r="BC190" s="711"/>
      <c r="BE190" s="721">
        <f>_xll.xlDateShiftMonth(BE189,1)</f>
        <v>48638</v>
      </c>
      <c r="BF190" s="722">
        <v>2.5083022395535587E-2</v>
      </c>
    </row>
    <row r="191" spans="1:58">
      <c r="A191" s="10"/>
      <c r="B191" s="11"/>
      <c r="C191" s="12"/>
      <c r="D191" s="735">
        <f>MAX(_xll.xlDateSettle("TARGET",$D$4,2),L191)</f>
        <v>43164</v>
      </c>
      <c r="E191" s="733" t="s">
        <v>1661</v>
      </c>
      <c r="F191" s="13" t="s">
        <v>1438</v>
      </c>
      <c r="G191" s="35">
        <v>54285</v>
      </c>
      <c r="H191" s="37">
        <v>1.25</v>
      </c>
      <c r="I191" s="11">
        <v>54285</v>
      </c>
      <c r="J191" s="11">
        <v>42962</v>
      </c>
      <c r="K191" s="11">
        <v>43327</v>
      </c>
      <c r="L191" s="11">
        <v>43000</v>
      </c>
      <c r="M191" s="12">
        <v>99.41</v>
      </c>
      <c r="N191" s="12" t="s">
        <v>1541</v>
      </c>
      <c r="O191" s="12" t="s">
        <v>1222</v>
      </c>
      <c r="P191" s="12" t="s">
        <v>1542</v>
      </c>
      <c r="Q191" s="15">
        <v>5500000000</v>
      </c>
      <c r="R191" s="12"/>
      <c r="S191" s="43">
        <f>_xll.RtGet("IDN",$N191,IF(OR($G191="BTP,$E11=""CTZ"),S$10,S$9))</f>
        <v>98.56</v>
      </c>
      <c r="T191" s="43">
        <f>_xll.RtGet("IDN",$N191,IF(OR($G191="BTP,$E11=""CTZ"),T$10,T$9))</f>
        <v>98.95</v>
      </c>
      <c r="U191" s="25">
        <f t="shared" si="21"/>
        <v>98.754999999999995</v>
      </c>
      <c r="V191" s="12"/>
      <c r="W191" s="25">
        <f t="shared" si="22"/>
        <v>98.754999999999995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0.6917808219178081</v>
      </c>
      <c r="Y191" s="14">
        <v>25.295604209619547</v>
      </c>
      <c r="Z191" s="14">
        <v>-24.971056364830865</v>
      </c>
      <c r="AA191" s="14">
        <v>7.4670362462092577</v>
      </c>
      <c r="AB191" s="14">
        <v>7.2766581812234197</v>
      </c>
      <c r="AC191" s="14">
        <v>24.832949110403746</v>
      </c>
      <c r="AD191" s="34">
        <v>1.2996960948987699E-2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-7.5341011779109461</v>
      </c>
      <c r="AI191" s="14">
        <v>25.056847899789258</v>
      </c>
      <c r="AJ191" s="14">
        <v>24.918228611784734</v>
      </c>
      <c r="AK191" s="246">
        <v>-0.30235300009840149</v>
      </c>
      <c r="AL191" s="213">
        <f>IF(U191&gt;0,_xll.xlBondZSpread(F191,H191,G191,J191,K191,L191,M191,D191,U191,"annual",5)*100,"-")</f>
        <v>-31.967368192653527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5" t="str">
        <f>IF($AN$9+(($AL$9-$AM$9))*('DB Basis'!F351/10-'DB Basis'!E351),," ")</f>
        <v xml:space="preserve"> </v>
      </c>
      <c r="AO191" s="648">
        <f>IF(U191&gt;0,_xll.xlShmImplSwap2(curveName,curveName,D191,G191,,1,8,2,4),"-")</f>
        <v>1.6089831642222538E-2</v>
      </c>
      <c r="AP191" s="649">
        <f t="shared" si="17"/>
        <v>-3.0928706932348386E-3</v>
      </c>
      <c r="AQ191" s="391">
        <f t="shared" si="18"/>
        <v>1.833364587957881</v>
      </c>
      <c r="AR191" s="391">
        <f t="shared" si="19"/>
        <v>1.7756420272910747</v>
      </c>
      <c r="AS191" s="393"/>
      <c r="AT191" s="242">
        <f t="shared" si="20"/>
        <v>1.2818920388042661</v>
      </c>
      <c r="AU191" s="701" t="str">
        <f t="shared" si="16"/>
        <v>BUND  15-Aug-48  1.25</v>
      </c>
      <c r="AV191" s="717"/>
      <c r="AW191" s="699"/>
      <c r="AX191" s="699"/>
      <c r="AY191" s="699"/>
      <c r="AZ191" s="699"/>
      <c r="BA191" s="699"/>
      <c r="BB191" s="698"/>
      <c r="BC191" s="711"/>
      <c r="BE191" s="721">
        <f>_xll.xlDateShiftMonth(BE190,1)</f>
        <v>48666</v>
      </c>
      <c r="BF191" s="722">
        <v>2.5129829823511207E-2</v>
      </c>
    </row>
    <row r="192" spans="1:58">
      <c r="A192" s="10"/>
      <c r="B192" s="11"/>
      <c r="C192" s="12"/>
      <c r="D192" s="735">
        <f>MAX(_xll.xlDateSettle("TARGET",$D$4,2),L192)</f>
        <v>43164</v>
      </c>
      <c r="E192" s="733" t="s">
        <v>695</v>
      </c>
      <c r="F192" s="13" t="s">
        <v>1543</v>
      </c>
      <c r="G192" s="35">
        <v>43215</v>
      </c>
      <c r="H192" s="37">
        <v>4</v>
      </c>
      <c r="I192" s="11">
        <v>43215</v>
      </c>
      <c r="J192" s="11">
        <v>39197</v>
      </c>
      <c r="K192" s="11">
        <v>39563</v>
      </c>
      <c r="L192" s="11">
        <v>39546</v>
      </c>
      <c r="M192" s="12">
        <v>98.1</v>
      </c>
      <c r="N192" s="12" t="s">
        <v>1544</v>
      </c>
      <c r="O192" s="12" t="s">
        <v>1203</v>
      </c>
      <c r="P192" s="12" t="s">
        <v>1545</v>
      </c>
      <c r="Q192" s="15">
        <v>27277000000</v>
      </c>
      <c r="R192" s="12"/>
      <c r="S192" s="43">
        <f>_xll.RtGet("IDN",$N192,IF(OR($G192="BTP,$E11=""CTZ"),S$10,S$9))</f>
        <v>100.59700000000001</v>
      </c>
      <c r="T192" s="43">
        <f>_xll.RtGet("IDN",$N192,IF(OR($G192="BTP,$E11=""CTZ"),T$10,T$9))</f>
        <v>100.70700000000001</v>
      </c>
      <c r="U192" s="25">
        <f t="shared" si="21"/>
        <v>100.65200000000002</v>
      </c>
      <c r="V192" s="12"/>
      <c r="W192" s="25">
        <f t="shared" si="22"/>
        <v>100.65200000000002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3.4409999999999998</v>
      </c>
      <c r="Y192" s="14">
        <v>0.13972602739726028</v>
      </c>
      <c r="Z192" s="14">
        <v>-0.14062277575241239</v>
      </c>
      <c r="AA192" s="14">
        <v>1.592493901294802E-3</v>
      </c>
      <c r="AB192" s="14">
        <v>1.6130004441353557E-3</v>
      </c>
      <c r="AC192" s="14">
        <v>0.14637841229756532</v>
      </c>
      <c r="AD192" s="34">
        <v>-6.3766096770311032E-3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-4.1252451104643928E-2</v>
      </c>
      <c r="AI192" s="14">
        <v>0.13616971664913519</v>
      </c>
      <c r="AJ192" s="14">
        <v>0.14174314315158432</v>
      </c>
      <c r="AK192" s="246">
        <v>-0.29103666101522341</v>
      </c>
      <c r="AL192" s="213">
        <f>IF(U192&gt;0,_xll.xlBondZSpread(F192,H192,G192,J192,K192,L192,M192,D192,U192,"annual",5)*100,"-")</f>
        <v>-28.226471609326843</v>
      </c>
      <c r="AM192" s="266">
        <f>(-IF($AL$9="",VLOOKUP(VLOOKUP(E192,'DB Basis'!$D$2:$H$65205,4,0),Bonds!$AR$1:$AS$6,2,0),$AL$9)*VLOOKUP(E192,'DB Basis'!$D$2:$E$65205,2,0))+IF(V192="",W192,V192)</f>
        <v>79.264297500000012</v>
      </c>
      <c r="AN192" s="275" t="str">
        <f>IF($AN$9+(($AL$9-$AM$9))*('DB Basis'!F352/10-'DB Basis'!E352),," ")</f>
        <v xml:space="preserve"> </v>
      </c>
      <c r="AO192" s="648">
        <f>IF(U192&gt;0,_xll.xlShmImplSwap2(curveName,curveName,D192,G192,,1,8,2,4),"-")</f>
        <v>-3.5808614005223833E-3</v>
      </c>
      <c r="AP192" s="649">
        <f t="shared" si="17"/>
        <v>-2.7957482765087198E-3</v>
      </c>
      <c r="AQ192" s="391">
        <f t="shared" si="18"/>
        <v>6.3878530067722332</v>
      </c>
      <c r="AR192" s="391">
        <f t="shared" si="19"/>
        <v>-9.7967192506805217E-2</v>
      </c>
      <c r="AS192" s="393"/>
      <c r="AT192" s="242">
        <f t="shared" si="20"/>
        <v>-0.62892588595375265</v>
      </c>
      <c r="AU192" s="701" t="str">
        <f t="shared" si="16"/>
        <v>OAT  25-Apr-18  4</v>
      </c>
      <c r="AV192" s="717"/>
      <c r="AW192" s="699"/>
      <c r="AX192" s="699"/>
      <c r="AY192" s="699"/>
      <c r="AZ192" s="699"/>
      <c r="BA192" s="699"/>
      <c r="BB192" s="698"/>
      <c r="BC192" s="711"/>
      <c r="BE192" s="721">
        <f>_xll.xlDateShiftMonth(BE191,1)</f>
        <v>48697</v>
      </c>
      <c r="BF192" s="722">
        <v>2.5180839349341663E-2</v>
      </c>
    </row>
    <row r="193" spans="1:58">
      <c r="A193" s="10"/>
      <c r="B193" s="11"/>
      <c r="C193" s="12"/>
      <c r="D193" s="735">
        <f>MAX(_xll.xlDateSettle("TARGET",$D$4,2),L193)</f>
        <v>43164</v>
      </c>
      <c r="E193" s="733" t="s">
        <v>696</v>
      </c>
      <c r="F193" s="13" t="s">
        <v>1543</v>
      </c>
      <c r="G193" s="35">
        <v>43245</v>
      </c>
      <c r="H193" s="37">
        <v>1</v>
      </c>
      <c r="I193" s="11">
        <v>43245</v>
      </c>
      <c r="J193" s="11">
        <v>41054</v>
      </c>
      <c r="K193" s="11">
        <v>41419</v>
      </c>
      <c r="L193" s="11">
        <v>41296</v>
      </c>
      <c r="M193" s="12">
        <v>99.71</v>
      </c>
      <c r="N193" s="12" t="s">
        <v>1546</v>
      </c>
      <c r="O193" s="12" t="s">
        <v>1203</v>
      </c>
      <c r="P193" s="12" t="s">
        <v>1547</v>
      </c>
      <c r="Q193" s="15">
        <v>18191000000</v>
      </c>
      <c r="R193" s="12"/>
      <c r="S193" s="43">
        <f>_xll.RtGet("IDN",$N193,IF(OR($G193="BTP,$E11=""CTZ"),S$10,S$9))</f>
        <v>100.333</v>
      </c>
      <c r="T193" s="43">
        <f>_xll.RtGet("IDN",$N193,IF(OR($G193="BTP,$E11=""CTZ"),T$10,T$9))</f>
        <v>100.423</v>
      </c>
      <c r="U193" s="25">
        <f t="shared" si="21"/>
        <v>100.378</v>
      </c>
      <c r="V193" s="12"/>
      <c r="W193" s="25">
        <f t="shared" si="22"/>
        <v>100.378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0.77800000000000002</v>
      </c>
      <c r="Y193" s="14">
        <v>0.22191780821917809</v>
      </c>
      <c r="Z193" s="14">
        <v>-0.22346655146035199</v>
      </c>
      <c r="AA193" s="14">
        <v>2.7116532182398199E-3</v>
      </c>
      <c r="AB193" s="14">
        <v>2.7496340285463744E-3</v>
      </c>
      <c r="AC193" s="14">
        <v>0.22604982468052981</v>
      </c>
      <c r="AD193" s="34">
        <v>-6.9305321116782982E-3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-8.0086186118696223E-2</v>
      </c>
      <c r="AI193" s="14">
        <v>0.22260531251826074</v>
      </c>
      <c r="AJ193" s="14">
        <v>0.22517862993097185</v>
      </c>
      <c r="AK193" s="246">
        <v>-0.35565624563592896</v>
      </c>
      <c r="AL193" s="213">
        <f>IF(U193&gt;0,_xll.xlBondZSpread(F193,H193,G193,J193,K193,L193,M193,D193,U193,"annual",5)*100,"-")</f>
        <v>-35.504407261760583</v>
      </c>
      <c r="AM193" s="266">
        <f>(-IF($AL$9="",VLOOKUP(VLOOKUP(E193,'DB Basis'!$D$2:$H$65205,4,0),Bonds!$AR$1:$AS$6,2,0),$AL$9)*VLOOKUP(E193,'DB Basis'!$D$2:$E$65205,2,0))+IF(V193="",W193,V193)</f>
        <v>75.51899499999999</v>
      </c>
      <c r="AN193" s="275" t="str">
        <f>IF($AN$9+(($AL$9-$AM$9))*('DB Basis'!F353/10-'DB Basis'!E353),," ")</f>
        <v xml:space="preserve"> </v>
      </c>
      <c r="AO193" s="648">
        <f>IF(U193&gt;0,_xll.xlShmImplSwap2(curveName,curveName,D193,G193,,1,8,2,4),"-")</f>
        <v>-3.3799087675825405E-3</v>
      </c>
      <c r="AP193" s="649">
        <f t="shared" si="17"/>
        <v>-3.5506233440957577E-3</v>
      </c>
      <c r="AQ193" s="391">
        <f t="shared" si="18"/>
        <v>-67.393896215408731</v>
      </c>
      <c r="AR193" s="391">
        <f t="shared" si="19"/>
        <v>-91.843133223089623</v>
      </c>
      <c r="AS193" s="393"/>
      <c r="AT193" s="242">
        <f t="shared" si="20"/>
        <v>-0.68355933156279103</v>
      </c>
      <c r="AU193" s="701" t="str">
        <f t="shared" si="16"/>
        <v>OAT  25-May-18  1</v>
      </c>
      <c r="AV193" s="717"/>
      <c r="AW193" s="699"/>
      <c r="AX193" s="699"/>
      <c r="AY193" s="699"/>
      <c r="AZ193" s="699"/>
      <c r="BA193" s="699"/>
      <c r="BB193" s="698"/>
      <c r="BC193" s="711"/>
      <c r="BE193" s="721">
        <f>_xll.xlDateShiftMonth(BE192,1)</f>
        <v>48727</v>
      </c>
      <c r="BF193" s="722">
        <v>2.5229389846526343E-2</v>
      </c>
    </row>
    <row r="194" spans="1:58">
      <c r="A194" s="10"/>
      <c r="B194" s="11"/>
      <c r="C194" s="12"/>
      <c r="D194" s="735">
        <f>MAX(_xll.xlDateSettle("TARGET",$D$4,2),L194)</f>
        <v>43164</v>
      </c>
      <c r="E194" s="733" t="s">
        <v>697</v>
      </c>
      <c r="F194" s="13" t="s">
        <v>1543</v>
      </c>
      <c r="G194" s="35">
        <v>43398</v>
      </c>
      <c r="H194" s="37">
        <v>4.25</v>
      </c>
      <c r="I194" s="11">
        <v>43398</v>
      </c>
      <c r="J194" s="11">
        <v>39380</v>
      </c>
      <c r="K194" s="11">
        <v>39746</v>
      </c>
      <c r="L194" s="11">
        <v>39728</v>
      </c>
      <c r="M194" s="12">
        <v>98.55</v>
      </c>
      <c r="N194" s="12" t="s">
        <v>1548</v>
      </c>
      <c r="O194" s="12" t="s">
        <v>1203</v>
      </c>
      <c r="P194" s="12" t="s">
        <v>1549</v>
      </c>
      <c r="Q194" s="15">
        <v>27527000000</v>
      </c>
      <c r="R194" s="12"/>
      <c r="S194" s="43">
        <f>_xll.RtGet("IDN",$N194,IF(OR($G194="BTP,$E11=""CTZ"),S$10,S$9))</f>
        <v>103.107</v>
      </c>
      <c r="T194" s="43">
        <f>_xll.RtGet("IDN",$N194,IF(OR($G194="BTP,$E11=""CTZ"),T$10,T$9))</f>
        <v>103.14700000000001</v>
      </c>
      <c r="U194" s="25">
        <f t="shared" si="21"/>
        <v>103.12700000000001</v>
      </c>
      <c r="V194" s="12"/>
      <c r="W194" s="25">
        <f t="shared" si="22"/>
        <v>103.12700000000001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1.5249999999999999</v>
      </c>
      <c r="Y194" s="14">
        <v>0.64109589041095882</v>
      </c>
      <c r="Z194" s="14">
        <v>-0.64495618585432013</v>
      </c>
      <c r="AA194" s="14">
        <v>1.0520998311127792E-2</v>
      </c>
      <c r="AB194" s="14">
        <v>1.0648082073563235E-2</v>
      </c>
      <c r="AC194" s="14">
        <v>0.6749595311397627</v>
      </c>
      <c r="AD194" s="34">
        <v>-5.9853292163756511E-3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-0.22233739064020464</v>
      </c>
      <c r="AI194" s="14">
        <v>0.62203691820586637</v>
      </c>
      <c r="AJ194" s="14">
        <v>0.65097407564080345</v>
      </c>
      <c r="AK194" s="246">
        <v>-0.34154569123408224</v>
      </c>
      <c r="AL194" s="213">
        <f>IF(U194&gt;0,_xll.xlBondZSpread(F194,H194,G194,J194,K194,L194,M194,D194,U194,"annual",5)*100,"-")</f>
        <v>-33.029249926537901</v>
      </c>
      <c r="AM194" s="266">
        <f>(-IF($AL$9="",VLOOKUP(VLOOKUP(E194,'DB Basis'!$D$2:$H$65205,4,0),Bonds!$AR$1:$AS$6,2,0),$AL$9)*VLOOKUP(E194,'DB Basis'!$D$2:$E$65205,2,0))+IF(V194="",W194,V194)</f>
        <v>56.208427500000006</v>
      </c>
      <c r="AN194" s="275" t="str">
        <f>IF($AN$9+(($AL$9-$AM$9))*('DB Basis'!F354/10-'DB Basis'!E354),," ")</f>
        <v xml:space="preserve"> </v>
      </c>
      <c r="AO194" s="648">
        <f>IF(U194&gt;0,_xll.xlShmImplSwap2(curveName,curveName,D194,G194,,1,8,2,4),"-")</f>
        <v>-2.6929677058615408E-3</v>
      </c>
      <c r="AP194" s="649">
        <f t="shared" si="17"/>
        <v>-3.2923615105141103E-3</v>
      </c>
      <c r="AQ194" s="391">
        <f t="shared" si="18"/>
        <v>22.548957959834393</v>
      </c>
      <c r="AR194" s="391">
        <f t="shared" si="19"/>
        <v>6.1611483174706727</v>
      </c>
      <c r="AS194" s="393"/>
      <c r="AT194" s="242">
        <f t="shared" si="20"/>
        <v>-0.5903338405192422</v>
      </c>
      <c r="AU194" s="701" t="str">
        <f t="shared" si="16"/>
        <v>OAT  25-Oct-18  4.25</v>
      </c>
      <c r="AV194" s="717"/>
      <c r="AW194" s="699"/>
      <c r="AX194" s="699"/>
      <c r="AY194" s="699"/>
      <c r="AZ194" s="699"/>
      <c r="BA194" s="699"/>
      <c r="BB194" s="698"/>
      <c r="BC194" s="711"/>
      <c r="BE194" s="721">
        <f>_xll.xlDateShiftMonth(BE193,1)</f>
        <v>48758</v>
      </c>
      <c r="BF194" s="722">
        <v>2.5278717874029015E-2</v>
      </c>
    </row>
    <row r="195" spans="1:58">
      <c r="A195" s="10"/>
      <c r="B195" s="11"/>
      <c r="C195" s="12"/>
      <c r="D195" s="735">
        <f>MAX(_xll.xlDateSettle("TARGET",$D$4,2),L195)</f>
        <v>43164</v>
      </c>
      <c r="E195" s="733" t="s">
        <v>698</v>
      </c>
      <c r="F195" s="13" t="s">
        <v>1543</v>
      </c>
      <c r="G195" s="35">
        <v>43429</v>
      </c>
      <c r="H195" s="37">
        <v>1</v>
      </c>
      <c r="I195" s="11">
        <v>43429</v>
      </c>
      <c r="J195" s="11">
        <v>41238</v>
      </c>
      <c r="K195" s="11">
        <v>41603</v>
      </c>
      <c r="L195" s="11">
        <v>41450</v>
      </c>
      <c r="M195" s="12">
        <v>98.72</v>
      </c>
      <c r="N195" s="12" t="s">
        <v>1550</v>
      </c>
      <c r="O195" s="12" t="s">
        <v>1203</v>
      </c>
      <c r="P195" s="12" t="s">
        <v>1551</v>
      </c>
      <c r="Q195" s="15">
        <v>19930000000</v>
      </c>
      <c r="R195" s="12"/>
      <c r="S195" s="43">
        <f>_xll.RtGet("IDN",$N195,IF(OR($G195="BTP,$E11=""CTZ"),S$10,S$9))</f>
        <v>101.14100000000001</v>
      </c>
      <c r="T195" s="43">
        <f>_xll.RtGet("IDN",$N195,IF(OR($G195="BTP,$E11=""CTZ"),T$10,T$9))</f>
        <v>101.20100000000001</v>
      </c>
      <c r="U195" s="25">
        <f t="shared" si="21"/>
        <v>101.17100000000001</v>
      </c>
      <c r="V195" s="12"/>
      <c r="W195" s="25">
        <f t="shared" si="22"/>
        <v>101.17100000000001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0.27400000000000002</v>
      </c>
      <c r="Y195" s="14">
        <v>0.72602739726027399</v>
      </c>
      <c r="Z195" s="14">
        <v>-0.73043699735682921</v>
      </c>
      <c r="AA195" s="14">
        <v>1.2531431788328017E-2</v>
      </c>
      <c r="AB195" s="14">
        <v>1.2684115867087778E-2</v>
      </c>
      <c r="AC195" s="14">
        <v>0.7409918177032182</v>
      </c>
      <c r="AD195" s="34">
        <v>-6.0369340107568354E-3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-0.24448037409471612</v>
      </c>
      <c r="AI195" s="14">
        <v>0.72956731067704461</v>
      </c>
      <c r="AJ195" s="14">
        <v>0.74010955831632796</v>
      </c>
      <c r="AK195" s="246">
        <v>-0.33032997797094815</v>
      </c>
      <c r="AL195" s="213">
        <f>IF(U195&gt;0,_xll.xlBondZSpread(F195,H195,G195,J195,K195,L195,M195,D195,U195,"annual",5)*100,"-")</f>
        <v>-32.963197482276172</v>
      </c>
      <c r="AM195" s="266">
        <f>(-IF($AL$9="",VLOOKUP(VLOOKUP(E195,'DB Basis'!$D$2:$H$65205,4,0),Bonds!$AR$1:$AS$6,2,0),$AL$9)*VLOOKUP(E195,'DB Basis'!$D$2:$E$65205,2,0))+IF(V195="",W195,V195)</f>
        <v>51.45299</v>
      </c>
      <c r="AN195" s="275" t="str">
        <f>IF($AN$9+(($AL$9-$AM$9))*('DB Basis'!F355/10-'DB Basis'!E355),," ")</f>
        <v xml:space="preserve"> </v>
      </c>
      <c r="AO195" s="648">
        <f>IF(U195&gt;0,_xll.xlShmImplSwap2(curveName,curveName,D195,G195,,1,8,2,4),"-")</f>
        <v>-2.733118416644492E-3</v>
      </c>
      <c r="AP195" s="649">
        <f t="shared" si="17"/>
        <v>-3.3038155941123434E-3</v>
      </c>
      <c r="AQ195" s="391">
        <f t="shared" si="18"/>
        <v>-6.0760483706878325</v>
      </c>
      <c r="AR195" s="391">
        <f t="shared" si="19"/>
        <v>-1.3486259720500249</v>
      </c>
      <c r="AS195" s="393"/>
      <c r="AT195" s="242">
        <f t="shared" si="20"/>
        <v>-0.5954236284582084</v>
      </c>
      <c r="AU195" s="701" t="str">
        <f t="shared" si="16"/>
        <v>OAT  25-Nov-18  1</v>
      </c>
      <c r="AV195" s="717"/>
      <c r="AW195" s="699"/>
      <c r="AX195" s="699"/>
      <c r="AY195" s="699"/>
      <c r="AZ195" s="699"/>
      <c r="BA195" s="699"/>
      <c r="BB195" s="698"/>
      <c r="BC195" s="711"/>
      <c r="BE195" s="721">
        <f>_xll.xlDateShiftMonth(BE194,1)</f>
        <v>48788</v>
      </c>
      <c r="BF195" s="722">
        <v>2.5325640843638926E-2</v>
      </c>
    </row>
    <row r="196" spans="1:58">
      <c r="A196" s="10"/>
      <c r="B196" s="11"/>
      <c r="C196" s="12"/>
      <c r="D196" s="735">
        <f>MAX(_xll.xlDateSettle("TARGET",$D$4,2),L196)</f>
        <v>43164</v>
      </c>
      <c r="E196" s="733" t="s">
        <v>820</v>
      </c>
      <c r="F196" s="13" t="s">
        <v>1543</v>
      </c>
      <c r="G196" s="35">
        <v>43521</v>
      </c>
      <c r="H196" s="37">
        <v>0</v>
      </c>
      <c r="I196" s="11">
        <v>43521</v>
      </c>
      <c r="J196" s="11">
        <v>42060</v>
      </c>
      <c r="K196" s="11">
        <v>42425</v>
      </c>
      <c r="L196" s="11">
        <v>42394</v>
      </c>
      <c r="M196" s="12">
        <v>100.61</v>
      </c>
      <c r="N196" s="12" t="s">
        <v>1552</v>
      </c>
      <c r="O196" s="12" t="s">
        <v>1203</v>
      </c>
      <c r="P196" s="12" t="s">
        <v>1553</v>
      </c>
      <c r="Q196" s="15">
        <v>16680000000</v>
      </c>
      <c r="R196" s="12"/>
      <c r="S196" s="43">
        <f>_xll.RtGet("IDN",$N196,IF(OR($G196="BTP,$E11=""CTZ"),S$10,S$9))</f>
        <v>100.55</v>
      </c>
      <c r="T196" s="43">
        <f>_xll.RtGet("IDN",$N196,IF(OR($G196="BTP,$E11=""CTZ"),T$10,T$9))</f>
        <v>100.67</v>
      </c>
      <c r="U196" s="25">
        <f t="shared" si="21"/>
        <v>100.61</v>
      </c>
      <c r="V196" s="12"/>
      <c r="W196" s="25">
        <f t="shared" si="22"/>
        <v>100.61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</v>
      </c>
      <c r="Y196" s="14">
        <v>0.9916666666666667</v>
      </c>
      <c r="Z196" s="14">
        <v>-0.99776697937177161</v>
      </c>
      <c r="AA196" s="14">
        <v>1.9750694444444442E-2</v>
      </c>
      <c r="AB196" s="14">
        <v>1.9994437637377811E-2</v>
      </c>
      <c r="AC196" s="14">
        <v>1.003853210406902</v>
      </c>
      <c r="AD196" s="34">
        <v>-6.1138092503143912E-3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-0.34238622636627269</v>
      </c>
      <c r="AI196" s="14">
        <v>0.98768979294187131</v>
      </c>
      <c r="AJ196" s="14">
        <v>0.99371470067881673</v>
      </c>
      <c r="AK196" s="246">
        <v>-0.34455183779850007</v>
      </c>
      <c r="AL196" s="213">
        <f>IF(U196&gt;0,_xll.xlBondZSpread(F196,H196,G196,J196,K196,L196,M196,D196,U196,"annual",5)*100,"-")</f>
        <v>-34.695897000629344</v>
      </c>
      <c r="AM196" s="266">
        <f>(-IF($AL$9="",VLOOKUP(VLOOKUP(E196,'DB Basis'!$D$2:$H$65205,4,0),Bonds!$AR$1:$AS$6,2,0),$AL$9)*VLOOKUP(E196,'DB Basis'!$D$2:$E$65205,2,0))+IF(V196="",W196,V196)</f>
        <v>39.134352499999991</v>
      </c>
      <c r="AN196" s="275" t="str">
        <f>IF($AN$9+(($AL$9-$AM$9))*('DB Basis'!F356/10-'DB Basis'!E356),," ")</f>
        <v xml:space="preserve"> </v>
      </c>
      <c r="AO196" s="648">
        <f>IF(U196&gt;0,_xll.xlShmImplSwap2(curveName,curveName,D196,G196,,1,8,2,4),"-")</f>
        <v>-2.7453148905846776E-3</v>
      </c>
      <c r="AP196" s="649">
        <f t="shared" si="17"/>
        <v>-3.3684943597297136E-3</v>
      </c>
      <c r="AQ196" s="391">
        <f t="shared" si="18"/>
        <v>-3.0499415694030279</v>
      </c>
      <c r="AR196" s="391">
        <f t="shared" si="19"/>
        <v>-2.5660597228630548</v>
      </c>
      <c r="AS196" s="393"/>
      <c r="AT196" s="242">
        <f t="shared" si="20"/>
        <v>-0.60300584386662492</v>
      </c>
      <c r="AU196" s="701" t="str">
        <f t="shared" si="16"/>
        <v>OAT  25-Feb-19  0</v>
      </c>
      <c r="AV196" s="717"/>
      <c r="AW196" s="699"/>
      <c r="AX196" s="699"/>
      <c r="AY196" s="699"/>
      <c r="AZ196" s="699"/>
      <c r="BA196" s="699"/>
      <c r="BB196" s="698"/>
      <c r="BC196" s="711"/>
      <c r="BE196" s="721">
        <f>_xll.xlDateShiftMonth(BE195,1)</f>
        <v>48819</v>
      </c>
      <c r="BF196" s="722">
        <v>2.5373286812481518E-2</v>
      </c>
    </row>
    <row r="197" spans="1:58">
      <c r="A197" s="10"/>
      <c r="B197" s="11"/>
      <c r="C197" s="12"/>
      <c r="D197" s="735">
        <f>MAX(_xll.xlDateSettle("TARGET",$D$4,2),L197)</f>
        <v>43164</v>
      </c>
      <c r="E197" s="733" t="s">
        <v>699</v>
      </c>
      <c r="F197" s="13" t="s">
        <v>1543</v>
      </c>
      <c r="G197" s="35">
        <v>43580</v>
      </c>
      <c r="H197" s="37">
        <v>4.25</v>
      </c>
      <c r="I197" s="11">
        <v>43580</v>
      </c>
      <c r="J197" s="11">
        <v>37736</v>
      </c>
      <c r="K197" s="11">
        <v>38102</v>
      </c>
      <c r="L197" s="11">
        <v>37782</v>
      </c>
      <c r="M197" s="12">
        <v>99.85</v>
      </c>
      <c r="N197" s="12" t="s">
        <v>1554</v>
      </c>
      <c r="O197" s="12" t="s">
        <v>1203</v>
      </c>
      <c r="P197" s="12" t="s">
        <v>1555</v>
      </c>
      <c r="Q197" s="15">
        <v>30648000000</v>
      </c>
      <c r="R197" s="12"/>
      <c r="S197" s="43">
        <f>_xll.RtGet("IDN",$N197,IF(OR($G197="BTP,$E11=""CTZ"),S$10,S$9))</f>
        <v>105.523</v>
      </c>
      <c r="T197" s="43">
        <f>_xll.RtGet("IDN",$N197,IF(OR($G197="BTP,$E11=""CTZ"),T$10,T$9))</f>
        <v>105.643</v>
      </c>
      <c r="U197" s="25">
        <f t="shared" si="21"/>
        <v>105.583</v>
      </c>
      <c r="V197" s="12"/>
      <c r="W197" s="25">
        <f t="shared" si="22"/>
        <v>105.583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3.6560000000000001</v>
      </c>
      <c r="Y197" s="14">
        <v>1.1007869687047169</v>
      </c>
      <c r="Z197" s="14">
        <v>-1.1075966274793962</v>
      </c>
      <c r="AA197" s="14">
        <v>2.3499417275755184E-2</v>
      </c>
      <c r="AB197" s="14">
        <v>2.3791059496543553E-2</v>
      </c>
      <c r="AC197" s="14">
        <v>1.2099274936332449</v>
      </c>
      <c r="AD197" s="34">
        <v>-6.1481397338204805E-3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-0.41897595327360193</v>
      </c>
      <c r="AI197" s="14">
        <v>1.0601459322285645</v>
      </c>
      <c r="AJ197" s="14">
        <v>1.1580928149071614</v>
      </c>
      <c r="AK197" s="246">
        <v>-0.3617809797975382</v>
      </c>
      <c r="AL197" s="213">
        <f>IF(U197&gt;0,_xll.xlBondZSpread(F197,H197,G197,J197,K197,L197,M197,D197,U197,"annual",5)*100,"-")</f>
        <v>-34.756141322983979</v>
      </c>
      <c r="AM197" s="266">
        <f>(-IF($AL$9="",VLOOKUP(VLOOKUP(E197,'DB Basis'!$D$2:$H$65205,4,0),Bonds!$AR$1:$AS$6,2,0),$AL$9)*VLOOKUP(E197,'DB Basis'!$D$2:$E$65205,2,0))+IF(V197="",W197,V197)</f>
        <v>32.237737499999994</v>
      </c>
      <c r="AN197" s="275" t="str">
        <f>IF($AN$9+(($AL$9-$AM$9))*('DB Basis'!F357/10-'DB Basis'!E357),," ")</f>
        <v xml:space="preserve"> </v>
      </c>
      <c r="AO197" s="648">
        <f>IF(U197&gt;0,_xll.xlShmImplSwap2(curveName,curveName,D197,G197,,1,8,2,4),"-")</f>
        <v>-2.6704368215264944E-3</v>
      </c>
      <c r="AP197" s="649">
        <f t="shared" si="17"/>
        <v>-3.4777029122939861E-3</v>
      </c>
      <c r="AQ197" s="391">
        <f t="shared" si="18"/>
        <v>-2.1238349965631507</v>
      </c>
      <c r="AR197" s="391">
        <f t="shared" si="19"/>
        <v>-6.7561223196541471</v>
      </c>
      <c r="AS197" s="393"/>
      <c r="AT197" s="242">
        <f t="shared" si="20"/>
        <v>-0.60639186415763635</v>
      </c>
      <c r="AU197" s="701" t="str">
        <f t="shared" si="16"/>
        <v>OAT  25-Apr-19  4.25</v>
      </c>
      <c r="AV197" s="717"/>
      <c r="AW197" s="699"/>
      <c r="AX197" s="699"/>
      <c r="AY197" s="699"/>
      <c r="AZ197" s="699"/>
      <c r="BA197" s="699"/>
      <c r="BB197" s="698"/>
      <c r="BC197" s="711"/>
      <c r="BE197" s="721">
        <f>_xll.xlDateShiftMonth(BE196,1)</f>
        <v>48850</v>
      </c>
      <c r="BF197" s="722">
        <v>2.5420069086033944E-2</v>
      </c>
    </row>
    <row r="198" spans="1:58">
      <c r="A198" s="10"/>
      <c r="B198" s="11"/>
      <c r="C198" s="12"/>
      <c r="D198" s="735">
        <f>MAX(_xll.xlDateSettle("TARGET",$D$4,2),L198)</f>
        <v>43164</v>
      </c>
      <c r="E198" s="733" t="s">
        <v>421</v>
      </c>
      <c r="F198" s="13" t="s">
        <v>1543</v>
      </c>
      <c r="G198" s="35">
        <v>43610</v>
      </c>
      <c r="H198" s="37">
        <v>1</v>
      </c>
      <c r="I198" s="11">
        <v>43610</v>
      </c>
      <c r="J198" s="11">
        <v>41419</v>
      </c>
      <c r="K198" s="11">
        <v>41784</v>
      </c>
      <c r="L198" s="11">
        <v>41667</v>
      </c>
      <c r="M198" s="12">
        <v>98.76</v>
      </c>
      <c r="N198" s="12" t="s">
        <v>1556</v>
      </c>
      <c r="O198" s="12" t="s">
        <v>1203</v>
      </c>
      <c r="P198" s="12" t="s">
        <v>1557</v>
      </c>
      <c r="Q198" s="15">
        <v>18980000000</v>
      </c>
      <c r="R198" s="12"/>
      <c r="S198" s="43">
        <f>_xll.RtGet("IDN",$N198,IF(OR($G198="BTP,$E11=""CTZ"),S$10,S$9))</f>
        <v>101.92700000000001</v>
      </c>
      <c r="T198" s="43">
        <f>_xll.RtGet("IDN",$N198,IF(OR($G198="BTP,$E11=""CTZ"),T$10,T$9))</f>
        <v>101.997</v>
      </c>
      <c r="U198" s="25">
        <f t="shared" si="21"/>
        <v>101.962</v>
      </c>
      <c r="V198" s="12"/>
      <c r="W198" s="25">
        <f t="shared" si="22"/>
        <v>101.962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0.77800000000000002</v>
      </c>
      <c r="Y198" s="14">
        <v>1.2121716110125751</v>
      </c>
      <c r="Z198" s="14">
        <v>-1.2194220925939174</v>
      </c>
      <c r="AA198" s="14">
        <v>2.6911828344040094E-2</v>
      </c>
      <c r="AB198" s="14">
        <v>2.7234731916951877E-2</v>
      </c>
      <c r="AC198" s="14">
        <v>1.2528342731023656</v>
      </c>
      <c r="AD198" s="34">
        <v>-5.9458342457672873E-3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-0.41355430323877329</v>
      </c>
      <c r="AI198" s="14">
        <v>1.2140518573345886</v>
      </c>
      <c r="AJ198" s="14">
        <v>1.2473168782255564</v>
      </c>
      <c r="AK198" s="246">
        <v>-0.33155512481086169</v>
      </c>
      <c r="AL198" s="213">
        <f>IF(U198&gt;0,_xll.xlBondZSpread(F198,H198,G198,J198,K198,L198,M198,D198,U198,"annual",5)*100,"-")</f>
        <v>-32.983274920613631</v>
      </c>
      <c r="AM198" s="266">
        <f>(-IF($AL$9="",VLOOKUP(VLOOKUP(E198,'DB Basis'!$D$2:$H$65205,4,0),Bonds!$AR$1:$AS$6,2,0),$AL$9)*VLOOKUP(E198,'DB Basis'!$D$2:$E$65205,2,0))+IF(V198="",W198,V198)</f>
        <v>27.384985</v>
      </c>
      <c r="AN198" s="275" t="str">
        <f>IF($AN$9+(($AL$9-$AM$9))*('DB Basis'!F358/10-'DB Basis'!E358),," ")</f>
        <v xml:space="preserve"> </v>
      </c>
      <c r="AO198" s="648">
        <f>IF(U198&gt;0,_xll.xlShmImplSwap2(curveName,curveName,D198,G198,,1,8,2,4),"-")</f>
        <v>-2.6193135592007099E-3</v>
      </c>
      <c r="AP198" s="649">
        <f t="shared" si="17"/>
        <v>-3.3265206865665774E-3</v>
      </c>
      <c r="AQ198" s="391">
        <f t="shared" si="18"/>
        <v>24.613834379805169</v>
      </c>
      <c r="AR198" s="391">
        <f t="shared" si="19"/>
        <v>18.393837463501391</v>
      </c>
      <c r="AS198" s="393"/>
      <c r="AT198" s="242">
        <f t="shared" si="20"/>
        <v>-0.58643844615786944</v>
      </c>
      <c r="AU198" s="701" t="str">
        <f t="shared" si="16"/>
        <v>OAT  25-May-19  1</v>
      </c>
      <c r="AV198" s="717"/>
      <c r="AW198" s="699"/>
      <c r="AX198" s="699"/>
      <c r="AY198" s="699"/>
      <c r="AZ198" s="699"/>
      <c r="BA198" s="699"/>
      <c r="BB198" s="698"/>
      <c r="BC198" s="711"/>
      <c r="BE198" s="721">
        <f>_xll.xlDateShiftMonth(BE197,1)</f>
        <v>48880</v>
      </c>
      <c r="BF198" s="722">
        <v>2.5464521135285752E-2</v>
      </c>
    </row>
    <row r="199" spans="1:58">
      <c r="A199" s="10"/>
      <c r="B199" s="11"/>
      <c r="C199" s="12"/>
      <c r="D199" s="735">
        <f>MAX(_xll.xlDateSettle("TARGET",$D$4,2),L199)</f>
        <v>43164</v>
      </c>
      <c r="E199" s="733" t="s">
        <v>700</v>
      </c>
      <c r="F199" s="13" t="s">
        <v>1543</v>
      </c>
      <c r="G199" s="35">
        <v>43763</v>
      </c>
      <c r="H199" s="37">
        <v>3.75</v>
      </c>
      <c r="I199" s="11">
        <v>43763</v>
      </c>
      <c r="J199" s="11">
        <v>39746</v>
      </c>
      <c r="K199" s="11">
        <v>40111</v>
      </c>
      <c r="L199" s="11">
        <v>40001</v>
      </c>
      <c r="M199" s="12">
        <v>99.37</v>
      </c>
      <c r="N199" s="12" t="s">
        <v>1560</v>
      </c>
      <c r="O199" s="12" t="s">
        <v>1203</v>
      </c>
      <c r="P199" s="12" t="s">
        <v>1561</v>
      </c>
      <c r="Q199" s="15">
        <v>33325000000</v>
      </c>
      <c r="R199" s="12"/>
      <c r="S199" s="43">
        <f>_xll.RtGet("IDN",$N199,IF(OR($G199="BTP,$E11=""CTZ"),S$10,S$9))</f>
        <v>107.08800000000001</v>
      </c>
      <c r="T199" s="43">
        <f>_xll.RtGet("IDN",$N199,IF(OR($G199="BTP,$E11=""CTZ"),T$10,T$9))</f>
        <v>107.188</v>
      </c>
      <c r="U199" s="25">
        <f t="shared" si="21"/>
        <v>107.13800000000001</v>
      </c>
      <c r="V199" s="12"/>
      <c r="W199" s="25">
        <f t="shared" si="22"/>
        <v>107.13800000000001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1.3460000000000001</v>
      </c>
      <c r="Y199" s="14">
        <v>1.6064026411540535</v>
      </c>
      <c r="Z199" s="14">
        <v>-1.615540831271423</v>
      </c>
      <c r="AA199" s="14">
        <v>4.2204217143736768E-2</v>
      </c>
      <c r="AB199" s="14">
        <v>4.268574912421106E-2</v>
      </c>
      <c r="AC199" s="14">
        <v>1.7526034464545148</v>
      </c>
      <c r="AD199" s="34">
        <v>-5.6564849969578737E-3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-0.60251637774475886</v>
      </c>
      <c r="AI199" s="14">
        <v>1.5378168803726091</v>
      </c>
      <c r="AJ199" s="14">
        <v>1.6682852645034214</v>
      </c>
      <c r="AK199" s="246">
        <v>-0.36115908385974205</v>
      </c>
      <c r="AL199" s="213">
        <f>IF(U199&gt;0,_xll.xlBondZSpread(F199,H199,G199,J199,K199,L199,M199,D199,U199,"annual",5)*100,"-")</f>
        <v>-34.534035087867608</v>
      </c>
      <c r="AM199" s="266">
        <f>(-IF($AL$9="",VLOOKUP(VLOOKUP(E199,'DB Basis'!$D$2:$H$65205,4,0),Bonds!$AR$1:$AS$6,2,0),$AL$9)*VLOOKUP(E199,'DB Basis'!$D$2:$E$65205,2,0))+IF(V199="",W199,V199)</f>
        <v>7.5900024999999971</v>
      </c>
      <c r="AN199" s="275" t="str">
        <f>IF($AN$9+(($AL$9-$AM$9))*('DB Basis'!F359/10-'DB Basis'!E359),," ")</f>
        <v xml:space="preserve"> </v>
      </c>
      <c r="AO199" s="648">
        <f>IF(U199&gt;0,_xll.xlShmImplSwap2(curveName,curveName,D199,G199,,1,8,2,4),"-")</f>
        <v>-2.1993738255920055E-3</v>
      </c>
      <c r="AP199" s="649">
        <f t="shared" si="17"/>
        <v>-3.4571111713658682E-3</v>
      </c>
      <c r="AQ199" s="391">
        <f t="shared" si="18"/>
        <v>6.9027761970873174</v>
      </c>
      <c r="AR199" s="391">
        <f t="shared" si="19"/>
        <v>-3.1153939184144552</v>
      </c>
      <c r="AS199" s="393"/>
      <c r="AT199" s="242">
        <f t="shared" si="20"/>
        <v>-0.55789989011091357</v>
      </c>
      <c r="AU199" s="701" t="str">
        <f t="shared" si="16"/>
        <v>OAT  25-Oct-19  3.75</v>
      </c>
      <c r="AV199" s="717"/>
      <c r="AW199" s="699"/>
      <c r="AX199" s="699"/>
      <c r="AY199" s="699"/>
      <c r="AZ199" s="699"/>
      <c r="BA199" s="699"/>
      <c r="BB199" s="698"/>
      <c r="BC199" s="711"/>
      <c r="BE199" s="721">
        <f>_xll.xlDateShiftMonth(BE198,1)</f>
        <v>48911</v>
      </c>
      <c r="BF199" s="722">
        <v>2.5509632237466683E-2</v>
      </c>
    </row>
    <row r="200" spans="1:58">
      <c r="A200" s="10"/>
      <c r="B200" s="11"/>
      <c r="C200" s="12"/>
      <c r="D200" s="735">
        <f>MAX(_xll.xlDateSettle("TARGET",$D$4,2),L200)</f>
        <v>43164</v>
      </c>
      <c r="E200" s="733" t="s">
        <v>965</v>
      </c>
      <c r="F200" s="13" t="s">
        <v>1543</v>
      </c>
      <c r="G200" s="35">
        <v>43763</v>
      </c>
      <c r="H200" s="37">
        <v>8.5</v>
      </c>
      <c r="I200" s="11">
        <v>43763</v>
      </c>
      <c r="J200" s="11">
        <v>32441</v>
      </c>
      <c r="K200" s="11">
        <v>32806</v>
      </c>
      <c r="L200" s="11">
        <v>32533</v>
      </c>
      <c r="M200" s="12">
        <v>95.8</v>
      </c>
      <c r="N200" s="12" t="s">
        <v>1558</v>
      </c>
      <c r="O200" s="12" t="s">
        <v>1203</v>
      </c>
      <c r="P200" s="12" t="s">
        <v>1559</v>
      </c>
      <c r="Q200" s="15">
        <v>8844392893</v>
      </c>
      <c r="R200" s="12"/>
      <c r="S200" s="43">
        <f>_xll.RtGet("IDN",$N200,IF(OR($G200="BTP,$E11=""CTZ"),S$10,S$9))</f>
        <v>114.94800000000001</v>
      </c>
      <c r="T200" s="43">
        <f>_xll.RtGet("IDN",$N200,IF(OR($G200="BTP,$E11=""CTZ"),T$10,T$9))</f>
        <v>115.07900000000001</v>
      </c>
      <c r="U200" s="25">
        <f t="shared" si="21"/>
        <v>115.01350000000001</v>
      </c>
      <c r="V200" s="12"/>
      <c r="W200" s="25">
        <f t="shared" si="22"/>
        <v>115.01350000000001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3.0510000000000002</v>
      </c>
      <c r="Y200" s="14">
        <v>1.5688343551818431</v>
      </c>
      <c r="Z200" s="14">
        <v>-1.5779188261113675</v>
      </c>
      <c r="AA200" s="14">
        <v>4.0971153949361197E-2</v>
      </c>
      <c r="AB200" s="14">
        <v>4.1447021764906278E-2</v>
      </c>
      <c r="AC200" s="14">
        <v>1.8629620021691551</v>
      </c>
      <c r="AD200" s="34">
        <v>-5.7572485854899824E-3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-0.65766142964925223</v>
      </c>
      <c r="AI200" s="14">
        <v>1.4130286957581841</v>
      </c>
      <c r="AJ200" s="14">
        <v>1.6682852645034214</v>
      </c>
      <c r="AK200" s="246">
        <v>-0.39421401341994738</v>
      </c>
      <c r="AL200" s="213">
        <f>IF(U200&gt;0,_xll.xlBondZSpread(F200,H200,G200,J200,K200,L200,M200,D200,U200,"annual",5)*100,"-")</f>
        <v>-35.465409791886501</v>
      </c>
      <c r="AM200" s="266" t="e">
        <f>(-IF($AL$9="",VLOOKUP(VLOOKUP(E200,'DB Basis'!$D$2:$H$65205,4,0),Bonds!$AR$1:$AS$6,2,0),$AL$9)*VLOOKUP(E200,'DB Basis'!$D$2:$E$65205,2,0))+IF(V200="",W200,V200)</f>
        <v>#N/A</v>
      </c>
      <c r="AN200" s="275" t="str">
        <f>IF($AN$9+(($AL$9-$AM$9))*('DB Basis'!F360/10-'DB Basis'!E360),," ")</f>
        <v xml:space="preserve"> </v>
      </c>
      <c r="AO200" s="648">
        <f>IF(U200&gt;0,_xll.xlShmImplSwap2(curveName,curveName,D200,G200,,1,8,2,4),"-")</f>
        <v>-2.1993738255920055E-3</v>
      </c>
      <c r="AP200" s="649">
        <f t="shared" si="17"/>
        <v>-3.5578747598979769E-3</v>
      </c>
      <c r="AQ200" s="391" t="str">
        <f t="shared" si="18"/>
        <v>-</v>
      </c>
      <c r="AR200" s="391" t="str">
        <f t="shared" si="19"/>
        <v>-</v>
      </c>
      <c r="AS200" s="393"/>
      <c r="AT200" s="242">
        <f t="shared" si="20"/>
        <v>-0.56783821665106671</v>
      </c>
      <c r="AU200" s="701" t="str">
        <f t="shared" si="16"/>
        <v>OAT  25-Oct-19  8.5</v>
      </c>
      <c r="AV200" s="717"/>
      <c r="AW200" s="699"/>
      <c r="AX200" s="699"/>
      <c r="AY200" s="699"/>
      <c r="AZ200" s="699"/>
      <c r="BA200" s="699"/>
      <c r="BB200" s="698"/>
      <c r="BC200" s="711"/>
      <c r="BE200" s="721">
        <f>_xll.xlDateShiftMonth(BE199,1)</f>
        <v>48941</v>
      </c>
      <c r="BF200" s="722">
        <v>2.5552516955765665E-2</v>
      </c>
    </row>
    <row r="201" spans="1:58">
      <c r="A201" s="10"/>
      <c r="B201" s="11"/>
      <c r="C201" s="12"/>
      <c r="D201" s="735">
        <f>MAX(_xll.xlDateSettle("TARGET",$D$4,2),L201)</f>
        <v>43164</v>
      </c>
      <c r="E201" s="733" t="s">
        <v>422</v>
      </c>
      <c r="F201" s="13" t="s">
        <v>1543</v>
      </c>
      <c r="G201" s="35">
        <v>43794</v>
      </c>
      <c r="H201" s="37">
        <v>0.5</v>
      </c>
      <c r="I201" s="11">
        <v>43794</v>
      </c>
      <c r="J201" s="11">
        <v>41603</v>
      </c>
      <c r="K201" s="11">
        <v>41968</v>
      </c>
      <c r="L201" s="11">
        <v>41814</v>
      </c>
      <c r="M201" s="12">
        <v>99.02</v>
      </c>
      <c r="N201" s="12" t="s">
        <v>1562</v>
      </c>
      <c r="O201" s="12" t="s">
        <v>1203</v>
      </c>
      <c r="P201" s="12" t="s">
        <v>1563</v>
      </c>
      <c r="Q201" s="15">
        <v>28737000000</v>
      </c>
      <c r="R201" s="12"/>
      <c r="S201" s="43">
        <f>_xll.RtGet("IDN",$N201,IF(OR($G201="BTP,$E11=""CTZ"),S$10,S$9))</f>
        <v>101.804</v>
      </c>
      <c r="T201" s="43">
        <f>_xll.RtGet("IDN",$N201,IF(OR($G201="BTP,$E11=""CTZ"),T$10,T$9))</f>
        <v>101.864</v>
      </c>
      <c r="U201" s="25">
        <f t="shared" si="21"/>
        <v>101.834</v>
      </c>
      <c r="V201" s="12"/>
      <c r="W201" s="25">
        <f t="shared" si="22"/>
        <v>101.834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0.13700000000000001</v>
      </c>
      <c r="Y201" s="14">
        <v>1.721104211689382</v>
      </c>
      <c r="Z201" s="14">
        <v>-1.7306988737343652</v>
      </c>
      <c r="AA201" s="14">
        <v>4.6882028669990368E-2</v>
      </c>
      <c r="AB201" s="14">
        <v>4.7406193353297738E-2</v>
      </c>
      <c r="AC201" s="14">
        <v>1.7648109795885603</v>
      </c>
      <c r="AD201" s="34">
        <v>-5.5438083675201479E-3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-0.60865246779914395</v>
      </c>
      <c r="AI201" s="14">
        <v>1.7207948796576007</v>
      </c>
      <c r="AJ201" s="14">
        <v>1.7547117467356519</v>
      </c>
      <c r="AK201" s="246">
        <v>-0.34686749486429469</v>
      </c>
      <c r="AL201" s="213">
        <f>IF(U201&gt;0,_xll.xlBondZSpread(F201,H201,G201,J201,K201,L201,M201,D201,U201,"annual",5)*100,"-")</f>
        <v>-34.65030363524567</v>
      </c>
      <c r="AM201" s="266">
        <f>(-IF($AL$9="",VLOOKUP(VLOOKUP(E201,'DB Basis'!$D$2:$H$65205,4,0),Bonds!$AR$1:$AS$6,2,0),$AL$9)*VLOOKUP(E201,'DB Basis'!$D$2:$E$65205,2,0))+IF(V201="",W201,V201)</f>
        <v>2.6219349999999935</v>
      </c>
      <c r="AN201" s="275" t="str">
        <f>IF($AN$9+(($AL$9-$AM$9))*('DB Basis'!F361/10-'DB Basis'!E361),," ")</f>
        <v xml:space="preserve"> </v>
      </c>
      <c r="AO201" s="648">
        <f>IF(U201&gt;0,_xll.xlShmImplSwap2(curveName,curveName,D201,G201,,1,8,2,4),"-")</f>
        <v>-2.0783866728701626E-3</v>
      </c>
      <c r="AP201" s="649">
        <f t="shared" si="17"/>
        <v>-3.4654216946499853E-3</v>
      </c>
      <c r="AQ201" s="391">
        <f t="shared" si="18"/>
        <v>25.130864373867613</v>
      </c>
      <c r="AR201" s="391">
        <f t="shared" si="19"/>
        <v>10.885602843715143</v>
      </c>
      <c r="AS201" s="393"/>
      <c r="AT201" s="242">
        <f t="shared" si="20"/>
        <v>-0.54678657871431591</v>
      </c>
      <c r="AU201" s="701" t="str">
        <f t="shared" si="16"/>
        <v>OAT  25-Nov-19  0.5</v>
      </c>
      <c r="AV201" s="717"/>
      <c r="AW201" s="699"/>
      <c r="AX201" s="699"/>
      <c r="AY201" s="699"/>
      <c r="AZ201" s="699"/>
      <c r="BA201" s="699"/>
      <c r="BB201" s="698"/>
      <c r="BC201" s="711"/>
      <c r="BE201" s="721">
        <f>_xll.xlDateShiftMonth(BE200,1)</f>
        <v>48972</v>
      </c>
      <c r="BF201" s="722">
        <v>2.5596060343569704E-2</v>
      </c>
    </row>
    <row r="202" spans="1:58">
      <c r="A202" s="10"/>
      <c r="B202" s="11"/>
      <c r="C202" s="12"/>
      <c r="D202" s="735">
        <f>MAX(_xll.xlDateSettle("TARGET",$D$4,2),L202)</f>
        <v>43164</v>
      </c>
      <c r="E202" s="733" t="s">
        <v>991</v>
      </c>
      <c r="F202" s="13" t="s">
        <v>1543</v>
      </c>
      <c r="G202" s="35">
        <v>43886</v>
      </c>
      <c r="H202" s="37">
        <v>0</v>
      </c>
      <c r="I202" s="11">
        <v>43886</v>
      </c>
      <c r="J202" s="11">
        <v>42425</v>
      </c>
      <c r="K202" s="11">
        <v>42791</v>
      </c>
      <c r="L202" s="11">
        <v>42758</v>
      </c>
      <c r="M202" s="12">
        <v>101.33</v>
      </c>
      <c r="N202" s="12" t="s">
        <v>1564</v>
      </c>
      <c r="O202" s="12" t="s">
        <v>1222</v>
      </c>
      <c r="P202" s="12" t="s">
        <v>1565</v>
      </c>
      <c r="Q202" s="15">
        <v>28009000000</v>
      </c>
      <c r="R202" s="12"/>
      <c r="S202" s="43">
        <f>_xll.RtGet("IDN",$N202,IF(OR($G202="BTP,$E11=""CTZ"),S$10,S$9))</f>
        <v>100.91</v>
      </c>
      <c r="T202" s="43">
        <f>_xll.RtGet("IDN",$N202,IF(OR($G202="BTP,$E11=""CTZ"),T$10,T$9))</f>
        <v>100.97</v>
      </c>
      <c r="U202" s="25">
        <f t="shared" si="21"/>
        <v>100.94</v>
      </c>
      <c r="V202" s="12"/>
      <c r="W202" s="25">
        <f t="shared" si="22"/>
        <v>100.94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0</v>
      </c>
      <c r="Y202" s="14">
        <v>2.0055555555555555</v>
      </c>
      <c r="Z202" s="14">
        <v>-2.0149335078448969</v>
      </c>
      <c r="AA202" s="14">
        <v>6.0278086419753081E-2</v>
      </c>
      <c r="AB202" s="14">
        <v>6.0843123523560999E-2</v>
      </c>
      <c r="AC202" s="14">
        <v>2.0338739241296366</v>
      </c>
      <c r="AD202" s="34">
        <v>-4.6542242560288468E-3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-0.60734142809249647</v>
      </c>
      <c r="AI202" s="14">
        <v>1.9924062663505633</v>
      </c>
      <c r="AJ202" s="14">
        <v>2.0111348852542585</v>
      </c>
      <c r="AK202" s="246">
        <v>-0.30198940535791713</v>
      </c>
      <c r="AL202" s="213">
        <f>IF(U202&gt;0,_xll.xlBondZSpread(F202,H202,G202,J202,K202,L202,M202,D202,U202,"annual",5)*100,"-")</f>
        <v>-30.410614868110137</v>
      </c>
      <c r="AM202" s="266">
        <f>(-IF($AL$9="",VLOOKUP(VLOOKUP(E202,'DB Basis'!$D$2:$H$65205,4,0),Bonds!$AR$1:$AS$6,2,0),$AL$9)*VLOOKUP(E202,'DB Basis'!$D$2:$E$65205,2,0))+IF(V202="",W202,V202)</f>
        <v>-9.8057475000000096</v>
      </c>
      <c r="AN202" s="275" t="str">
        <f>IF($AN$9+(($AL$9-$AM$9))*('DB Basis'!F362/10-'DB Basis'!E362),," ")</f>
        <v xml:space="preserve"> </v>
      </c>
      <c r="AO202" s="648">
        <f>IF(U202&gt;0,_xll.xlShmImplSwap2(curveName,curveName,D202,G202,,1,8,2,4),"-")</f>
        <v>-1.6801801218510493E-3</v>
      </c>
      <c r="AP202" s="649">
        <f t="shared" si="17"/>
        <v>-2.9740441341777977E-3</v>
      </c>
      <c r="AQ202" s="391">
        <f t="shared" si="18"/>
        <v>35.293282684165753</v>
      </c>
      <c r="AR202" s="391">
        <f t="shared" si="19"/>
        <v>19.494870605690053</v>
      </c>
      <c r="AS202" s="393"/>
      <c r="AT202" s="242">
        <f t="shared" si="20"/>
        <v>-0.45904677593709176</v>
      </c>
      <c r="AU202" s="701" t="str">
        <f t="shared" si="16"/>
        <v>OAT  25-Feb-20  0</v>
      </c>
      <c r="AV202" s="717"/>
      <c r="AW202" s="699"/>
      <c r="AX202" s="699"/>
      <c r="AY202" s="699"/>
      <c r="AZ202" s="699"/>
      <c r="BA202" s="699"/>
      <c r="BB202" s="698"/>
      <c r="BC202" s="711"/>
      <c r="BE202" s="721">
        <f>_xll.xlDateShiftMonth(BE201,1)</f>
        <v>49003</v>
      </c>
      <c r="BF202" s="722">
        <v>2.5638846773436925E-2</v>
      </c>
    </row>
    <row r="203" spans="1:58">
      <c r="A203" s="10"/>
      <c r="B203" s="11"/>
      <c r="C203" s="12"/>
      <c r="D203" s="735">
        <f>MAX(_xll.xlDateSettle("TARGET",$D$4,2),L203)</f>
        <v>43164</v>
      </c>
      <c r="E203" s="733" t="s">
        <v>701</v>
      </c>
      <c r="F203" s="13" t="s">
        <v>1543</v>
      </c>
      <c r="G203" s="35">
        <v>43946</v>
      </c>
      <c r="H203" s="37">
        <v>3.5</v>
      </c>
      <c r="I203" s="11">
        <v>43946</v>
      </c>
      <c r="J203" s="11">
        <v>39928</v>
      </c>
      <c r="K203" s="11">
        <v>40293</v>
      </c>
      <c r="L203" s="11">
        <v>40218</v>
      </c>
      <c r="M203" s="12">
        <v>99.3</v>
      </c>
      <c r="N203" s="12" t="s">
        <v>1566</v>
      </c>
      <c r="O203" s="12" t="s">
        <v>1203</v>
      </c>
      <c r="P203" s="12" t="s">
        <v>1567</v>
      </c>
      <c r="Q203" s="15">
        <v>38946000000</v>
      </c>
      <c r="R203" s="12"/>
      <c r="S203" s="43">
        <f>_xll.RtGet("IDN",$N203,IF(OR($G203="BTP,$E11=""CTZ"),S$10,S$9))</f>
        <v>108.548</v>
      </c>
      <c r="T203" s="43">
        <f>_xll.RtGet("IDN",$N203,IF(OR($G203="BTP,$E11=""CTZ"),T$10,T$9))</f>
        <v>108.578</v>
      </c>
      <c r="U203" s="25">
        <f t="shared" si="21"/>
        <v>108.563</v>
      </c>
      <c r="V203" s="12"/>
      <c r="W203" s="25">
        <f t="shared" si="22"/>
        <v>108.563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3.0110000000000001</v>
      </c>
      <c r="Y203" s="14">
        <v>2.0454070230847763</v>
      </c>
      <c r="Z203" s="14">
        <v>-2.0551037474307865</v>
      </c>
      <c r="AA203" s="14">
        <v>6.3772999712168488E-2</v>
      </c>
      <c r="AB203" s="14">
        <v>6.4379094245269677E-2</v>
      </c>
      <c r="AC203" s="14">
        <v>2.292961957747508</v>
      </c>
      <c r="AD203" s="34">
        <v>-4.7185457747700443E-3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-0.76886465346474475</v>
      </c>
      <c r="AI203" s="14">
        <v>1.957131106812354</v>
      </c>
      <c r="AJ203" s="14">
        <v>2.1836494611148156</v>
      </c>
      <c r="AK203" s="246">
        <v>-0.3521007685327931</v>
      </c>
      <c r="AL203" s="213">
        <f>IF(U203&gt;0,_xll.xlBondZSpread(F203,H203,G203,J203,K203,L203,M203,D203,U203,"annual",5)*100,"-")</f>
        <v>-33.582268287162535</v>
      </c>
      <c r="AM203" s="266">
        <f>(-IF($AL$9="",VLOOKUP(VLOOKUP(E203,'DB Basis'!$D$2:$H$65205,4,0),Bonds!$AR$1:$AS$6,2,0),$AL$9)*VLOOKUP(E203,'DB Basis'!$D$2:$E$65205,2,0))+IF(V203="",W203,V203)</f>
        <v>-17.523664999999994</v>
      </c>
      <c r="AN203" s="275" t="str">
        <f>IF($AN$9+(($AL$9-$AM$9))*('DB Basis'!F363/10-'DB Basis'!E363),," ")</f>
        <v xml:space="preserve"> </v>
      </c>
      <c r="AO203" s="648">
        <f>IF(U203&gt;0,_xll.xlShmImplSwap2(curveName,curveName,D203,G203,,1,8,2,4),"-")</f>
        <v>-1.3153442053426597E-3</v>
      </c>
      <c r="AP203" s="649">
        <f t="shared" si="17"/>
        <v>-3.4032015694273844E-3</v>
      </c>
      <c r="AQ203" s="391">
        <f t="shared" si="18"/>
        <v>-3.9128923900895187</v>
      </c>
      <c r="AR203" s="391">
        <f t="shared" si="19"/>
        <v>-26.107077311016525</v>
      </c>
      <c r="AS203" s="393"/>
      <c r="AT203" s="242">
        <f t="shared" si="20"/>
        <v>-0.46539081614170297</v>
      </c>
      <c r="AU203" s="701" t="str">
        <f t="shared" ref="AU203:AU271" si="23">F203&amp;"  "&amp;TEXT(G203,"dd-mmm-yy")&amp;"  "&amp;H203</f>
        <v>OAT  25-Apr-20  3.5</v>
      </c>
      <c r="AV203" s="717"/>
      <c r="AW203" s="699"/>
      <c r="AX203" s="699"/>
      <c r="AY203" s="699"/>
      <c r="AZ203" s="699"/>
      <c r="BA203" s="699"/>
      <c r="BB203" s="698"/>
      <c r="BC203" s="711"/>
      <c r="BE203" s="721">
        <f>_xll.xlDateShiftMonth(BE202,1)</f>
        <v>49031</v>
      </c>
      <c r="BF203" s="722">
        <v>2.567686424136767E-2</v>
      </c>
    </row>
    <row r="204" spans="1:58">
      <c r="A204" s="10"/>
      <c r="B204" s="11"/>
      <c r="C204" s="12"/>
      <c r="D204" s="735">
        <f>MAX(_xll.xlDateSettle("TARGET",$D$4,2),L204)</f>
        <v>43164</v>
      </c>
      <c r="E204" s="733" t="s">
        <v>598</v>
      </c>
      <c r="F204" s="13" t="s">
        <v>1543</v>
      </c>
      <c r="G204" s="35">
        <v>43976</v>
      </c>
      <c r="H204" s="37">
        <v>0</v>
      </c>
      <c r="I204" s="11">
        <v>43976</v>
      </c>
      <c r="J204" s="11">
        <v>41784</v>
      </c>
      <c r="K204" s="11">
        <v>42149</v>
      </c>
      <c r="L204" s="11">
        <v>42058</v>
      </c>
      <c r="M204" s="12">
        <v>99.46</v>
      </c>
      <c r="N204" s="12" t="s">
        <v>1568</v>
      </c>
      <c r="O204" s="12" t="s">
        <v>1203</v>
      </c>
      <c r="P204" s="12" t="s">
        <v>1569</v>
      </c>
      <c r="Q204" s="15">
        <v>22969000000</v>
      </c>
      <c r="R204" s="12"/>
      <c r="S204" s="43">
        <f>_xll.RtGet("IDN",$N204,IF(OR($G204="BTP,$E11=""CTZ"),S$10,S$9))</f>
        <v>100.98400000000001</v>
      </c>
      <c r="T204" s="43">
        <f>_xll.RtGet("IDN",$N204,IF(OR($G204="BTP,$E11=""CTZ"),T$10,T$9))</f>
        <v>101.014</v>
      </c>
      <c r="U204" s="25">
        <f t="shared" si="21"/>
        <v>100.999</v>
      </c>
      <c r="V204" s="12"/>
      <c r="W204" s="25">
        <f t="shared" si="22"/>
        <v>100.999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0</v>
      </c>
      <c r="Y204" s="14">
        <v>2.2555555555555555</v>
      </c>
      <c r="Z204" s="14">
        <v>-2.2655179215471422</v>
      </c>
      <c r="AA204" s="14">
        <v>7.3430864197530865E-2</v>
      </c>
      <c r="AB204" s="14">
        <v>7.408095742292739E-2</v>
      </c>
      <c r="AC204" s="14">
        <v>2.2881504990927226</v>
      </c>
      <c r="AD204" s="34">
        <v>-4.3973901516242281E-3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-0.74785258877501803</v>
      </c>
      <c r="AI204" s="14">
        <v>2.2391890530023382</v>
      </c>
      <c r="AJ204" s="14">
        <v>2.2615585516418313</v>
      </c>
      <c r="AK204" s="246">
        <v>-0.33068017992817256</v>
      </c>
      <c r="AL204" s="213">
        <f>IF(U204&gt;0,_xll.xlBondZSpread(F204,H204,G204,J204,K204,L204,M204,D204,U204,"annual",5)*100,"-")</f>
        <v>-33.313118040433999</v>
      </c>
      <c r="AM204" s="266">
        <f>(-IF($AL$9="",VLOOKUP(VLOOKUP(E204,'DB Basis'!$D$2:$H$65205,4,0),Bonds!$AR$1:$AS$6,2,0),$AL$9)*VLOOKUP(E204,'DB Basis'!$D$2:$E$65205,2,0))+IF(V204="",W204,V204)</f>
        <v>-21.840317500000012</v>
      </c>
      <c r="AN204" s="275" t="str">
        <f>IF($AN$9+(($AL$9-$AM$9))*('DB Basis'!F364/10-'DB Basis'!E364),," ")</f>
        <v xml:space="preserve"> </v>
      </c>
      <c r="AO204" s="648">
        <f>IF(U204&gt;0,_xll.xlShmImplSwap2(curveName,curveName,D204,G204,,1,8,2,4),"-")</f>
        <v>-1.1246436515653304E-3</v>
      </c>
      <c r="AP204" s="649">
        <f t="shared" ref="AP204:AP267" si="24">IF(AND(ISNUMBER(AD204),ISNUMBER(AO204)),AD204-AO204,"-")</f>
        <v>-3.2727465000588979E-3</v>
      </c>
      <c r="AQ204" s="391">
        <f t="shared" ref="AQ204:AQ267" si="25">IF(ISNUMBER(((AD204-AD203)/(G204-G203)*365)*10000),((AD204-AD203)/(G204-G203)*365)*10000,"-")</f>
        <v>39.073934149407641</v>
      </c>
      <c r="AR204" s="391">
        <f t="shared" ref="AR204:AR267" si="26">IF(ISNUMBER(((AP204-AP203)/(G204-G203)*365)*10000),((AP204-AP203)/(G204-G203)*365)*10000,"-")</f>
        <v>15.872033439832517</v>
      </c>
      <c r="AS204" s="393"/>
      <c r="AT204" s="242">
        <f t="shared" ref="AT204:AT267" si="27">IF(ISNUMBER(AD204),AD204*360/365*100,"-")</f>
        <v>-0.43371519303691014</v>
      </c>
      <c r="AU204" s="701" t="str">
        <f t="shared" si="23"/>
        <v>OAT  25-May-20  0</v>
      </c>
      <c r="AV204" s="717"/>
      <c r="AW204" s="699"/>
      <c r="AX204" s="699"/>
      <c r="AY204" s="699"/>
      <c r="AZ204" s="699"/>
      <c r="BA204" s="699"/>
      <c r="BB204" s="698"/>
      <c r="BC204" s="711"/>
      <c r="BE204" s="721">
        <f>_xll.xlDateShiftMonth(BE203,1)</f>
        <v>49062</v>
      </c>
      <c r="BF204" s="722">
        <v>2.5718284016771648E-2</v>
      </c>
    </row>
    <row r="205" spans="1:58">
      <c r="A205" s="10"/>
      <c r="B205" s="11"/>
      <c r="C205" s="12"/>
      <c r="D205" s="735">
        <f>MAX(_xll.xlDateSettle("TARGET",$D$4,2),L205)</f>
        <v>43164</v>
      </c>
      <c r="E205" s="733" t="s">
        <v>702</v>
      </c>
      <c r="F205" s="13" t="s">
        <v>1543</v>
      </c>
      <c r="G205" s="35">
        <v>44129</v>
      </c>
      <c r="H205" s="37">
        <v>2.5</v>
      </c>
      <c r="I205" s="11">
        <v>44129</v>
      </c>
      <c r="J205" s="11">
        <v>40111</v>
      </c>
      <c r="K205" s="11">
        <v>40476</v>
      </c>
      <c r="L205" s="11">
        <v>40463</v>
      </c>
      <c r="M205" s="12">
        <v>98.42</v>
      </c>
      <c r="N205" s="12" t="s">
        <v>1570</v>
      </c>
      <c r="O205" s="12" t="s">
        <v>1203</v>
      </c>
      <c r="P205" s="12" t="s">
        <v>1571</v>
      </c>
      <c r="Q205" s="15">
        <v>36562000000</v>
      </c>
      <c r="R205" s="12"/>
      <c r="S205" s="43">
        <f>_xll.RtGet("IDN",$N205,IF(OR($G205="BTP,$E11=""CTZ"),S$10,S$9))</f>
        <v>107.623</v>
      </c>
      <c r="T205" s="43">
        <f>_xll.RtGet("IDN",$N205,IF(OR($G205="BTP,$E11=""CTZ"),T$10,T$9))</f>
        <v>107.663</v>
      </c>
      <c r="U205" s="25">
        <f t="shared" ref="U205:U268" si="28">IF($U$4="B",AVERAGE(S205:T205),AVERAGE(S205:T205))</f>
        <v>107.643</v>
      </c>
      <c r="V205" s="12"/>
      <c r="W205" s="25">
        <f t="shared" si="22"/>
        <v>107.643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0.89700000000000002</v>
      </c>
      <c r="Y205" s="14">
        <v>2.5717442555539218</v>
      </c>
      <c r="Z205" s="14">
        <v>-2.5813904600797088</v>
      </c>
      <c r="AA205" s="14">
        <v>9.296331446555213E-2</v>
      </c>
      <c r="AB205" s="14">
        <v>9.3662003624393475E-2</v>
      </c>
      <c r="AC205" s="14">
        <v>2.8018418972926895</v>
      </c>
      <c r="AD205" s="34">
        <v>-3.7370341072239174E-3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-0.99985978068392589</v>
      </c>
      <c r="AI205" s="14">
        <v>2.4777609847949695</v>
      </c>
      <c r="AJ205" s="14">
        <v>2.6893617728964605</v>
      </c>
      <c r="AK205" s="246">
        <v>-0.37178329474322241</v>
      </c>
      <c r="AL205" s="213">
        <f>IF(U205&gt;0,_xll.xlBondZSpread(F205,H205,G205,J205,K205,L205,M205,D205,U205,"annual",5)*100,"-")</f>
        <v>-35.846492163418596</v>
      </c>
      <c r="AM205" s="266">
        <f>(-IF($AL$9="",VLOOKUP(VLOOKUP(E205,'DB Basis'!$D$2:$H$65205,4,0),Bonds!$AR$1:$AS$6,2,0),$AL$9)*VLOOKUP(E205,'DB Basis'!$D$2:$E$65205,2,0))+IF(V205="",W205,V205)</f>
        <v>-42.966737499999994</v>
      </c>
      <c r="AN205" s="275" t="str">
        <f>IF($AN$9+(($AL$9-$AM$9))*('DB Basis'!F365/10-'DB Basis'!E365),," ")</f>
        <v xml:space="preserve"> </v>
      </c>
      <c r="AO205" s="648">
        <f>IF(U205&gt;0,_xll.xlShmImplSwap2(curveName,curveName,D205,G205,,1,8,2,4),"-")</f>
        <v>-9.7655614453107236E-5</v>
      </c>
      <c r="AP205" s="649">
        <f t="shared" si="24"/>
        <v>-3.6393784927708102E-3</v>
      </c>
      <c r="AQ205" s="391">
        <f t="shared" si="25"/>
        <v>15.753591908896302</v>
      </c>
      <c r="AR205" s="391">
        <f t="shared" si="26"/>
        <v>-8.7464494993364692</v>
      </c>
      <c r="AS205" s="393"/>
      <c r="AT205" s="242">
        <f t="shared" si="27"/>
        <v>-0.36858418591797543</v>
      </c>
      <c r="AU205" s="701" t="str">
        <f t="shared" si="23"/>
        <v>OAT  25-Oct-20  2.5</v>
      </c>
      <c r="AV205" s="717"/>
      <c r="AW205" s="699"/>
      <c r="AX205" s="699"/>
      <c r="AY205" s="699"/>
      <c r="AZ205" s="699"/>
      <c r="BA205" s="699"/>
      <c r="BB205" s="698"/>
      <c r="BC205" s="711"/>
      <c r="BE205" s="721">
        <f>_xll.xlDateShiftMonth(BE204,1)</f>
        <v>49092</v>
      </c>
      <c r="BF205" s="722">
        <v>2.5757720719238278E-2</v>
      </c>
    </row>
    <row r="206" spans="1:58">
      <c r="A206" s="10"/>
      <c r="B206" s="11"/>
      <c r="C206" s="12"/>
      <c r="D206" s="735">
        <f>MAX(_xll.xlDateSettle("TARGET",$D$4,2),L206)</f>
        <v>43164</v>
      </c>
      <c r="E206" s="733" t="s">
        <v>788</v>
      </c>
      <c r="F206" s="13" t="s">
        <v>1543</v>
      </c>
      <c r="G206" s="35">
        <v>44160</v>
      </c>
      <c r="H206" s="37">
        <v>0.25</v>
      </c>
      <c r="I206" s="11">
        <v>44160</v>
      </c>
      <c r="J206" s="11">
        <v>41968</v>
      </c>
      <c r="K206" s="11">
        <v>42333</v>
      </c>
      <c r="L206" s="11">
        <v>42268</v>
      </c>
      <c r="M206" s="12">
        <v>99.67</v>
      </c>
      <c r="N206" s="12" t="s">
        <v>1572</v>
      </c>
      <c r="O206" s="12" t="s">
        <v>1203</v>
      </c>
      <c r="P206" s="12" t="s">
        <v>1573</v>
      </c>
      <c r="Q206" s="15">
        <v>24782000000</v>
      </c>
      <c r="R206" s="12"/>
      <c r="S206" s="43">
        <f>_xll.RtGet("IDN",$N206,IF(OR($G206="BTP,$E11=""CTZ"),S$10,S$9))</f>
        <v>101.559</v>
      </c>
      <c r="T206" s="43">
        <f>_xll.RtGet("IDN",$N206,IF(OR($G206="BTP,$E11=""CTZ"),T$10,T$9))</f>
        <v>101.619</v>
      </c>
      <c r="U206" s="25">
        <f t="shared" si="28"/>
        <v>101.589</v>
      </c>
      <c r="V206" s="12"/>
      <c r="W206" s="25">
        <f t="shared" si="22"/>
        <v>101.589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6.8000000000000005E-2</v>
      </c>
      <c r="Y206" s="14">
        <v>2.7186238272105436</v>
      </c>
      <c r="Z206" s="14">
        <v>-2.7276008817664774</v>
      </c>
      <c r="AA206" s="14">
        <v>0.10121818384956069</v>
      </c>
      <c r="AB206" s="14">
        <v>0.10188774419287157</v>
      </c>
      <c r="AC206" s="14">
        <v>2.772797311997266</v>
      </c>
      <c r="AD206" s="34">
        <v>-3.2911913068159079E-3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-0.93375575495700991</v>
      </c>
      <c r="AI206" s="14">
        <v>2.7273556314277063</v>
      </c>
      <c r="AJ206" s="14">
        <v>2.7725479142404637</v>
      </c>
      <c r="AK206" s="246">
        <v>-0.33678615621429442</v>
      </c>
      <c r="AL206" s="213">
        <f>IF(U206&gt;0,_xll.xlBondZSpread(F206,H206,G206,J206,K206,L206,M206,D206,U206,"annual",5)*100,"-")</f>
        <v>-33.853770864143016</v>
      </c>
      <c r="AM206" s="266">
        <f>(-IF($AL$9="",VLOOKUP(VLOOKUP(E206,'DB Basis'!$D$2:$H$65205,4,0),Bonds!$AR$1:$AS$6,2,0),$AL$9)*VLOOKUP(E206,'DB Basis'!$D$2:$E$65205,2,0))+IF(V206="",W206,V206)</f>
        <v>-46.669210000000021</v>
      </c>
      <c r="AN206" s="275" t="str">
        <f>IF($AN$9+(($AL$9-$AM$9))*('DB Basis'!F366/10-'DB Basis'!E366),," ")</f>
        <v xml:space="preserve"> </v>
      </c>
      <c r="AO206" s="648">
        <f>IF(U206&gt;0,_xll.xlShmImplSwap2(curveName,curveName,D206,G206,,1,8,2,4),"-")</f>
        <v>1.0500793774182873E-4</v>
      </c>
      <c r="AP206" s="649">
        <f t="shared" si="24"/>
        <v>-3.3961992445577368E-3</v>
      </c>
      <c r="AQ206" s="391">
        <f t="shared" si="25"/>
        <v>52.494394241588218</v>
      </c>
      <c r="AR206" s="391">
        <f t="shared" si="26"/>
        <v>28.632395354119936</v>
      </c>
      <c r="AS206" s="393"/>
      <c r="AT206" s="242">
        <f t="shared" si="27"/>
        <v>-0.32461064943937723</v>
      </c>
      <c r="AU206" s="701" t="str">
        <f t="shared" si="23"/>
        <v>OAT  25-Nov-20  0.25</v>
      </c>
      <c r="AV206" s="717"/>
      <c r="AW206" s="699"/>
      <c r="AX206" s="699"/>
      <c r="AY206" s="699"/>
      <c r="AZ206" s="699"/>
      <c r="BA206" s="699"/>
      <c r="BB206" s="698"/>
      <c r="BC206" s="711"/>
      <c r="BE206" s="721">
        <f>_xll.xlDateShiftMonth(BE205,1)</f>
        <v>49123</v>
      </c>
      <c r="BF206" s="722">
        <v>2.5797829534432399E-2</v>
      </c>
    </row>
    <row r="207" spans="1:58">
      <c r="A207" s="10"/>
      <c r="B207" s="11"/>
      <c r="C207" s="12"/>
      <c r="D207" s="735">
        <f>MAX(_xll.xlDateSettle("TARGET",$D$4,2),L207)</f>
        <v>43164</v>
      </c>
      <c r="E207" s="733" t="s">
        <v>2013</v>
      </c>
      <c r="F207" s="13" t="s">
        <v>1543</v>
      </c>
      <c r="G207" s="35">
        <v>44252</v>
      </c>
      <c r="H207" s="37">
        <v>0</v>
      </c>
      <c r="I207" s="11">
        <v>44252</v>
      </c>
      <c r="J207" s="11">
        <v>42791</v>
      </c>
      <c r="K207" s="11">
        <v>43156</v>
      </c>
      <c r="L207" s="11">
        <v>43122</v>
      </c>
      <c r="M207" s="12">
        <v>100.75</v>
      </c>
      <c r="N207" s="12" t="s">
        <v>2014</v>
      </c>
      <c r="O207" s="12" t="s">
        <v>1203</v>
      </c>
      <c r="P207" s="12" t="s">
        <v>2015</v>
      </c>
      <c r="Q207" s="15">
        <v>8043000000</v>
      </c>
      <c r="R207" s="12"/>
      <c r="S207" s="43">
        <f>_xll.RtGet("IDN",$N207,IF(OR($G207="BTP,$E11=""CTZ"),S$10,S$9))</f>
        <v>100.795</v>
      </c>
      <c r="T207" s="43">
        <f>_xll.RtGet("IDN",$N207,IF(OR($G207="BTP,$E11=""CTZ"),T$10,T$9))</f>
        <v>100.846</v>
      </c>
      <c r="U207" s="25">
        <f t="shared" si="28"/>
        <v>100.82050000000001</v>
      </c>
      <c r="V207" s="12"/>
      <c r="W207" s="25">
        <f t="shared" si="22"/>
        <v>100.82050000000001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0</v>
      </c>
      <c r="Y207" s="14">
        <v>3.0222222222222226</v>
      </c>
      <c r="Z207" s="14">
        <v>-3.0304048011405009</v>
      </c>
      <c r="AA207" s="14">
        <v>0.12156049382716051</v>
      </c>
      <c r="AB207" s="14">
        <v>0.12221962792929021</v>
      </c>
      <c r="AC207" s="14">
        <v>3.05526937611873</v>
      </c>
      <c r="AD207" s="34">
        <v>-2.7001604137390344E-3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-1.0342424529231238</v>
      </c>
      <c r="AI207" s="14">
        <v>3.0027588385223916</v>
      </c>
      <c r="AJ207" s="14">
        <v>3.027396474792468</v>
      </c>
      <c r="AK207" s="246">
        <v>-0.34162768620982242</v>
      </c>
      <c r="AL207" s="213">
        <f>IF(U207&gt;0,_xll.xlBondZSpread(F207,H207,G207,J207,K207,L207,M207,D207,U207,"annual",5)*100,"-")</f>
        <v>-34.555483827841819</v>
      </c>
      <c r="AM207" s="266" t="e">
        <f>(-IF($AL$9="",VLOOKUP(VLOOKUP(E207,'DB Basis'!$D$2:$H$65205,4,0),Bonds!$AR$1:$AS$6,2,0),$AL$9)*VLOOKUP(E207,'DB Basis'!$D$2:$E$65205,2,0))+IF(V207="",W207,V207)</f>
        <v>#N/A</v>
      </c>
      <c r="AN207" s="275" t="str">
        <f>IF($AN$9+(($AL$9-$AM$9))*('DB Basis'!F367/10-'DB Basis'!E367),," ")</f>
        <v xml:space="preserve"> </v>
      </c>
      <c r="AO207" s="648">
        <f>IF(U207&gt;0,_xll.xlShmImplSwap2(curveName,curveName,D207,G207,,1,8,2,4),"-")</f>
        <v>7.1912573449229287E-4</v>
      </c>
      <c r="AP207" s="649">
        <f t="shared" si="24"/>
        <v>-3.4192861482313271E-3</v>
      </c>
      <c r="AQ207" s="391">
        <f t="shared" si="25"/>
        <v>23.448508257941175</v>
      </c>
      <c r="AR207" s="391">
        <f t="shared" si="26"/>
        <v>-0.91594780878917792</v>
      </c>
      <c r="AS207" s="393"/>
      <c r="AT207" s="242">
        <f t="shared" si="27"/>
        <v>-0.26631719149206917</v>
      </c>
      <c r="AU207" s="701" t="str">
        <f t="shared" si="23"/>
        <v>OAT  25-Feb-21  0</v>
      </c>
      <c r="AV207" s="717"/>
      <c r="AW207" s="699"/>
      <c r="AX207" s="699"/>
      <c r="AY207" s="699"/>
      <c r="AZ207" s="699"/>
      <c r="BA207" s="699"/>
      <c r="BB207" s="698"/>
      <c r="BC207" s="711"/>
      <c r="BE207" s="721">
        <f>_xll.xlDateShiftMonth(BE206,1)</f>
        <v>49153</v>
      </c>
      <c r="BF207" s="722">
        <v>2.5836047753735644E-2</v>
      </c>
    </row>
    <row r="208" spans="1:58">
      <c r="A208" s="10"/>
      <c r="B208" s="11"/>
      <c r="C208" s="12"/>
      <c r="D208" s="735">
        <f>MAX(_xll.xlDateSettle("TARGET",$D$4,2),L208)</f>
        <v>43164</v>
      </c>
      <c r="E208" s="733" t="s">
        <v>703</v>
      </c>
      <c r="F208" s="13" t="s">
        <v>1543</v>
      </c>
      <c r="G208" s="35">
        <v>44311</v>
      </c>
      <c r="H208" s="37">
        <v>3.75</v>
      </c>
      <c r="I208" s="11">
        <v>44311</v>
      </c>
      <c r="J208" s="11">
        <v>38467</v>
      </c>
      <c r="K208" s="11">
        <v>38832</v>
      </c>
      <c r="L208" s="11">
        <v>38482</v>
      </c>
      <c r="M208" s="12">
        <v>99.16</v>
      </c>
      <c r="N208" s="12" t="s">
        <v>1574</v>
      </c>
      <c r="O208" s="12" t="s">
        <v>1203</v>
      </c>
      <c r="P208" s="12" t="s">
        <v>1575</v>
      </c>
      <c r="Q208" s="15">
        <v>39352000000</v>
      </c>
      <c r="R208" s="12"/>
      <c r="S208" s="43">
        <f>_xll.BDP(E208&amp;"@cbbt Corp",$S$10)</f>
        <v>112.723</v>
      </c>
      <c r="T208" s="43">
        <f>_xll.BDP(E208&amp;"@cbbt Corp",$T$10)</f>
        <v>112.77500000000001</v>
      </c>
      <c r="U208" s="25">
        <f t="shared" si="28"/>
        <v>112.749</v>
      </c>
      <c r="V208" s="12"/>
      <c r="W208" s="25">
        <f t="shared" ref="W208:W271" si="29">IF(V208="",U208,V208)</f>
        <v>112.749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3.226</v>
      </c>
      <c r="Y208" s="14">
        <v>2.9452691963526116</v>
      </c>
      <c r="Z208" s="14">
        <v>-2.953725546972052</v>
      </c>
      <c r="AA208" s="14">
        <v>0.12035489043070099</v>
      </c>
      <c r="AB208" s="14">
        <v>0.12104699982153289</v>
      </c>
      <c r="AC208" s="14">
        <v>3.4255833229416055</v>
      </c>
      <c r="AD208" s="34">
        <v>-2.8629439289200934E-3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-1.2945917158949469</v>
      </c>
      <c r="AI208" s="14">
        <v>2.7534003203900919</v>
      </c>
      <c r="AJ208" s="14">
        <v>3.1932560215724091</v>
      </c>
      <c r="AK208" s="861">
        <v>-0.40541431916175502</v>
      </c>
      <c r="AL208" s="213">
        <f>IF(U208&gt;0,_xll.xlBondZSpread(F208,H208,G208,J208,K208,L208,M208,D208,U208,"annual",5)*100,"-")</f>
        <v>-38.024631214535127</v>
      </c>
      <c r="AM208" s="266">
        <f>(-IF($AL$9="",VLOOKUP(VLOOKUP(E208,'DB Basis'!$D$2:$H$65205,4,0),Bonds!$AR$1:$AS$6,2,0),$AL$9)*VLOOKUP(E208,'DB Basis'!$D$2:$E$65205,2,0))+IF(V208="",W208,V208)</f>
        <v>36.183679999999995</v>
      </c>
      <c r="AN208" s="275" t="str">
        <f>IF($AN$9+(($AL$9-$AM$9))*('DB Basis'!F368/10-'DB Basis'!E368),," ")</f>
        <v xml:space="preserve"> </v>
      </c>
      <c r="AO208" s="648">
        <f>IF(U208&gt;0,_xll.xlShmImplSwap2(curveName,curveName,D208,G208,,1,8,2,4),"-")</f>
        <v>1.0537919243868178E-3</v>
      </c>
      <c r="AP208" s="649">
        <f t="shared" si="24"/>
        <v>-3.9167358533069114E-3</v>
      </c>
      <c r="AQ208" s="391">
        <f t="shared" si="25"/>
        <v>-10.070505600184156</v>
      </c>
      <c r="AR208" s="391">
        <f t="shared" si="26"/>
        <v>-30.774430907218356</v>
      </c>
      <c r="AS208" s="393"/>
      <c r="AT208" s="242">
        <f t="shared" si="27"/>
        <v>-0.28237255189348864</v>
      </c>
      <c r="AU208" s="701" t="str">
        <f t="shared" si="23"/>
        <v>OAT  25-Apr-21  3.75</v>
      </c>
      <c r="AV208" s="717"/>
      <c r="AW208" s="699"/>
      <c r="AX208" s="699"/>
      <c r="AY208" s="699"/>
      <c r="AZ208" s="699"/>
      <c r="BA208" s="699"/>
      <c r="BB208" s="698"/>
      <c r="BC208" s="711"/>
      <c r="BE208" s="721">
        <f>_xll.xlDateShiftMonth(BE207,1)</f>
        <v>49184</v>
      </c>
      <c r="BF208" s="722">
        <v>2.5874949330601957E-2</v>
      </c>
    </row>
    <row r="209" spans="1:58">
      <c r="A209" s="10"/>
      <c r="B209" s="11"/>
      <c r="C209" s="12"/>
      <c r="D209" s="735">
        <f>MAX(_xll.xlDateSettle("TARGET",$D$4,2),L209)</f>
        <v>43164</v>
      </c>
      <c r="E209" s="733" t="s">
        <v>880</v>
      </c>
      <c r="F209" s="13" t="s">
        <v>1543</v>
      </c>
      <c r="G209" s="35">
        <v>44341</v>
      </c>
      <c r="H209" s="37">
        <v>0</v>
      </c>
      <c r="I209" s="11">
        <v>44341</v>
      </c>
      <c r="J209" s="11">
        <v>42149</v>
      </c>
      <c r="K209" s="11">
        <v>42515</v>
      </c>
      <c r="L209" s="11">
        <v>42485</v>
      </c>
      <c r="M209" s="12">
        <v>100.74</v>
      </c>
      <c r="N209" s="12" t="s">
        <v>1576</v>
      </c>
      <c r="O209" s="12" t="s">
        <v>1222</v>
      </c>
      <c r="P209" s="12" t="s">
        <v>1577</v>
      </c>
      <c r="Q209" s="15">
        <v>23653000000</v>
      </c>
      <c r="R209" s="12"/>
      <c r="S209" s="43">
        <f>_xll.RtGet("IDN",$N209,IF(OR($G209="BTP,$E11=""CTZ"),S$10,S$9))</f>
        <v>100.738</v>
      </c>
      <c r="T209" s="43">
        <f>_xll.RtGet("IDN",$N209,IF(OR($G209="BTP,$E11=""CTZ"),T$10,T$9))</f>
        <v>100.798</v>
      </c>
      <c r="U209" s="25">
        <f t="shared" si="28"/>
        <v>100.768</v>
      </c>
      <c r="V209" s="12"/>
      <c r="W209" s="25">
        <f t="shared" si="29"/>
        <v>100.768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0</v>
      </c>
      <c r="Y209" s="14">
        <v>3.2694444444444448</v>
      </c>
      <c r="Z209" s="14">
        <v>-3.277104061677623</v>
      </c>
      <c r="AA209" s="14">
        <v>0.13958711419753086</v>
      </c>
      <c r="AB209" s="14">
        <v>0.14024192654838849</v>
      </c>
      <c r="AC209" s="14">
        <v>3.3022723454159575</v>
      </c>
      <c r="AD209" s="34">
        <v>-2.3373128314817652E-3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-1.1581206454384585</v>
      </c>
      <c r="AI209" s="14">
        <v>3.2484416549536497</v>
      </c>
      <c r="AJ209" s="14">
        <v>3.2733896868636938</v>
      </c>
      <c r="AK209" s="246">
        <v>-0.35379858685510773</v>
      </c>
      <c r="AL209" s="213">
        <f>IF(U209&gt;0,_xll.xlBondZSpread(F209,H209,G209,J209,K209,L209,M209,D209,U209,"annual",5)*100,"-")</f>
        <v>-35.82490626729232</v>
      </c>
      <c r="AM209" s="266">
        <f>(-IF($AL$9="",VLOOKUP(VLOOKUP(E209,'DB Basis'!$D$2:$H$65205,4,0),Bonds!$AR$1:$AS$6,2,0),$AL$9)*VLOOKUP(E209,'DB Basis'!$D$2:$E$65205,2,0))+IF(V209="",W209,V209)</f>
        <v>28.660249999999991</v>
      </c>
      <c r="AN209" s="275" t="str">
        <f>IF($AN$9+(($AL$9-$AM$9))*('DB Basis'!F369/10-'DB Basis'!E369),," ")</f>
        <v xml:space="preserve"> </v>
      </c>
      <c r="AO209" s="648">
        <f>IF(U209&gt;0,_xll.xlShmImplSwap2(curveName,curveName,D209,G209,,1,8,2,4),"-")</f>
        <v>1.2116534896647972E-3</v>
      </c>
      <c r="AP209" s="649">
        <f t="shared" si="24"/>
        <v>-3.5489663211465622E-3</v>
      </c>
      <c r="AQ209" s="391">
        <f t="shared" si="25"/>
        <v>63.951783521663259</v>
      </c>
      <c r="AR209" s="391">
        <f t="shared" si="26"/>
        <v>44.745293079509153</v>
      </c>
      <c r="AS209" s="393"/>
      <c r="AT209" s="242">
        <f t="shared" si="27"/>
        <v>-0.23052948474888646</v>
      </c>
      <c r="AU209" s="701" t="str">
        <f t="shared" si="23"/>
        <v>OAT  25-May-21  0</v>
      </c>
      <c r="AV209" s="717"/>
      <c r="AW209" s="699"/>
      <c r="AX209" s="699"/>
      <c r="AY209" s="699"/>
      <c r="AZ209" s="699"/>
      <c r="BA209" s="699"/>
      <c r="BB209" s="698"/>
      <c r="BC209" s="711"/>
      <c r="BE209" s="721">
        <f>_xll.xlDateShiftMonth(BE208,1)</f>
        <v>49215</v>
      </c>
      <c r="BF209" s="722">
        <v>2.5913277142277712E-2</v>
      </c>
    </row>
    <row r="210" spans="1:58">
      <c r="A210" s="10"/>
      <c r="B210" s="11"/>
      <c r="C210" s="12"/>
      <c r="D210" s="735">
        <f>MAX(_xll.xlDateSettle("TARGET",$D$4,2),L210)</f>
        <v>43164</v>
      </c>
      <c r="E210" s="733" t="s">
        <v>1662</v>
      </c>
      <c r="F210" s="13" t="s">
        <v>1543</v>
      </c>
      <c r="G210" s="35">
        <v>44402</v>
      </c>
      <c r="H210" s="37">
        <v>0.1</v>
      </c>
      <c r="I210" s="11">
        <v>44402</v>
      </c>
      <c r="J210" s="11">
        <v>41115</v>
      </c>
      <c r="K210" s="11">
        <v>41480</v>
      </c>
      <c r="L210" s="11">
        <v>41205</v>
      </c>
      <c r="M210" s="12">
        <v>101.2</v>
      </c>
      <c r="N210" s="12" t="s">
        <v>1578</v>
      </c>
      <c r="O210" s="12" t="s">
        <v>1203</v>
      </c>
      <c r="P210" s="12" t="s">
        <v>1579</v>
      </c>
      <c r="Q210" s="15">
        <v>7800000000</v>
      </c>
      <c r="R210" s="12"/>
      <c r="S210" s="43">
        <f>_xll.RtGet("IDN",$N210,IF(OR($G210="BTP,$E11=""CTZ"),S$10,S$9))</f>
        <v>105.24000000000001</v>
      </c>
      <c r="T210" s="43">
        <f>_xll.RtGet("IDN",$N210,IF(OR($G210="BTP,$E11=""CTZ"),T$10,T$9))</f>
        <v>105.31</v>
      </c>
      <c r="U210" s="25">
        <f t="shared" si="28"/>
        <v>105.27500000000001</v>
      </c>
      <c r="V210" s="12"/>
      <c r="W210" s="25">
        <f t="shared" si="29"/>
        <v>105.27500000000001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6.0999999999999999E-2</v>
      </c>
      <c r="Y210" s="14">
        <v>3.3832587657506088</v>
      </c>
      <c r="Z210" s="14">
        <v>-3.4315949179859242</v>
      </c>
      <c r="AA210" s="14">
        <v>0.14843111589643487</v>
      </c>
      <c r="AB210" s="14">
        <v>0.15270264266841091</v>
      </c>
      <c r="AC210" s="14">
        <v>3.6147052693593196</v>
      </c>
      <c r="AD210" s="34">
        <v>-1.4085704493844619E-2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-5.4607033816710278</v>
      </c>
      <c r="AI210" s="14">
        <v>3.2700156965747031</v>
      </c>
      <c r="AJ210" s="14">
        <v>3.4445037341439297</v>
      </c>
      <c r="AK210" s="861">
        <v>-1.58533820925823</v>
      </c>
      <c r="AL210" s="213">
        <f>IF(U210&gt;0,_xll.xlBondZSpread(F210,H210,G210,J210,K210,L210,M210,D210,U210,"annual",5)*100,"-")</f>
        <v>-156.10082767750288</v>
      </c>
      <c r="AM210" s="266" t="e">
        <f>(-IF($AL$9="",VLOOKUP(VLOOKUP(E210,'DB Basis'!$D$2:$H$65205,4,0),Bonds!$AR$1:$AS$6,2,0),$AL$9)*VLOOKUP(E210,'DB Basis'!$D$2:$E$65205,2,0))+IF(V210="",W210,V210)</f>
        <v>#N/A</v>
      </c>
      <c r="AN210" s="275" t="str">
        <f>IF($AN$9+(($AL$9-$AM$9))*('DB Basis'!F370/10-'DB Basis'!E370),," ")</f>
        <v xml:space="preserve"> </v>
      </c>
      <c r="AO210" s="648">
        <f>IF(U210&gt;0,_xll.xlShmImplSwap2(curveName,curveName,D210,G210,,1,8,2,4),"-")</f>
        <v>1.5484780280334474E-3</v>
      </c>
      <c r="AP210" s="649">
        <f t="shared" si="24"/>
        <v>-1.5634182521878065E-2</v>
      </c>
      <c r="AQ210" s="391">
        <f t="shared" si="25"/>
        <v>-702.97753389548234</v>
      </c>
      <c r="AR210" s="391">
        <f t="shared" si="26"/>
        <v>-723.13178906016378</v>
      </c>
      <c r="AS210" s="393"/>
      <c r="AT210" s="242">
        <f t="shared" si="27"/>
        <v>-1.3892749637764557</v>
      </c>
      <c r="AU210" s="701" t="str">
        <f t="shared" si="23"/>
        <v>OAT  25-Jul-21  0.1</v>
      </c>
      <c r="AV210" s="717"/>
      <c r="AW210" s="699"/>
      <c r="AX210" s="699"/>
      <c r="AY210" s="699"/>
      <c r="AZ210" s="699"/>
      <c r="BA210" s="699"/>
      <c r="BB210" s="698"/>
      <c r="BC210" s="711"/>
      <c r="BE210" s="721">
        <f>_xll.xlDateShiftMonth(BE209,1)</f>
        <v>49245</v>
      </c>
      <c r="BF210" s="722">
        <v>2.5949847503177255E-2</v>
      </c>
    </row>
    <row r="211" spans="1:58">
      <c r="A211" s="10"/>
      <c r="B211" s="11"/>
      <c r="C211" s="12"/>
      <c r="D211" s="735">
        <f>MAX(_xll.xlDateSettle("TARGET",$D$4,2),L211)</f>
        <v>43164</v>
      </c>
      <c r="E211" s="733" t="s">
        <v>704</v>
      </c>
      <c r="F211" s="13" t="s">
        <v>1543</v>
      </c>
      <c r="G211" s="35">
        <v>44494</v>
      </c>
      <c r="H211" s="37">
        <v>3.25</v>
      </c>
      <c r="I211" s="11">
        <v>44494</v>
      </c>
      <c r="J211" s="11">
        <v>40476</v>
      </c>
      <c r="K211" s="11">
        <v>40841</v>
      </c>
      <c r="L211" s="11">
        <v>40701</v>
      </c>
      <c r="M211" s="12">
        <v>97.88</v>
      </c>
      <c r="N211" s="12" t="s">
        <v>1580</v>
      </c>
      <c r="O211" s="12" t="s">
        <v>1203</v>
      </c>
      <c r="P211" s="12" t="s">
        <v>1581</v>
      </c>
      <c r="Q211" s="15">
        <v>39891000000</v>
      </c>
      <c r="R211" s="12"/>
      <c r="S211" s="43">
        <f>_xll.RtGet("IDN",$N211,IF(OR($G211="BTP,$E11=""CTZ"),S$10,S$9))</f>
        <v>112.515</v>
      </c>
      <c r="T211" s="43">
        <f>_xll.RtGet("IDN",$N211,IF(OR($G211="BTP,$E11=""CTZ"),T$10,T$9))</f>
        <v>112.55500000000001</v>
      </c>
      <c r="U211" s="25">
        <f t="shared" si="28"/>
        <v>112.535</v>
      </c>
      <c r="V211" s="12"/>
      <c r="W211" s="25">
        <f t="shared" si="29"/>
        <v>112.535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1.1659999999999999</v>
      </c>
      <c r="Y211" s="14">
        <v>3.4691929624355722</v>
      </c>
      <c r="Z211" s="14">
        <v>-3.4753834471566352</v>
      </c>
      <c r="AA211" s="14">
        <v>0.15875878654762737</v>
      </c>
      <c r="AB211" s="14">
        <v>0.15932587561405887</v>
      </c>
      <c r="AC211" s="14">
        <v>3.9515459027107624</v>
      </c>
      <c r="AD211" s="34">
        <v>-1.7812379041398929E-3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-1.4492602181499921</v>
      </c>
      <c r="AI211" s="14">
        <v>3.2498300641494318</v>
      </c>
      <c r="AJ211" s="14">
        <v>3.6950892812385447</v>
      </c>
      <c r="AK211" s="861">
        <v>-0.39221250363515298</v>
      </c>
      <c r="AL211" s="213">
        <f>IF(U211&gt;0,_xll.xlBondZSpread(F211,H211,G211,J211,K211,L211,M211,D211,U211,"annual",5)*100,"-")</f>
        <v>-36.965779947564101</v>
      </c>
      <c r="AM211" s="266">
        <f>(-IF($AL$9="",VLOOKUP(VLOOKUP(E211,'DB Basis'!$D$2:$H$65205,4,0),Bonds!$AR$1:$AS$6,2,0),$AL$9)*VLOOKUP(E211,'DB Basis'!$D$2:$E$65205,2,0))+IF(V211="",W211,V211)</f>
        <v>25.219069999999974</v>
      </c>
      <c r="AN211" s="275" t="str">
        <f>IF($AN$9+(($AL$9-$AM$9))*('DB Basis'!F371/10-'DB Basis'!E371),," ")</f>
        <v xml:space="preserve"> </v>
      </c>
      <c r="AO211" s="648">
        <f>IF(U211&gt;0,_xll.xlShmImplSwap2(curveName,curveName,D211,G211,,1,8,2,4),"-")</f>
        <v>2.0428811579669796E-3</v>
      </c>
      <c r="AP211" s="649">
        <f t="shared" si="24"/>
        <v>-3.8241190621068726E-3</v>
      </c>
      <c r="AQ211" s="391">
        <f t="shared" si="25"/>
        <v>488.16633752632885</v>
      </c>
      <c r="AR211" s="391">
        <f t="shared" si="26"/>
        <v>468.55143074092229</v>
      </c>
      <c r="AS211" s="393"/>
      <c r="AT211" s="242">
        <f t="shared" si="27"/>
        <v>-0.17568373849050997</v>
      </c>
      <c r="AU211" s="701" t="str">
        <f t="shared" si="23"/>
        <v>OAT  25-Oct-21  3.25</v>
      </c>
      <c r="AV211" s="717"/>
      <c r="AW211" s="699"/>
      <c r="AX211" s="699"/>
      <c r="AY211" s="699"/>
      <c r="AZ211" s="699"/>
      <c r="BA211" s="699"/>
      <c r="BB211" s="698"/>
      <c r="BC211" s="711"/>
      <c r="BE211" s="721">
        <f>_xll.xlDateShiftMonth(BE210,1)</f>
        <v>49276</v>
      </c>
      <c r="BF211" s="722">
        <v>2.5987124509527632E-2</v>
      </c>
    </row>
    <row r="212" spans="1:58">
      <c r="A212" s="10"/>
      <c r="B212" s="11"/>
      <c r="C212" s="12"/>
      <c r="D212" s="735">
        <f>MAX(_xll.xlDateSettle("TARGET",$D$4,2),L212)</f>
        <v>43164</v>
      </c>
      <c r="E212" s="733" t="s">
        <v>705</v>
      </c>
      <c r="F212" s="13" t="s">
        <v>1543</v>
      </c>
      <c r="G212" s="35">
        <v>44676</v>
      </c>
      <c r="H212" s="37">
        <v>3</v>
      </c>
      <c r="I212" s="11">
        <v>44676</v>
      </c>
      <c r="J212" s="11">
        <v>40658</v>
      </c>
      <c r="K212" s="11">
        <v>41024</v>
      </c>
      <c r="L212" s="11">
        <v>40946</v>
      </c>
      <c r="M212" s="12">
        <v>98.9</v>
      </c>
      <c r="N212" s="12" t="s">
        <v>1582</v>
      </c>
      <c r="O212" s="12" t="s">
        <v>1203</v>
      </c>
      <c r="P212" s="12" t="s">
        <v>1583</v>
      </c>
      <c r="Q212" s="15">
        <v>44359000000</v>
      </c>
      <c r="R212" s="12"/>
      <c r="S212" s="43">
        <f>_xll.RtGet("IDN",$N212,IF(OR($G212="BTP,$E11=""CTZ"),S$10,S$9))</f>
        <v>112.79600000000001</v>
      </c>
      <c r="T212" s="43">
        <f>_xll.RtGet("IDN",$N212,IF(OR($G212="BTP,$E11=""CTZ"),T$10,T$9))</f>
        <v>112.843</v>
      </c>
      <c r="U212" s="25">
        <f t="shared" si="28"/>
        <v>112.81950000000001</v>
      </c>
      <c r="V212" s="12"/>
      <c r="W212" s="25">
        <f t="shared" si="29"/>
        <v>112.81950000000001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2.581</v>
      </c>
      <c r="Y212" s="14">
        <v>3.8794960392305531</v>
      </c>
      <c r="Z212" s="14">
        <v>-3.882974442614088</v>
      </c>
      <c r="AA212" s="14">
        <v>0.19642722591878381</v>
      </c>
      <c r="AB212" s="14">
        <v>0.19677962191397413</v>
      </c>
      <c r="AC212" s="14">
        <v>4.4809721525126633</v>
      </c>
      <c r="AD212" s="34">
        <v>-8.9580898417407698E-4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-1.6676132877606378</v>
      </c>
      <c r="AI212" s="14">
        <v>3.6346477315869077</v>
      </c>
      <c r="AJ212" s="14">
        <v>4.1944016554899495</v>
      </c>
      <c r="AK212" s="246">
        <v>-0.39758073373300973</v>
      </c>
      <c r="AL212" s="213">
        <f>IF(U212&gt;0,_xll.xlBondZSpread(F212,H212,G212,J212,K212,L212,M212,D212,U212,"annual",5)*100,"-")</f>
        <v>-37.553221325463547</v>
      </c>
      <c r="AM212" s="266">
        <f>(-IF($AL$9="",VLOOKUP(VLOOKUP(E212,'DB Basis'!$D$2:$H$65205,4,0),Bonds!$AR$1:$AS$6,2,0),$AL$9)*VLOOKUP(E212,'DB Basis'!$D$2:$E$65205,2,0))+IF(V212="",W212,V212)</f>
        <v>14.490749999999991</v>
      </c>
      <c r="AN212" s="275" t="str">
        <f>IF($AN$9+(($AL$9-$AM$9))*('DB Basis'!F372/10-'DB Basis'!E372),," ")</f>
        <v xml:space="preserve"> </v>
      </c>
      <c r="AO212" s="648">
        <f>IF(U212&gt;0,_xll.xlShmImplSwap2(curveName,curveName,D212,G212,,1,8,2,4),"-")</f>
        <v>3.0022663812072597E-3</v>
      </c>
      <c r="AP212" s="649">
        <f t="shared" si="24"/>
        <v>-3.8980753653813367E-3</v>
      </c>
      <c r="AQ212" s="391">
        <f t="shared" si="25"/>
        <v>17.757228339973782</v>
      </c>
      <c r="AR212" s="391">
        <f t="shared" si="26"/>
        <v>-1.4831895986362316</v>
      </c>
      <c r="AS212" s="393"/>
      <c r="AT212" s="242">
        <f t="shared" si="27"/>
        <v>-8.8353762822648674E-2</v>
      </c>
      <c r="AU212" s="701" t="str">
        <f t="shared" si="23"/>
        <v>OAT  25-Apr-22  3</v>
      </c>
      <c r="AV212" s="717"/>
      <c r="AW212" s="699"/>
      <c r="AX212" s="699"/>
      <c r="AY212" s="699"/>
      <c r="AZ212" s="699"/>
      <c r="BA212" s="699"/>
      <c r="BB212" s="698"/>
      <c r="BC212" s="711"/>
      <c r="BE212" s="721">
        <f>_xll.xlDateShiftMonth(BE211,1)</f>
        <v>49306</v>
      </c>
      <c r="BF212" s="722">
        <v>2.6022728150055224E-2</v>
      </c>
    </row>
    <row r="213" spans="1:58">
      <c r="A213" s="10"/>
      <c r="B213" s="11"/>
      <c r="C213" s="12"/>
      <c r="D213" s="735">
        <f>MAX(_xll.xlDateSettle("TARGET",$D$4,2),L213)</f>
        <v>43164</v>
      </c>
      <c r="E213" s="733" t="s">
        <v>966</v>
      </c>
      <c r="F213" s="13" t="s">
        <v>1543</v>
      </c>
      <c r="G213" s="35">
        <v>44676</v>
      </c>
      <c r="H213" s="37">
        <v>8.25</v>
      </c>
      <c r="I213" s="11">
        <v>44676</v>
      </c>
      <c r="J213" s="11">
        <v>33646</v>
      </c>
      <c r="K213" s="11">
        <v>33719</v>
      </c>
      <c r="L213" s="11">
        <v>33646</v>
      </c>
      <c r="M213" s="12">
        <v>98.64</v>
      </c>
      <c r="N213" s="12" t="s">
        <v>1584</v>
      </c>
      <c r="O213" s="12" t="s">
        <v>1203</v>
      </c>
      <c r="P213" s="12" t="s">
        <v>1585</v>
      </c>
      <c r="Q213" s="15">
        <v>1243939990</v>
      </c>
      <c r="R213" s="12"/>
      <c r="S213" s="43">
        <f>_xll.RtGet("IDN",$N213,IF(OR($G213="BTP,$E11=""CTZ"),S$10,S$9))</f>
        <v>134.62299999999999</v>
      </c>
      <c r="T213" s="43">
        <f>_xll.RtGet("IDN",$N213,IF(OR($G213="BTP,$E11=""CTZ"),T$10,T$9))</f>
        <v>134.773</v>
      </c>
      <c r="U213" s="25">
        <f t="shared" si="28"/>
        <v>134.69799999999998</v>
      </c>
      <c r="V213" s="12"/>
      <c r="W213" s="25">
        <f t="shared" si="29"/>
        <v>134.69799999999998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7.0970000000000004</v>
      </c>
      <c r="Y213" s="14">
        <v>3.5571813210220546</v>
      </c>
      <c r="Z213" s="14">
        <v>-3.5610352148879394</v>
      </c>
      <c r="AA213" s="14">
        <v>0.17618365056601426</v>
      </c>
      <c r="AB213" s="14">
        <v>0.17656561642245852</v>
      </c>
      <c r="AC213" s="14">
        <v>5.0493701361176591</v>
      </c>
      <c r="AD213" s="34">
        <v>-1.0822399576123354E-3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-1.8610947330783647</v>
      </c>
      <c r="AI213" s="14">
        <v>2.9580712314285158</v>
      </c>
      <c r="AJ213" s="14">
        <v>4.1943971026040634</v>
      </c>
      <c r="AK213" s="861">
        <v>-0.44370971263615605</v>
      </c>
      <c r="AL213" s="213">
        <f>IF(U213&gt;0,_xll.xlBondZSpread(F213,H213,G213,J213,K213,L213,M213,D213,U213,"annual",5)*100,"-")</f>
        <v>-37.193177060065516</v>
      </c>
      <c r="AM213" s="266" t="e">
        <f>(-IF($AL$9="",VLOOKUP(VLOOKUP(E213,'DB Basis'!$D$2:$H$65205,4,0),Bonds!$AR$1:$AS$6,2,0),$AL$9)*VLOOKUP(E213,'DB Basis'!$D$2:$E$65205,2,0))+IF(V213="",W213,V213)</f>
        <v>#N/A</v>
      </c>
      <c r="AN213" s="275" t="str">
        <f>IF($AN$9+(($AL$9-$AM$9))*('DB Basis'!F373/10-'DB Basis'!E373),," ")</f>
        <v xml:space="preserve"> </v>
      </c>
      <c r="AO213" s="648">
        <f>IF(U213&gt;0,_xll.xlShmImplSwap2(curveName,curveName,D213,G213,,1,8,2,4),"-")</f>
        <v>3.002265783163901E-3</v>
      </c>
      <c r="AP213" s="649">
        <f t="shared" si="24"/>
        <v>-4.0845057407762359E-3</v>
      </c>
      <c r="AQ213" s="391" t="str">
        <f t="shared" si="25"/>
        <v>-</v>
      </c>
      <c r="AR213" s="391" t="str">
        <f t="shared" si="26"/>
        <v>-</v>
      </c>
      <c r="AS213" s="393"/>
      <c r="AT213" s="242">
        <f t="shared" si="27"/>
        <v>-0.10674147527135362</v>
      </c>
      <c r="AU213" s="701" t="str">
        <f t="shared" si="23"/>
        <v>OAT  25-Apr-22  8.25</v>
      </c>
      <c r="AV213" s="717"/>
      <c r="AW213" s="699"/>
      <c r="AX213" s="699"/>
      <c r="AY213" s="699"/>
      <c r="AZ213" s="699"/>
      <c r="BA213" s="699"/>
      <c r="BB213" s="698"/>
      <c r="BC213" s="711"/>
      <c r="BE213" s="721">
        <f>_xll.xlDateShiftMonth(BE212,1)</f>
        <v>49337</v>
      </c>
      <c r="BF213" s="722">
        <v>2.6059058072962275E-2</v>
      </c>
    </row>
    <row r="214" spans="1:58">
      <c r="A214" s="10"/>
      <c r="B214" s="11"/>
      <c r="C214" s="12"/>
      <c r="D214" s="735">
        <f>MAX(_xll.xlDateSettle("TARGET",$D$4,2),L214)</f>
        <v>43164</v>
      </c>
      <c r="E214" s="733" t="s">
        <v>916</v>
      </c>
      <c r="F214" s="13" t="s">
        <v>1543</v>
      </c>
      <c r="G214" s="35">
        <v>44706</v>
      </c>
      <c r="H214" s="37">
        <v>0</v>
      </c>
      <c r="I214" s="11">
        <v>44706</v>
      </c>
      <c r="J214" s="11">
        <v>42515</v>
      </c>
      <c r="K214" s="11">
        <v>42880</v>
      </c>
      <c r="L214" s="11">
        <v>42695</v>
      </c>
      <c r="M214" s="12">
        <v>100.15</v>
      </c>
      <c r="N214" s="12" t="s">
        <v>1586</v>
      </c>
      <c r="O214" s="12" t="s">
        <v>1222</v>
      </c>
      <c r="P214" s="12" t="s">
        <v>1587</v>
      </c>
      <c r="Q214" s="15">
        <v>25105000000</v>
      </c>
      <c r="R214" s="12"/>
      <c r="S214" s="43">
        <f>_xll.RtGet("IDN",$N214,IF(OR($G214="BTP,$E11=""CTZ"),S$10,S$9))</f>
        <v>100.149</v>
      </c>
      <c r="T214" s="43">
        <f>_xll.RtGet("IDN",$N214,IF(OR($G214="BTP,$E11=""CTZ"),T$10,T$9))</f>
        <v>100.23</v>
      </c>
      <c r="U214" s="25">
        <f t="shared" si="28"/>
        <v>100.18950000000001</v>
      </c>
      <c r="V214" s="12"/>
      <c r="W214" s="25">
        <f t="shared" si="29"/>
        <v>100.18950000000001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0</v>
      </c>
      <c r="Y214" s="14">
        <v>4.2833333333333332</v>
      </c>
      <c r="Z214" s="14">
        <v>-4.28522695853969</v>
      </c>
      <c r="AA214" s="14">
        <v>0.22630277777777774</v>
      </c>
      <c r="AB214" s="14">
        <v>0.22650291507096953</v>
      </c>
      <c r="AC214" s="14">
        <v>4.2933477013832544</v>
      </c>
      <c r="AD214" s="34">
        <v>-4.4189612951511223E-4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-1.5147269873277054</v>
      </c>
      <c r="AI214" s="14">
        <v>4.2683688430325555</v>
      </c>
      <c r="AJ214" s="14">
        <v>4.2764574019901023</v>
      </c>
      <c r="AK214" s="246">
        <v>-0.35420135054374879</v>
      </c>
      <c r="AL214" s="213">
        <f>IF(U214&gt;0,_xll.xlBondZSpread(F214,H214,G214,J214,K214,L214,M214,D214,U214,"annual",5)*100,"-")</f>
        <v>-36.107269136379202</v>
      </c>
      <c r="AM214" s="266">
        <f>(-IF($AL$9="",VLOOKUP(VLOOKUP(E214,'DB Basis'!$D$2:$H$65205,4,0),Bonds!$AR$1:$AS$6,2,0),$AL$9)*VLOOKUP(E214,'DB Basis'!$D$2:$E$65205,2,0))+IF(V214="",W214,V214)</f>
        <v>7.7604749999999996</v>
      </c>
      <c r="AN214" s="275" t="str">
        <f>IF($AN$9+(($AL$9-$AM$9))*('DB Basis'!F374/10-'DB Basis'!E374),," ")</f>
        <v xml:space="preserve"> </v>
      </c>
      <c r="AO214" s="648">
        <f>IF(U214&gt;0,_xll.xlShmImplSwap2(curveName,curveName,D214,G214,,1,8,2,4),"-")</f>
        <v>3.1483308908642304E-3</v>
      </c>
      <c r="AP214" s="649">
        <f t="shared" si="24"/>
        <v>-3.5902270203793428E-3</v>
      </c>
      <c r="AQ214" s="391">
        <f t="shared" si="25"/>
        <v>77.908499085162163</v>
      </c>
      <c r="AR214" s="391">
        <f t="shared" si="26"/>
        <v>60.137244314955318</v>
      </c>
      <c r="AS214" s="393"/>
      <c r="AT214" s="242">
        <f t="shared" si="27"/>
        <v>-4.3584275787791893E-2</v>
      </c>
      <c r="AU214" s="701" t="str">
        <f t="shared" si="23"/>
        <v>OAT  25-May-22  0</v>
      </c>
      <c r="AV214" s="717"/>
      <c r="AW214" s="699"/>
      <c r="AX214" s="699"/>
      <c r="AY214" s="699"/>
      <c r="AZ214" s="699"/>
      <c r="BA214" s="699"/>
      <c r="BB214" s="698"/>
      <c r="BC214" s="711"/>
      <c r="BE214" s="721">
        <f>_xll.xlDateShiftMonth(BE213,1)</f>
        <v>49368</v>
      </c>
      <c r="BF214" s="722">
        <v>2.6094946440538089E-2</v>
      </c>
    </row>
    <row r="215" spans="1:58">
      <c r="A215" s="10"/>
      <c r="B215" s="11"/>
      <c r="C215" s="12"/>
      <c r="D215" s="735">
        <f>MAX(_xll.xlDateSettle("TARGET",$D$4,2),L215)</f>
        <v>43164</v>
      </c>
      <c r="E215" s="733" t="s">
        <v>706</v>
      </c>
      <c r="F215" s="13" t="s">
        <v>1543</v>
      </c>
      <c r="G215" s="35">
        <v>44859</v>
      </c>
      <c r="H215" s="37">
        <v>2.25</v>
      </c>
      <c r="I215" s="11">
        <v>44859</v>
      </c>
      <c r="J215" s="11">
        <v>40841</v>
      </c>
      <c r="K215" s="11">
        <v>41207</v>
      </c>
      <c r="L215" s="11">
        <v>41191</v>
      </c>
      <c r="M215" s="12">
        <v>99.75</v>
      </c>
      <c r="N215" s="12" t="s">
        <v>1588</v>
      </c>
      <c r="O215" s="12" t="s">
        <v>1203</v>
      </c>
      <c r="P215" s="12" t="s">
        <v>1589</v>
      </c>
      <c r="Q215" s="15">
        <v>32445000000</v>
      </c>
      <c r="R215" s="12"/>
      <c r="S215" s="43">
        <f>_xll.RtGet("IDN",$N215,IF(OR($G215="BTP,$E11=""CTZ"),S$10,S$9))</f>
        <v>110.351</v>
      </c>
      <c r="T215" s="43">
        <f>_xll.RtGet("IDN",$N215,IF(OR($G215="BTP,$E11=""CTZ"),T$10,T$9))</f>
        <v>110.39100000000001</v>
      </c>
      <c r="U215" s="25">
        <f t="shared" si="28"/>
        <v>110.37100000000001</v>
      </c>
      <c r="V215" s="12"/>
      <c r="W215" s="25">
        <f t="shared" si="29"/>
        <v>110.37100000000001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0.80800000000000005</v>
      </c>
      <c r="Y215" s="14">
        <v>4.4387673012269238</v>
      </c>
      <c r="Z215" s="14">
        <v>-4.4381289469989911</v>
      </c>
      <c r="AA215" s="14">
        <v>0.24707500463618851</v>
      </c>
      <c r="AB215" s="14">
        <v>0.24700394435215037</v>
      </c>
      <c r="AC215" s="14">
        <v>4.9342676839046362</v>
      </c>
      <c r="AD215" s="34">
        <v>1.4383408691096347E-4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-1.7737947213664835</v>
      </c>
      <c r="AI215" s="14">
        <v>4.2216654892045433</v>
      </c>
      <c r="AJ215" s="14">
        <v>4.6936054742427196</v>
      </c>
      <c r="AK215" s="246">
        <v>-0.37791730282841351</v>
      </c>
      <c r="AL215" s="213">
        <f>IF(U215&gt;0,_xll.xlBondZSpread(F215,H215,G215,J215,K215,L215,M215,D215,U215,"annual",5)*100,"-")</f>
        <v>-36.301089352582871</v>
      </c>
      <c r="AM215" s="266">
        <f>(-IF($AL$9="",VLOOKUP(VLOOKUP(E215,'DB Basis'!$D$2:$H$65205,4,0),Bonds!$AR$1:$AS$6,2,0),$AL$9)*VLOOKUP(E215,'DB Basis'!$D$2:$E$65205,2,0))+IF(V215="",W215,V215)</f>
        <v>-964.69000000000017</v>
      </c>
      <c r="AN215" s="275" t="str">
        <f>IF($AN$9+(($AL$9-$AM$9))*('DB Basis'!F375/10-'DB Basis'!E375),," ")</f>
        <v xml:space="preserve"> </v>
      </c>
      <c r="AO215" s="648">
        <f>IF(U215&gt;0,_xll.xlShmImplSwap2(curveName,curveName,D215,G215,,1,8,2,4),"-")</f>
        <v>3.8989744957227579E-3</v>
      </c>
      <c r="AP215" s="649">
        <f t="shared" si="24"/>
        <v>-3.7551404088117944E-3</v>
      </c>
      <c r="AQ215" s="391">
        <f t="shared" si="25"/>
        <v>13.97330254872664</v>
      </c>
      <c r="AR215" s="391">
        <f t="shared" si="26"/>
        <v>-3.9342082861336487</v>
      </c>
      <c r="AS215" s="393"/>
      <c r="AT215" s="242">
        <f t="shared" si="27"/>
        <v>1.4186375695327906E-2</v>
      </c>
      <c r="AU215" s="701" t="str">
        <f t="shared" si="23"/>
        <v>OAT  25-Oct-22  2.25</v>
      </c>
      <c r="AV215" s="717"/>
      <c r="AW215" s="699"/>
      <c r="AX215" s="699"/>
      <c r="AY215" s="699"/>
      <c r="AZ215" s="699"/>
      <c r="BA215" s="699"/>
      <c r="BB215" s="698"/>
      <c r="BC215" s="711"/>
      <c r="BE215" s="721">
        <f>_xll.xlDateShiftMonth(BE214,1)</f>
        <v>49396</v>
      </c>
      <c r="BF215" s="722">
        <v>2.6127004495860372E-2</v>
      </c>
    </row>
    <row r="216" spans="1:58">
      <c r="A216" s="10"/>
      <c r="B216" s="11"/>
      <c r="C216" s="12"/>
      <c r="D216" s="735">
        <f>MAX(_xll.xlDateSettle("TARGET",$D$4,2),L216)</f>
        <v>43164</v>
      </c>
      <c r="E216" s="733" t="s">
        <v>1663</v>
      </c>
      <c r="F216" s="13" t="s">
        <v>1543</v>
      </c>
      <c r="G216" s="35">
        <v>45010</v>
      </c>
      <c r="H216" s="37">
        <v>0</v>
      </c>
      <c r="I216" s="11">
        <v>45010</v>
      </c>
      <c r="J216" s="11">
        <v>42819</v>
      </c>
      <c r="K216" s="11">
        <v>43184</v>
      </c>
      <c r="L216" s="11">
        <v>43003</v>
      </c>
      <c r="M216" s="12">
        <v>100</v>
      </c>
      <c r="N216" s="12" t="s">
        <v>1590</v>
      </c>
      <c r="O216" s="12" t="s">
        <v>1222</v>
      </c>
      <c r="P216" s="12" t="s">
        <v>1591</v>
      </c>
      <c r="Q216" s="15">
        <v>17488000000</v>
      </c>
      <c r="R216" s="12"/>
      <c r="S216" s="43">
        <f>_xll.RtGet("IDN",$N216,IF(OR($G216="BTP,$E11=""CTZ"),S$10,S$9))</f>
        <v>99.272999999999996</v>
      </c>
      <c r="T216" s="43">
        <f>_xll.RtGet("IDN",$N216,IF(OR($G216="BTP,$E11=""CTZ"),T$10,T$9))</f>
        <v>99.320999999999998</v>
      </c>
      <c r="U216" s="25">
        <f t="shared" si="28"/>
        <v>99.296999999999997</v>
      </c>
      <c r="V216" s="12"/>
      <c r="W216" s="25">
        <f t="shared" si="29"/>
        <v>99.296999999999997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0</v>
      </c>
      <c r="Y216" s="14">
        <v>5.1277777777777782</v>
      </c>
      <c r="Z216" s="14">
        <v>-5.1207278015560727</v>
      </c>
      <c r="AA216" s="14">
        <v>0.31421882716049387</v>
      </c>
      <c r="AB216" s="14">
        <v>0.31335540735693507</v>
      </c>
      <c r="AC216" s="14">
        <v>5.0847294544041688</v>
      </c>
      <c r="AD216" s="34">
        <v>1.3767527459665958E-3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-1.6264479617629775</v>
      </c>
      <c r="AI216" s="14">
        <v>5.1446753234183964</v>
      </c>
      <c r="AJ216" s="14">
        <v>5.1085082558947654</v>
      </c>
      <c r="AK216" s="246">
        <v>-0.31838021596347638</v>
      </c>
      <c r="AL216" s="213">
        <f>IF(U216&gt;0,_xll.xlBondZSpread(F216,H216,G216,J216,K216,L216,M216,D216,U216,"annual",5)*100,"-")</f>
        <v>-32.716845744311662</v>
      </c>
      <c r="AM216" s="266">
        <f>(-IF($AL$9="",VLOOKUP(VLOOKUP(E216,'DB Basis'!$D$2:$H$65205,4,0),Bonds!$AR$1:$AS$6,2,0),$AL$9)*VLOOKUP(E216,'DB Basis'!$D$2:$E$65205,2,0))+IF(V216="",W216,V216)</f>
        <v>-9.3890450000000101</v>
      </c>
      <c r="AN216" s="275" t="str">
        <f>IF($AN$9+(($AL$9-$AM$9))*('DB Basis'!F376/10-'DB Basis'!E376),," ")</f>
        <v xml:space="preserve"> </v>
      </c>
      <c r="AO216" s="648">
        <f>IF(U216&gt;0,_xll.xlShmImplSwap2(curveName,curveName,D216,G216,,1,8,2,4),"-")</f>
        <v>4.6317257581105411E-3</v>
      </c>
      <c r="AP216" s="649">
        <f t="shared" si="24"/>
        <v>-3.2549730121439451E-3</v>
      </c>
      <c r="AQ216" s="391">
        <f t="shared" si="25"/>
        <v>29.802338447371245</v>
      </c>
      <c r="AR216" s="391">
        <f t="shared" si="26"/>
        <v>12.090139058527484</v>
      </c>
      <c r="AS216" s="393"/>
      <c r="AT216" s="242">
        <f t="shared" si="27"/>
        <v>0.13578931193095189</v>
      </c>
      <c r="AU216" s="701" t="str">
        <f t="shared" si="23"/>
        <v>OAT  25-Mar-23  0</v>
      </c>
      <c r="AV216" s="717"/>
      <c r="AW216" s="699"/>
      <c r="AX216" s="699"/>
      <c r="AY216" s="699"/>
      <c r="AZ216" s="699"/>
      <c r="BA216" s="699"/>
      <c r="BB216" s="698"/>
      <c r="BC216" s="711"/>
      <c r="BE216" s="721">
        <f>_xll.xlDateShiftMonth(BE215,1)</f>
        <v>49427</v>
      </c>
      <c r="BF216" s="722">
        <v>2.6162126491351311E-2</v>
      </c>
    </row>
    <row r="217" spans="1:58">
      <c r="A217" s="10"/>
      <c r="B217" s="11"/>
      <c r="C217" s="12"/>
      <c r="D217" s="735">
        <f>MAX(_xll.xlDateSettle("TARGET",$D$4,2),L217)</f>
        <v>43164</v>
      </c>
      <c r="E217" s="733" t="s">
        <v>967</v>
      </c>
      <c r="F217" s="13" t="s">
        <v>1543</v>
      </c>
      <c r="G217" s="35">
        <v>45041</v>
      </c>
      <c r="H217" s="37">
        <v>8.5</v>
      </c>
      <c r="I217" s="11">
        <v>45041</v>
      </c>
      <c r="J217" s="11">
        <v>33630</v>
      </c>
      <c r="K217" s="11">
        <v>33719</v>
      </c>
      <c r="L217" s="11">
        <v>33630</v>
      </c>
      <c r="M217" s="12">
        <v>101.65</v>
      </c>
      <c r="N217" s="12" t="s">
        <v>1592</v>
      </c>
      <c r="O217" s="12" t="s">
        <v>1203</v>
      </c>
      <c r="P217" s="12" t="s">
        <v>1593</v>
      </c>
      <c r="Q217" s="15">
        <v>10606195903</v>
      </c>
      <c r="R217" s="12"/>
      <c r="S217" s="43">
        <f>_xll.RtGet("IDN",$N217,IF(OR($G217="BTP,$E11=""CTZ"),S$10,S$9))</f>
        <v>143.06800000000001</v>
      </c>
      <c r="T217" s="43">
        <f>_xll.RtGet("IDN",$N217,IF(OR($G217="BTP,$E11=""CTZ"),T$10,T$9))</f>
        <v>143.18800000000002</v>
      </c>
      <c r="U217" s="25">
        <f t="shared" si="28"/>
        <v>143.12800000000001</v>
      </c>
      <c r="V217" s="12"/>
      <c r="W217" s="25">
        <f t="shared" si="29"/>
        <v>143.12800000000001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7.3120000000000003</v>
      </c>
      <c r="Y217" s="14">
        <v>4.2932910508636208</v>
      </c>
      <c r="Z217" s="14">
        <v>-4.289578044838021</v>
      </c>
      <c r="AA217" s="14">
        <v>0.25113920687313612</v>
      </c>
      <c r="AB217" s="14">
        <v>0.25070500469389734</v>
      </c>
      <c r="AC217" s="14">
        <v>6.4532416541396742</v>
      </c>
      <c r="AD217" s="34">
        <v>8.6558710335565142E-4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-2.1551117732585112</v>
      </c>
      <c r="AI217" s="14">
        <v>3.4478199416351911</v>
      </c>
      <c r="AJ217" s="14">
        <v>5.1869003201959822</v>
      </c>
      <c r="AK217" s="246">
        <v>-0.41549126457419222</v>
      </c>
      <c r="AL217" s="213">
        <f>IF(U217&gt;0,_xll.xlBondZSpread(F217,H217,G217,J217,K217,L217,M217,D217,U217,"annual",5)*100,"-")</f>
        <v>-33.744925296690433</v>
      </c>
      <c r="AM217" s="266" t="e">
        <f>(-IF($AL$9="",VLOOKUP(VLOOKUP(E217,'DB Basis'!$D$2:$H$65205,4,0),Bonds!$AR$1:$AS$6,2,0),$AL$9)*VLOOKUP(E217,'DB Basis'!$D$2:$E$65205,2,0))+IF(V217="",W217,V217)</f>
        <v>#N/A</v>
      </c>
      <c r="AN217" s="275" t="str">
        <f>IF($AN$9+(($AL$9-$AM$9))*('DB Basis'!F377/10-'DB Basis'!E377),," ")</f>
        <v xml:space="preserve"> </v>
      </c>
      <c r="AO217" s="648">
        <f>IF(U217&gt;0,_xll.xlShmImplSwap2(curveName,curveName,D217,G217,,1,8,2,4),"-")</f>
        <v>4.7599807148429214E-3</v>
      </c>
      <c r="AP217" s="649">
        <f t="shared" si="24"/>
        <v>-3.89439361148727E-3</v>
      </c>
      <c r="AQ217" s="391">
        <f t="shared" si="25"/>
        <v>-60.185632113869246</v>
      </c>
      <c r="AR217" s="391">
        <f t="shared" si="26"/>
        <v>-75.286618954939868</v>
      </c>
      <c r="AS217" s="393"/>
      <c r="AT217" s="242">
        <f t="shared" si="27"/>
        <v>8.5372974577543698E-2</v>
      </c>
      <c r="AU217" s="701" t="str">
        <f t="shared" si="23"/>
        <v>OAT  25-Apr-23  8.5</v>
      </c>
      <c r="AV217" s="717"/>
      <c r="AW217" s="699"/>
      <c r="AX217" s="699"/>
      <c r="AY217" s="699"/>
      <c r="AZ217" s="699"/>
      <c r="BA217" s="699"/>
      <c r="BB217" s="698"/>
      <c r="BC217" s="711"/>
      <c r="BE217" s="721">
        <f>_xll.xlDateShiftMonth(BE216,1)</f>
        <v>49457</v>
      </c>
      <c r="BF217" s="722">
        <v>2.6195768873386073E-2</v>
      </c>
    </row>
    <row r="218" spans="1:58">
      <c r="A218" s="10"/>
      <c r="B218" s="11"/>
      <c r="C218" s="12"/>
      <c r="D218" s="735">
        <f>MAX(_xll.xlDateSettle("TARGET",$D$4,2),L218)</f>
        <v>43164</v>
      </c>
      <c r="E218" s="733" t="s">
        <v>707</v>
      </c>
      <c r="F218" s="13" t="s">
        <v>1543</v>
      </c>
      <c r="G218" s="35">
        <v>45071</v>
      </c>
      <c r="H218" s="37">
        <v>1.75</v>
      </c>
      <c r="I218" s="11">
        <v>45071</v>
      </c>
      <c r="J218" s="11">
        <v>41054</v>
      </c>
      <c r="K218" s="11">
        <v>41419</v>
      </c>
      <c r="L218" s="11">
        <v>41401</v>
      </c>
      <c r="M218" s="12">
        <v>99.45</v>
      </c>
      <c r="N218" s="12" t="s">
        <v>1594</v>
      </c>
      <c r="O218" s="12" t="s">
        <v>1203</v>
      </c>
      <c r="P218" s="12" t="s">
        <v>1595</v>
      </c>
      <c r="Q218" s="15">
        <v>35237000000</v>
      </c>
      <c r="R218" s="12"/>
      <c r="S218" s="43">
        <f>_xll.RtGet("IDN",$N218,IF(OR($G218="BTP,$E11=""CTZ"),S$10,S$9))</f>
        <v>108.41</v>
      </c>
      <c r="T218" s="43">
        <f>_xll.RtGet("IDN",$N218,IF(OR($G218="BTP,$E11=""CTZ"),T$10,T$9))</f>
        <v>108.467</v>
      </c>
      <c r="U218" s="25">
        <f t="shared" si="28"/>
        <v>108.4385</v>
      </c>
      <c r="V218" s="12"/>
      <c r="W218" s="25">
        <f t="shared" si="29"/>
        <v>108.4385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1.3620000000000001</v>
      </c>
      <c r="Y218" s="14">
        <v>4.9833208554997821</v>
      </c>
      <c r="Z218" s="14">
        <v>-4.9769751244309619</v>
      </c>
      <c r="AA218" s="14">
        <v>0.30635207293125899</v>
      </c>
      <c r="AB218" s="14">
        <v>0.30557235588442067</v>
      </c>
      <c r="AC218" s="14">
        <v>5.4647439724348601</v>
      </c>
      <c r="AD218" s="34">
        <v>1.2750176380874161E-3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-1.898562611432782</v>
      </c>
      <c r="AI218" s="14">
        <v>4.7977133668688632</v>
      </c>
      <c r="AJ218" s="14">
        <v>5.2679132653888461</v>
      </c>
      <c r="AK218" s="246">
        <v>-0.36040126626736319</v>
      </c>
      <c r="AL218" s="213">
        <f>IF(U218&gt;0,_xll.xlBondZSpread(F218,H218,G218,J218,K218,L218,M218,D218,U218,"annual",5)*100,"-")</f>
        <v>-35.109533935604865</v>
      </c>
      <c r="AM218" s="266">
        <f>(-IF($AL$9="",VLOOKUP(VLOOKUP(E218,'DB Basis'!$D$2:$H$65205,4,0),Bonds!$AR$1:$AS$6,2,0),$AL$9)*VLOOKUP(E218,'DB Basis'!$D$2:$E$65205,2,0))+IF(V218="",W218,V218)</f>
        <v>-10.080420000000018</v>
      </c>
      <c r="AN218" s="275" t="str">
        <f>IF($AN$9+(($AL$9-$AM$9))*('DB Basis'!F378/10-'DB Basis'!E378),," ")</f>
        <v xml:space="preserve"> </v>
      </c>
      <c r="AO218" s="648">
        <f>IF(U218&gt;0,_xll.xlShmImplSwap2(curveName,curveName,D218,G218,,1,8,2,4),"-")</f>
        <v>4.8895897249806187E-3</v>
      </c>
      <c r="AP218" s="649">
        <f t="shared" si="24"/>
        <v>-3.6145720868932026E-3</v>
      </c>
      <c r="AQ218" s="391">
        <f t="shared" si="25"/>
        <v>49.814048392364697</v>
      </c>
      <c r="AR218" s="391">
        <f t="shared" si="26"/>
        <v>34.044952158944866</v>
      </c>
      <c r="AS218" s="393"/>
      <c r="AT218" s="242">
        <f t="shared" si="27"/>
        <v>0.12575516430451228</v>
      </c>
      <c r="AU218" s="701" t="str">
        <f t="shared" si="23"/>
        <v>OAT  25-May-23  1.75</v>
      </c>
      <c r="AV218" s="717"/>
      <c r="AW218" s="699"/>
      <c r="AX218" s="699"/>
      <c r="AY218" s="699"/>
      <c r="AZ218" s="699"/>
      <c r="BA218" s="699"/>
      <c r="BB218" s="698"/>
      <c r="BC218" s="711"/>
      <c r="BE218" s="721">
        <f>_xll.xlDateShiftMonth(BE217,1)</f>
        <v>49488</v>
      </c>
      <c r="BF218" s="722">
        <v>2.623020053960072E-2</v>
      </c>
    </row>
    <row r="219" spans="1:58">
      <c r="A219" s="10"/>
      <c r="B219" s="11"/>
      <c r="C219" s="12"/>
      <c r="D219" s="735">
        <f>MAX(_xll.xlDateSettle("TARGET",$D$4,2),L219)</f>
        <v>43164</v>
      </c>
      <c r="E219" s="733" t="s">
        <v>708</v>
      </c>
      <c r="F219" s="13" t="s">
        <v>1543</v>
      </c>
      <c r="G219" s="35">
        <v>45224</v>
      </c>
      <c r="H219" s="37">
        <v>4.25</v>
      </c>
      <c r="I219" s="11">
        <v>45224</v>
      </c>
      <c r="J219" s="11">
        <v>39015</v>
      </c>
      <c r="K219" s="11">
        <v>39380</v>
      </c>
      <c r="L219" s="11">
        <v>39211</v>
      </c>
      <c r="M219" s="12">
        <v>98.36</v>
      </c>
      <c r="N219" s="12" t="s">
        <v>1596</v>
      </c>
      <c r="O219" s="12" t="s">
        <v>1203</v>
      </c>
      <c r="P219" s="12" t="s">
        <v>1597</v>
      </c>
      <c r="Q219" s="15">
        <v>44918000000</v>
      </c>
      <c r="R219" s="12"/>
      <c r="S219" s="43">
        <f>_xll.RtGet("IDN",$N219,IF(OR($G219="BTP,$E11=""CTZ"),S$10,S$9))</f>
        <v>122.861</v>
      </c>
      <c r="T219" s="43">
        <f>_xll.RtGet("IDN",$N219,IF(OR($G219="BTP,$E11=""CTZ"),T$10,T$9))</f>
        <v>122.89100000000001</v>
      </c>
      <c r="U219" s="25">
        <f t="shared" si="28"/>
        <v>122.876</v>
      </c>
      <c r="V219" s="12"/>
      <c r="W219" s="25">
        <f t="shared" si="29"/>
        <v>122.876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1.5249999999999999</v>
      </c>
      <c r="Y219" s="14">
        <v>5.1303702879961168</v>
      </c>
      <c r="Z219" s="14">
        <v>-5.1215846442704267</v>
      </c>
      <c r="AA219" s="14">
        <v>0.33064250289319147</v>
      </c>
      <c r="AB219" s="14">
        <v>0.32951103682976401</v>
      </c>
      <c r="AC219" s="14">
        <v>6.3713030273355287</v>
      </c>
      <c r="AD219" s="34">
        <v>1.7154150355364883E-3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-2.2220651925715758</v>
      </c>
      <c r="AI219" s="14">
        <v>4.5654551657158162</v>
      </c>
      <c r="AJ219" s="14">
        <v>5.6794718807021329</v>
      </c>
      <c r="AK219" s="246">
        <v>-0.39124503813845296</v>
      </c>
      <c r="AL219" s="213">
        <f>IF(U219&gt;0,_xll.xlBondZSpread(F219,H219,G219,J219,K219,L219,M219,D219,U219,"annual",5)*100,"-")</f>
        <v>-35.287557891598055</v>
      </c>
      <c r="AM219" s="266">
        <f>(-IF($AL$9="",VLOOKUP(VLOOKUP(E219,'DB Basis'!$D$2:$H$65205,4,0),Bonds!$AR$1:$AS$6,2,0),$AL$9)*VLOOKUP(E219,'DB Basis'!$D$2:$E$65205,2,0))+IF(V219="",W219,V219)</f>
        <v>-15.308670000000035</v>
      </c>
      <c r="AN219" s="275" t="str">
        <f>IF($AN$9+(($AL$9-$AM$9))*('DB Basis'!F379/10-'DB Basis'!E379),," ")</f>
        <v xml:space="preserve"> </v>
      </c>
      <c r="AO219" s="648">
        <f>IF(U219&gt;0,_xll.xlShmImplSwap2(curveName,curveName,D219,G219,,1,8,2,4),"-")</f>
        <v>5.5578080917719486E-3</v>
      </c>
      <c r="AP219" s="649">
        <f t="shared" si="24"/>
        <v>-3.8423930562354602E-3</v>
      </c>
      <c r="AQ219" s="391">
        <f t="shared" si="25"/>
        <v>10.506212422804666</v>
      </c>
      <c r="AR219" s="391">
        <f t="shared" si="26"/>
        <v>-5.4349446934590864</v>
      </c>
      <c r="AS219" s="393"/>
      <c r="AT219" s="242">
        <f t="shared" si="27"/>
        <v>0.16919161994332488</v>
      </c>
      <c r="AU219" s="701" t="str">
        <f t="shared" si="23"/>
        <v>OAT  25-Oct-23  4.25</v>
      </c>
      <c r="AV219" s="717"/>
      <c r="AW219" s="699"/>
      <c r="AX219" s="699"/>
      <c r="AY219" s="699"/>
      <c r="AZ219" s="699"/>
      <c r="BA219" s="699"/>
      <c r="BB219" s="698"/>
      <c r="BC219" s="711"/>
      <c r="BE219" s="721">
        <f>_xll.xlDateShiftMonth(BE218,1)</f>
        <v>49518</v>
      </c>
      <c r="BF219" s="722">
        <v>2.6263225049052968E-2</v>
      </c>
    </row>
    <row r="220" spans="1:58">
      <c r="A220" s="10"/>
      <c r="B220" s="11"/>
      <c r="C220" s="12"/>
      <c r="D220" s="735">
        <f>MAX(_xll.xlDateSettle("TARGET",$D$4,2),L220)</f>
        <v>43164</v>
      </c>
      <c r="E220" s="733" t="s">
        <v>709</v>
      </c>
      <c r="F220" s="13" t="s">
        <v>1543</v>
      </c>
      <c r="G220" s="35">
        <v>45437</v>
      </c>
      <c r="H220" s="37">
        <v>2.25</v>
      </c>
      <c r="I220" s="11">
        <v>45437</v>
      </c>
      <c r="J220" s="11">
        <v>41419</v>
      </c>
      <c r="K220" s="11">
        <v>41784</v>
      </c>
      <c r="L220" s="11">
        <v>41590</v>
      </c>
      <c r="M220" s="12">
        <v>98.5</v>
      </c>
      <c r="N220" s="12" t="s">
        <v>1598</v>
      </c>
      <c r="O220" s="12" t="s">
        <v>1222</v>
      </c>
      <c r="P220" s="12" t="s">
        <v>1599</v>
      </c>
      <c r="Q220" s="15">
        <v>34810000000</v>
      </c>
      <c r="R220" s="12"/>
      <c r="S220" s="43">
        <f>_xll.RtGet("IDN",$N220,IF(OR($G220="BTP,$E11=""CTZ"),S$10,S$9))</f>
        <v>111.96000000000001</v>
      </c>
      <c r="T220" s="43">
        <f>_xll.RtGet("IDN",$N220,IF(OR($G220="BTP,$E11=""CTZ"),T$10,T$9))</f>
        <v>111.98</v>
      </c>
      <c r="U220" s="25">
        <f t="shared" si="28"/>
        <v>111.97</v>
      </c>
      <c r="V220" s="12"/>
      <c r="W220" s="25">
        <f t="shared" si="29"/>
        <v>111.97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1.7509999999999999</v>
      </c>
      <c r="Y220" s="14">
        <v>5.8088041052434827</v>
      </c>
      <c r="Z220" s="14">
        <v>-5.7911538433387353</v>
      </c>
      <c r="AA220" s="14">
        <v>0.41173295711016478</v>
      </c>
      <c r="AB220" s="14">
        <v>0.40923462747835049</v>
      </c>
      <c r="AC220" s="14">
        <v>6.5857586920586186</v>
      </c>
      <c r="AD220" s="34">
        <v>3.0477971010261645E-3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-2.1096298772235866</v>
      </c>
      <c r="AI220" s="14">
        <v>5.4989002953002055</v>
      </c>
      <c r="AJ220" s="14">
        <v>6.2534044048183466</v>
      </c>
      <c r="AK220" s="246">
        <v>-0.33735702037726517</v>
      </c>
      <c r="AL220" s="213">
        <f>IF(U220&gt;0,_xll.xlBondZSpread(F220,H220,G220,J220,K220,L220,M220,D220,U220,"annual",5)*100,"-")</f>
        <v>-32.367475241260045</v>
      </c>
      <c r="AM220" s="266">
        <f>(-IF($AL$9="",VLOOKUP(VLOOKUP(E220,'DB Basis'!$D$2:$H$65205,4,0),Bonds!$AR$1:$AS$6,2,0),$AL$9)*VLOOKUP(E220,'DB Basis'!$D$2:$E$65205,2,0))+IF(V220="",W220,V220)</f>
        <v>34.772440000000003</v>
      </c>
      <c r="AN220" s="275" t="str">
        <f>IF($AN$9+(($AL$9-$AM$9))*('DB Basis'!F380/10-'DB Basis'!E380),," ")</f>
        <v xml:space="preserve"> </v>
      </c>
      <c r="AO220" s="648">
        <f>IF(U220&gt;0,_xll.xlShmImplSwap2(curveName,curveName,D220,G220,,1,8,2,4),"-")</f>
        <v>6.4520343315589077E-3</v>
      </c>
      <c r="AP220" s="649">
        <f t="shared" si="24"/>
        <v>-3.4042372305327431E-3</v>
      </c>
      <c r="AQ220" s="391">
        <f t="shared" si="25"/>
        <v>22.831899244306658</v>
      </c>
      <c r="AR220" s="391">
        <f t="shared" si="26"/>
        <v>7.5083040554690959</v>
      </c>
      <c r="AS220" s="393"/>
      <c r="AT220" s="242">
        <f t="shared" si="27"/>
        <v>0.3006046455806628</v>
      </c>
      <c r="AU220" s="701" t="str">
        <f t="shared" si="23"/>
        <v>OAT  25-May-24  2.25</v>
      </c>
      <c r="AV220" s="717"/>
      <c r="AW220" s="699"/>
      <c r="AX220" s="699"/>
      <c r="AY220" s="699"/>
      <c r="AZ220" s="699"/>
      <c r="BA220" s="699"/>
      <c r="BB220" s="698"/>
      <c r="BC220" s="711"/>
      <c r="BE220" s="721">
        <f>_xll.xlDateShiftMonth(BE219,1)</f>
        <v>49549</v>
      </c>
      <c r="BF220" s="722">
        <v>2.6297070107873372E-2</v>
      </c>
    </row>
    <row r="221" spans="1:58">
      <c r="A221" s="10"/>
      <c r="B221" s="11"/>
      <c r="C221" s="12"/>
      <c r="D221" s="735">
        <f>MAX(_xll.xlDateSettle("TARGET",$D$4,2),L221)</f>
        <v>43164</v>
      </c>
      <c r="E221" s="733" t="s">
        <v>1664</v>
      </c>
      <c r="F221" s="13" t="s">
        <v>1543</v>
      </c>
      <c r="G221" s="35">
        <v>45498</v>
      </c>
      <c r="H221" s="37">
        <v>0.25</v>
      </c>
      <c r="I221" s="11">
        <v>45498</v>
      </c>
      <c r="J221" s="11">
        <v>41115</v>
      </c>
      <c r="K221" s="11">
        <v>41480</v>
      </c>
      <c r="L221" s="11">
        <v>41331</v>
      </c>
      <c r="M221" s="12">
        <v>96.81</v>
      </c>
      <c r="N221" s="12" t="s">
        <v>1600</v>
      </c>
      <c r="O221" s="12" t="s">
        <v>1203</v>
      </c>
      <c r="P221" s="12" t="s">
        <v>1601</v>
      </c>
      <c r="Q221" s="15">
        <v>15494000000</v>
      </c>
      <c r="R221" s="12"/>
      <c r="S221" s="43">
        <f>_xll.RtGet("IDN",$N221,IF(OR($G221="BTP,$E11=""CTZ"),S$10,S$9))</f>
        <v>108.363</v>
      </c>
      <c r="T221" s="43">
        <f>_xll.RtGet("IDN",$N221,IF(OR($G221="BTP,$E11=""CTZ"),T$10,T$9))</f>
        <v>108.54300000000001</v>
      </c>
      <c r="U221" s="25">
        <f t="shared" si="28"/>
        <v>108.453</v>
      </c>
      <c r="V221" s="12"/>
      <c r="W221" s="25">
        <f t="shared" si="29"/>
        <v>108.453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0.153</v>
      </c>
      <c r="Y221" s="14">
        <v>6.3396622213239748</v>
      </c>
      <c r="Z221" s="14">
        <v>-6.405217992200078</v>
      </c>
      <c r="AA221" s="14">
        <v>0.46741382296609402</v>
      </c>
      <c r="AB221" s="14">
        <v>0.47713046045017465</v>
      </c>
      <c r="AC221" s="14">
        <v>6.9564517838287543</v>
      </c>
      <c r="AD221" s="34">
        <v>-1.0234744697069455E-2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-11.094994064459872</v>
      </c>
      <c r="AI221" s="14">
        <v>5.9020101714284259</v>
      </c>
      <c r="AJ221" s="14">
        <v>6.4099371667815568</v>
      </c>
      <c r="AK221" s="246">
        <v>-1.7309052765693005</v>
      </c>
      <c r="AL221" s="213">
        <f>IF(U221&gt;0,_xll.xlBondZSpread(F221,H221,G221,J221,K221,L221,M221,D221,U221,"annual",5)*100,"-")</f>
        <v>-169.59090959866566</v>
      </c>
      <c r="AM221" s="266" t="e">
        <f>(-IF($AL$9="",VLOOKUP(VLOOKUP(E221,'DB Basis'!$D$2:$H$65205,4,0),Bonds!$AR$1:$AS$6,2,0),$AL$9)*VLOOKUP(E221,'DB Basis'!$D$2:$E$65205,2,0))+IF(V221="",W221,V221)</f>
        <v>#N/A</v>
      </c>
      <c r="AN221" s="275" t="str">
        <f>IF($AN$9+(($AL$9-$AM$9))*('DB Basis'!F381/10-'DB Basis'!E381),," ")</f>
        <v xml:space="preserve"> </v>
      </c>
      <c r="AO221" s="648">
        <f>IF(U221&gt;0,_xll.xlShmImplSwap2(curveName,curveName,D221,G221,,1,8,2,4),"-")</f>
        <v>6.6913192233733054E-3</v>
      </c>
      <c r="AP221" s="649">
        <f t="shared" si="24"/>
        <v>-1.6926063920442762E-2</v>
      </c>
      <c r="AQ221" s="391">
        <f t="shared" si="25"/>
        <v>-794.77504201719682</v>
      </c>
      <c r="AR221" s="391">
        <f t="shared" si="26"/>
        <v>-809.09290849461581</v>
      </c>
      <c r="AS221" s="393"/>
      <c r="AT221" s="242">
        <f t="shared" si="27"/>
        <v>-1.0094542714917818</v>
      </c>
      <c r="AU221" s="701" t="str">
        <f t="shared" si="23"/>
        <v>OAT  25-Jul-24  0.25</v>
      </c>
      <c r="AV221" s="717"/>
      <c r="AW221" s="699"/>
      <c r="AX221" s="699"/>
      <c r="AY221" s="699"/>
      <c r="AZ221" s="699"/>
      <c r="BA221" s="699"/>
      <c r="BB221" s="698"/>
      <c r="BC221" s="711"/>
      <c r="BE221" s="721">
        <f>_xll.xlDateShiftMonth(BE220,1)</f>
        <v>49580</v>
      </c>
      <c r="BF221" s="722">
        <v>2.6330656804108794E-2</v>
      </c>
    </row>
    <row r="222" spans="1:58">
      <c r="A222" s="10"/>
      <c r="B222" s="11"/>
      <c r="C222" s="12"/>
      <c r="D222" s="735">
        <f>MAX(_xll.xlDateSettle("TARGET",$D$4,2),L222)</f>
        <v>43164</v>
      </c>
      <c r="E222" s="733" t="s">
        <v>423</v>
      </c>
      <c r="F222" s="13" t="s">
        <v>1543</v>
      </c>
      <c r="G222" s="35">
        <v>45621</v>
      </c>
      <c r="H222" s="37">
        <v>1.75</v>
      </c>
      <c r="I222" s="11">
        <v>45621</v>
      </c>
      <c r="J222" s="11">
        <v>41603</v>
      </c>
      <c r="K222" s="11">
        <v>41968</v>
      </c>
      <c r="L222" s="11">
        <v>41800</v>
      </c>
      <c r="M222" s="12">
        <v>98.01</v>
      </c>
      <c r="N222" s="12" t="s">
        <v>1602</v>
      </c>
      <c r="O222" s="12" t="s">
        <v>1203</v>
      </c>
      <c r="P222" s="12" t="s">
        <v>1603</v>
      </c>
      <c r="Q222" s="15">
        <v>36026000000</v>
      </c>
      <c r="R222" s="12"/>
      <c r="S222" s="43">
        <f>_xll.RtGet("IDN",$N222,IF(OR($G222="BTP,$E11=""CTZ"),S$10,S$9))</f>
        <v>109</v>
      </c>
      <c r="T222" s="43">
        <f>_xll.RtGet("IDN",$N222,IF(OR($G222="BTP,$E11=""CTZ"),T$10,T$9))</f>
        <v>109.03</v>
      </c>
      <c r="U222" s="25">
        <f t="shared" si="28"/>
        <v>109.015</v>
      </c>
      <c r="V222" s="12"/>
      <c r="W222" s="25">
        <f t="shared" si="29"/>
        <v>109.015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0.47899999999999998</v>
      </c>
      <c r="Y222" s="14">
        <v>6.3934937185784761</v>
      </c>
      <c r="Z222" s="14">
        <v>-6.3686931857333615</v>
      </c>
      <c r="AA222" s="14">
        <v>0.48603523460861447</v>
      </c>
      <c r="AB222" s="14">
        <v>0.48227186060192828</v>
      </c>
      <c r="AC222" s="14">
        <v>6.9733376756175858</v>
      </c>
      <c r="AD222" s="34">
        <v>3.8941321429670148E-3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-2.161232905780762</v>
      </c>
      <c r="AI222" s="14">
        <v>6.1510412154473935</v>
      </c>
      <c r="AJ222" s="14">
        <v>6.7350210684419691</v>
      </c>
      <c r="AK222" s="246">
        <v>-0.32089475056099981</v>
      </c>
      <c r="AL222" s="213">
        <f>IF(U222&gt;0,_xll.xlBondZSpread(F222,H222,G222,J222,K222,L222,M222,D222,U222,"annual",5)*100,"-")</f>
        <v>-31.356978670991531</v>
      </c>
      <c r="AM222" s="266">
        <f>(-IF($AL$9="",VLOOKUP(VLOOKUP(E222,'DB Basis'!$D$2:$H$65205,4,0),Bonds!$AR$1:$AS$6,2,0),$AL$9)*VLOOKUP(E222,'DB Basis'!$D$2:$E$65205,2,0))+IF(V222="",W222,V222)</f>
        <v>27.665379999999999</v>
      </c>
      <c r="AN222" s="275" t="str">
        <f>IF($AN$9+(($AL$9-$AM$9))*('DB Basis'!F382/10-'DB Basis'!E382),," ")</f>
        <v xml:space="preserve"> </v>
      </c>
      <c r="AO222" s="648">
        <f>IF(U222&gt;0,_xll.xlShmImplSwap2(curveName,curveName,D222,G222,,1,8,2,4),"-")</f>
        <v>7.1603449692022678E-3</v>
      </c>
      <c r="AP222" s="649">
        <f t="shared" si="24"/>
        <v>-3.2662128262352531E-3</v>
      </c>
      <c r="AQ222" s="391">
        <f t="shared" si="25"/>
        <v>419.27154850514728</v>
      </c>
      <c r="AR222" s="391">
        <f t="shared" si="26"/>
        <v>405.35330482810895</v>
      </c>
      <c r="AS222" s="393"/>
      <c r="AT222" s="242">
        <f t="shared" si="27"/>
        <v>0.38407878670359602</v>
      </c>
      <c r="AU222" s="701" t="str">
        <f t="shared" si="23"/>
        <v>OAT  25-Nov-24  1.75</v>
      </c>
      <c r="AV222" s="717"/>
      <c r="AW222" s="699"/>
      <c r="AX222" s="699"/>
      <c r="AY222" s="699"/>
      <c r="AZ222" s="699"/>
      <c r="BA222" s="699"/>
      <c r="BB222" s="698"/>
      <c r="BC222" s="711"/>
      <c r="BE222" s="721">
        <f>_xll.xlDateShiftMonth(BE221,1)</f>
        <v>49610</v>
      </c>
      <c r="BF222" s="722">
        <v>2.6362939294066197E-2</v>
      </c>
    </row>
    <row r="223" spans="1:58">
      <c r="A223" s="10"/>
      <c r="B223" s="11"/>
      <c r="C223" s="12"/>
      <c r="D223" s="735">
        <f>MAX(_xll.xlDateSettle("TARGET",$D$4,2),L223)</f>
        <v>43164</v>
      </c>
      <c r="E223" s="733" t="s">
        <v>600</v>
      </c>
      <c r="F223" s="13" t="s">
        <v>1543</v>
      </c>
      <c r="G223" s="35">
        <v>45802</v>
      </c>
      <c r="H223" s="37">
        <v>0.5</v>
      </c>
      <c r="I223" s="11">
        <v>45802</v>
      </c>
      <c r="J223" s="11">
        <v>41784</v>
      </c>
      <c r="K223" s="11">
        <v>42149</v>
      </c>
      <c r="L223" s="11">
        <v>42044</v>
      </c>
      <c r="M223" s="12">
        <v>98.87</v>
      </c>
      <c r="N223" s="12" t="s">
        <v>1604</v>
      </c>
      <c r="O223" s="12" t="s">
        <v>1222</v>
      </c>
      <c r="P223" s="12" t="s">
        <v>1605</v>
      </c>
      <c r="Q223" s="15">
        <v>34702000000</v>
      </c>
      <c r="R223" s="12"/>
      <c r="S223" s="43">
        <f>_xll.RtGet("IDN",$N223,IF(OR($G223="BTP,$E11=""CTZ"),S$10,S$9))</f>
        <v>100.12</v>
      </c>
      <c r="T223" s="43">
        <f>_xll.RtGet("IDN",$N223,IF(OR($G223="BTP,$E11=""CTZ"),T$10,T$9))</f>
        <v>100.24000000000001</v>
      </c>
      <c r="U223" s="25">
        <f t="shared" si="28"/>
        <v>100.18</v>
      </c>
      <c r="V223" s="12"/>
      <c r="W223" s="25">
        <f t="shared" si="29"/>
        <v>100.18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0.38900000000000001</v>
      </c>
      <c r="Y223" s="14">
        <v>7.0841619970244114</v>
      </c>
      <c r="Z223" s="14">
        <v>-7.0507018919275541</v>
      </c>
      <c r="AA223" s="14">
        <v>0.57941267523656725</v>
      </c>
      <c r="AB223" s="14">
        <v>0.57395220611639897</v>
      </c>
      <c r="AC223" s="14">
        <v>7.090821266385916</v>
      </c>
      <c r="AD223" s="34">
        <v>4.7456417260425491E-3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-2.1807576202427463</v>
      </c>
      <c r="AI223" s="14">
        <v>7.1717509582746466</v>
      </c>
      <c r="AJ223" s="14">
        <v>7.2125582212272299</v>
      </c>
      <c r="AK223" s="246">
        <v>-0.3023556349014378</v>
      </c>
      <c r="AL223" s="213">
        <f>IF(U223&gt;0,_xll.xlBondZSpread(F223,H223,G223,J223,K223,L223,M223,D223,U223,"annual",5)*100,"-")</f>
        <v>-31.117007126441976</v>
      </c>
      <c r="AM223" s="266">
        <f>(-IF($AL$9="",VLOOKUP(VLOOKUP(E223,'DB Basis'!$D$2:$H$65205,4,0),Bonds!$AR$1:$AS$6,2,0),$AL$9)*VLOOKUP(E223,'DB Basis'!$D$2:$E$65205,2,0))+IF(V223="",W223,V223)</f>
        <v>17.600139999999996</v>
      </c>
      <c r="AN223" s="275" t="str">
        <f>IF($AN$9+(($AL$9-$AM$9))*('DB Basis'!F383/10-'DB Basis'!E383),," ")</f>
        <v xml:space="preserve"> </v>
      </c>
      <c r="AO223" s="648">
        <f>IF(U223&gt;0,_xll.xlShmImplSwap2(curveName,curveName,D223,G223,,1,8,2,4),"-")</f>
        <v>7.8202977974654326E-3</v>
      </c>
      <c r="AP223" s="649">
        <f t="shared" si="24"/>
        <v>-3.0746560714228835E-3</v>
      </c>
      <c r="AQ223" s="391">
        <f t="shared" si="25"/>
        <v>17.171325846550832</v>
      </c>
      <c r="AR223" s="391">
        <f t="shared" si="26"/>
        <v>3.8628848346140825</v>
      </c>
      <c r="AS223" s="393"/>
      <c r="AT223" s="242">
        <f t="shared" si="27"/>
        <v>0.46806329352748433</v>
      </c>
      <c r="AU223" s="701" t="str">
        <f t="shared" si="23"/>
        <v>OAT  25-May-25  0.5</v>
      </c>
      <c r="AV223" s="717"/>
      <c r="AW223" s="699"/>
      <c r="AX223" s="699"/>
      <c r="AY223" s="699"/>
      <c r="AZ223" s="699"/>
      <c r="BA223" s="699"/>
      <c r="BB223" s="698"/>
      <c r="BC223" s="711"/>
      <c r="BE223" s="721">
        <f>_xll.xlDateShiftMonth(BE222,1)</f>
        <v>49641</v>
      </c>
      <c r="BF223" s="722">
        <v>2.6396095815909806E-2</v>
      </c>
    </row>
    <row r="224" spans="1:58">
      <c r="A224" s="10"/>
      <c r="B224" s="11"/>
      <c r="C224" s="12"/>
      <c r="D224" s="735">
        <f>MAX(_xll.xlDateSettle("TARGET",$D$4,2),L224)</f>
        <v>43164</v>
      </c>
      <c r="E224" s="733" t="s">
        <v>710</v>
      </c>
      <c r="F224" s="13" t="s">
        <v>1543</v>
      </c>
      <c r="G224" s="35">
        <v>45955</v>
      </c>
      <c r="H224" s="37">
        <v>6</v>
      </c>
      <c r="I224" s="11">
        <v>45955</v>
      </c>
      <c r="J224" s="11">
        <v>34267</v>
      </c>
      <c r="K224" s="11">
        <v>34632</v>
      </c>
      <c r="L224" s="11">
        <v>34390</v>
      </c>
      <c r="M224" s="12">
        <v>101.65</v>
      </c>
      <c r="N224" s="12" t="s">
        <v>1606</v>
      </c>
      <c r="O224" s="12" t="s">
        <v>1203</v>
      </c>
      <c r="P224" s="12" t="s">
        <v>1607</v>
      </c>
      <c r="Q224" s="15">
        <v>29593928118</v>
      </c>
      <c r="R224" s="12"/>
      <c r="S224" s="43">
        <f>_xll.RtGet("IDN",$N224,IF(OR($G224="BTP,$E11=""CTZ"),S$10,S$9))</f>
        <v>141.309</v>
      </c>
      <c r="T224" s="43">
        <f>_xll.RtGet("IDN",$N224,IF(OR($G224="BTP,$E11=""CTZ"),T$10,T$9))</f>
        <v>141.369</v>
      </c>
      <c r="U224" s="25">
        <f t="shared" si="28"/>
        <v>141.339</v>
      </c>
      <c r="V224" s="12"/>
      <c r="W224" s="25">
        <f t="shared" si="29"/>
        <v>141.339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2.153</v>
      </c>
      <c r="Y224" s="14">
        <v>6.4848931880180594</v>
      </c>
      <c r="Z224" s="14">
        <v>-6.4540839147964002</v>
      </c>
      <c r="AA224" s="14">
        <v>0.52999420598853009</v>
      </c>
      <c r="AB224" s="14">
        <v>0.52497023798017695</v>
      </c>
      <c r="AC224" s="14">
        <v>9.2610952771906341</v>
      </c>
      <c r="AD224" s="34">
        <v>4.7736080215236912E-3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-2.6939388170155416</v>
      </c>
      <c r="AI224" s="14">
        <v>5.3057331187467893</v>
      </c>
      <c r="AJ224" s="14">
        <v>7.613302566752143</v>
      </c>
      <c r="AK224" s="861">
        <v>-0.35384628331733198</v>
      </c>
      <c r="AL224" s="213">
        <f>IF(U224&gt;0,_xll.xlBondZSpread(F224,H224,G224,J224,K224,L224,M224,D224,U224,"annual",5)*100,"-")</f>
        <v>-29.475357070991599</v>
      </c>
      <c r="AM224" s="266">
        <f>(-IF($AL$9="",VLOOKUP(VLOOKUP(E224,'DB Basis'!$D$2:$H$65205,4,0),Bonds!$AR$1:$AS$6,2,0),$AL$9)*VLOOKUP(E224,'DB Basis'!$D$2:$E$65205,2,0))+IF(V224="",W224,V224)</f>
        <v>32.770319999999998</v>
      </c>
      <c r="AN224" s="275" t="str">
        <f>IF($AN$9+(($AL$9-$AM$9))*('DB Basis'!F384/10-'DB Basis'!E384),," ")</f>
        <v xml:space="preserve"> </v>
      </c>
      <c r="AO224" s="648">
        <f>IF(U224&gt;0,_xll.xlShmImplSwap2(curveName,curveName,D224,G224,,1,8,2,4),"-")</f>
        <v>8.3460014504899427E-3</v>
      </c>
      <c r="AP224" s="649">
        <f t="shared" si="24"/>
        <v>-3.5723934289662515E-3</v>
      </c>
      <c r="AQ224" s="391">
        <f t="shared" si="25"/>
        <v>0.66716979415796485</v>
      </c>
      <c r="AR224" s="391">
        <f t="shared" si="26"/>
        <v>-11.874126503485577</v>
      </c>
      <c r="AS224" s="393"/>
      <c r="AT224" s="242">
        <f t="shared" si="27"/>
        <v>0.47082161308178871</v>
      </c>
      <c r="AU224" s="701" t="str">
        <f t="shared" si="23"/>
        <v>OAT  25-Oct-25  6</v>
      </c>
      <c r="AV224" s="717"/>
      <c r="AW224" s="699"/>
      <c r="AX224" s="699"/>
      <c r="AY224" s="699"/>
      <c r="AZ224" s="699"/>
      <c r="BA224" s="699"/>
      <c r="BB224" s="698"/>
      <c r="BC224" s="711"/>
      <c r="BE224" s="721">
        <f>_xll.xlDateShiftMonth(BE223,1)</f>
        <v>49671</v>
      </c>
      <c r="BF224" s="722">
        <v>2.6428012196076125E-2</v>
      </c>
    </row>
    <row r="225" spans="1:58">
      <c r="A225" s="10"/>
      <c r="B225" s="11"/>
      <c r="C225" s="12"/>
      <c r="D225" s="735">
        <f>MAX(_xll.xlDateSettle("TARGET",$D$4,2),L225)</f>
        <v>43164</v>
      </c>
      <c r="E225" s="733" t="s">
        <v>789</v>
      </c>
      <c r="F225" s="13" t="s">
        <v>1543</v>
      </c>
      <c r="G225" s="35">
        <v>45986</v>
      </c>
      <c r="H225" s="37">
        <v>1</v>
      </c>
      <c r="I225" s="11">
        <v>45986</v>
      </c>
      <c r="J225" s="11">
        <v>41968</v>
      </c>
      <c r="K225" s="11">
        <v>42333</v>
      </c>
      <c r="L225" s="11">
        <v>42254</v>
      </c>
      <c r="M225" s="12">
        <v>98.02</v>
      </c>
      <c r="N225" s="12" t="s">
        <v>1608</v>
      </c>
      <c r="O225" s="12" t="s">
        <v>1203</v>
      </c>
      <c r="P225" s="12" t="s">
        <v>1609</v>
      </c>
      <c r="Q225" s="15">
        <v>28307000000</v>
      </c>
      <c r="R225" s="12"/>
      <c r="S225" s="43">
        <f>_xll.RtGet("IDN",$N225,IF(OR($G225="BTP,$E11=""CTZ"),S$10,S$9))</f>
        <v>103.416</v>
      </c>
      <c r="T225" s="43">
        <f>_xll.RtGet("IDN",$N225,IF(OR($G225="BTP,$E11=""CTZ"),T$10,T$9))</f>
        <v>103.45</v>
      </c>
      <c r="U225" s="25">
        <f t="shared" si="28"/>
        <v>103.43299999999999</v>
      </c>
      <c r="V225" s="12"/>
      <c r="W225" s="25">
        <f t="shared" si="29"/>
        <v>103.43299999999999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0.27400000000000002</v>
      </c>
      <c r="Y225" s="14">
        <v>7.4599947075889963</v>
      </c>
      <c r="Z225" s="14">
        <v>-7.4195614912746919</v>
      </c>
      <c r="AA225" s="14">
        <v>0.64375231433941704</v>
      </c>
      <c r="AB225" s="14">
        <v>0.63679294265324671</v>
      </c>
      <c r="AC225" s="14">
        <v>7.6946057759002429</v>
      </c>
      <c r="AD225" s="34">
        <v>5.4495334974179847E-3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-2.2541435665728597</v>
      </c>
      <c r="AI225" s="14">
        <v>7.4136481898917239</v>
      </c>
      <c r="AJ225" s="14">
        <v>7.6884721282910098</v>
      </c>
      <c r="AK225" s="246">
        <v>-0.29318485245961529</v>
      </c>
      <c r="AL225" s="213">
        <f>IF(U225&gt;0,_xll.xlBondZSpread(F225,H225,G225,J225,K225,L225,M225,D225,U225,"annual",5)*100,"-")</f>
        <v>-29.664580496029529</v>
      </c>
      <c r="AM225" s="266">
        <f>(-IF($AL$9="",VLOOKUP(VLOOKUP(E225,'DB Basis'!$D$2:$H$65205,4,0),Bonds!$AR$1:$AS$6,2,0),$AL$9)*VLOOKUP(E225,'DB Basis'!$D$2:$E$65205,2,0))+IF(V225="",W225,V225)</f>
        <v>13.933039999999991</v>
      </c>
      <c r="AN225" s="275" t="str">
        <f>IF($AN$9+(($AL$9-$AM$9))*('DB Basis'!F385/10-'DB Basis'!E385),," ")</f>
        <v xml:space="preserve"> </v>
      </c>
      <c r="AO225" s="648">
        <f>IF(U225&gt;0,_xll.xlShmImplSwap2(curveName,curveName,D225,G225,,1,8,2,4),"-")</f>
        <v>8.4469654712487421E-3</v>
      </c>
      <c r="AP225" s="649">
        <f t="shared" si="24"/>
        <v>-2.9974319738307574E-3</v>
      </c>
      <c r="AQ225" s="391">
        <f t="shared" si="25"/>
        <v>79.584773774650699</v>
      </c>
      <c r="AR225" s="391">
        <f t="shared" si="26"/>
        <v>67.697074556275922</v>
      </c>
      <c r="AS225" s="393"/>
      <c r="AT225" s="242">
        <f t="shared" si="27"/>
        <v>0.53748823536177381</v>
      </c>
      <c r="AU225" s="701" t="str">
        <f t="shared" si="23"/>
        <v>OAT  25-Nov-25  1</v>
      </c>
      <c r="AV225" s="717"/>
      <c r="AW225" s="699"/>
      <c r="AX225" s="699"/>
      <c r="AY225" s="699"/>
      <c r="AZ225" s="699"/>
      <c r="BA225" s="699"/>
      <c r="BB225" s="698"/>
      <c r="BC225" s="711"/>
      <c r="BE225" s="721">
        <f>_xll.xlDateShiftMonth(BE224,1)</f>
        <v>49702</v>
      </c>
      <c r="BF225" s="722">
        <v>2.6460842265409974E-2</v>
      </c>
    </row>
    <row r="226" spans="1:58">
      <c r="A226" s="10"/>
      <c r="B226" s="11"/>
      <c r="C226" s="12"/>
      <c r="D226" s="735">
        <f>MAX(_xll.xlDateSettle("TARGET",$D$4,2),L226)</f>
        <v>43164</v>
      </c>
      <c r="E226" s="733" t="s">
        <v>711</v>
      </c>
      <c r="F226" s="13" t="s">
        <v>1543</v>
      </c>
      <c r="G226" s="35">
        <v>46137</v>
      </c>
      <c r="H226" s="37">
        <v>3.5</v>
      </c>
      <c r="I226" s="11">
        <v>46137</v>
      </c>
      <c r="J226" s="11">
        <v>40293</v>
      </c>
      <c r="K226" s="11">
        <v>40658</v>
      </c>
      <c r="L226" s="11">
        <v>40365</v>
      </c>
      <c r="M226" s="12">
        <v>110.94</v>
      </c>
      <c r="N226" s="12" t="s">
        <v>1610</v>
      </c>
      <c r="O226" s="12" t="s">
        <v>1203</v>
      </c>
      <c r="P226" s="12" t="s">
        <v>1611</v>
      </c>
      <c r="Q226" s="15">
        <v>35814000000</v>
      </c>
      <c r="R226" s="12"/>
      <c r="S226" s="43">
        <f>_xll.RtGet("IDN",$N226,IF(OR($G226="BTP,$E11=""CTZ"),S$10,S$9))</f>
        <v>123.465</v>
      </c>
      <c r="T226" s="43">
        <f>_xll.RtGet("IDN",$N226,IF(OR($G226="BTP,$E11=""CTZ"),T$10,T$9))</f>
        <v>123.52500000000001</v>
      </c>
      <c r="U226" s="25">
        <f t="shared" si="28"/>
        <v>123.495</v>
      </c>
      <c r="V226" s="12"/>
      <c r="W226" s="25">
        <f t="shared" si="29"/>
        <v>123.495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3.0110000000000001</v>
      </c>
      <c r="Y226" s="14">
        <v>7.1568839404947431</v>
      </c>
      <c r="Z226" s="14">
        <v>-7.118337882645152</v>
      </c>
      <c r="AA226" s="14">
        <v>0.63001909502407116</v>
      </c>
      <c r="AB226" s="14">
        <v>0.62325096649066336</v>
      </c>
      <c r="AC226" s="14">
        <v>9.005125822826443</v>
      </c>
      <c r="AD226" s="34">
        <v>5.415036215639886E-3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-2.8011565443548805</v>
      </c>
      <c r="AI226" s="14">
        <v>6.3893872228022683</v>
      </c>
      <c r="AJ226" s="14">
        <v>8.0829582000782381</v>
      </c>
      <c r="AK226" s="246">
        <v>-0.34655091304663288</v>
      </c>
      <c r="AL226" s="213">
        <f>IF(U226&gt;0,_xll.xlBondZSpread(F226,H226,G226,J226,K226,L226,M226,D226,U226,"annual",5)*100,"-")</f>
        <v>-31.558544058532078</v>
      </c>
      <c r="AM226" s="266">
        <f>(-IF($AL$9="",VLOOKUP(VLOOKUP(E226,'DB Basis'!$D$2:$H$65205,4,0),Bonds!$AR$1:$AS$6,2,0),$AL$9)*VLOOKUP(E226,'DB Basis'!$D$2:$E$65205,2,0))+IF(V226="",W226,V226)</f>
        <v>18.770820000000001</v>
      </c>
      <c r="AN226" s="275" t="str">
        <f>IF($AN$9+(($AL$9-$AM$9))*('DB Basis'!F386/10-'DB Basis'!E386),," ")</f>
        <v xml:space="preserve"> </v>
      </c>
      <c r="AO226" s="648">
        <f>IF(U226&gt;0,_xll.xlShmImplSwap2(curveName,curveName,D226,G226,,1,8,2,4),"-")</f>
        <v>8.9417874004723823E-3</v>
      </c>
      <c r="AP226" s="649">
        <f t="shared" si="24"/>
        <v>-3.5267511848324964E-3</v>
      </c>
      <c r="AQ226" s="391">
        <f t="shared" si="25"/>
        <v>-0.83387469198715569</v>
      </c>
      <c r="AR226" s="391">
        <f t="shared" si="26"/>
        <v>-12.794802120240711</v>
      </c>
      <c r="AS226" s="393"/>
      <c r="AT226" s="242">
        <f t="shared" si="27"/>
        <v>0.53408576373434491</v>
      </c>
      <c r="AU226" s="701" t="str">
        <f t="shared" si="23"/>
        <v>OAT  25-Apr-26  3.5</v>
      </c>
      <c r="AV226" s="717"/>
      <c r="AW226" s="699"/>
      <c r="AX226" s="699"/>
      <c r="AY226" s="699"/>
      <c r="AZ226" s="699"/>
      <c r="BA226" s="699"/>
      <c r="BB226" s="698"/>
      <c r="BC226" s="711"/>
      <c r="BE226" s="721">
        <f>_xll.xlDateShiftMonth(BE225,1)</f>
        <v>49733</v>
      </c>
      <c r="BF226" s="722">
        <v>2.6493546182018168E-2</v>
      </c>
    </row>
    <row r="227" spans="1:58">
      <c r="A227" s="10"/>
      <c r="B227" s="11"/>
      <c r="C227" s="12"/>
      <c r="D227" s="735">
        <f>MAX(_xll.xlDateSettle("TARGET",$D$4,2),L227)</f>
        <v>43164</v>
      </c>
      <c r="E227" s="733" t="s">
        <v>883</v>
      </c>
      <c r="F227" s="13" t="s">
        <v>1543</v>
      </c>
      <c r="G227" s="35">
        <v>46167</v>
      </c>
      <c r="H227" s="37">
        <v>0.5</v>
      </c>
      <c r="I227" s="11">
        <v>46167</v>
      </c>
      <c r="J227" s="11">
        <v>42149</v>
      </c>
      <c r="K227" s="11">
        <v>42515</v>
      </c>
      <c r="L227" s="11">
        <v>42436</v>
      </c>
      <c r="M227" s="12">
        <v>98.69</v>
      </c>
      <c r="N227" s="12" t="s">
        <v>1612</v>
      </c>
      <c r="O227" s="12" t="s">
        <v>1222</v>
      </c>
      <c r="P227" s="12" t="s">
        <v>1613</v>
      </c>
      <c r="Q227" s="15">
        <v>27522000000</v>
      </c>
      <c r="R227" s="12"/>
      <c r="S227" s="43">
        <f>_xll.RtGet("IDN",$N227,IF(OR($G227="BTP,$E11=""CTZ"),S$10,S$9))</f>
        <v>98.987000000000009</v>
      </c>
      <c r="T227" s="43">
        <f>_xll.RtGet("IDN",$N227,IF(OR($G227="BTP,$E11=""CTZ"),T$10,T$9))</f>
        <v>99.037000000000006</v>
      </c>
      <c r="U227" s="25">
        <f t="shared" si="28"/>
        <v>99.012</v>
      </c>
      <c r="V227" s="12"/>
      <c r="W227" s="25">
        <f t="shared" si="29"/>
        <v>99.012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0.38900000000000001</v>
      </c>
      <c r="Y227" s="14">
        <v>8.0436736515345508</v>
      </c>
      <c r="Z227" s="14">
        <v>-7.9938226242227159</v>
      </c>
      <c r="AA227" s="14">
        <v>0.73726932785282773</v>
      </c>
      <c r="AB227" s="14">
        <v>0.72815912675749961</v>
      </c>
      <c r="AC227" s="14">
        <v>7.9459408491416639</v>
      </c>
      <c r="AD227" s="34">
        <v>6.2361937501057285E-3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-2.2466940740934711</v>
      </c>
      <c r="AI227" s="14">
        <v>8.2038267125647106</v>
      </c>
      <c r="AJ227" s="14">
        <v>8.1546857905564476</v>
      </c>
      <c r="AK227" s="246">
        <v>-0.2755095820730773</v>
      </c>
      <c r="AL227" s="213">
        <f>IF(U227&gt;0,_xll.xlBondZSpread(F227,H227,G227,J227,K227,L227,M227,D227,U227,"annual",5)*100,"-")</f>
        <v>-28.634649051183086</v>
      </c>
      <c r="AM227" s="266">
        <f>(-IF($AL$9="",VLOOKUP(VLOOKUP(E227,'DB Basis'!$D$2:$H$65205,4,0),Bonds!$AR$1:$AS$6,2,0),$AL$9)*VLOOKUP(E227,'DB Basis'!$D$2:$E$65205,2,0))+IF(V227="",W227,V227)</f>
        <v>6.7439999999999998</v>
      </c>
      <c r="AN227" s="275" t="str">
        <f>IF($AN$9+(($AL$9-$AM$9))*('DB Basis'!F387/10-'DB Basis'!E387),," ")</f>
        <v xml:space="preserve"> </v>
      </c>
      <c r="AO227" s="648">
        <f>IF(U227&gt;0,_xll.xlShmImplSwap2(curveName,curveName,D227,G227,,1,8,2,4),"-")</f>
        <v>9.0357734897100524E-3</v>
      </c>
      <c r="AP227" s="649">
        <f t="shared" si="24"/>
        <v>-2.7995797396043239E-3</v>
      </c>
      <c r="AQ227" s="391">
        <f t="shared" si="25"/>
        <v>99.907500026677511</v>
      </c>
      <c r="AR227" s="391">
        <f t="shared" si="26"/>
        <v>88.47252583609432</v>
      </c>
      <c r="AS227" s="393"/>
      <c r="AT227" s="242">
        <f t="shared" si="27"/>
        <v>0.61507664384604455</v>
      </c>
      <c r="AU227" s="701" t="str">
        <f t="shared" si="23"/>
        <v>OAT  25-May-26  0.5</v>
      </c>
      <c r="AV227" s="717"/>
      <c r="AW227" s="699"/>
      <c r="AX227" s="699"/>
      <c r="AY227" s="699"/>
      <c r="AZ227" s="699"/>
      <c r="BA227" s="699"/>
      <c r="BB227" s="698"/>
      <c r="BC227" s="711"/>
      <c r="BE227" s="721">
        <f>_xll.xlDateShiftMonth(BE226,1)</f>
        <v>49762</v>
      </c>
      <c r="BF227" s="722">
        <v>2.6524049691071118E-2</v>
      </c>
    </row>
    <row r="228" spans="1:58">
      <c r="A228" s="10"/>
      <c r="B228" s="11"/>
      <c r="C228" s="12"/>
      <c r="D228" s="735">
        <f>MAX(_xll.xlDateSettle("TARGET",$D$4,2),L228)</f>
        <v>43164</v>
      </c>
      <c r="E228" s="733" t="s">
        <v>918</v>
      </c>
      <c r="F228" s="13" t="s">
        <v>1543</v>
      </c>
      <c r="G228" s="35">
        <v>46351</v>
      </c>
      <c r="H228" s="37">
        <v>0.25</v>
      </c>
      <c r="I228" s="11">
        <v>46351</v>
      </c>
      <c r="J228" s="11">
        <v>42333</v>
      </c>
      <c r="K228" s="11">
        <v>42699</v>
      </c>
      <c r="L228" s="11">
        <v>42618</v>
      </c>
      <c r="M228" s="12">
        <v>99.94</v>
      </c>
      <c r="N228" s="12" t="s">
        <v>1614</v>
      </c>
      <c r="O228" s="12" t="s">
        <v>1203</v>
      </c>
      <c r="P228" s="12" t="s">
        <v>1615</v>
      </c>
      <c r="Q228" s="15">
        <v>30214000000</v>
      </c>
      <c r="R228" s="12"/>
      <c r="S228" s="43">
        <f>_xll.RtGet("IDN",$N228,IF(OR($G228="BTP,$E11=""CTZ"),S$10,S$9))</f>
        <v>96.103999999999999</v>
      </c>
      <c r="T228" s="43">
        <f>_xll.RtGet("IDN",$N228,IF(OR($G228="BTP,$E11=""CTZ"),T$10,T$9))</f>
        <v>96.224000000000004</v>
      </c>
      <c r="U228" s="25">
        <f t="shared" si="28"/>
        <v>96.164000000000001</v>
      </c>
      <c r="V228" s="12"/>
      <c r="W228" s="25">
        <f t="shared" si="29"/>
        <v>96.164000000000001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6.8000000000000005E-2</v>
      </c>
      <c r="Y228" s="14">
        <v>8.6344828658251576</v>
      </c>
      <c r="Z228" s="14">
        <v>-8.5740487918412285</v>
      </c>
      <c r="AA228" s="14">
        <v>0.8370163967119848</v>
      </c>
      <c r="AB228" s="14">
        <v>0.82534058753128881</v>
      </c>
      <c r="AC228" s="14">
        <v>8.2509802196739201</v>
      </c>
      <c r="AD228" s="34">
        <v>7.0484667060710859E-3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-2.1659370633000541</v>
      </c>
      <c r="AI228" s="14">
        <v>8.9622024680510748</v>
      </c>
      <c r="AJ228" s="14">
        <v>8.6245066790549103</v>
      </c>
      <c r="AK228" s="246">
        <v>-0.25113750199302953</v>
      </c>
      <c r="AL228" s="213">
        <f>IF(U228&gt;0,_xll.xlBondZSpread(F228,H228,G228,J228,K228,L228,M228,D228,U228,"annual",5)*100,"-")</f>
        <v>-26.575439169723541</v>
      </c>
      <c r="AM228" s="266">
        <f>(-IF($AL$9="",VLOOKUP(VLOOKUP(E228,'DB Basis'!$D$2:$H$65205,4,0),Bonds!$AR$1:$AS$6,2,0),$AL$9)*VLOOKUP(E228,'DB Basis'!$D$2:$E$65205,2,0))+IF(V228="",W228,V228)</f>
        <v>1.0264652000000041</v>
      </c>
      <c r="AN228" s="275" t="str">
        <f>IF($AN$9+(($AL$9-$AM$9))*('DB Basis'!F388/10-'DB Basis'!E388),," ")</f>
        <v xml:space="preserve"> </v>
      </c>
      <c r="AO228" s="648">
        <f>IF(U228&gt;0,_xll.xlShmImplSwap2(curveName,curveName,D228,G228,,1,8,2,4),"-")</f>
        <v>9.585051199377052E-3</v>
      </c>
      <c r="AP228" s="649">
        <f t="shared" si="24"/>
        <v>-2.5365844933059661E-3</v>
      </c>
      <c r="AQ228" s="391">
        <f t="shared" si="25"/>
        <v>16.11302331126932</v>
      </c>
      <c r="AR228" s="391">
        <f t="shared" si="26"/>
        <v>5.2170252662445984</v>
      </c>
      <c r="AS228" s="393"/>
      <c r="AT228" s="242">
        <f t="shared" si="27"/>
        <v>0.69519123676317562</v>
      </c>
      <c r="AU228" s="701" t="str">
        <f t="shared" si="23"/>
        <v>OAT  25-Nov-26  0.25</v>
      </c>
      <c r="AV228" s="717"/>
      <c r="AW228" s="699"/>
      <c r="AX228" s="699"/>
      <c r="AY228" s="699"/>
      <c r="AZ228" s="699"/>
      <c r="BA228" s="699"/>
      <c r="BB228" s="698"/>
      <c r="BC228" s="711"/>
      <c r="BE228" s="721">
        <f>_xll.xlDateShiftMonth(BE227,1)</f>
        <v>49793</v>
      </c>
      <c r="BF228" s="722">
        <v>2.6556585539135025E-2</v>
      </c>
    </row>
    <row r="229" spans="1:58">
      <c r="A229" s="10"/>
      <c r="B229" s="11"/>
      <c r="C229" s="12"/>
      <c r="D229" s="735">
        <f>MAX(_xll.xlDateSettle("TARGET",$D$4,2),L229)</f>
        <v>43164</v>
      </c>
      <c r="E229" s="733" t="s">
        <v>960</v>
      </c>
      <c r="F229" s="13" t="s">
        <v>1543</v>
      </c>
      <c r="G229" s="35">
        <v>46532</v>
      </c>
      <c r="H229" s="37">
        <v>1</v>
      </c>
      <c r="I229" s="11">
        <v>46532</v>
      </c>
      <c r="J229" s="11">
        <v>42515</v>
      </c>
      <c r="K229" s="11">
        <v>42880</v>
      </c>
      <c r="L229" s="11">
        <v>42835</v>
      </c>
      <c r="M229" s="12">
        <v>100.29</v>
      </c>
      <c r="N229" s="12" t="s">
        <v>1616</v>
      </c>
      <c r="O229" s="12" t="s">
        <v>1222</v>
      </c>
      <c r="P229" s="12" t="s">
        <v>1617</v>
      </c>
      <c r="Q229" s="15">
        <v>31451000000</v>
      </c>
      <c r="R229" s="12"/>
      <c r="S229" s="43">
        <f>_xll.RtGet("IDN",$N229,IF(OR($G229="BTP,$E11=""CTZ"),S$10,S$9))</f>
        <v>101.93</v>
      </c>
      <c r="T229" s="43">
        <f>_xll.RtGet("IDN",$N229,IF(OR($G229="BTP,$E11=""CTZ"),T$10,T$9))</f>
        <v>102.06</v>
      </c>
      <c r="U229" s="25">
        <f t="shared" si="28"/>
        <v>101.995</v>
      </c>
      <c r="V229" s="12"/>
      <c r="W229" s="25">
        <f t="shared" si="29"/>
        <v>101.995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0.77800000000000002</v>
      </c>
      <c r="Y229" s="14">
        <v>8.7936530033067974</v>
      </c>
      <c r="Z229" s="14">
        <v>-8.7260312533728044</v>
      </c>
      <c r="AA229" s="14">
        <v>0.88667002386616589</v>
      </c>
      <c r="AB229" s="14">
        <v>0.8730857615980423</v>
      </c>
      <c r="AC229" s="14">
        <v>8.968005764023701</v>
      </c>
      <c r="AD229" s="34">
        <v>7.7494270143212262E-3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-2.078337601055158</v>
      </c>
      <c r="AI229" s="14">
        <v>8.8369467999870839</v>
      </c>
      <c r="AJ229" s="14">
        <v>9.0819953347507276</v>
      </c>
      <c r="AK229" s="246">
        <v>-0.22884151824024224</v>
      </c>
      <c r="AL229" s="213">
        <f>IF(U229&gt;0,_xll.xlBondZSpread(F229,H229,G229,J229,K229,L229,M229,D229,U229,"annual",5)*100,"-")</f>
        <v>-23.454084628389687</v>
      </c>
      <c r="AM229" s="266">
        <f>(-IF($AL$9="",VLOOKUP(VLOOKUP(E229,'DB Basis'!$D$2:$H$65205,4,0),Bonds!$AR$1:$AS$6,2,0),$AL$9)*VLOOKUP(E229,'DB Basis'!$D$2:$E$65205,2,0))+IF(V229="",W229,V229)</f>
        <v>1.4113465000000076</v>
      </c>
      <c r="AN229" s="275" t="str">
        <f>IF($AN$9+(($AL$9-$AM$9))*('DB Basis'!F389/10-'DB Basis'!E389),," ")</f>
        <v xml:space="preserve"> </v>
      </c>
      <c r="AO229" s="648">
        <f>IF(U229&gt;0,_xll.xlShmImplSwap2(curveName,curveName,D229,G229,,1,8,2,4),"-")</f>
        <v>1.0094828168424497E-2</v>
      </c>
      <c r="AP229" s="649">
        <f t="shared" si="24"/>
        <v>-2.3454011541032705E-3</v>
      </c>
      <c r="AQ229" s="391">
        <f t="shared" si="25"/>
        <v>14.135387431563602</v>
      </c>
      <c r="AR229" s="391">
        <f t="shared" si="26"/>
        <v>3.8553546303306021</v>
      </c>
      <c r="AS229" s="393"/>
      <c r="AT229" s="242">
        <f t="shared" si="27"/>
        <v>0.7643270479878469</v>
      </c>
      <c r="AU229" s="701" t="str">
        <f t="shared" si="23"/>
        <v>OAT  25-May-27  1</v>
      </c>
      <c r="AV229" s="717"/>
      <c r="AW229" s="699"/>
      <c r="AX229" s="699"/>
      <c r="AY229" s="699"/>
      <c r="AZ229" s="699"/>
      <c r="BA229" s="699"/>
      <c r="BB229" s="698"/>
      <c r="BC229" s="711"/>
      <c r="BE229" s="721">
        <f>_xll.xlDateShiftMonth(BE228,1)</f>
        <v>49823</v>
      </c>
      <c r="BF229" s="722">
        <v>2.6588026325897966E-2</v>
      </c>
    </row>
    <row r="230" spans="1:58">
      <c r="A230" s="10"/>
      <c r="B230" s="11"/>
      <c r="C230" s="12"/>
      <c r="D230" s="735">
        <f>MAX(_xll.xlDateSettle("TARGET",$D$4,2),L230)</f>
        <v>43164</v>
      </c>
      <c r="E230" s="733" t="s">
        <v>712</v>
      </c>
      <c r="F230" s="13" t="s">
        <v>1543</v>
      </c>
      <c r="G230" s="35">
        <v>46685</v>
      </c>
      <c r="H230" s="37">
        <v>2.75</v>
      </c>
      <c r="I230" s="11">
        <v>46685</v>
      </c>
      <c r="J230" s="11">
        <v>40841</v>
      </c>
      <c r="K230" s="11">
        <v>41207</v>
      </c>
      <c r="L230" s="11">
        <v>41163</v>
      </c>
      <c r="M230" s="12">
        <v>98.82</v>
      </c>
      <c r="N230" s="12" t="s">
        <v>1618</v>
      </c>
      <c r="O230" s="12" t="s">
        <v>1203</v>
      </c>
      <c r="P230" s="12" t="s">
        <v>1619</v>
      </c>
      <c r="Q230" s="15">
        <v>37454000000</v>
      </c>
      <c r="R230" s="12"/>
      <c r="S230" s="43">
        <f>_xll.RtGet("IDN",$N230,IF(OR($G230="BTP,$E11=""CTZ"),S$10,S$9))</f>
        <v>117.99600000000001</v>
      </c>
      <c r="T230" s="43">
        <f>_xll.RtGet("IDN",$N230,IF(OR($G230="BTP,$E11=""CTZ"),T$10,T$9))</f>
        <v>118.07600000000001</v>
      </c>
      <c r="U230" s="25">
        <f t="shared" si="28"/>
        <v>118.036</v>
      </c>
      <c r="V230" s="12"/>
      <c r="W230" s="25">
        <f t="shared" si="29"/>
        <v>118.036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0.98699999999999999</v>
      </c>
      <c r="Y230" s="14">
        <v>8.6282234321975793</v>
      </c>
      <c r="Z230" s="14">
        <v>-8.5598653891536554</v>
      </c>
      <c r="AA230" s="14">
        <v>0.88502599189902476</v>
      </c>
      <c r="AB230" s="14">
        <v>0.87105811270346079</v>
      </c>
      <c r="AC230" s="14">
        <v>10.188210541043929</v>
      </c>
      <c r="AD230" s="34">
        <v>7.9858782611887634E-3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-2.2157930911361645</v>
      </c>
      <c r="AI230" s="14">
        <v>7.9523635313398726</v>
      </c>
      <c r="AJ230" s="14">
        <v>9.4651416459066553</v>
      </c>
      <c r="AK230" s="246">
        <v>-0.23410036257560041</v>
      </c>
      <c r="AL230" s="213">
        <f>IF(U230&gt;0,_xll.xlBondZSpread(F230,H230,G230,J230,K230,L230,M230,D230,U230,"annual",5)*100,"-")</f>
        <v>-22.033065979420286</v>
      </c>
      <c r="AM230" s="266">
        <f>(-IF($AL$9="",VLOOKUP(VLOOKUP(E230,'DB Basis'!$D$2:$H$65205,4,0),Bonds!$AR$1:$AS$6,2,0),$AL$9)*VLOOKUP(E230,'DB Basis'!$D$2:$E$65205,2,0))+IF(V230="",W230,V230)</f>
        <v>3.337833999999873E-2</v>
      </c>
      <c r="AN230" s="275" t="str">
        <f>IF($AN$9+(($AL$9-$AM$9))*('DB Basis'!F390/10-'DB Basis'!E390),," ")</f>
        <v xml:space="preserve"> </v>
      </c>
      <c r="AO230" s="648">
        <f>IF(U230&gt;0,_xll.xlShmImplSwap2(curveName,curveName,D230,G230,,1,8,2,4),"-")</f>
        <v>1.050081009616698E-2</v>
      </c>
      <c r="AP230" s="649">
        <f t="shared" si="24"/>
        <v>-2.5149318349782165E-3</v>
      </c>
      <c r="AQ230" s="391">
        <f t="shared" si="25"/>
        <v>5.6408303991275224</v>
      </c>
      <c r="AR230" s="391">
        <f t="shared" si="26"/>
        <v>-4.04435938035002</v>
      </c>
      <c r="AS230" s="393"/>
      <c r="AT230" s="242">
        <f t="shared" si="27"/>
        <v>0.78764826685697398</v>
      </c>
      <c r="AU230" s="701" t="str">
        <f t="shared" si="23"/>
        <v>OAT  25-Oct-27  2.75</v>
      </c>
      <c r="AV230" s="717"/>
      <c r="AW230" s="699"/>
      <c r="AX230" s="699"/>
      <c r="AY230" s="699"/>
      <c r="AZ230" s="699"/>
      <c r="BA230" s="699"/>
      <c r="BB230" s="698"/>
      <c r="BC230" s="711"/>
      <c r="BE230" s="721">
        <f>_xll.xlDateShiftMonth(BE229,1)</f>
        <v>49854</v>
      </c>
      <c r="BF230" s="722">
        <v>2.6620494175977866E-2</v>
      </c>
    </row>
    <row r="231" spans="1:58">
      <c r="A231" s="10"/>
      <c r="B231" s="11"/>
      <c r="C231" s="12"/>
      <c r="D231" s="735">
        <f>MAX(_xll.xlDateSettle("TARGET",$D$4,2),L231)</f>
        <v>43164</v>
      </c>
      <c r="E231" s="733" t="s">
        <v>1665</v>
      </c>
      <c r="F231" s="13" t="s">
        <v>1543</v>
      </c>
      <c r="G231" s="35">
        <v>46813</v>
      </c>
      <c r="H231" s="37">
        <v>0.1</v>
      </c>
      <c r="I231" s="11">
        <v>46813</v>
      </c>
      <c r="J231" s="11">
        <v>42430</v>
      </c>
      <c r="K231" s="11">
        <v>42795</v>
      </c>
      <c r="L231" s="11">
        <v>42786</v>
      </c>
      <c r="M231" s="12">
        <v>104.18</v>
      </c>
      <c r="N231" s="12" t="s">
        <v>1620</v>
      </c>
      <c r="O231" s="12" t="s">
        <v>1203</v>
      </c>
      <c r="P231" s="12" t="s">
        <v>1621</v>
      </c>
      <c r="Q231" s="15">
        <v>4955000000</v>
      </c>
      <c r="R231" s="12"/>
      <c r="S231" s="43">
        <f>_xll.RtGet("IDN",$N231,IF(OR($G231="BTP,$E11=""CTZ"),S$10,S$9))</f>
        <v>106.58</v>
      </c>
      <c r="T231" s="43">
        <f>_xll.RtGet("IDN",$N231,IF(OR($G231="BTP,$E11=""CTZ"),T$10,T$9))</f>
        <v>106.7</v>
      </c>
      <c r="U231" s="25">
        <f t="shared" si="28"/>
        <v>106.64</v>
      </c>
      <c r="V231" s="12"/>
      <c r="W231" s="25">
        <f t="shared" si="29"/>
        <v>106.64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1E-3</v>
      </c>
      <c r="Y231" s="14">
        <v>9.9459888219837733</v>
      </c>
      <c r="Z231" s="14">
        <v>-10.000489214449599</v>
      </c>
      <c r="AA231" s="14">
        <v>1.0913833921644245</v>
      </c>
      <c r="AB231" s="14">
        <v>1.1033769286309294</v>
      </c>
      <c r="AC231" s="14">
        <v>10.664624065502437</v>
      </c>
      <c r="AD231" s="34">
        <v>-5.4497726359141116E-3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-16.106067392916447</v>
      </c>
      <c r="AI231" s="14">
        <v>9.1735262660830958</v>
      </c>
      <c r="AJ231" s="14">
        <v>9.7827401454136744</v>
      </c>
      <c r="AK231" s="246">
        <v>-1.6463758776693316</v>
      </c>
      <c r="AL231" s="213">
        <f>IF(U231&gt;0,_xll.xlBondZSpread(F231,H231,G231,J231,K231,L231,M231,D231,U231,"annual",5)*100,"-")</f>
        <v>-164.99329442340974</v>
      </c>
      <c r="AM231" s="266" t="e">
        <f>(-IF($AL$9="",VLOOKUP(VLOOKUP(E231,'DB Basis'!$D$2:$H$65205,4,0),Bonds!$AR$1:$AS$6,2,0),$AL$9)*VLOOKUP(E231,'DB Basis'!$D$2:$E$65205,2,0))+IF(V231="",W231,V231)</f>
        <v>#N/A</v>
      </c>
      <c r="AN231" s="275" t="str">
        <f>IF($AN$9+(($AL$9-$AM$9))*('DB Basis'!F391/10-'DB Basis'!E391),," ")</f>
        <v xml:space="preserve"> </v>
      </c>
      <c r="AO231" s="648">
        <f>IF(U231&gt;0,_xll.xlShmImplSwap2(curveName,curveName,D231,G231,,1,8,2,4),"-")</f>
        <v>1.0848734035744323E-2</v>
      </c>
      <c r="AP231" s="649">
        <f t="shared" si="24"/>
        <v>-1.6298506671658435E-2</v>
      </c>
      <c r="AQ231" s="391">
        <f t="shared" si="25"/>
        <v>-383.1259826126992</v>
      </c>
      <c r="AR231" s="391">
        <f t="shared" si="26"/>
        <v>-393.04725120220934</v>
      </c>
      <c r="AS231" s="393"/>
      <c r="AT231" s="242">
        <f t="shared" si="27"/>
        <v>-0.53751182162440558</v>
      </c>
      <c r="AU231" s="701" t="str">
        <f t="shared" si="23"/>
        <v>OAT  01-Mar-28  0.1</v>
      </c>
      <c r="AV231" s="717"/>
      <c r="AW231" s="699"/>
      <c r="AX231" s="699"/>
      <c r="AY231" s="699"/>
      <c r="AZ231" s="699"/>
      <c r="BA231" s="699"/>
      <c r="BB231" s="698"/>
      <c r="BC231" s="711"/>
      <c r="BE231" s="721">
        <f>_xll.xlDateShiftMonth(BE230,1)</f>
        <v>49884</v>
      </c>
      <c r="BF231" s="722">
        <v>2.6651919346247596E-2</v>
      </c>
    </row>
    <row r="232" spans="1:58">
      <c r="A232" s="10"/>
      <c r="B232" s="11"/>
      <c r="C232" s="12"/>
      <c r="D232" s="735">
        <f>MAX(_xll.xlDateSettle("TARGET",$D$4,2),L232)</f>
        <v>43164</v>
      </c>
      <c r="E232" s="733" t="s">
        <v>1666</v>
      </c>
      <c r="F232" s="13" t="s">
        <v>1543</v>
      </c>
      <c r="G232" s="35">
        <v>46898</v>
      </c>
      <c r="H232" s="37">
        <v>0.75</v>
      </c>
      <c r="I232" s="11">
        <v>46898</v>
      </c>
      <c r="J232" s="11">
        <v>42880</v>
      </c>
      <c r="K232" s="11">
        <v>43245</v>
      </c>
      <c r="L232" s="11">
        <v>43017</v>
      </c>
      <c r="M232" s="12">
        <v>98.64</v>
      </c>
      <c r="N232" s="12" t="s">
        <v>1622</v>
      </c>
      <c r="O232" s="12" t="s">
        <v>1222</v>
      </c>
      <c r="P232" s="12" t="s">
        <v>1623</v>
      </c>
      <c r="Q232" s="15">
        <v>19684000000</v>
      </c>
      <c r="R232" s="12"/>
      <c r="S232" s="43">
        <f>_xll.RtGet("IDN",$N232,IF(OR($G232="BTP,$E11=""CTZ"),S$10,S$9))</f>
        <v>98.34</v>
      </c>
      <c r="T232" s="43">
        <f>_xll.RtGet("IDN",$N232,IF(OR($G232="BTP,$E11=""CTZ"),T$10,T$9))</f>
        <v>98.47</v>
      </c>
      <c r="U232" s="25">
        <f t="shared" si="28"/>
        <v>98.405000000000001</v>
      </c>
      <c r="V232" s="12"/>
      <c r="W232" s="25">
        <f t="shared" si="29"/>
        <v>98.405000000000001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0.58399999999999996</v>
      </c>
      <c r="Y232" s="14">
        <v>9.8171437868027347</v>
      </c>
      <c r="Z232" s="14">
        <v>-9.7282233467759767</v>
      </c>
      <c r="AA232" s="14">
        <v>1.0888498826286779</v>
      </c>
      <c r="AB232" s="14">
        <v>1.0692143294696941</v>
      </c>
      <c r="AC232" s="14">
        <v>9.6298731375114244</v>
      </c>
      <c r="AD232" s="34">
        <v>9.1404599832271803E-3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-1.8800852112144897</v>
      </c>
      <c r="AI232" s="14">
        <v>10.095248156009076</v>
      </c>
      <c r="AJ232" s="14">
        <v>9.9931851971518242</v>
      </c>
      <c r="AK232" s="246">
        <v>-0.1881367325955631</v>
      </c>
      <c r="AL232" s="213">
        <f>IF(U232&gt;0,_xll.xlBondZSpread(F232,H232,G232,J232,K232,L232,M232,D232,U232,"annual",5)*100,"-")</f>
        <v>-19.736843634098481</v>
      </c>
      <c r="AM232" s="266">
        <f>(-IF($AL$9="",VLOOKUP(VLOOKUP(E232,'DB Basis'!$D$2:$H$65205,4,0),Bonds!$AR$1:$AS$6,2,0),$AL$9)*VLOOKUP(E232,'DB Basis'!$D$2:$E$65205,2,0))+IF(V232="",W232,V232)</f>
        <v>4.9341328400000037</v>
      </c>
      <c r="AN232" s="275" t="str">
        <f>IF($AN$9+(($AL$9-$AM$9))*('DB Basis'!F392/10-'DB Basis'!E392),," ")</f>
        <v xml:space="preserve"> </v>
      </c>
      <c r="AO232" s="648">
        <f>IF(U232&gt;0,_xll.xlShmImplSwap2(curveName,curveName,D232,G232,,1,8,2,4),"-")</f>
        <v>1.1039664908126683E-2</v>
      </c>
      <c r="AP232" s="649">
        <f t="shared" si="24"/>
        <v>-1.8992049248995023E-3</v>
      </c>
      <c r="AQ232" s="391">
        <f t="shared" si="25"/>
        <v>626.52175364547895</v>
      </c>
      <c r="AR232" s="391">
        <f t="shared" si="26"/>
        <v>618.32295736082472</v>
      </c>
      <c r="AS232" s="393"/>
      <c r="AT232" s="242">
        <f t="shared" si="27"/>
        <v>0.90152482026350267</v>
      </c>
      <c r="AU232" s="701" t="str">
        <f t="shared" si="23"/>
        <v>OAT  25-May-28  0.75</v>
      </c>
      <c r="AV232" s="717"/>
      <c r="AW232" s="699"/>
      <c r="AX232" s="699"/>
      <c r="AY232" s="699"/>
      <c r="AZ232" s="699"/>
      <c r="BA232" s="699"/>
      <c r="BB232" s="698"/>
      <c r="BC232" s="711"/>
      <c r="BE232" s="721">
        <f>_xll.xlDateShiftMonth(BE231,1)</f>
        <v>49915</v>
      </c>
      <c r="BF232" s="722">
        <v>2.6684422920225544E-2</v>
      </c>
    </row>
    <row r="233" spans="1:58">
      <c r="A233" s="10"/>
      <c r="B233" s="11"/>
      <c r="C233" s="12"/>
      <c r="D233" s="735">
        <f>MAX(_xll.xlDateSettle("TARGET",$D$4,2),L233)</f>
        <v>43164</v>
      </c>
      <c r="E233" s="733" t="s">
        <v>713</v>
      </c>
      <c r="F233" s="13" t="s">
        <v>1543</v>
      </c>
      <c r="G233" s="35">
        <v>47233</v>
      </c>
      <c r="H233" s="37">
        <v>5.5</v>
      </c>
      <c r="I233" s="11">
        <v>47233</v>
      </c>
      <c r="J233" s="11">
        <v>35545</v>
      </c>
      <c r="K233" s="11">
        <v>35910</v>
      </c>
      <c r="L233" s="11">
        <v>35866</v>
      </c>
      <c r="M233" s="12">
        <v>97.68</v>
      </c>
      <c r="N233" s="12" t="s">
        <v>1624</v>
      </c>
      <c r="O233" s="12" t="s">
        <v>1203</v>
      </c>
      <c r="P233" s="12" t="s">
        <v>1625</v>
      </c>
      <c r="Q233" s="15">
        <v>30033880458</v>
      </c>
      <c r="R233" s="12"/>
      <c r="S233" s="43">
        <f>_xll.RtGet("IDN",$N233,IF(OR($G233="BTP,$E11=""CTZ"),S$10,S$9))</f>
        <v>148.25399999999999</v>
      </c>
      <c r="T233" s="43">
        <f>_xll.RtGet("IDN",$N233,IF(OR($G233="BTP,$E11=""CTZ"),T$10,T$9))</f>
        <v>148.334</v>
      </c>
      <c r="U233" s="25">
        <f t="shared" si="28"/>
        <v>148.29399999999998</v>
      </c>
      <c r="V233" s="12"/>
      <c r="W233" s="25">
        <f t="shared" si="29"/>
        <v>148.29399999999998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4.7320000000000002</v>
      </c>
      <c r="Y233" s="14">
        <v>8.8410589976442058</v>
      </c>
      <c r="Z233" s="14">
        <v>-8.7605631043912684</v>
      </c>
      <c r="AA233" s="14">
        <v>0.99495397996656365</v>
      </c>
      <c r="AB233" s="14">
        <v>0.97691878535699961</v>
      </c>
      <c r="AC233" s="14">
        <v>13.405942434479812</v>
      </c>
      <c r="AD233" s="34">
        <v>9.1884376233478601E-3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-2.4249823340228378</v>
      </c>
      <c r="AI233" s="14">
        <v>7.064553269787095</v>
      </c>
      <c r="AJ233" s="14">
        <v>10.810603286624398</v>
      </c>
      <c r="AK233" s="246">
        <v>-0.22431517184829025</v>
      </c>
      <c r="AL233" s="213">
        <f>IF(U233&gt;0,_xll.xlBondZSpread(F233,H233,G233,J233,K233,L233,M233,D233,U233,"annual",5)*100,"-")</f>
        <v>-18.358703240883191</v>
      </c>
      <c r="AM233" s="266">
        <f>(-IF($AL$9="",VLOOKUP(VLOOKUP(E233,'DB Basis'!$D$2:$H$65205,4,0),Bonds!$AR$1:$AS$6,2,0),$AL$9)*VLOOKUP(E233,'DB Basis'!$D$2:$E$65205,2,0))+IF(V233="",W233,V233)</f>
        <v>-7.3313600000000179</v>
      </c>
      <c r="AN233" s="275" t="str">
        <f>IF($AN$9+(($AL$9-$AM$9))*('DB Basis'!F393/10-'DB Basis'!E393),," ")</f>
        <v xml:space="preserve"> </v>
      </c>
      <c r="AO233" s="648">
        <f>IF(U233&gt;0,_xll.xlShmImplSwap2(curveName,curveName,D233,G233,,1,8,2,4),"-")</f>
        <v>1.1816310610747748E-2</v>
      </c>
      <c r="AP233" s="649">
        <f t="shared" si="24"/>
        <v>-2.6278729873998874E-3</v>
      </c>
      <c r="AQ233" s="391">
        <f t="shared" si="25"/>
        <v>0.52274145206113831</v>
      </c>
      <c r="AR233" s="391">
        <f t="shared" si="26"/>
        <v>-7.9392191884370318</v>
      </c>
      <c r="AS233" s="393"/>
      <c r="AT233" s="242">
        <f t="shared" si="27"/>
        <v>0.9062568614808848</v>
      </c>
      <c r="AU233" s="701" t="str">
        <f t="shared" si="23"/>
        <v>OAT  25-Apr-29  5.5</v>
      </c>
      <c r="AV233" s="717"/>
      <c r="AW233" s="699"/>
      <c r="AX233" s="699"/>
      <c r="AY233" s="699"/>
      <c r="AZ233" s="699"/>
      <c r="BA233" s="699"/>
      <c r="BB233" s="698"/>
      <c r="BC233" s="711"/>
      <c r="BE233" s="721">
        <f>_xll.xlDateShiftMonth(BE232,1)</f>
        <v>49946</v>
      </c>
      <c r="BF233" s="722">
        <v>2.6716984398340818E-2</v>
      </c>
    </row>
    <row r="234" spans="1:58">
      <c r="A234" s="10"/>
      <c r="B234" s="11"/>
      <c r="C234" s="12"/>
      <c r="D234" s="735">
        <f>MAX(_xll.xlDateSettle("TARGET",$D$4,2),L234)</f>
        <v>43164</v>
      </c>
      <c r="E234" s="733" t="s">
        <v>424</v>
      </c>
      <c r="F234" s="13" t="s">
        <v>1543</v>
      </c>
      <c r="G234" s="35">
        <v>47628</v>
      </c>
      <c r="H234" s="37">
        <v>2.5</v>
      </c>
      <c r="I234" s="11">
        <v>47628</v>
      </c>
      <c r="J234" s="11">
        <v>41419</v>
      </c>
      <c r="K234" s="11">
        <v>41784</v>
      </c>
      <c r="L234" s="11">
        <v>41765</v>
      </c>
      <c r="M234" s="12">
        <v>98.18</v>
      </c>
      <c r="N234" s="12" t="s">
        <v>1626</v>
      </c>
      <c r="O234" s="12" t="s">
        <v>1203</v>
      </c>
      <c r="P234" s="12" t="s">
        <v>1627</v>
      </c>
      <c r="Q234" s="15">
        <v>33208000000</v>
      </c>
      <c r="R234" s="12"/>
      <c r="S234" s="43">
        <f>_xll.RtGet("IDN",$N234,IF(OR($G234="BTP,$E11=""CTZ"),S$10,S$9))</f>
        <v>116.41</v>
      </c>
      <c r="T234" s="43">
        <f>_xll.RtGet("IDN",$N234,IF(OR($G234="BTP,$E11=""CTZ"),T$10,T$9))</f>
        <v>116.63</v>
      </c>
      <c r="U234" s="25">
        <f t="shared" si="28"/>
        <v>116.52</v>
      </c>
      <c r="V234" s="12"/>
      <c r="W234" s="25">
        <f t="shared" si="29"/>
        <v>116.52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1.9450000000000001</v>
      </c>
      <c r="Y234" s="14">
        <v>10.640782707699675</v>
      </c>
      <c r="Z234" s="14">
        <v>-10.529977916085702</v>
      </c>
      <c r="AA234" s="14">
        <v>1.3468353162528057</v>
      </c>
      <c r="AB234" s="14">
        <v>1.3189315805729793</v>
      </c>
      <c r="AC234" s="14">
        <v>12.474341922778365</v>
      </c>
      <c r="AD234" s="34">
        <v>1.0522794297963042E-2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-2.2296305569041381</v>
      </c>
      <c r="AI234" s="14">
        <v>9.9259201236144854</v>
      </c>
      <c r="AJ234" s="14">
        <v>11.758741274439899</v>
      </c>
      <c r="AK234" s="861">
        <v>-0.18961473042618196</v>
      </c>
      <c r="AL234" s="213">
        <f>IF(U234&gt;0,_xll.xlBondZSpread(F234,H234,G234,J234,K234,L234,M234,D234,U234,"annual",5)*100,"-")</f>
        <v>-18.125596788886476</v>
      </c>
      <c r="AM234" s="266">
        <f>(-IF($AL$9="",VLOOKUP(VLOOKUP(E234,'DB Basis'!$D$2:$H$65205,4,0),Bonds!$AR$1:$AS$6,2,0),$AL$9)*VLOOKUP(E234,'DB Basis'!$D$2:$E$65205,2,0))+IF(V234="",W234,V234)</f>
        <v>-27.264300000000006</v>
      </c>
      <c r="AN234" s="275" t="str">
        <f>IF($AN$9+(($AL$9-$AM$9))*('DB Basis'!F394/10-'DB Basis'!E394),," ")</f>
        <v xml:space="preserve"> </v>
      </c>
      <c r="AO234" s="648">
        <f>IF(U234&gt;0,_xll.xlShmImplSwap2(curveName,curveName,D234,G234,,1,8,2,4),"-")</f>
        <v>1.2620362676934732E-2</v>
      </c>
      <c r="AP234" s="649">
        <f t="shared" si="24"/>
        <v>-2.0975683789716901E-3</v>
      </c>
      <c r="AQ234" s="391">
        <f t="shared" si="25"/>
        <v>12.330131297076996</v>
      </c>
      <c r="AR234" s="391">
        <f t="shared" si="26"/>
        <v>4.9002830905390375</v>
      </c>
      <c r="AS234" s="393"/>
      <c r="AT234" s="242">
        <f t="shared" si="27"/>
        <v>1.0378646430867657</v>
      </c>
      <c r="AU234" s="701" t="str">
        <f t="shared" si="23"/>
        <v>OAT  25-May-30  2.5</v>
      </c>
      <c r="AV234" s="717"/>
      <c r="AW234" s="699"/>
      <c r="AX234" s="699"/>
      <c r="AY234" s="699"/>
      <c r="AZ234" s="699"/>
      <c r="BA234" s="699"/>
      <c r="BB234" s="698"/>
      <c r="BC234" s="711"/>
      <c r="BE234" s="721">
        <f>_xll.xlDateShiftMonth(BE233,1)</f>
        <v>49976</v>
      </c>
      <c r="BF234" s="722">
        <v>2.6748575869774988E-2</v>
      </c>
    </row>
    <row r="235" spans="1:58">
      <c r="A235" s="10"/>
      <c r="B235" s="11"/>
      <c r="C235" s="12"/>
      <c r="D235" s="735">
        <f>MAX(_xll.xlDateSettle("TARGET",$D$4,2),L235)</f>
        <v>43164</v>
      </c>
      <c r="E235" s="733" t="s">
        <v>791</v>
      </c>
      <c r="F235" s="13" t="s">
        <v>1543</v>
      </c>
      <c r="G235" s="35">
        <v>47993</v>
      </c>
      <c r="H235" s="37">
        <v>1.5</v>
      </c>
      <c r="I235" s="11">
        <v>47993</v>
      </c>
      <c r="J235" s="11">
        <v>42149</v>
      </c>
      <c r="K235" s="11">
        <v>42515</v>
      </c>
      <c r="L235" s="11">
        <v>42282</v>
      </c>
      <c r="M235" s="12">
        <v>100.09</v>
      </c>
      <c r="N235" s="12" t="s">
        <v>1628</v>
      </c>
      <c r="O235" s="12" t="s">
        <v>1203</v>
      </c>
      <c r="P235" s="12" t="s">
        <v>1629</v>
      </c>
      <c r="Q235" s="15">
        <v>35834000000</v>
      </c>
      <c r="R235" s="12"/>
      <c r="S235" s="43">
        <f>_xll.RtGet("IDN",$N235,IF(OR($G235="BTP,$E11=""CTZ"),S$10,S$9))</f>
        <v>104.31</v>
      </c>
      <c r="T235" s="43">
        <f>_xll.RtGet("IDN",$N235,IF(OR($G235="BTP,$E11=""CTZ"),T$10,T$9))</f>
        <v>104.45</v>
      </c>
      <c r="U235" s="25">
        <f t="shared" si="28"/>
        <v>104.38</v>
      </c>
      <c r="V235" s="12"/>
      <c r="W235" s="25">
        <f t="shared" si="29"/>
        <v>104.38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1.167</v>
      </c>
      <c r="Y235" s="14">
        <v>11.988359039151385</v>
      </c>
      <c r="Z235" s="14">
        <v>-11.853100847926308</v>
      </c>
      <c r="AA235" s="14">
        <v>1.6542799275364457</v>
      </c>
      <c r="AB235" s="14">
        <v>1.6171618103622438</v>
      </c>
      <c r="AC235" s="14">
        <v>12.510596773111615</v>
      </c>
      <c r="AD235" s="34">
        <v>1.141119820414613E-2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-2.2218977241619271</v>
      </c>
      <c r="AI235" s="14">
        <v>11.945896596060638</v>
      </c>
      <c r="AJ235" s="14">
        <v>12.608535480244122</v>
      </c>
      <c r="AK235" s="246">
        <v>-0.17622171327061217</v>
      </c>
      <c r="AL235" s="213">
        <f>IF(U235&gt;0,_xll.xlBondZSpread(F235,H235,G235,J235,K235,L235,M235,D235,U235,"annual",5)*100,"-")</f>
        <v>-18.016516422540015</v>
      </c>
      <c r="AM235" s="266">
        <f>(-IF($AL$9="",VLOOKUP(VLOOKUP(E235,'DB Basis'!$D$2:$H$65205,4,0),Bonds!$AR$1:$AS$6,2,0),$AL$9)*VLOOKUP(E235,'DB Basis'!$D$2:$E$65205,2,0))+IF(V235="",W235,V235)</f>
        <v>-39.558080000000018</v>
      </c>
      <c r="AN235" s="275" t="str">
        <f>IF($AN$9+(($AL$9-$AM$9))*('DB Basis'!F395/10-'DB Basis'!E395),," ")</f>
        <v xml:space="preserve"> </v>
      </c>
      <c r="AO235" s="648">
        <f>IF(U235&gt;0,_xll.xlShmImplSwap2(curveName,curveName,D235,G235,,1,8,2,4),"-")</f>
        <v>1.3255883430241644E-2</v>
      </c>
      <c r="AP235" s="649">
        <f t="shared" si="24"/>
        <v>-1.8446852260955143E-3</v>
      </c>
      <c r="AQ235" s="391">
        <f t="shared" si="25"/>
        <v>8.8840390618308813</v>
      </c>
      <c r="AR235" s="391">
        <f t="shared" si="26"/>
        <v>2.5288315287617587</v>
      </c>
      <c r="AS235" s="393"/>
      <c r="AT235" s="242">
        <f t="shared" si="27"/>
        <v>1.1254880420527689</v>
      </c>
      <c r="AU235" s="701" t="str">
        <f t="shared" si="23"/>
        <v>OAT  25-May-31  1.5</v>
      </c>
      <c r="AV235" s="717"/>
      <c r="AW235" s="699"/>
      <c r="AX235" s="699"/>
      <c r="AY235" s="699"/>
      <c r="AZ235" s="699"/>
      <c r="BA235" s="699"/>
      <c r="BB235" s="698"/>
      <c r="BC235" s="711"/>
      <c r="BE235" s="721">
        <f>_xll.xlDateShiftMonth(BE234,1)</f>
        <v>50007</v>
      </c>
      <c r="BF235" s="722">
        <v>2.678132950479074E-2</v>
      </c>
    </row>
    <row r="236" spans="1:58">
      <c r="A236" s="10"/>
      <c r="B236" s="11"/>
      <c r="C236" s="12"/>
      <c r="D236" s="735">
        <f>MAX(_xll.xlDateSettle("TARGET",$D$4,2),L236)</f>
        <v>43164</v>
      </c>
      <c r="E236" s="733" t="s">
        <v>714</v>
      </c>
      <c r="F236" s="13" t="s">
        <v>1543</v>
      </c>
      <c r="G236" s="35">
        <v>48512</v>
      </c>
      <c r="H236" s="37">
        <v>5.75</v>
      </c>
      <c r="I236" s="11">
        <v>48512</v>
      </c>
      <c r="J236" s="11">
        <v>36824</v>
      </c>
      <c r="K236" s="11">
        <v>37189</v>
      </c>
      <c r="L236" s="11">
        <v>37054</v>
      </c>
      <c r="M236" s="12">
        <v>99</v>
      </c>
      <c r="N236" s="12" t="s">
        <v>1630</v>
      </c>
      <c r="O236" s="12" t="s">
        <v>1203</v>
      </c>
      <c r="P236" s="12" t="s">
        <v>1631</v>
      </c>
      <c r="Q236" s="15">
        <v>32162322600</v>
      </c>
      <c r="R236" s="12"/>
      <c r="S236" s="43">
        <f>_xll.RtGet("IDN",$N236,IF(OR($G236="BTP,$E11=""CTZ"),S$10,S$9))</f>
        <v>161.84800000000001</v>
      </c>
      <c r="T236" s="43">
        <f>_xll.RtGet("IDN",$N236,IF(OR($G236="BTP,$E11=""CTZ"),T$10,T$9))</f>
        <v>161.988</v>
      </c>
      <c r="U236" s="25">
        <f t="shared" si="28"/>
        <v>161.91800000000001</v>
      </c>
      <c r="V236" s="12"/>
      <c r="W236" s="25">
        <f t="shared" si="29"/>
        <v>161.91800000000001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2.0640000000000001</v>
      </c>
      <c r="Y236" s="14">
        <v>11.157797257433735</v>
      </c>
      <c r="Z236" s="14">
        <v>-11.032548821735853</v>
      </c>
      <c r="AA236" s="14">
        <v>1.5764211510094455</v>
      </c>
      <c r="AB236" s="14">
        <v>1.5412285223083797</v>
      </c>
      <c r="AC236" s="14">
        <v>18.091400830414273</v>
      </c>
      <c r="AD236" s="34">
        <v>1.1352628141224411E-2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-3.0310783869564646</v>
      </c>
      <c r="AI236" s="14">
        <v>8.4072252951786588</v>
      </c>
      <c r="AJ236" s="14">
        <v>13.786336183539868</v>
      </c>
      <c r="AK236" s="246">
        <v>-0.21986105275565584</v>
      </c>
      <c r="AL236" s="213">
        <f>IF(U236&gt;0,_xll.xlBondZSpread(F236,H236,G236,J236,K236,L236,M236,D236,U236,"annual",5)*100,"-")</f>
        <v>-17.095955198972661</v>
      </c>
      <c r="AM236" s="266">
        <f>(-IF($AL$9="",VLOOKUP(VLOOKUP(E236,'DB Basis'!$D$2:$H$65205,4,0),Bonds!$AR$1:$AS$6,2,0),$AL$9)*VLOOKUP(E236,'DB Basis'!$D$2:$E$65205,2,0))+IF(V236="",W236,V236)</f>
        <v>-46.453900000000004</v>
      </c>
      <c r="AN236" s="275" t="str">
        <f>IF($AN$9+(($AL$9-$AM$9))*('DB Basis'!F396/10-'DB Basis'!E396),," ")</f>
        <v xml:space="preserve"> </v>
      </c>
      <c r="AO236" s="648">
        <f>IF(U236&gt;0,_xll.xlShmImplSwap2(curveName,curveName,D236,G236,,1,8,2,4),"-")</f>
        <v>1.4007335952205555E-2</v>
      </c>
      <c r="AP236" s="649">
        <f t="shared" si="24"/>
        <v>-2.6547078109811443E-3</v>
      </c>
      <c r="AQ236" s="391">
        <f t="shared" si="25"/>
        <v>-0.41190892035505672</v>
      </c>
      <c r="AR236" s="391">
        <f t="shared" si="26"/>
        <v>-5.6966906258815992</v>
      </c>
      <c r="AS236" s="393"/>
      <c r="AT236" s="242">
        <f t="shared" si="27"/>
        <v>1.1197112687235036</v>
      </c>
      <c r="AU236" s="701" t="str">
        <f t="shared" si="23"/>
        <v>OAT  25-Oct-32  5.75</v>
      </c>
      <c r="AV236" s="717"/>
      <c r="AW236" s="699"/>
      <c r="AX236" s="699"/>
      <c r="AY236" s="699"/>
      <c r="AZ236" s="699"/>
      <c r="BA236" s="699"/>
      <c r="BB236" s="698"/>
      <c r="BC236" s="711"/>
      <c r="BE236" s="721">
        <f>_xll.xlDateShiftMonth(BE235,1)</f>
        <v>50037</v>
      </c>
      <c r="BF236" s="722">
        <v>2.6813157122523135E-2</v>
      </c>
    </row>
    <row r="237" spans="1:58">
      <c r="A237" s="10"/>
      <c r="B237" s="11"/>
      <c r="C237" s="12"/>
      <c r="D237" s="735">
        <f>MAX(_xll.xlDateSettle("TARGET",$D$4,2),L237)</f>
        <v>43164</v>
      </c>
      <c r="E237" s="733" t="s">
        <v>2033</v>
      </c>
      <c r="F237" s="13" t="s">
        <v>1543</v>
      </c>
      <c r="G237" s="35">
        <v>49089</v>
      </c>
      <c r="H237" s="37">
        <v>1.25</v>
      </c>
      <c r="I237" s="11">
        <v>49089</v>
      </c>
      <c r="J237" s="11">
        <v>42880</v>
      </c>
      <c r="K237" s="11">
        <v>43245</v>
      </c>
      <c r="L237" s="11">
        <v>43136</v>
      </c>
      <c r="M237" s="12">
        <v>98.79</v>
      </c>
      <c r="N237" s="12" t="s">
        <v>2034</v>
      </c>
      <c r="O237" s="12" t="s">
        <v>1222</v>
      </c>
      <c r="P237" s="12" t="s">
        <v>2035</v>
      </c>
      <c r="Q237" s="15">
        <v>3310000000</v>
      </c>
      <c r="R237" s="12"/>
      <c r="S237" s="43">
        <f>_xll.RtGet("IDN",$N237,IF(OR($G237="BTP,$E11=""CTZ"),S$10,S$9))</f>
        <v>99.14</v>
      </c>
      <c r="T237" s="43">
        <f>_xll.RtGet("IDN",$N237,IF(OR($G237="BTP,$E11=""CTZ"),T$10,T$9))</f>
        <v>99.490000000000009</v>
      </c>
      <c r="U237" s="25">
        <f t="shared" si="28"/>
        <v>99.314999999999998</v>
      </c>
      <c r="V237" s="12"/>
      <c r="W237" s="25">
        <f t="shared" si="29"/>
        <v>99.314999999999998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0.97299999999999998</v>
      </c>
      <c r="Y237" s="14">
        <v>14.635157434547828</v>
      </c>
      <c r="Z237" s="14">
        <v>-14.447773594581948</v>
      </c>
      <c r="AA237" s="14">
        <v>2.4406183762007401</v>
      </c>
      <c r="AB237" s="14">
        <v>2.3785206944181354</v>
      </c>
      <c r="AC237" s="14">
        <v>14.489390219668508</v>
      </c>
      <c r="AD237" s="34">
        <v>1.2969738116858453E-2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-2.5121233800258262</v>
      </c>
      <c r="AI237" s="14">
        <v>15.01327676899618</v>
      </c>
      <c r="AJ237" s="14">
        <v>15.056515006090889</v>
      </c>
      <c r="AK237" s="246">
        <v>-0.16684627080101766</v>
      </c>
      <c r="AL237" s="213">
        <f>IF(U237&gt;0,_xll.xlBondZSpread(F237,H237,G237,J237,K237,L237,M237,D237,U237,"annual",5)*100,"-")</f>
        <v>-17.643411620018018</v>
      </c>
      <c r="AM237" s="266" t="e">
        <f>(-IF($AL$9="",VLOOKUP(VLOOKUP(E237,'DB Basis'!$D$2:$H$65205,4,0),Bonds!$AR$1:$AS$6,2,0),$AL$9)*VLOOKUP(E237,'DB Basis'!$D$2:$E$65205,2,0))+IF(V237="",W237,V237)</f>
        <v>#N/A</v>
      </c>
      <c r="AN237" s="275" t="str">
        <f>IF($AN$9+(($AL$9-$AM$9))*('DB Basis'!F397/10-'DB Basis'!E397),," ")</f>
        <v xml:space="preserve"> </v>
      </c>
      <c r="AO237" s="648">
        <f>IF(U237&gt;0,_xll.xlShmImplSwap2(curveName,curveName,D237,G237,,1,8,2,4),"-")</f>
        <v>1.4663161065022825E-2</v>
      </c>
      <c r="AP237" s="649">
        <f t="shared" si="24"/>
        <v>-1.6934229481643717E-3</v>
      </c>
      <c r="AQ237" s="391">
        <f t="shared" si="25"/>
        <v>10.229551838932853</v>
      </c>
      <c r="AR237" s="391">
        <f t="shared" si="26"/>
        <v>6.0809181096728251</v>
      </c>
      <c r="AS237" s="393"/>
      <c r="AT237" s="242">
        <f t="shared" si="27"/>
        <v>1.2792070471422037</v>
      </c>
      <c r="AU237" s="701" t="str">
        <f t="shared" si="23"/>
        <v>OAT  25-May-34  1.25</v>
      </c>
      <c r="AV237" s="717"/>
      <c r="AW237" s="699"/>
      <c r="AX237" s="699"/>
      <c r="AY237" s="699"/>
      <c r="AZ237" s="699"/>
      <c r="BA237" s="699"/>
      <c r="BB237" s="698"/>
      <c r="BC237" s="711"/>
      <c r="BE237" s="721">
        <f>_xll.xlDateShiftMonth(BE236,1)</f>
        <v>50068</v>
      </c>
      <c r="BF237" s="722">
        <v>2.684620663632141E-2</v>
      </c>
    </row>
    <row r="238" spans="1:58">
      <c r="A238" s="10"/>
      <c r="B238" s="11"/>
      <c r="C238" s="12"/>
      <c r="D238" s="735">
        <f>MAX(_xll.xlDateSettle("TARGET",$D$4,2),L238)</f>
        <v>43164</v>
      </c>
      <c r="E238" s="733" t="s">
        <v>715</v>
      </c>
      <c r="F238" s="13" t="s">
        <v>1543</v>
      </c>
      <c r="G238" s="35">
        <v>49424</v>
      </c>
      <c r="H238" s="37">
        <v>4.75</v>
      </c>
      <c r="I238" s="11">
        <v>49424</v>
      </c>
      <c r="J238" s="11">
        <v>37736</v>
      </c>
      <c r="K238" s="11">
        <v>38102</v>
      </c>
      <c r="L238" s="11">
        <v>38083</v>
      </c>
      <c r="M238" s="12">
        <v>99.54</v>
      </c>
      <c r="N238" s="12" t="s">
        <v>1632</v>
      </c>
      <c r="O238" s="12" t="s">
        <v>1203</v>
      </c>
      <c r="P238" s="12" t="s">
        <v>1633</v>
      </c>
      <c r="Q238" s="15">
        <v>26678000000</v>
      </c>
      <c r="R238" s="12"/>
      <c r="S238" s="43">
        <f>_xll.RtGet("IDN",$N238,IF(OR($G238="BTP,$E11=""CTZ"),S$10,S$9))</f>
        <v>153.566</v>
      </c>
      <c r="T238" s="43">
        <f>_xll.RtGet("IDN",$N238,IF(OR($G238="BTP,$E11=""CTZ"),T$10,T$9))</f>
        <v>153.70600000000002</v>
      </c>
      <c r="U238" s="25">
        <f t="shared" si="28"/>
        <v>153.63600000000002</v>
      </c>
      <c r="V238" s="12"/>
      <c r="W238" s="25">
        <f t="shared" si="29"/>
        <v>153.63600000000002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4.0860000000000003</v>
      </c>
      <c r="Y238" s="14">
        <v>12.829901223069909</v>
      </c>
      <c r="Z238" s="14">
        <v>-12.671140457310083</v>
      </c>
      <c r="AA238" s="14">
        <v>2.1003589071052056</v>
      </c>
      <c r="AB238" s="14">
        <v>2.0486996693925188</v>
      </c>
      <c r="AC238" s="14">
        <v>19.985185813649764</v>
      </c>
      <c r="AD238" s="34">
        <v>1.2529319091309363E-2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-3.2522115255883</v>
      </c>
      <c r="AI238" s="14">
        <v>10.001426357721881</v>
      </c>
      <c r="AJ238" s="14">
        <v>15.774449679926109</v>
      </c>
      <c r="AK238" s="246">
        <v>-0.2061695711468739</v>
      </c>
      <c r="AL238" s="213">
        <f>IF(U238&gt;0,_xll.xlBondZSpread(F238,H238,G238,J238,K238,L238,M238,D238,U238,"annual",5)*100,"-")</f>
        <v>-16.652034158723836</v>
      </c>
      <c r="AM238" s="266">
        <f>(-IF($AL$9="",VLOOKUP(VLOOKUP(E238,'DB Basis'!$D$2:$H$65205,4,0),Bonds!$AR$1:$AS$6,2,0),$AL$9)*VLOOKUP(E238,'DB Basis'!$D$2:$E$65205,2,0))+IF(V238="",W238,V238)</f>
        <v>-75.649979999999999</v>
      </c>
      <c r="AN238" s="275" t="str">
        <f>IF($AN$9+(($AL$9-$AM$9))*('DB Basis'!F398/10-'DB Basis'!E398),," ")</f>
        <v xml:space="preserve"> </v>
      </c>
      <c r="AO238" s="648">
        <f>IF(U238&gt;0,_xll.xlShmImplSwap2(curveName,curveName,D238,G238,,1,8,2,4),"-")</f>
        <v>1.4971254919470862E-2</v>
      </c>
      <c r="AP238" s="649">
        <f t="shared" si="24"/>
        <v>-2.4419358281614987E-3</v>
      </c>
      <c r="AQ238" s="391">
        <f t="shared" si="25"/>
        <v>-4.7985953529975456</v>
      </c>
      <c r="AR238" s="391">
        <f t="shared" si="26"/>
        <v>-8.155438841759743</v>
      </c>
      <c r="AS238" s="393"/>
      <c r="AT238" s="242">
        <f t="shared" si="27"/>
        <v>1.2357684583209234</v>
      </c>
      <c r="AU238" s="701" t="str">
        <f t="shared" si="23"/>
        <v>OAT  25-Apr-35  4.75</v>
      </c>
      <c r="AV238" s="717"/>
      <c r="AW238" s="699"/>
      <c r="AX238" s="699"/>
      <c r="AY238" s="699"/>
      <c r="AZ238" s="699"/>
      <c r="BA238" s="699"/>
      <c r="BB238" s="698"/>
      <c r="BC238" s="711"/>
      <c r="BE238" s="721">
        <f>_xll.xlDateShiftMonth(BE237,1)</f>
        <v>50099</v>
      </c>
      <c r="BF238" s="722">
        <v>2.6879345663431677E-2</v>
      </c>
    </row>
    <row r="239" spans="1:58">
      <c r="A239" s="10"/>
      <c r="B239" s="11"/>
      <c r="C239" s="12"/>
      <c r="D239" s="735">
        <f>MAX(_xll.xlDateSettle("TARGET",$D$4,2),L239)</f>
        <v>43164</v>
      </c>
      <c r="E239" s="733" t="s">
        <v>885</v>
      </c>
      <c r="F239" s="13" t="s">
        <v>1543</v>
      </c>
      <c r="G239" s="35">
        <v>49820</v>
      </c>
      <c r="H239" s="37">
        <v>1.25</v>
      </c>
      <c r="I239" s="11">
        <v>49820</v>
      </c>
      <c r="J239" s="11">
        <v>42149</v>
      </c>
      <c r="K239" s="11">
        <v>42515</v>
      </c>
      <c r="L239" s="11">
        <v>42479</v>
      </c>
      <c r="M239" s="12">
        <v>98.944999999999993</v>
      </c>
      <c r="N239" s="12" t="s">
        <v>1634</v>
      </c>
      <c r="O239" s="12" t="s">
        <v>1222</v>
      </c>
      <c r="P239" s="12" t="s">
        <v>1635</v>
      </c>
      <c r="Q239" s="15">
        <v>24283000000</v>
      </c>
      <c r="R239" s="12"/>
      <c r="S239" s="43">
        <f>_xll.RtGet("IDN",$N239,IF(OR($G239="BTP,$E11=""CTZ"),S$10,S$9))</f>
        <v>97.38</v>
      </c>
      <c r="T239" s="43">
        <f>_xll.RtGet("IDN",$N239,IF(OR($G239="BTP,$E11=""CTZ"),T$10,T$9))</f>
        <v>98</v>
      </c>
      <c r="U239" s="25">
        <f t="shared" si="28"/>
        <v>97.69</v>
      </c>
      <c r="V239" s="12"/>
      <c r="W239" s="25">
        <f t="shared" si="29"/>
        <v>97.69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0.97299999999999998</v>
      </c>
      <c r="Y239" s="14">
        <v>16.221514629459211</v>
      </c>
      <c r="Z239" s="14">
        <v>-15.998445950763545</v>
      </c>
      <c r="AA239" s="14">
        <v>3.0054316952034696</v>
      </c>
      <c r="AB239" s="14">
        <v>2.9233421864736138</v>
      </c>
      <c r="AC239" s="14">
        <v>15.784556159854901</v>
      </c>
      <c r="AD239" s="34">
        <v>1.3943146143012257E-2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-2.2068839182586113</v>
      </c>
      <c r="AI239" s="14">
        <v>16.832896350717334</v>
      </c>
      <c r="AJ239" s="14">
        <v>16.607840526508241</v>
      </c>
      <c r="AK239" s="246">
        <v>-0.13288205138628001</v>
      </c>
      <c r="AL239" s="213">
        <f>IF(U239&gt;0,_xll.xlBondZSpread(F239,H239,G239,J239,K239,L239,M239,D239,U239,"annual",5)*100,"-")</f>
        <v>-14.214857369806847</v>
      </c>
      <c r="AM239" s="266">
        <f>(-IF($AL$9="",VLOOKUP(VLOOKUP(E239,'DB Basis'!$D$2:$H$65205,4,0),Bonds!$AR$1:$AS$6,2,0),$AL$9)*VLOOKUP(E239,'DB Basis'!$D$2:$E$65205,2,0))+IF(V239="",W239,V239)</f>
        <v>-82.386380000000003</v>
      </c>
      <c r="AN239" s="275" t="str">
        <f>IF($AN$9+(($AL$9-$AM$9))*('DB Basis'!F399/10-'DB Basis'!E399),," ")</f>
        <v xml:space="preserve"> </v>
      </c>
      <c r="AO239" s="648">
        <f>IF(U239&gt;0,_xll.xlShmImplSwap2(curveName,curveName,D239,G239,,1,8,2,4),"-")</f>
        <v>1.5269236316334995E-2</v>
      </c>
      <c r="AP239" s="649">
        <f t="shared" si="24"/>
        <v>-1.3260901733227384E-3</v>
      </c>
      <c r="AQ239" s="391">
        <f t="shared" si="25"/>
        <v>13.031486713928182</v>
      </c>
      <c r="AR239" s="391">
        <f t="shared" si="26"/>
        <v>10.284941010508776</v>
      </c>
      <c r="AS239" s="393"/>
      <c r="AT239" s="242">
        <f t="shared" si="27"/>
        <v>1.3752144141053184</v>
      </c>
      <c r="AU239" s="701" t="str">
        <f t="shared" si="23"/>
        <v>OAT  25-May-36  1.25</v>
      </c>
      <c r="AV239" s="717"/>
      <c r="AW239" s="699"/>
      <c r="AX239" s="699"/>
      <c r="AY239" s="699"/>
      <c r="AZ239" s="699"/>
      <c r="BA239" s="699"/>
      <c r="BB239" s="698"/>
      <c r="BC239" s="711"/>
      <c r="BE239" s="721">
        <f>_xll.xlDateShiftMonth(BE238,1)</f>
        <v>50127</v>
      </c>
      <c r="BF239" s="722">
        <v>2.6909224937000393E-2</v>
      </c>
    </row>
    <row r="240" spans="1:58">
      <c r="A240" s="10"/>
      <c r="B240" s="11"/>
      <c r="C240" s="12"/>
      <c r="D240" s="735">
        <f>MAX(_xll.xlDateSettle("TARGET",$D$4,2),L240)</f>
        <v>43164</v>
      </c>
      <c r="E240" s="733" t="s">
        <v>716</v>
      </c>
      <c r="F240" s="13" t="s">
        <v>1543</v>
      </c>
      <c r="G240" s="35">
        <v>50703</v>
      </c>
      <c r="H240" s="37">
        <v>4</v>
      </c>
      <c r="I240" s="11">
        <v>50703</v>
      </c>
      <c r="J240" s="11">
        <v>38650</v>
      </c>
      <c r="K240" s="11">
        <v>39015</v>
      </c>
      <c r="L240" s="11">
        <v>38972</v>
      </c>
      <c r="M240" s="12">
        <v>98.25</v>
      </c>
      <c r="N240" s="12" t="s">
        <v>1636</v>
      </c>
      <c r="O240" s="12" t="s">
        <v>1203</v>
      </c>
      <c r="P240" s="12" t="s">
        <v>1637</v>
      </c>
      <c r="Q240" s="15">
        <v>26534000000</v>
      </c>
      <c r="R240" s="12"/>
      <c r="S240" s="43">
        <f>_xll.RtGet("IDN",$N240,IF(OR($G240="BTP,$E11=""CTZ"),S$10,S$9))</f>
        <v>146.11500000000001</v>
      </c>
      <c r="T240" s="43">
        <f>_xll.RtGet("IDN",$N240,IF(OR($G240="BTP,$E11=""CTZ"),T$10,T$9))</f>
        <v>146.255</v>
      </c>
      <c r="U240" s="25">
        <f t="shared" si="28"/>
        <v>146.185</v>
      </c>
      <c r="V240" s="12"/>
      <c r="W240" s="25">
        <f t="shared" si="29"/>
        <v>146.185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1.4359999999999999</v>
      </c>
      <c r="Y240" s="14">
        <v>15.467319262059137</v>
      </c>
      <c r="Z240" s="14">
        <v>-15.25284685538508</v>
      </c>
      <c r="AA240" s="14">
        <v>3.0029049833347101</v>
      </c>
      <c r="AB240" s="14">
        <v>2.9202047993419429</v>
      </c>
      <c r="AC240" s="14">
        <v>22.516420212876653</v>
      </c>
      <c r="AD240" s="34">
        <v>1.4061139343825284E-2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-2.3342905873617834</v>
      </c>
      <c r="AI240" s="14">
        <v>12.461275666483443</v>
      </c>
      <c r="AJ240" s="14">
        <v>18.395459751619526</v>
      </c>
      <c r="AK240" s="246">
        <v>-0.12689493053612147</v>
      </c>
      <c r="AL240" s="213">
        <f>IF(U240&gt;0,_xll.xlBondZSpread(F240,H240,G240,J240,K240,L240,M240,D240,U240,"annual",5)*100,"-")</f>
        <v>-10.589710495580222</v>
      </c>
      <c r="AM240" s="266">
        <f>(-IF($AL$9="",VLOOKUP(VLOOKUP(E240,'DB Basis'!$D$2:$H$65205,4,0),Bonds!$AR$1:$AS$6,2,0),$AL$9)*VLOOKUP(E240,'DB Basis'!$D$2:$E$65205,2,0))+IF(V240="",W240,V240)</f>
        <v>-111.24271999999996</v>
      </c>
      <c r="AN240" s="275" t="str">
        <f>IF($AN$9+(($AL$9-$AM$9))*('DB Basis'!F400/10-'DB Basis'!E400),," ")</f>
        <v xml:space="preserve"> </v>
      </c>
      <c r="AO240" s="648">
        <f>IF(U240&gt;0,_xll.xlShmImplSwap2(curveName,curveName,D240,G240,,1,8,2,4),"-")</f>
        <v>1.572053314293154E-2</v>
      </c>
      <c r="AP240" s="649">
        <f t="shared" si="24"/>
        <v>-1.6593937991062555E-3</v>
      </c>
      <c r="AQ240" s="391">
        <f t="shared" si="25"/>
        <v>0.48774086406291273</v>
      </c>
      <c r="AR240" s="391">
        <f t="shared" si="26"/>
        <v>-1.3777556445185022</v>
      </c>
      <c r="AS240" s="393"/>
      <c r="AT240" s="242">
        <f t="shared" si="27"/>
        <v>1.3868520996649596</v>
      </c>
      <c r="AU240" s="701" t="str">
        <f t="shared" si="23"/>
        <v>OAT  25-Oct-38  4</v>
      </c>
      <c r="AV240" s="717"/>
      <c r="AW240" s="699"/>
      <c r="AX240" s="699"/>
      <c r="AY240" s="699"/>
      <c r="AZ240" s="699"/>
      <c r="BA240" s="699"/>
      <c r="BB240" s="698"/>
      <c r="BC240" s="711"/>
      <c r="BE240" s="721">
        <f>_xll.xlDateShiftMonth(BE239,1)</f>
        <v>50158</v>
      </c>
      <c r="BF240" s="722">
        <v>2.6942245475281418E-2</v>
      </c>
    </row>
    <row r="241" spans="1:58">
      <c r="A241" s="10"/>
      <c r="B241" s="11"/>
      <c r="C241" s="12"/>
      <c r="D241" s="735">
        <f>MAX(_xll.xlDateSettle("TARGET",$D$4,2),L241)</f>
        <v>43164</v>
      </c>
      <c r="E241" s="733" t="s">
        <v>950</v>
      </c>
      <c r="F241" s="13" t="s">
        <v>1543</v>
      </c>
      <c r="G241" s="35">
        <v>50946</v>
      </c>
      <c r="H241" s="37">
        <v>1.75</v>
      </c>
      <c r="I241" s="11">
        <v>50946</v>
      </c>
      <c r="J241" s="11">
        <v>42546</v>
      </c>
      <c r="K241" s="11">
        <v>42911</v>
      </c>
      <c r="L241" s="11">
        <v>42766</v>
      </c>
      <c r="M241" s="12">
        <v>999</v>
      </c>
      <c r="N241" s="12" t="s">
        <v>1638</v>
      </c>
      <c r="O241" s="12" t="s">
        <v>1203</v>
      </c>
      <c r="P241" s="12" t="s">
        <v>1639</v>
      </c>
      <c r="Q241" s="15">
        <v>9697000000</v>
      </c>
      <c r="R241" s="12"/>
      <c r="S241" s="43">
        <f>_xll.RtGet("IDN",$N241,IF(OR($G241="BTP,$E11=""CTZ"),S$10,S$9))</f>
        <v>104.71000000000001</v>
      </c>
      <c r="T241" s="43">
        <f>_xll.RtGet("IDN",$N241,IF(OR($G241="BTP,$E11=""CTZ"),T$10,T$9))</f>
        <v>104.91</v>
      </c>
      <c r="U241" s="25">
        <f t="shared" si="28"/>
        <v>104.81</v>
      </c>
      <c r="V241" s="12"/>
      <c r="W241" s="25">
        <f t="shared" si="29"/>
        <v>104.81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1.2130000000000001</v>
      </c>
      <c r="Y241" s="14">
        <v>17.857007196657598</v>
      </c>
      <c r="Z241" s="14">
        <v>-17.595736512497314</v>
      </c>
      <c r="AA241" s="14">
        <v>3.7554737134866532</v>
      </c>
      <c r="AB241" s="14">
        <v>3.6463829671868275</v>
      </c>
      <c r="AC241" s="14">
        <v>18.65554232482225</v>
      </c>
      <c r="AD241" s="34">
        <v>1.4848518082492206E-2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-1.6664937191065898</v>
      </c>
      <c r="AI241" s="14">
        <v>17.805182575946187</v>
      </c>
      <c r="AJ241" s="14">
        <v>18.877588722495425</v>
      </c>
      <c r="AK241" s="246">
        <v>-8.827895043187961E-2</v>
      </c>
      <c r="AL241" s="213">
        <f>IF(U241&gt;0,_xll.xlBondZSpread(F241,H241,G241,J241,K241,L241,M241,D241,U241,"annual",5)*100,"-")</f>
        <v>-9.0751454716737516</v>
      </c>
      <c r="AM241" s="266">
        <f>(-IF($AL$9="",VLOOKUP(VLOOKUP(E241,'DB Basis'!$D$2:$H$65205,4,0),Bonds!$AR$1:$AS$6,2,0),$AL$9)*VLOOKUP(E241,'DB Basis'!$D$2:$E$65205,2,0))+IF(V241="",W241,V241)</f>
        <v>-107.86774</v>
      </c>
      <c r="AN241" s="275" t="str">
        <f>IF($AN$9+(($AL$9-$AM$9))*('DB Basis'!F401/10-'DB Basis'!E401),," ")</f>
        <v xml:space="preserve"> </v>
      </c>
      <c r="AO241" s="648">
        <f>IF(U241&gt;0,_xll.xlShmImplSwap2(curveName,curveName,D241,G241,,1,8,2,4),"-")</f>
        <v>1.5803337227202671E-2</v>
      </c>
      <c r="AP241" s="649">
        <f t="shared" si="24"/>
        <v>-9.5481914471046495E-4</v>
      </c>
      <c r="AQ241" s="391">
        <f t="shared" si="25"/>
        <v>11.826882288618362</v>
      </c>
      <c r="AR241" s="391">
        <f t="shared" si="26"/>
        <v>10.583117236809198</v>
      </c>
      <c r="AS241" s="393"/>
      <c r="AT241" s="242">
        <f t="shared" si="27"/>
        <v>1.4645113725197791</v>
      </c>
      <c r="AU241" s="701" t="str">
        <f t="shared" si="23"/>
        <v>OAT  25-Jun-39  1.75</v>
      </c>
      <c r="AV241" s="717"/>
      <c r="AW241" s="699"/>
      <c r="AX241" s="699"/>
      <c r="AY241" s="699"/>
      <c r="AZ241" s="699"/>
      <c r="BA241" s="699"/>
      <c r="BB241" s="698"/>
      <c r="BC241" s="711"/>
      <c r="BE241" s="721">
        <f>_xll.xlDateShiftMonth(BE240,1)</f>
        <v>50188</v>
      </c>
      <c r="BF241" s="722">
        <v>2.6974141163028362E-2</v>
      </c>
    </row>
    <row r="242" spans="1:58">
      <c r="A242" s="10"/>
      <c r="B242" s="11"/>
      <c r="C242" s="12"/>
      <c r="D242" s="735">
        <f>MAX(_xll.xlDateSettle("TARGET",$D$4,2),L242)</f>
        <v>43164</v>
      </c>
      <c r="E242" s="733" t="s">
        <v>717</v>
      </c>
      <c r="F242" s="13" t="s">
        <v>1543</v>
      </c>
      <c r="G242" s="35">
        <v>51616</v>
      </c>
      <c r="H242" s="37">
        <v>4.5</v>
      </c>
      <c r="I242" s="11">
        <v>51616</v>
      </c>
      <c r="J242" s="11">
        <v>39928</v>
      </c>
      <c r="K242" s="11">
        <v>40293</v>
      </c>
      <c r="L242" s="11">
        <v>39994</v>
      </c>
      <c r="M242" s="12">
        <v>99.567999999999998</v>
      </c>
      <c r="N242" s="12" t="s">
        <v>1640</v>
      </c>
      <c r="O242" s="12" t="s">
        <v>1222</v>
      </c>
      <c r="P242" s="12" t="s">
        <v>1641</v>
      </c>
      <c r="Q242" s="15">
        <v>32780000000</v>
      </c>
      <c r="R242" s="12"/>
      <c r="S242" s="43">
        <f>_xll.RtGet("IDN",$N242,IF(OR($G242="BTP,$E11=""CTZ"),S$10,S$9))</f>
        <v>158.6</v>
      </c>
      <c r="T242" s="43">
        <f>_xll.RtGet("IDN",$N242,IF(OR($G242="BTP,$E11=""CTZ"),T$10,T$9))</f>
        <v>158.89000000000001</v>
      </c>
      <c r="U242" s="25">
        <f t="shared" si="28"/>
        <v>158.745</v>
      </c>
      <c r="V242" s="12"/>
      <c r="W242" s="25">
        <f t="shared" si="29"/>
        <v>158.745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3.871</v>
      </c>
      <c r="Y242" s="14">
        <v>16.275088020054145</v>
      </c>
      <c r="Z242" s="14">
        <v>-16.037368262887934</v>
      </c>
      <c r="AA242" s="14">
        <v>3.4458959691972204</v>
      </c>
      <c r="AB242" s="14">
        <v>3.3459671580103407</v>
      </c>
      <c r="AC242" s="14">
        <v>26.079347728170887</v>
      </c>
      <c r="AD242" s="34">
        <v>1.4822865674480129E-2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-1.2601819498456264</v>
      </c>
      <c r="AI242" s="14">
        <v>12.398788007553566</v>
      </c>
      <c r="AJ242" s="14">
        <v>20.16241310636331</v>
      </c>
      <c r="AK242" s="246">
        <v>-6.2501543996631034E-2</v>
      </c>
      <c r="AL242" s="213">
        <f>IF(U242&gt;0,_xll.xlBondZSpread(F242,H242,G242,J242,K242,L242,M242,D242,U242,"annual",5)*100,"-")</f>
        <v>-4.9209043115115492</v>
      </c>
      <c r="AM242" s="266">
        <f>(-IF($AL$9="",VLOOKUP(VLOOKUP(E242,'DB Basis'!$D$2:$H$65205,4,0),Bonds!$AR$1:$AS$6,2,0),$AL$9)*VLOOKUP(E242,'DB Basis'!$D$2:$E$65205,2,0))+IF(V242="",W242,V242)</f>
        <v>-138.8193</v>
      </c>
      <c r="AN242" s="275" t="str">
        <f>IF($AN$9+(($AL$9-$AM$9))*('DB Basis'!F402/10-'DB Basis'!E402),," ")</f>
        <v xml:space="preserve"> </v>
      </c>
      <c r="AO242" s="648">
        <f>IF(U242&gt;0,_xll.xlShmImplSwap2(curveName,curveName,D242,G242,,1,8,2,4),"-")</f>
        <v>1.5955217511263903E-2</v>
      </c>
      <c r="AP242" s="649">
        <f t="shared" si="24"/>
        <v>-1.1323518367837744E-3</v>
      </c>
      <c r="AQ242" s="391">
        <f t="shared" si="25"/>
        <v>-0.13974819290161089</v>
      </c>
      <c r="AR242" s="391">
        <f t="shared" si="26"/>
        <v>-0.96715571054862615</v>
      </c>
      <c r="AS242" s="393"/>
      <c r="AT242" s="242">
        <f t="shared" si="27"/>
        <v>1.4619812720035197</v>
      </c>
      <c r="AU242" s="701" t="str">
        <f t="shared" si="23"/>
        <v>OAT  25-Apr-41  4.5</v>
      </c>
      <c r="AV242" s="717"/>
      <c r="AW242" s="699"/>
      <c r="AX242" s="699"/>
      <c r="AY242" s="699"/>
      <c r="AZ242" s="699"/>
      <c r="BA242" s="699"/>
      <c r="BB242" s="698"/>
      <c r="BC242" s="711"/>
      <c r="BE242" s="721">
        <f>_xll.xlDateShiftMonth(BE241,1)</f>
        <v>50219</v>
      </c>
      <c r="BF242" s="722">
        <v>2.7007038856893144E-2</v>
      </c>
    </row>
    <row r="243" spans="1:58">
      <c r="A243" s="10"/>
      <c r="B243" s="11"/>
      <c r="C243" s="12"/>
      <c r="D243" s="735">
        <f>MAX(_xll.xlDateSettle("TARGET",$D$4,2),L243)</f>
        <v>43164</v>
      </c>
      <c r="E243" s="733" t="s">
        <v>718</v>
      </c>
      <c r="F243" s="13" t="s">
        <v>1543</v>
      </c>
      <c r="G243" s="35">
        <v>53107</v>
      </c>
      <c r="H243" s="37">
        <v>3.25</v>
      </c>
      <c r="I243" s="11">
        <v>53107</v>
      </c>
      <c r="J243" s="11">
        <v>41054</v>
      </c>
      <c r="K243" s="11">
        <v>41419</v>
      </c>
      <c r="L243" s="11">
        <v>41368</v>
      </c>
      <c r="M243" s="12">
        <v>99.736999999999995</v>
      </c>
      <c r="N243" s="12" t="s">
        <v>1642</v>
      </c>
      <c r="O243" s="12" t="s">
        <v>1203</v>
      </c>
      <c r="P243" s="12" t="s">
        <v>1643</v>
      </c>
      <c r="Q243" s="15">
        <v>24908000000</v>
      </c>
      <c r="R243" s="12"/>
      <c r="S243" s="43">
        <f>_xll.RtGet("IDN",$N243,IF(OR($G243="BTP,$E11=""CTZ"),S$10,S$9))</f>
        <v>135.31700000000001</v>
      </c>
      <c r="T243" s="43">
        <f>_xll.RtGet("IDN",$N243,IF(OR($G243="BTP,$E11=""CTZ"),T$10,T$9))</f>
        <v>135.55000000000001</v>
      </c>
      <c r="U243" s="25">
        <f t="shared" si="28"/>
        <v>135.43350000000001</v>
      </c>
      <c r="V243" s="12"/>
      <c r="W243" s="25">
        <f t="shared" si="29"/>
        <v>135.43350000000001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2.5289999999999999</v>
      </c>
      <c r="Y243" s="14">
        <v>19.466642272664686</v>
      </c>
      <c r="Z243" s="14">
        <v>-19.154791492306593</v>
      </c>
      <c r="AA243" s="14">
        <v>4.8553836509264787</v>
      </c>
      <c r="AB243" s="14">
        <v>4.7010656165943043</v>
      </c>
      <c r="AC243" s="14">
        <v>26.426458336014491</v>
      </c>
      <c r="AD243" s="34">
        <v>1.6280562509493404E-2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1.4852512865331478</v>
      </c>
      <c r="AI243" s="14">
        <v>16.590942742767815</v>
      </c>
      <c r="AJ243" s="14">
        <v>22.889279381491047</v>
      </c>
      <c r="AK243" s="246">
        <v>6.4888512293409056E-2</v>
      </c>
      <c r="AL243" s="213">
        <f>IF(U243&gt;0,_xll.xlBondZSpread(F243,H243,G243,J243,K243,L243,M243,D243,U243,"annual",5)*100,"-")</f>
        <v>5.6509861106533226</v>
      </c>
      <c r="AM243" s="266">
        <f>(-IF($AL$9="",VLOOKUP(VLOOKUP(E243,'DB Basis'!$D$2:$H$65205,4,0),Bonds!$AR$1:$AS$6,2,0),$AL$9)*VLOOKUP(E243,'DB Basis'!$D$2:$E$65205,2,0))+IF(V243="",W243,V243)</f>
        <v>-163.6686</v>
      </c>
      <c r="AN243" s="275" t="str">
        <f>IF($AN$9+(($AL$9-$AM$9))*('DB Basis'!F403/10-'DB Basis'!E403),," ")</f>
        <v xml:space="preserve"> </v>
      </c>
      <c r="AO243" s="648">
        <f>IF(U243&gt;0,_xll.xlShmImplSwap2(curveName,curveName,D243,G243,,1,8,2,4),"-")</f>
        <v>1.6068530421631703E-2</v>
      </c>
      <c r="AP243" s="649">
        <f t="shared" si="24"/>
        <v>2.1203208786170144E-4</v>
      </c>
      <c r="AQ243" s="391">
        <f t="shared" si="25"/>
        <v>3.5684731373564418</v>
      </c>
      <c r="AR243" s="391">
        <f t="shared" si="26"/>
        <v>3.2910807008423788</v>
      </c>
      <c r="AS243" s="393"/>
      <c r="AT243" s="242">
        <f t="shared" si="27"/>
        <v>1.605754110525377</v>
      </c>
      <c r="AU243" s="701" t="str">
        <f t="shared" si="23"/>
        <v>OAT  25-May-45  3.25</v>
      </c>
      <c r="AV243" s="717"/>
      <c r="AW243" s="699"/>
      <c r="AX243" s="699"/>
      <c r="AY243" s="699"/>
      <c r="AZ243" s="699"/>
      <c r="BA243" s="699"/>
      <c r="BB243" s="698"/>
      <c r="BC243" s="711"/>
      <c r="BE243" s="721">
        <f>_xll.xlDateShiftMonth(BE242,1)</f>
        <v>50249</v>
      </c>
      <c r="BF243" s="722">
        <v>2.7038816582057628E-2</v>
      </c>
    </row>
    <row r="244" spans="1:58">
      <c r="A244" s="10"/>
      <c r="B244" s="11"/>
      <c r="C244" s="12"/>
      <c r="D244" s="735">
        <f>MAX(_xll.xlDateSettle("TARGET",$D$4,2),L244)</f>
        <v>43164</v>
      </c>
      <c r="E244" s="733" t="s">
        <v>1667</v>
      </c>
      <c r="F244" s="13" t="s">
        <v>1543</v>
      </c>
      <c r="G244" s="35">
        <v>53898</v>
      </c>
      <c r="H244" s="37">
        <v>0.1</v>
      </c>
      <c r="I244" s="11">
        <v>53898</v>
      </c>
      <c r="J244" s="11">
        <v>42576</v>
      </c>
      <c r="K244" s="11">
        <v>42941</v>
      </c>
      <c r="L244" s="11">
        <v>42648</v>
      </c>
      <c r="M244" s="12">
        <v>111.628</v>
      </c>
      <c r="N244" s="12" t="s">
        <v>1644</v>
      </c>
      <c r="O244" s="12" t="s">
        <v>1203</v>
      </c>
      <c r="P244" s="12" t="s">
        <v>1645</v>
      </c>
      <c r="Q244" s="15">
        <v>7261000000</v>
      </c>
      <c r="R244" s="12"/>
      <c r="S244" s="43">
        <f>_xll.RtGet("IDN",$N244,IF(OR($G244="BTP,$E11=""CTZ"),S$10,S$9))</f>
        <v>105.69</v>
      </c>
      <c r="T244" s="43">
        <f>_xll.RtGet("IDN",$N244,IF(OR($G244="BTP,$E11=""CTZ"),T$10,T$9))</f>
        <v>106.11</v>
      </c>
      <c r="U244" s="25">
        <f t="shared" si="28"/>
        <v>105.9</v>
      </c>
      <c r="V244" s="12"/>
      <c r="W244" s="25">
        <f t="shared" si="29"/>
        <v>105.9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6.0999999999999999E-2</v>
      </c>
      <c r="Y244" s="14">
        <v>28.974579773208578</v>
      </c>
      <c r="Z244" s="14">
        <v>-29.002939592510135</v>
      </c>
      <c r="AA244" s="14">
        <v>8.7646055714512201</v>
      </c>
      <c r="AB244" s="14">
        <v>8.7817712578295222</v>
      </c>
      <c r="AC244" s="14">
        <v>30.731853437009704</v>
      </c>
      <c r="AD244" s="34">
        <v>-9.7782568596403068E-4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-41.813766345707243</v>
      </c>
      <c r="AI244" s="14">
        <v>22.898363685519438</v>
      </c>
      <c r="AJ244" s="14">
        <v>24.263335144813254</v>
      </c>
      <c r="AK244" s="246">
        <v>-1.7233313596892601</v>
      </c>
      <c r="AL244" s="213">
        <f>IF(U244&gt;0,_xll.xlBondZSpread(F244,H244,G244,J244,K244,L244,M244,D244,U244,"annual",5)*100,"-")</f>
        <v>-175.02473270490282</v>
      </c>
      <c r="AM244" s="266" t="e">
        <f>(-IF($AL$9="",VLOOKUP(VLOOKUP(E244,'DB Basis'!$D$2:$H$65205,4,0),Bonds!$AR$1:$AS$6,2,0),$AL$9)*VLOOKUP(E244,'DB Basis'!$D$2:$E$65205,2,0))+IF(V244="",W244,V244)</f>
        <v>#N/A</v>
      </c>
      <c r="AN244" s="275" t="str">
        <f>IF($AN$9+(($AL$9-$AM$9))*('DB Basis'!F404/10-'DB Basis'!E404),," ")</f>
        <v xml:space="preserve"> </v>
      </c>
      <c r="AO244" s="648">
        <f>IF(U244&gt;0,_xll.xlShmImplSwap2(curveName,curveName,D244,G244,,1,8,2,4),"-")</f>
        <v>1.6078710808072331E-2</v>
      </c>
      <c r="AP244" s="649">
        <f t="shared" si="24"/>
        <v>-1.7056536494036361E-2</v>
      </c>
      <c r="AQ244" s="391">
        <f t="shared" si="25"/>
        <v>-79.63731594616894</v>
      </c>
      <c r="AR244" s="391">
        <f t="shared" si="26"/>
        <v>-79.684292444915215</v>
      </c>
      <c r="AS244" s="393"/>
      <c r="AT244" s="242">
        <f t="shared" si="27"/>
        <v>-9.6443081355356453E-2</v>
      </c>
      <c r="AU244" s="701" t="str">
        <f t="shared" si="23"/>
        <v>OAT  25-Jul-47  0.1</v>
      </c>
      <c r="AV244" s="717"/>
      <c r="AW244" s="699"/>
      <c r="AX244" s="699"/>
      <c r="AY244" s="699"/>
      <c r="AZ244" s="699"/>
      <c r="BA244" s="699"/>
      <c r="BB244" s="698"/>
      <c r="BC244" s="711"/>
      <c r="BE244" s="721">
        <f>_xll.xlDateShiftMonth(BE243,1)</f>
        <v>50280</v>
      </c>
      <c r="BF244" s="722">
        <v>2.7071593331001575E-2</v>
      </c>
    </row>
    <row r="245" spans="1:58">
      <c r="A245" s="10"/>
      <c r="B245" s="11"/>
      <c r="C245" s="12"/>
      <c r="D245" s="735">
        <f>MAX(_xll.xlDateSettle("TARGET",$D$4,2),L245)</f>
        <v>43164</v>
      </c>
      <c r="E245" s="733" t="s">
        <v>1004</v>
      </c>
      <c r="F245" s="13" t="s">
        <v>1543</v>
      </c>
      <c r="G245" s="35">
        <v>54203</v>
      </c>
      <c r="H245" s="37">
        <v>2</v>
      </c>
      <c r="I245" s="11">
        <v>54203</v>
      </c>
      <c r="J245" s="11">
        <v>42880</v>
      </c>
      <c r="K245" s="11">
        <v>43245</v>
      </c>
      <c r="L245" s="11">
        <v>42880</v>
      </c>
      <c r="M245" s="12">
        <v>999</v>
      </c>
      <c r="N245" s="12" t="s">
        <v>1646</v>
      </c>
      <c r="O245" s="12" t="s">
        <v>1222</v>
      </c>
      <c r="P245" s="12" t="s">
        <v>1647</v>
      </c>
      <c r="Q245" s="15">
        <v>17182000000</v>
      </c>
      <c r="R245" s="12"/>
      <c r="S245" s="43">
        <f>_xll.RtGet("IDN",$N245,IF(OR($G245="BTP,$E11=""CTZ"),S$10,S$9))</f>
        <v>106.35000000000001</v>
      </c>
      <c r="T245" s="43">
        <f>_xll.RtGet("IDN",$N245,IF(OR($G245="BTP,$E11=""CTZ"),T$10,T$9))</f>
        <v>106.57000000000001</v>
      </c>
      <c r="U245" s="25">
        <f t="shared" si="28"/>
        <v>106.46000000000001</v>
      </c>
      <c r="V245" s="12"/>
      <c r="W245" s="25">
        <f t="shared" si="29"/>
        <v>106.46000000000001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1.556</v>
      </c>
      <c r="Y245" s="14">
        <v>22.897269506161614</v>
      </c>
      <c r="Z245" s="14">
        <v>-22.50924623272892</v>
      </c>
      <c r="AA245" s="14">
        <v>6.4868758029879574</v>
      </c>
      <c r="AB245" s="14">
        <v>6.2688820019399909</v>
      </c>
      <c r="AC245" s="14">
        <v>24.313621857328371</v>
      </c>
      <c r="AD245" s="34">
        <v>1.7238391471195099E-2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3.0790931794042304</v>
      </c>
      <c r="AI245" s="14">
        <v>22.941741020835504</v>
      </c>
      <c r="AJ245" s="14">
        <v>24.78075098106568</v>
      </c>
      <c r="AK245" s="246">
        <v>0.12425342483594945</v>
      </c>
      <c r="AL245" s="213">
        <f>IF(U245&gt;0,_xll.xlBondZSpread(F245,H245,G245,J245,K245,L245,M245,D245,U245,"annual",5)*100,"-")</f>
        <v>12.566475302191979</v>
      </c>
      <c r="AM245" s="266">
        <f>(-IF($AL$9="",VLOOKUP(VLOOKUP(E245,'DB Basis'!$D$2:$H$65205,4,0),Bonds!$AR$1:$AS$6,2,0),$AL$9)*VLOOKUP(E245,'DB Basis'!$D$2:$E$65205,2,0))+IF(V245="",W245,V245)</f>
        <v>-168.03729999999999</v>
      </c>
      <c r="AN245" s="275" t="str">
        <f>IF($AN$9+(($AL$9-$AM$9))*('DB Basis'!F405/10-'DB Basis'!E405),," ")</f>
        <v xml:space="preserve"> </v>
      </c>
      <c r="AO245" s="648">
        <f>IF(U245&gt;0,_xll.xlShmImplSwap2(curveName,curveName,D245,G245,,1,8,2,4),"-")</f>
        <v>1.6078871410603084E-2</v>
      </c>
      <c r="AP245" s="649">
        <f t="shared" si="24"/>
        <v>1.1595200605920147E-3</v>
      </c>
      <c r="AQ245" s="391">
        <f t="shared" si="25"/>
        <v>217.99735286436336</v>
      </c>
      <c r="AR245" s="391">
        <f t="shared" si="26"/>
        <v>217.99543089965107</v>
      </c>
      <c r="AS245" s="393"/>
      <c r="AT245" s="242">
        <f t="shared" si="27"/>
        <v>1.7002249122274617</v>
      </c>
      <c r="AU245" s="701" t="str">
        <f t="shared" si="23"/>
        <v>OAT  25-May-48  2</v>
      </c>
      <c r="AV245" s="717"/>
      <c r="AW245" s="699"/>
      <c r="AX245" s="699"/>
      <c r="AY245" s="699"/>
      <c r="AZ245" s="699"/>
      <c r="BA245" s="699"/>
      <c r="BB245" s="698"/>
      <c r="BC245" s="711"/>
      <c r="BE245" s="721">
        <f>_xll.xlDateShiftMonth(BE244,1)</f>
        <v>50311</v>
      </c>
      <c r="BF245" s="722">
        <v>2.7104309344077517E-2</v>
      </c>
    </row>
    <row r="246" spans="1:58">
      <c r="A246" s="10"/>
      <c r="B246" s="11"/>
      <c r="C246" s="12"/>
      <c r="D246" s="735">
        <f>MAX(_xll.xlDateSettle("TARGET",$D$4,2),L246)</f>
        <v>43164</v>
      </c>
      <c r="E246" s="733" t="s">
        <v>719</v>
      </c>
      <c r="F246" s="13" t="s">
        <v>1543</v>
      </c>
      <c r="G246" s="35">
        <v>56729</v>
      </c>
      <c r="H246" s="37">
        <v>4</v>
      </c>
      <c r="I246" s="11">
        <v>56729</v>
      </c>
      <c r="J246" s="11">
        <v>38102</v>
      </c>
      <c r="K246" s="11">
        <v>38467</v>
      </c>
      <c r="L246" s="11">
        <v>38411</v>
      </c>
      <c r="M246" s="12">
        <v>95.632000000000005</v>
      </c>
      <c r="N246" s="12" t="s">
        <v>1648</v>
      </c>
      <c r="O246" s="12" t="s">
        <v>1203</v>
      </c>
      <c r="P246" s="12" t="s">
        <v>1649</v>
      </c>
      <c r="Q246" s="15">
        <v>14926000000</v>
      </c>
      <c r="R246" s="12"/>
      <c r="S246" s="43">
        <f>_xll.RtGet("IDN",$N246,IF(OR($G246="BTP,$E11=""CTZ"),S$10,S$9))</f>
        <v>159.95600000000002</v>
      </c>
      <c r="T246" s="43">
        <f>_xll.RtGet("IDN",$N246,IF(OR($G246="BTP,$E11=""CTZ"),T$10,T$9))</f>
        <v>160.20600000000002</v>
      </c>
      <c r="U246" s="25">
        <f t="shared" si="28"/>
        <v>160.08100000000002</v>
      </c>
      <c r="V246" s="12"/>
      <c r="W246" s="25">
        <f t="shared" si="29"/>
        <v>160.08100000000002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3.4409999999999998</v>
      </c>
      <c r="Y246" s="14">
        <v>23.089076938824896</v>
      </c>
      <c r="Z246" s="14">
        <v>-22.686077090496461</v>
      </c>
      <c r="AA246" s="14">
        <v>7.2844871966460127</v>
      </c>
      <c r="AB246" s="14">
        <v>7.0324175576000254</v>
      </c>
      <c r="AC246" s="14">
        <v>37.096793466123756</v>
      </c>
      <c r="AD246" s="34">
        <v>1.7764192840800084E-2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7.8209201492808624</v>
      </c>
      <c r="AI246" s="14">
        <v>17.622896916989788</v>
      </c>
      <c r="AJ246" s="14">
        <v>28.817313496600043</v>
      </c>
      <c r="AK246" s="246">
        <v>0.2713965738063539</v>
      </c>
      <c r="AL246" s="213">
        <f>IF(U246&gt;0,_xll.xlBondZSpread(F246,H246,G246,J246,K246,L246,M246,D246,U246,"annual",5)*100,"-")</f>
        <v>20.713845791848144</v>
      </c>
      <c r="AM246" s="266">
        <f>(-IF($AL$9="",VLOOKUP(VLOOKUP(E246,'DB Basis'!$D$2:$H$65205,4,0),Bonds!$AR$1:$AS$6,2,0),$AL$9)*VLOOKUP(E246,'DB Basis'!$D$2:$E$65205,2,0))+IF(V246="",W246,V246)</f>
        <v>-258.04681999999997</v>
      </c>
      <c r="AN246" s="275" t="str">
        <f>IF($AN$9+(($AL$9-$AM$9))*('DB Basis'!F406/10-'DB Basis'!E406),," ")</f>
        <v xml:space="preserve"> </v>
      </c>
      <c r="AO246" s="648">
        <f>IF(U246&gt;0,_xll.xlShmImplSwap2(curveName,curveName,D246,G246,,1,8,2,4),"-")</f>
        <v>1.5994673748851006E-2</v>
      </c>
      <c r="AP246" s="649">
        <f t="shared" si="24"/>
        <v>1.7695190919490775E-3</v>
      </c>
      <c r="AQ246" s="391">
        <f t="shared" si="25"/>
        <v>0.75976840817822433</v>
      </c>
      <c r="AR246" s="391">
        <f t="shared" si="26"/>
        <v>0.88143169614144068</v>
      </c>
      <c r="AS246" s="393"/>
      <c r="AT246" s="242">
        <f t="shared" si="27"/>
        <v>1.7520847733391864</v>
      </c>
      <c r="AU246" s="701" t="str">
        <f t="shared" si="23"/>
        <v>OAT  25-Apr-55  4</v>
      </c>
      <c r="AV246" s="717"/>
      <c r="AW246" s="699"/>
      <c r="AX246" s="699"/>
      <c r="AY246" s="699"/>
      <c r="AZ246" s="699"/>
      <c r="BA246" s="699"/>
      <c r="BB246" s="698"/>
      <c r="BC246" s="711"/>
      <c r="BE246" s="721">
        <f>_xll.xlDateShiftMonth(BE245,1)</f>
        <v>50341</v>
      </c>
      <c r="BF246" s="722">
        <v>2.7135912635323486E-2</v>
      </c>
    </row>
    <row r="247" spans="1:58">
      <c r="A247" s="10"/>
      <c r="B247" s="11"/>
      <c r="C247" s="12"/>
      <c r="D247" s="735">
        <f>MAX(_xll.xlDateSettle("TARGET",$D$4,2),L247)</f>
        <v>43164</v>
      </c>
      <c r="E247" s="733" t="s">
        <v>720</v>
      </c>
      <c r="F247" s="13" t="s">
        <v>1543</v>
      </c>
      <c r="G247" s="35">
        <v>58556</v>
      </c>
      <c r="H247" s="37">
        <v>4</v>
      </c>
      <c r="I247" s="11">
        <v>58556</v>
      </c>
      <c r="J247" s="11">
        <v>39928</v>
      </c>
      <c r="K247" s="11">
        <v>40293</v>
      </c>
      <c r="L247" s="11">
        <v>40254</v>
      </c>
      <c r="M247" s="12">
        <v>96.34</v>
      </c>
      <c r="N247" s="12" t="s">
        <v>2081</v>
      </c>
      <c r="O247" s="12" t="s">
        <v>1203</v>
      </c>
      <c r="P247" s="12" t="s">
        <v>2082</v>
      </c>
      <c r="Q247" s="15">
        <v>13055000000</v>
      </c>
      <c r="R247" s="12"/>
      <c r="S247" s="43">
        <f>_xll.RtGet("IDN",$N247,IF(OR($G247="BTP,$E11=""CTZ"),S$10,S$9))</f>
        <v>163.80000000000001</v>
      </c>
      <c r="T247" s="43">
        <f>_xll.RtGet("IDN",$N247,IF(OR($G247="BTP,$E11=""CTZ"),T$10,T$9))</f>
        <v>164.322</v>
      </c>
      <c r="U247" s="25">
        <f t="shared" si="28"/>
        <v>164.06100000000001</v>
      </c>
      <c r="V247" s="12"/>
      <c r="W247" s="25">
        <f t="shared" si="29"/>
        <v>164.06100000000001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3.4409999999999998</v>
      </c>
      <c r="Y247" s="14">
        <v>25.048026934761094</v>
      </c>
      <c r="Z247" s="14">
        <v>-24.602060088941773</v>
      </c>
      <c r="AA247" s="14">
        <v>8.7371520802852487</v>
      </c>
      <c r="AB247" s="14">
        <v>8.4288010247226968</v>
      </c>
      <c r="AC247" s="14">
        <v>41.209033500069836</v>
      </c>
      <c r="AD247" s="34">
        <v>1.8127215532599765E-2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10.697018454752207</v>
      </c>
      <c r="AI247" s="14">
        <v>18.800653457614331</v>
      </c>
      <c r="AJ247" s="14">
        <v>31.491470554573155</v>
      </c>
      <c r="AK247" s="861">
        <v>0.33967986462286015</v>
      </c>
      <c r="AL247" s="213">
        <f>IF(U247&gt;0,_xll.xlBondZSpread(F247,H247,G247,J247,K247,L247,M247,D247,U247,"annual",5)*100,"-")</f>
        <v>25.19563684171117</v>
      </c>
      <c r="AM247" s="266">
        <f>(-IF($AL$9="",VLOOKUP(VLOOKUP(E247,'DB Basis'!$D$2:$H$65205,4,0),Bonds!$AR$1:$AS$6,2,0),$AL$9)*VLOOKUP(E247,'DB Basis'!$D$2:$E$65205,2,0))+IF(V247="",W247,V247)</f>
        <v>-300.96972000000005</v>
      </c>
      <c r="AN247" s="275" t="str">
        <f>IF($AN$9+(($AL$9-$AM$9))*('DB Basis'!F407/10-'DB Basis'!E407),," ")</f>
        <v xml:space="preserve"> </v>
      </c>
      <c r="AO247" s="648">
        <f>IF(U247&gt;0,_xll.xlShmImplSwap2(curveName,curveName,D247,G247,,1,8,2,4),"-")</f>
        <v>1.5815745739152759E-2</v>
      </c>
      <c r="AP247" s="649">
        <f t="shared" si="24"/>
        <v>2.311469793447006E-3</v>
      </c>
      <c r="AQ247" s="391">
        <f t="shared" si="25"/>
        <v>0.72525058843395518</v>
      </c>
      <c r="AR247" s="391">
        <f t="shared" si="26"/>
        <v>1.0827148661562338</v>
      </c>
      <c r="AS247" s="393"/>
      <c r="AT247" s="242">
        <f t="shared" si="27"/>
        <v>1.7878897511605245</v>
      </c>
      <c r="AU247" s="701" t="str">
        <f t="shared" si="23"/>
        <v>OAT  25-Apr-60  4</v>
      </c>
      <c r="AV247" s="717"/>
      <c r="AW247" s="699"/>
      <c r="AX247" s="699"/>
      <c r="AY247" s="699"/>
      <c r="AZ247" s="699"/>
      <c r="BA247" s="699"/>
      <c r="BB247" s="698"/>
      <c r="BC247" s="711"/>
      <c r="BE247" s="721">
        <f>_xll.xlDateShiftMonth(BE246,1)</f>
        <v>50372</v>
      </c>
      <c r="BF247" s="722">
        <v>2.7168510568291341E-2</v>
      </c>
    </row>
    <row r="248" spans="1:58">
      <c r="A248" s="10"/>
      <c r="B248" s="11"/>
      <c r="C248" s="12"/>
      <c r="D248" s="735">
        <f>MAX(_xll.xlDateSettle("TARGET",$D$4,2),L248)</f>
        <v>43164</v>
      </c>
      <c r="E248" s="733" t="s">
        <v>887</v>
      </c>
      <c r="F248" s="13" t="s">
        <v>1543</v>
      </c>
      <c r="G248" s="35">
        <v>60777</v>
      </c>
      <c r="H248" s="37">
        <v>1.75</v>
      </c>
      <c r="I248" s="11">
        <v>60777</v>
      </c>
      <c r="J248" s="11">
        <v>42149</v>
      </c>
      <c r="K248" s="11">
        <v>42515</v>
      </c>
      <c r="L248" s="11">
        <v>42479</v>
      </c>
      <c r="M248" s="12">
        <v>94.683000000000007</v>
      </c>
      <c r="N248" s="12" t="s">
        <v>1650</v>
      </c>
      <c r="O248" s="12" t="s">
        <v>1222</v>
      </c>
      <c r="P248" s="12" t="s">
        <v>1651</v>
      </c>
      <c r="Q248" s="15">
        <v>9107000000</v>
      </c>
      <c r="R248" s="12"/>
      <c r="S248" s="43">
        <f>_xll.BDP(E248&amp;"@cbbt Corp",$S$10)</f>
        <v>95.947999999999993</v>
      </c>
      <c r="T248" s="43">
        <f>_xll.BDP(E248&amp;"@cbbt Corp",$T$10)</f>
        <v>96.421000000000006</v>
      </c>
      <c r="U248" s="25">
        <f t="shared" si="28"/>
        <v>96.1845</v>
      </c>
      <c r="V248" s="12"/>
      <c r="W248" s="25">
        <f t="shared" si="29"/>
        <v>96.1845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1.3620000000000001</v>
      </c>
      <c r="Y248" s="14">
        <v>32.164585809440617</v>
      </c>
      <c r="Z248" s="14">
        <v>-31.573933400745741</v>
      </c>
      <c r="AA248" s="14">
        <v>13.644623656136821</v>
      </c>
      <c r="AB248" s="14">
        <v>13.148100412345071</v>
      </c>
      <c r="AC248" s="14">
        <v>30.799364627849002</v>
      </c>
      <c r="AD248" s="34">
        <v>1.8706963069372418E-2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10.45611170764168</v>
      </c>
      <c r="AI248" s="14">
        <v>35.383141810810159</v>
      </c>
      <c r="AJ248" s="14">
        <v>34.515016426481928</v>
      </c>
      <c r="AK248" s="246">
        <v>0.30294384271592423</v>
      </c>
      <c r="AL248" s="213">
        <f>IF(U248&gt;0,_xll.xlBondZSpread(F248,H248,G248,J248,K248,L248,M248,D248,U248,"annual",5)*100,"-")</f>
        <v>31.976940855114304</v>
      </c>
      <c r="AM248" s="266">
        <f>(-IF($AL$9="",VLOOKUP(VLOOKUP(E248,'DB Basis'!$D$2:$H$65205,4,0),Bonds!$AR$1:$AS$6,2,0),$AL$9)*VLOOKUP(E248,'DB Basis'!$D$2:$E$65205,2,0))+IF(V248="",W248,V248)</f>
        <v>-251.81963999999999</v>
      </c>
      <c r="AN248" s="275" t="str">
        <f>IF($AN$9+(($AL$9-$AM$9))*('DB Basis'!F408/10-'DB Basis'!E408),," ")</f>
        <v xml:space="preserve"> </v>
      </c>
      <c r="AO248" s="648">
        <f>IF(U248&gt;0,_xll.xlShmImplSwap2(curveName,curveName,D248,G248,,1,8,2,4),"-")</f>
        <v>1.554051729106406E-2</v>
      </c>
      <c r="AP248" s="649">
        <f t="shared" si="24"/>
        <v>3.1664457783083574E-3</v>
      </c>
      <c r="AQ248" s="391">
        <f t="shared" si="25"/>
        <v>0.95275934678981633</v>
      </c>
      <c r="AR248" s="391">
        <f t="shared" si="26"/>
        <v>1.4050708440990238</v>
      </c>
      <c r="AS248" s="393"/>
      <c r="AT248" s="242">
        <f t="shared" si="27"/>
        <v>1.8450703301298821</v>
      </c>
      <c r="AU248" s="701" t="str">
        <f t="shared" si="23"/>
        <v>OAT  25-May-66  1.75</v>
      </c>
      <c r="AV248" s="717"/>
      <c r="AW248" s="699"/>
      <c r="AX248" s="699"/>
      <c r="AY248" s="699"/>
      <c r="AZ248" s="699"/>
      <c r="BA248" s="699"/>
      <c r="BB248" s="698"/>
      <c r="BC248" s="711"/>
      <c r="BE248" s="721">
        <f>_xll.xlDateShiftMonth(BE247,1)</f>
        <v>50402</v>
      </c>
      <c r="BF248" s="722">
        <v>2.720000050757565E-2</v>
      </c>
    </row>
    <row r="249" spans="1:58">
      <c r="A249" s="10"/>
      <c r="B249" s="11"/>
      <c r="C249" s="12"/>
      <c r="D249" s="735">
        <f>MAX(_xll.xlDateSettle("TARGET",$D$4,2),L249)</f>
        <v>43164</v>
      </c>
      <c r="E249" s="733"/>
      <c r="F249" s="13" t="s">
        <v>2080</v>
      </c>
      <c r="G249" s="35" t="s">
        <v>2080</v>
      </c>
      <c r="H249" s="37" t="s">
        <v>2080</v>
      </c>
      <c r="I249" s="11" t="s">
        <v>2080</v>
      </c>
      <c r="J249" s="11" t="s">
        <v>2080</v>
      </c>
      <c r="K249" s="11" t="s">
        <v>2080</v>
      </c>
      <c r="L249" s="11" t="s">
        <v>2080</v>
      </c>
      <c r="M249" s="12" t="s">
        <v>2080</v>
      </c>
      <c r="N249" s="12" t="s">
        <v>2080</v>
      </c>
      <c r="O249" s="12" t="s">
        <v>2080</v>
      </c>
      <c r="P249" s="12" t="s">
        <v>2080</v>
      </c>
      <c r="Q249" s="15" t="s">
        <v>2080</v>
      </c>
      <c r="R249" s="12"/>
      <c r="S249" s="43" t="str">
        <f>_xll.RtGet("IDN",$N249,IF(OR($G249="BTP,$E11=""CTZ"),S$10,S$9))</f>
        <v>#N/A The record could not be found</v>
      </c>
      <c r="T249" s="43" t="str">
        <f>_xll.RtGet("IDN",$N249,IF(OR($G249="BTP,$E11=""CTZ"),T$10,T$9))</f>
        <v>#N/A The record could not be found</v>
      </c>
      <c r="U249" s="25" t="e">
        <f t="shared" si="28"/>
        <v>#DIV/0!</v>
      </c>
      <c r="V249" s="12"/>
      <c r="W249" s="25" t="e">
        <f t="shared" si="29"/>
        <v>#DIV/0!</v>
      </c>
      <c r="X249" s="14" t="str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Market code not found in bond conventions table</v>
      </c>
      <c r="Y249" s="14" t="str">
        <v>Market code not found in bond conventions table</v>
      </c>
      <c r="Z249" s="14" t="str">
        <v>Market code not found in bond conventions table</v>
      </c>
      <c r="AA249" s="14" t="str">
        <v>Market code not found in bond conventions table</v>
      </c>
      <c r="AB249" s="14" t="str">
        <v>Market code not found in bond conventions table</v>
      </c>
      <c r="AC249" s="14" t="str">
        <v>Market code not found in bond conventions table</v>
      </c>
      <c r="AD249" s="34" t="str">
        <v>Market code not found in bond conventions table</v>
      </c>
      <c r="AE249" s="12"/>
      <c r="AF249" s="12"/>
      <c r="AG249" s="12"/>
      <c r="AH249" s="14" t="str">
        <f t="array" ref="AH249:AK249">_xll.xlBondLiborSpread(F249,H249,I249,J249,K249,L249,M249,D249,D249,W249,1,$AH$10&amp;$AI$10&amp;$AJ$10&amp;$AK$10)</f>
        <v>Market code not found in bond conventions table</v>
      </c>
      <c r="AI249" s="14" t="str">
        <v>Market code not found in bond conventions table</v>
      </c>
      <c r="AJ249" s="14" t="str">
        <v>Market code not found in bond conventions table</v>
      </c>
      <c r="AK249" s="246" t="str">
        <v>Market code not found in bond conventions table</v>
      </c>
      <c r="AL249" s="213" t="e">
        <f>IF(U249&gt;0,_xll.xlBondZSpread(F249,H249,G249,J249,K249,L249,M249,D249,U249,"annual",5)*100,"-")</f>
        <v>#DIV/0!</v>
      </c>
      <c r="AM249" s="266" t="e">
        <f>(-IF($AL$9="",VLOOKUP(VLOOKUP(E249,'DB Basis'!$D$2:$H$65205,4,0),Bonds!$AR$1:$AS$6,2,0),$AL$9)*VLOOKUP(E249,'DB Basis'!$D$2:$E$65205,2,0))+IF(V249="",W249,V249)</f>
        <v>#N/A</v>
      </c>
      <c r="AN249" s="275" t="str">
        <f>IF($AN$9+(($AL$9-$AM$9))*('DB Basis'!F409/10-'DB Basis'!E409),," ")</f>
        <v xml:space="preserve"> </v>
      </c>
      <c r="AO249" s="648" t="e">
        <f>IF(U249&gt;0,_xll.xlShmImplSwap2(curveName,curveName,D249,G249,,1,8,2,4),"-")</f>
        <v>#DIV/0!</v>
      </c>
      <c r="AP249" s="649" t="str">
        <f t="shared" si="24"/>
        <v>-</v>
      </c>
      <c r="AQ249" s="391" t="str">
        <f t="shared" si="25"/>
        <v>-</v>
      </c>
      <c r="AR249" s="391" t="str">
        <f t="shared" si="26"/>
        <v>-</v>
      </c>
      <c r="AS249" s="393"/>
      <c r="AT249" s="242" t="str">
        <f t="shared" si="27"/>
        <v>-</v>
      </c>
      <c r="AU249" s="701" t="str">
        <f t="shared" si="23"/>
        <v>#ERROR: Invalid ISIN  #ERROR: Invalid ISIN  #ERROR: Invalid ISIN</v>
      </c>
      <c r="AV249" s="717"/>
      <c r="AW249" s="699"/>
      <c r="AX249" s="699"/>
      <c r="AY249" s="699"/>
      <c r="AZ249" s="699"/>
      <c r="BA249" s="699"/>
      <c r="BB249" s="698"/>
      <c r="BC249" s="711"/>
      <c r="BE249" s="721">
        <f>_xll.xlDateShiftMonth(BE248,1)</f>
        <v>50433</v>
      </c>
      <c r="BF249" s="722">
        <v>2.7232482259930829E-2</v>
      </c>
    </row>
    <row r="250" spans="1:58">
      <c r="A250" s="10"/>
      <c r="B250" s="11"/>
      <c r="C250" s="12"/>
      <c r="D250" s="735">
        <f>MAX(_xll.xlDateSettle("TARGET",$D$4,2),L250)</f>
        <v>43164</v>
      </c>
      <c r="E250" s="733"/>
      <c r="F250" s="13" t="s">
        <v>2080</v>
      </c>
      <c r="G250" s="35" t="s">
        <v>2080</v>
      </c>
      <c r="H250" s="37" t="s">
        <v>2080</v>
      </c>
      <c r="I250" s="11" t="s">
        <v>2080</v>
      </c>
      <c r="J250" s="11" t="s">
        <v>2080</v>
      </c>
      <c r="K250" s="11" t="s">
        <v>2080</v>
      </c>
      <c r="L250" s="11" t="s">
        <v>2080</v>
      </c>
      <c r="M250" s="12" t="s">
        <v>2080</v>
      </c>
      <c r="N250" s="12" t="s">
        <v>2080</v>
      </c>
      <c r="O250" s="12" t="s">
        <v>2080</v>
      </c>
      <c r="P250" s="12" t="s">
        <v>2080</v>
      </c>
      <c r="Q250" s="15" t="s">
        <v>2080</v>
      </c>
      <c r="R250" s="12"/>
      <c r="S250" s="43" t="str">
        <f>_xll.RtGet("IDN",$N250,IF(OR($G250="BTP,$E11=""CTZ"),S$10,S$9))</f>
        <v>#N/A The record could not be found</v>
      </c>
      <c r="T250" s="43" t="str">
        <f>_xll.RtGet("IDN",$N250,IF(OR($G250="BTP,$E11=""CTZ"),T$10,T$9))</f>
        <v>#N/A The record could not be found</v>
      </c>
      <c r="U250" s="25" t="e">
        <f t="shared" si="28"/>
        <v>#DIV/0!</v>
      </c>
      <c r="V250" s="12"/>
      <c r="W250" s="25" t="e">
        <f t="shared" si="29"/>
        <v>#DIV/0!</v>
      </c>
      <c r="X250" s="14" t="str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Market code not found in bond conventions table</v>
      </c>
      <c r="Y250" s="14" t="str">
        <v>Market code not found in bond conventions table</v>
      </c>
      <c r="Z250" s="14" t="str">
        <v>Market code not found in bond conventions table</v>
      </c>
      <c r="AA250" s="14" t="str">
        <v>Market code not found in bond conventions table</v>
      </c>
      <c r="AB250" s="14" t="str">
        <v>Market code not found in bond conventions table</v>
      </c>
      <c r="AC250" s="14" t="str">
        <v>Market code not found in bond conventions table</v>
      </c>
      <c r="AD250" s="34" t="str">
        <v>Market code not found in bond conventions table</v>
      </c>
      <c r="AE250" s="12"/>
      <c r="AF250" s="12"/>
      <c r="AG250" s="12"/>
      <c r="AH250" s="14" t="str">
        <f t="array" ref="AH250:AK250">_xll.xlBondLiborSpread(F250,H250,I250,J250,K250,L250,M250,D250,D250,W250,1,$AH$10&amp;$AI$10&amp;$AJ$10&amp;$AK$10)</f>
        <v>Market code not found in bond conventions table</v>
      </c>
      <c r="AI250" s="14" t="str">
        <v>Market code not found in bond conventions table</v>
      </c>
      <c r="AJ250" s="14" t="str">
        <v>Market code not found in bond conventions table</v>
      </c>
      <c r="AK250" s="246" t="str">
        <v>Market code not found in bond conventions table</v>
      </c>
      <c r="AL250" s="213" t="e">
        <f>IF(U250&gt;0,_xll.xlBondZSpread(F250,H250,G250,J250,K250,L250,M250,D250,U250,"annual",5)*100,"-")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5" t="str">
        <f>IF($AN$9+(($AL$9-$AM$9))*('DB Basis'!F410/10-'DB Basis'!E410),," ")</f>
        <v xml:space="preserve"> </v>
      </c>
      <c r="AO250" s="648" t="e">
        <f>IF(U250&gt;0,_xll.xlShmImplSwap2(curveName,curveName,D250,G250,,1,8,2,4),"-")</f>
        <v>#DIV/0!</v>
      </c>
      <c r="AP250" s="649" t="str">
        <f t="shared" si="24"/>
        <v>-</v>
      </c>
      <c r="AQ250" s="391" t="str">
        <f t="shared" si="25"/>
        <v>-</v>
      </c>
      <c r="AR250" s="391" t="str">
        <f t="shared" si="26"/>
        <v>-</v>
      </c>
      <c r="AS250" s="393"/>
      <c r="AT250" s="242" t="str">
        <f t="shared" si="27"/>
        <v>-</v>
      </c>
      <c r="AU250" s="701" t="str">
        <f t="shared" si="23"/>
        <v>#ERROR: Invalid ISIN  #ERROR: Invalid ISIN  #ERROR: Invalid ISIN</v>
      </c>
      <c r="AV250" s="717"/>
      <c r="AW250" s="699"/>
      <c r="AX250" s="699"/>
      <c r="AY250" s="699"/>
      <c r="AZ250" s="699"/>
      <c r="BA250" s="699"/>
      <c r="BB250" s="698"/>
      <c r="BC250" s="711"/>
      <c r="BE250" s="721">
        <f>_xll.xlDateShiftMonth(BE249,1)</f>
        <v>50464</v>
      </c>
      <c r="BF250" s="722">
        <v>2.7264905697623788E-2</v>
      </c>
    </row>
    <row r="251" spans="1:58">
      <c r="A251" s="10"/>
      <c r="B251" s="11"/>
      <c r="C251" s="12"/>
      <c r="D251" s="735">
        <f>MAX(_xll.xlDateSettle("TARGET",$D$4,2),L251)</f>
        <v>43164</v>
      </c>
      <c r="E251" s="733"/>
      <c r="F251" s="13" t="s">
        <v>2080</v>
      </c>
      <c r="G251" s="35" t="s">
        <v>2080</v>
      </c>
      <c r="H251" s="37" t="s">
        <v>2080</v>
      </c>
      <c r="I251" s="11" t="s">
        <v>2080</v>
      </c>
      <c r="J251" s="11" t="s">
        <v>2080</v>
      </c>
      <c r="K251" s="11" t="s">
        <v>2080</v>
      </c>
      <c r="L251" s="11" t="s">
        <v>2080</v>
      </c>
      <c r="M251" s="12" t="s">
        <v>2080</v>
      </c>
      <c r="N251" s="12" t="s">
        <v>2080</v>
      </c>
      <c r="O251" s="12" t="s">
        <v>2080</v>
      </c>
      <c r="P251" s="12" t="s">
        <v>2080</v>
      </c>
      <c r="Q251" s="15" t="s">
        <v>2080</v>
      </c>
      <c r="R251" s="12"/>
      <c r="S251" s="43" t="str">
        <f>_xll.RtGet("IDN",$N251,IF(OR($G251="BTP,$E11=""CTZ"),S$10,S$9))</f>
        <v>#N/A The record could not be found</v>
      </c>
      <c r="T251" s="43" t="str">
        <f>_xll.RtGet("IDN",$N251,IF(OR($G251="BTP,$E11=""CTZ"),T$10,T$9))</f>
        <v>#N/A The record could not be found</v>
      </c>
      <c r="U251" s="25" t="e">
        <f t="shared" si="28"/>
        <v>#DIV/0!</v>
      </c>
      <c r="V251" s="12"/>
      <c r="W251" s="25" t="e">
        <f t="shared" si="29"/>
        <v>#DIV/0!</v>
      </c>
      <c r="X251" s="14" t="str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Market code not found in bond conventions table</v>
      </c>
      <c r="Y251" s="14" t="str">
        <v>Market code not found in bond conventions table</v>
      </c>
      <c r="Z251" s="14" t="str">
        <v>Market code not found in bond conventions table</v>
      </c>
      <c r="AA251" s="14" t="str">
        <v>Market code not found in bond conventions table</v>
      </c>
      <c r="AB251" s="14" t="str">
        <v>Market code not found in bond conventions table</v>
      </c>
      <c r="AC251" s="14" t="str">
        <v>Market code not found in bond conventions table</v>
      </c>
      <c r="AD251" s="34" t="str">
        <v>Market code not found in bond conventions table</v>
      </c>
      <c r="AE251" s="12"/>
      <c r="AF251" s="12"/>
      <c r="AG251" s="12"/>
      <c r="AH251" s="14" t="str">
        <f t="array" ref="AH251:AK251">_xll.xlBondLiborSpread(F251,H251,I251,J251,K251,L251,M251,D251,D251,W251,1,$AH$10&amp;$AI$10&amp;$AJ$10&amp;$AK$10)</f>
        <v>Market code not found in bond conventions table</v>
      </c>
      <c r="AI251" s="14" t="str">
        <v>Market code not found in bond conventions table</v>
      </c>
      <c r="AJ251" s="14" t="str">
        <v>Market code not found in bond conventions table</v>
      </c>
      <c r="AK251" s="246" t="str">
        <v>Market code not found in bond conventions table</v>
      </c>
      <c r="AL251" s="213" t="e">
        <f>IF(U251&gt;0,_xll.xlBondZSpread(F251,H251,G251,J251,K251,L251,M251,D251,U251,"annual",5)*100,"-")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5" t="str">
        <f>IF($AN$9+(($AL$9-$AM$9))*('DB Basis'!F411/10-'DB Basis'!E411),," ")</f>
        <v xml:space="preserve"> </v>
      </c>
      <c r="AO251" s="648" t="e">
        <f>IF(U251&gt;0,_xll.xlShmImplSwap2(curveName,curveName,D251,G251,,1,8,2,4),"-")</f>
        <v>#DIV/0!</v>
      </c>
      <c r="AP251" s="649" t="str">
        <f t="shared" si="24"/>
        <v>-</v>
      </c>
      <c r="AQ251" s="391" t="str">
        <f t="shared" si="25"/>
        <v>-</v>
      </c>
      <c r="AR251" s="391" t="str">
        <f t="shared" si="26"/>
        <v>-</v>
      </c>
      <c r="AS251" s="393"/>
      <c r="AT251" s="242" t="str">
        <f t="shared" si="27"/>
        <v>-</v>
      </c>
      <c r="AU251" s="701" t="str">
        <f t="shared" si="23"/>
        <v>#ERROR: Invalid ISIN  #ERROR: Invalid ISIN  #ERROR: Invalid ISIN</v>
      </c>
      <c r="AV251" s="717"/>
      <c r="AW251" s="699"/>
      <c r="AX251" s="699"/>
      <c r="AY251" s="699"/>
      <c r="AZ251" s="699"/>
      <c r="BA251" s="699"/>
      <c r="BC251" s="712"/>
      <c r="BE251" s="721">
        <f>_xll.xlDateShiftMonth(BE250,1)</f>
        <v>50492</v>
      </c>
      <c r="BF251" s="722">
        <v>2.7294141668640318E-2</v>
      </c>
    </row>
    <row r="252" spans="1:58">
      <c r="A252" s="10"/>
      <c r="B252" s="11"/>
      <c r="C252" s="12"/>
      <c r="D252" s="735">
        <f>MAX(_xll.xlDateSettle("TARGET",$D$4,2),L252)</f>
        <v>43164</v>
      </c>
      <c r="E252" s="733"/>
      <c r="F252" s="13" t="s">
        <v>2080</v>
      </c>
      <c r="G252" s="35" t="s">
        <v>2080</v>
      </c>
      <c r="H252" s="37" t="s">
        <v>2080</v>
      </c>
      <c r="I252" s="11" t="s">
        <v>2080</v>
      </c>
      <c r="J252" s="11" t="s">
        <v>2080</v>
      </c>
      <c r="K252" s="11" t="s">
        <v>2080</v>
      </c>
      <c r="L252" s="11" t="s">
        <v>2080</v>
      </c>
      <c r="M252" s="12" t="s">
        <v>2080</v>
      </c>
      <c r="N252" s="12" t="s">
        <v>2080</v>
      </c>
      <c r="O252" s="12" t="s">
        <v>2080</v>
      </c>
      <c r="P252" s="12" t="s">
        <v>2080</v>
      </c>
      <c r="Q252" s="15" t="s">
        <v>2080</v>
      </c>
      <c r="R252" s="12"/>
      <c r="S252" s="43" t="str">
        <f>_xll.RtGet("IDN",$N252,IF(OR($G252="BTP,$E11=""CTZ"),S$10,S$9))</f>
        <v>#N/A The record could not be found</v>
      </c>
      <c r="T252" s="43" t="str">
        <f>_xll.RtGet("IDN",$N252,IF(OR($G252="BTP,$E11=""CTZ"),T$10,T$9))</f>
        <v>#N/A The record could not be found</v>
      </c>
      <c r="U252" s="25" t="e">
        <f t="shared" si="28"/>
        <v>#DIV/0!</v>
      </c>
      <c r="V252" s="12"/>
      <c r="W252" s="25" t="e">
        <f t="shared" si="29"/>
        <v>#DIV/0!</v>
      </c>
      <c r="X252" s="14" t="str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Market code not found in bond conventions table</v>
      </c>
      <c r="Y252" s="14" t="str">
        <v>Market code not found in bond conventions table</v>
      </c>
      <c r="Z252" s="14" t="str">
        <v>Market code not found in bond conventions table</v>
      </c>
      <c r="AA252" s="14" t="str">
        <v>Market code not found in bond conventions table</v>
      </c>
      <c r="AB252" s="14" t="str">
        <v>Market code not found in bond conventions table</v>
      </c>
      <c r="AC252" s="14" t="str">
        <v>Market code not found in bond conventions table</v>
      </c>
      <c r="AD252" s="34" t="str">
        <v>Market code not found in bond conventions table</v>
      </c>
      <c r="AE252" s="12"/>
      <c r="AF252" s="12"/>
      <c r="AG252" s="12"/>
      <c r="AH252" s="14" t="str">
        <f t="array" ref="AH252:AK252">_xll.xlBondLiborSpread(F252,H252,I252,J252,K252,L252,M252,D252,D252,W252,1,$AH$10&amp;$AI$10&amp;$AJ$10&amp;$AK$10)</f>
        <v>Market code not found in bond conventions table</v>
      </c>
      <c r="AI252" s="14" t="str">
        <v>Market code not found in bond conventions table</v>
      </c>
      <c r="AJ252" s="14" t="str">
        <v>Market code not found in bond conventions table</v>
      </c>
      <c r="AK252" s="246" t="str">
        <v>Market code not found in bond conventions table</v>
      </c>
      <c r="AL252" s="213" t="e">
        <f>IF(U252&gt;0,_xll.xlBondZSpread(F252,H252,G252,J252,K252,L252,M252,D252,U252,"annual",5)*100,"-")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5" t="str">
        <f>IF($AN$9+(($AL$9-$AM$9))*('DB Basis'!F412/10-'DB Basis'!E412),," ")</f>
        <v xml:space="preserve"> </v>
      </c>
      <c r="AO252" s="648" t="e">
        <f>IF(U252&gt;0,_xll.xlShmImplSwap2(curveName,curveName,D252,G252,,1,8,2,4),"-")</f>
        <v>#DIV/0!</v>
      </c>
      <c r="AP252" s="649" t="str">
        <f t="shared" si="24"/>
        <v>-</v>
      </c>
      <c r="AQ252" s="391" t="str">
        <f t="shared" si="25"/>
        <v>-</v>
      </c>
      <c r="AR252" s="391" t="str">
        <f t="shared" si="26"/>
        <v>-</v>
      </c>
      <c r="AS252" s="393"/>
      <c r="AT252" s="242" t="str">
        <f t="shared" si="27"/>
        <v>-</v>
      </c>
      <c r="AU252" s="701" t="str">
        <f t="shared" si="23"/>
        <v>#ERROR: Invalid ISIN  #ERROR: Invalid ISIN  #ERROR: Invalid ISIN</v>
      </c>
      <c r="AV252" s="717"/>
      <c r="AW252" s="699"/>
      <c r="AX252" s="699"/>
      <c r="AY252" s="699"/>
      <c r="AZ252" s="699"/>
      <c r="BA252" s="699"/>
      <c r="BC252" s="712"/>
      <c r="BE252" s="721">
        <f>_xll.xlDateShiftMonth(BE251,1)</f>
        <v>50523</v>
      </c>
      <c r="BF252" s="722">
        <v>2.7326455475687166E-2</v>
      </c>
    </row>
    <row r="253" spans="1:58">
      <c r="A253" s="10"/>
      <c r="B253" s="11"/>
      <c r="C253" s="12"/>
      <c r="D253" s="735">
        <f>MAX(_xll.xlDateSettle("TARGET",$D$4,2),L253)</f>
        <v>43164</v>
      </c>
      <c r="E253" s="733"/>
      <c r="F253" s="13" t="s">
        <v>2080</v>
      </c>
      <c r="G253" s="35" t="s">
        <v>2080</v>
      </c>
      <c r="H253" s="37" t="s">
        <v>2080</v>
      </c>
      <c r="I253" s="11" t="s">
        <v>2080</v>
      </c>
      <c r="J253" s="11" t="s">
        <v>2080</v>
      </c>
      <c r="K253" s="11" t="s">
        <v>2080</v>
      </c>
      <c r="L253" s="11" t="s">
        <v>2080</v>
      </c>
      <c r="M253" s="12" t="s">
        <v>2080</v>
      </c>
      <c r="N253" s="12" t="s">
        <v>2080</v>
      </c>
      <c r="O253" s="12" t="s">
        <v>2080</v>
      </c>
      <c r="P253" s="12" t="s">
        <v>2080</v>
      </c>
      <c r="Q253" s="15" t="s">
        <v>2080</v>
      </c>
      <c r="R253" s="12"/>
      <c r="S253" s="43" t="str">
        <f>_xll.RtGet("IDN",$N253,IF(OR($G253="BTP,$E11=""CTZ"),S$10,S$9))</f>
        <v>#N/A The record could not be found</v>
      </c>
      <c r="T253" s="43" t="str">
        <f>_xll.RtGet("IDN",$N253,IF(OR($G253="BTP,$E11=""CTZ"),T$10,T$9))</f>
        <v>#N/A The record could not be found</v>
      </c>
      <c r="U253" s="25" t="e">
        <f t="shared" si="28"/>
        <v>#DIV/0!</v>
      </c>
      <c r="V253" s="12"/>
      <c r="W253" s="25" t="e">
        <f t="shared" si="29"/>
        <v>#DIV/0!</v>
      </c>
      <c r="X253" s="14" t="str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Market code not found in bond conventions table</v>
      </c>
      <c r="Y253" s="14" t="str">
        <v>Market code not found in bond conventions table</v>
      </c>
      <c r="Z253" s="14" t="str">
        <v>Market code not found in bond conventions table</v>
      </c>
      <c r="AA253" s="14" t="str">
        <v>Market code not found in bond conventions table</v>
      </c>
      <c r="AB253" s="14" t="str">
        <v>Market code not found in bond conventions table</v>
      </c>
      <c r="AC253" s="14" t="str">
        <v>Market code not found in bond conventions table</v>
      </c>
      <c r="AD253" s="34" t="str">
        <v>Market code not found in bond conventions table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46" t="str">
        <v>Market code not found in bond conventions table</v>
      </c>
      <c r="AL253" s="213" t="e">
        <f>IF(U253&gt;0,_xll.xlBondZSpread(F253,H253,G253,J253,K253,L253,M253,D253,U253,"annual",5)*100,"-")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5" t="str">
        <f>IF($AN$9+(($AL$9-$AM$9))*('DB Basis'!F413/10-'DB Basis'!E413),," ")</f>
        <v xml:space="preserve"> </v>
      </c>
      <c r="AO253" s="648" t="e">
        <f>IF(U253&gt;0,_xll.xlShmImplSwap2(curveName,curveName,D253,G253,,1,8,2,4),"-")</f>
        <v>#DIV/0!</v>
      </c>
      <c r="AP253" s="649" t="str">
        <f t="shared" si="24"/>
        <v>-</v>
      </c>
      <c r="AQ253" s="391" t="str">
        <f t="shared" si="25"/>
        <v>-</v>
      </c>
      <c r="AR253" s="391" t="str">
        <f t="shared" si="26"/>
        <v>-</v>
      </c>
      <c r="AS253" s="393"/>
      <c r="AT253" s="242" t="str">
        <f t="shared" si="27"/>
        <v>-</v>
      </c>
      <c r="AU253" s="701" t="str">
        <f t="shared" si="23"/>
        <v>#ERROR: Invalid ISIN  #ERROR: Invalid ISIN  #ERROR: Invalid ISIN</v>
      </c>
      <c r="AV253" s="717"/>
      <c r="AW253" s="699"/>
      <c r="AX253" s="699"/>
      <c r="AY253" s="699"/>
      <c r="AZ253" s="699"/>
      <c r="BA253" s="699"/>
      <c r="BC253" s="712"/>
      <c r="BE253" s="721">
        <f>_xll.xlDateShiftMonth(BE252,1)</f>
        <v>50553</v>
      </c>
      <c r="BF253" s="722">
        <v>2.7357672729578387E-2</v>
      </c>
    </row>
    <row r="254" spans="1:58">
      <c r="A254" s="10"/>
      <c r="B254" s="11"/>
      <c r="C254" s="12"/>
      <c r="D254" s="735">
        <f>MAX(_xll.xlDateSettle("TARGET",$D$4,2),L254)</f>
        <v>43164</v>
      </c>
      <c r="E254" s="733"/>
      <c r="F254" s="13" t="s">
        <v>2080</v>
      </c>
      <c r="G254" s="35" t="s">
        <v>2080</v>
      </c>
      <c r="H254" s="37" t="s">
        <v>2080</v>
      </c>
      <c r="I254" s="11" t="s">
        <v>2080</v>
      </c>
      <c r="J254" s="11" t="s">
        <v>2080</v>
      </c>
      <c r="K254" s="11" t="s">
        <v>2080</v>
      </c>
      <c r="L254" s="11" t="s">
        <v>2080</v>
      </c>
      <c r="M254" s="12" t="s">
        <v>2080</v>
      </c>
      <c r="N254" s="12" t="s">
        <v>2080</v>
      </c>
      <c r="O254" s="12" t="s">
        <v>2080</v>
      </c>
      <c r="P254" s="12" t="s">
        <v>2080</v>
      </c>
      <c r="Q254" s="15" t="s">
        <v>2080</v>
      </c>
      <c r="R254" s="12"/>
      <c r="S254" s="43" t="str">
        <f>_xll.RtGet("IDN",$N254,IF(OR($G254="BTP,$E11=""CTZ"),S$10,S$9))</f>
        <v>#N/A The record could not be found</v>
      </c>
      <c r="T254" s="43" t="str">
        <f>_xll.RtGet("IDN",$N254,IF(OR($G254="BTP,$E11=""CTZ"),T$10,T$9))</f>
        <v>#N/A The record could not be found</v>
      </c>
      <c r="U254" s="25" t="e">
        <f t="shared" si="28"/>
        <v>#DIV/0!</v>
      </c>
      <c r="V254" s="12"/>
      <c r="W254" s="25" t="e">
        <f t="shared" si="29"/>
        <v>#DIV/0!</v>
      </c>
      <c r="X254" s="14" t="str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Market code not found in bond conventions table</v>
      </c>
      <c r="Y254" s="14" t="str">
        <v>Market code not found in bond conventions table</v>
      </c>
      <c r="Z254" s="14" t="str">
        <v>Market code not found in bond conventions table</v>
      </c>
      <c r="AA254" s="14" t="str">
        <v>Market code not found in bond conventions table</v>
      </c>
      <c r="AB254" s="14" t="str">
        <v>Market code not found in bond conventions table</v>
      </c>
      <c r="AC254" s="14" t="str">
        <v>Market code not found in bond conventions table</v>
      </c>
      <c r="AD254" s="34" t="str">
        <v>Market code not found in bond conventions table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46" t="str">
        <v>Market code not found in bond conventions table</v>
      </c>
      <c r="AL254" s="213" t="e">
        <f>IF(U254&gt;0,_xll.xlBondZSpread(F254,H254,G254,J254,K254,L254,M254,D254,U254,"annual",5)*100,"-")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5" t="str">
        <f>IF($AN$9+(($AL$9-$AM$9))*('DB Basis'!F414/10-'DB Basis'!E414),," ")</f>
        <v xml:space="preserve"> </v>
      </c>
      <c r="AO254" s="648" t="e">
        <f>IF(U254&gt;0,_xll.xlShmImplSwap2(curveName,curveName,D254,G254,,1,8,2,4),"-")</f>
        <v>#DIV/0!</v>
      </c>
      <c r="AP254" s="649" t="str">
        <f t="shared" si="24"/>
        <v>-</v>
      </c>
      <c r="AQ254" s="391" t="str">
        <f t="shared" si="25"/>
        <v>-</v>
      </c>
      <c r="AR254" s="391" t="str">
        <f t="shared" si="26"/>
        <v>-</v>
      </c>
      <c r="AS254" s="393"/>
      <c r="AT254" s="242" t="str">
        <f t="shared" si="27"/>
        <v>-</v>
      </c>
      <c r="AU254" s="701" t="str">
        <f t="shared" si="23"/>
        <v>#ERROR: Invalid ISIN  #ERROR: Invalid ISIN  #ERROR: Invalid ISIN</v>
      </c>
      <c r="AV254" s="717"/>
      <c r="AW254" s="699"/>
      <c r="AX254" s="699"/>
      <c r="AY254" s="699"/>
      <c r="AZ254" s="699"/>
      <c r="BA254" s="699"/>
      <c r="BC254" s="712"/>
      <c r="BE254" s="721">
        <f>_xll.xlDateShiftMonth(BE253,1)</f>
        <v>50584</v>
      </c>
      <c r="BF254" s="722">
        <v>2.738987505804218E-2</v>
      </c>
    </row>
    <row r="255" spans="1:58">
      <c r="A255" s="10"/>
      <c r="B255" s="11"/>
      <c r="C255" s="12"/>
      <c r="D255" s="735">
        <f>MAX(_xll.xlDateSettle("TARGET",$D$4,2),L255)</f>
        <v>43164</v>
      </c>
      <c r="E255" s="733"/>
      <c r="F255" s="13" t="s">
        <v>2080</v>
      </c>
      <c r="G255" s="35" t="s">
        <v>2080</v>
      </c>
      <c r="H255" s="37" t="s">
        <v>2080</v>
      </c>
      <c r="I255" s="11" t="s">
        <v>2080</v>
      </c>
      <c r="J255" s="11" t="s">
        <v>2080</v>
      </c>
      <c r="K255" s="11" t="s">
        <v>2080</v>
      </c>
      <c r="L255" s="11" t="s">
        <v>2080</v>
      </c>
      <c r="M255" s="12" t="s">
        <v>2080</v>
      </c>
      <c r="N255" s="12" t="s">
        <v>2080</v>
      </c>
      <c r="O255" s="12" t="s">
        <v>2080</v>
      </c>
      <c r="P255" s="12" t="s">
        <v>2080</v>
      </c>
      <c r="Q255" s="15" t="s">
        <v>2080</v>
      </c>
      <c r="R255" s="12"/>
      <c r="S255" s="43" t="str">
        <f>_xll.RtGet("IDN",$N255,IF(OR($G255="BTP,$E11=""CTZ"),S$10,S$9))</f>
        <v>#N/A The record could not be found</v>
      </c>
      <c r="T255" s="43" t="str">
        <f>_xll.RtGet("IDN",$N255,IF(OR($G255="BTP,$E11=""CTZ"),T$10,T$9))</f>
        <v>#N/A The record could not be found</v>
      </c>
      <c r="U255" s="25" t="e">
        <f t="shared" si="28"/>
        <v>#DIV/0!</v>
      </c>
      <c r="V255" s="12"/>
      <c r="W255" s="25" t="e">
        <f t="shared" si="29"/>
        <v>#DIV/0!</v>
      </c>
      <c r="X255" s="14" t="str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Market code not found in bond conventions table</v>
      </c>
      <c r="Y255" s="14" t="str">
        <v>Market code not found in bond conventions table</v>
      </c>
      <c r="Z255" s="14" t="str">
        <v>Market code not found in bond conventions table</v>
      </c>
      <c r="AA255" s="14" t="str">
        <v>Market code not found in bond conventions table</v>
      </c>
      <c r="AB255" s="14" t="str">
        <v>Market code not found in bond conventions table</v>
      </c>
      <c r="AC255" s="14" t="str">
        <v>Market code not found in bond conventions table</v>
      </c>
      <c r="AD255" s="34" t="str">
        <v>Market code not found in bond conventions table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46" t="str">
        <v>Market code not found in bond conventions table</v>
      </c>
      <c r="AL255" s="213" t="e">
        <f>IF(U255&gt;0,_xll.xlBondZSpread(F255,H255,G255,J255,K255,L255,M255,D255,U255,"annual",5)*100,"-")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5" t="str">
        <f>IF($AN$9+(($AL$9-$AM$9))*('DB Basis'!F415/10-'DB Basis'!E415),," ")</f>
        <v xml:space="preserve"> </v>
      </c>
      <c r="AO255" s="648" t="e">
        <f>IF(U255&gt;0,_xll.xlShmImplSwap2(curveName,curveName,D255,G255,,1,8,2,4),"-")</f>
        <v>#DIV/0!</v>
      </c>
      <c r="AP255" s="649" t="str">
        <f t="shared" si="24"/>
        <v>-</v>
      </c>
      <c r="AQ255" s="391" t="str">
        <f t="shared" si="25"/>
        <v>-</v>
      </c>
      <c r="AR255" s="391" t="str">
        <f t="shared" si="26"/>
        <v>-</v>
      </c>
      <c r="AS255" s="393"/>
      <c r="AT255" s="242" t="str">
        <f t="shared" si="27"/>
        <v>-</v>
      </c>
      <c r="AU255" s="701" t="str">
        <f t="shared" si="23"/>
        <v>#ERROR: Invalid ISIN  #ERROR: Invalid ISIN  #ERROR: Invalid ISIN</v>
      </c>
      <c r="AV255" s="717"/>
      <c r="AW255" s="699"/>
      <c r="AX255" s="699"/>
      <c r="AY255" s="699"/>
      <c r="AZ255" s="699"/>
      <c r="BA255" s="699"/>
      <c r="BC255" s="712"/>
      <c r="BE255" s="721">
        <f>_xll.xlDateShiftMonth(BE254,1)</f>
        <v>50614</v>
      </c>
      <c r="BF255" s="722">
        <v>2.7420985348544348E-2</v>
      </c>
    </row>
    <row r="256" spans="1:58">
      <c r="A256" s="10"/>
      <c r="B256" s="11"/>
      <c r="C256" s="12"/>
      <c r="D256" s="735">
        <f>MAX(_xll.xlDateSettle("TARGET",$D$4,2),L256)</f>
        <v>43164</v>
      </c>
      <c r="E256" s="733"/>
      <c r="F256" s="13" t="s">
        <v>2080</v>
      </c>
      <c r="G256" s="35" t="s">
        <v>2080</v>
      </c>
      <c r="H256" s="37" t="s">
        <v>2080</v>
      </c>
      <c r="I256" s="11" t="s">
        <v>2080</v>
      </c>
      <c r="J256" s="11" t="s">
        <v>2080</v>
      </c>
      <c r="K256" s="11" t="s">
        <v>2080</v>
      </c>
      <c r="L256" s="11" t="s">
        <v>2080</v>
      </c>
      <c r="M256" s="12" t="s">
        <v>2080</v>
      </c>
      <c r="N256" s="12" t="s">
        <v>2080</v>
      </c>
      <c r="O256" s="12" t="s">
        <v>2080</v>
      </c>
      <c r="P256" s="12" t="s">
        <v>2080</v>
      </c>
      <c r="Q256" s="15" t="s">
        <v>2080</v>
      </c>
      <c r="R256" s="12"/>
      <c r="S256" s="43" t="str">
        <f>_xll.RtGet("IDN",$N256,IF(OR($G256="BTP,$E11=""CTZ"),S$10,S$9))</f>
        <v>#N/A The record could not be found</v>
      </c>
      <c r="T256" s="43" t="str">
        <f>_xll.RtGet("IDN",$N256,IF(OR($G256="BTP,$E11=""CTZ"),T$10,T$9))</f>
        <v>#N/A The record could not be found</v>
      </c>
      <c r="U256" s="25" t="e">
        <f t="shared" si="28"/>
        <v>#DIV/0!</v>
      </c>
      <c r="V256" s="12"/>
      <c r="W256" s="25" t="e">
        <f t="shared" si="29"/>
        <v>#DIV/0!</v>
      </c>
      <c r="X256" s="14" t="str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Market code not found in bond conventions table</v>
      </c>
      <c r="Y256" s="14" t="str">
        <v>Market code not found in bond conventions table</v>
      </c>
      <c r="Z256" s="14" t="str">
        <v>Market code not found in bond conventions table</v>
      </c>
      <c r="AA256" s="14" t="str">
        <v>Market code not found in bond conventions table</v>
      </c>
      <c r="AB256" s="14" t="str">
        <v>Market code not found in bond conventions table</v>
      </c>
      <c r="AC256" s="14" t="str">
        <v>Market code not found in bond conventions table</v>
      </c>
      <c r="AD256" s="34" t="str">
        <v>Market code not found in bond conventions table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46" t="str">
        <v>Market code not found in bond conventions table</v>
      </c>
      <c r="AL256" s="213" t="e">
        <f>IF(U256&gt;0,_xll.xlBondZSpread(F256,H256,G256,J256,K256,L256,M256,D256,U256,"annual",5)*100,"-")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5" t="str">
        <f>IF($AN$9+(($AL$9-$AM$9))*('DB Basis'!F416/10-'DB Basis'!E416),," ")</f>
        <v xml:space="preserve"> </v>
      </c>
      <c r="AO256" s="648" t="e">
        <f>IF(U256&gt;0,_xll.xlShmImplSwap2(curveName,curveName,D256,G256,,1,8,2,4),"-")</f>
        <v>#DIV/0!</v>
      </c>
      <c r="AP256" s="649" t="str">
        <f t="shared" si="24"/>
        <v>-</v>
      </c>
      <c r="AQ256" s="391" t="str">
        <f t="shared" si="25"/>
        <v>-</v>
      </c>
      <c r="AR256" s="391" t="str">
        <f t="shared" si="26"/>
        <v>-</v>
      </c>
      <c r="AS256" s="393"/>
      <c r="AT256" s="242" t="str">
        <f t="shared" si="27"/>
        <v>-</v>
      </c>
      <c r="AU256" s="701" t="str">
        <f t="shared" si="23"/>
        <v>#ERROR: Invalid ISIN  #ERROR: Invalid ISIN  #ERROR: Invalid ISIN</v>
      </c>
      <c r="AV256" s="717"/>
      <c r="AW256" s="699"/>
      <c r="AX256" s="699"/>
      <c r="AY256" s="699"/>
      <c r="AZ256" s="699"/>
      <c r="BA256" s="699"/>
      <c r="BC256" s="712"/>
      <c r="BE256" s="721">
        <f>_xll.xlDateShiftMonth(BE255,1)</f>
        <v>50645</v>
      </c>
      <c r="BF256" s="722">
        <v>2.7453078097920497E-2</v>
      </c>
    </row>
    <row r="257" spans="1:58">
      <c r="A257" s="10"/>
      <c r="B257" s="11"/>
      <c r="C257" s="12"/>
      <c r="D257" s="735">
        <f>MAX(_xll.xlDateSettle("TARGET",$D$4,2),L257)</f>
        <v>43164</v>
      </c>
      <c r="E257" s="733"/>
      <c r="F257" s="13" t="s">
        <v>2080</v>
      </c>
      <c r="G257" s="35" t="s">
        <v>2080</v>
      </c>
      <c r="H257" s="37" t="s">
        <v>2080</v>
      </c>
      <c r="I257" s="11" t="s">
        <v>2080</v>
      </c>
      <c r="J257" s="11" t="s">
        <v>2080</v>
      </c>
      <c r="K257" s="11" t="s">
        <v>2080</v>
      </c>
      <c r="L257" s="11" t="s">
        <v>2080</v>
      </c>
      <c r="M257" s="12" t="s">
        <v>2080</v>
      </c>
      <c r="N257" s="12" t="s">
        <v>2080</v>
      </c>
      <c r="O257" s="12" t="s">
        <v>2080</v>
      </c>
      <c r="P257" s="12" t="s">
        <v>2080</v>
      </c>
      <c r="Q257" s="15" t="s">
        <v>2080</v>
      </c>
      <c r="R257" s="12"/>
      <c r="S257" s="43" t="str">
        <f>_xll.RtGet("IDN",$N257,IF(OR($G257="BTP,$E11=""CTZ"),S$10,S$9))</f>
        <v>#N/A The record could not be found</v>
      </c>
      <c r="T257" s="43" t="str">
        <f>_xll.RtGet("IDN",$N257,IF(OR($G257="BTP,$E11=""CTZ"),T$10,T$9))</f>
        <v>#N/A The record could not be found</v>
      </c>
      <c r="U257" s="25" t="e">
        <f t="shared" si="28"/>
        <v>#DIV/0!</v>
      </c>
      <c r="V257" s="12"/>
      <c r="W257" s="25" t="e">
        <f t="shared" si="29"/>
        <v>#DIV/0!</v>
      </c>
      <c r="X257" s="14" t="str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Market code not found in bond conventions table</v>
      </c>
      <c r="Y257" s="14" t="str">
        <v>Market code not found in bond conventions table</v>
      </c>
      <c r="Z257" s="14" t="str">
        <v>Market code not found in bond conventions table</v>
      </c>
      <c r="AA257" s="14" t="str">
        <v>Market code not found in bond conventions table</v>
      </c>
      <c r="AB257" s="14" t="str">
        <v>Market code not found in bond conventions table</v>
      </c>
      <c r="AC257" s="14" t="str">
        <v>Market code not found in bond conventions table</v>
      </c>
      <c r="AD257" s="34" t="str">
        <v>Market code not found in bond conventions table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46" t="str">
        <v>Market code not found in bond conventions table</v>
      </c>
      <c r="AL257" s="213" t="e">
        <f>IF(U257&gt;0,_xll.xlBondZSpread(F257,H257,G257,J257,K257,L257,M257,D257,U257,"annual",5)*100,"-")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5" t="str">
        <f>IF($AN$9+(($AL$9-$AM$9))*('DB Basis'!F417/10-'DB Basis'!E417),," ")</f>
        <v xml:space="preserve"> </v>
      </c>
      <c r="AO257" s="648" t="e">
        <f>IF(U257&gt;0,_xll.xlShmImplSwap2(curveName,curveName,D257,G257,,1,8,2,4),"-")</f>
        <v>#DIV/0!</v>
      </c>
      <c r="AP257" s="649" t="str">
        <f t="shared" si="24"/>
        <v>-</v>
      </c>
      <c r="AQ257" s="391" t="str">
        <f t="shared" si="25"/>
        <v>-</v>
      </c>
      <c r="AR257" s="391" t="str">
        <f t="shared" si="26"/>
        <v>-</v>
      </c>
      <c r="AS257" s="393"/>
      <c r="AT257" s="242" t="str">
        <f t="shared" si="27"/>
        <v>-</v>
      </c>
      <c r="AU257" s="701" t="str">
        <f t="shared" si="23"/>
        <v>#ERROR: Invalid ISIN  #ERROR: Invalid ISIN  #ERROR: Invalid ISIN</v>
      </c>
      <c r="AV257" s="717"/>
      <c r="AW257" s="699"/>
      <c r="AX257" s="699"/>
      <c r="AY257" s="699"/>
      <c r="AZ257" s="699"/>
      <c r="BA257" s="699"/>
      <c r="BC257" s="712"/>
      <c r="BE257" s="721">
        <f>_xll.xlDateShiftMonth(BE256,1)</f>
        <v>50676</v>
      </c>
      <c r="BF257" s="722">
        <v>2.7485115887507801E-2</v>
      </c>
    </row>
    <row r="258" spans="1:58">
      <c r="A258" s="10"/>
      <c r="B258" s="11"/>
      <c r="C258" s="12"/>
      <c r="D258" s="735">
        <f>MAX(_xll.xlDateSettle("TARGET",$D$4,2),L258)</f>
        <v>43164</v>
      </c>
      <c r="E258" s="733"/>
      <c r="F258" s="13" t="s">
        <v>2080</v>
      </c>
      <c r="G258" s="35" t="s">
        <v>2080</v>
      </c>
      <c r="H258" s="37" t="s">
        <v>2080</v>
      </c>
      <c r="I258" s="11" t="s">
        <v>2080</v>
      </c>
      <c r="J258" s="11" t="s">
        <v>2080</v>
      </c>
      <c r="K258" s="11" t="s">
        <v>2080</v>
      </c>
      <c r="L258" s="11" t="s">
        <v>2080</v>
      </c>
      <c r="M258" s="12" t="s">
        <v>2080</v>
      </c>
      <c r="N258" s="12" t="s">
        <v>2080</v>
      </c>
      <c r="O258" s="12" t="s">
        <v>2080</v>
      </c>
      <c r="P258" s="12" t="s">
        <v>2080</v>
      </c>
      <c r="Q258" s="15" t="s">
        <v>2080</v>
      </c>
      <c r="R258" s="12"/>
      <c r="S258" s="43" t="str">
        <f>_xll.RtGet("IDN",$N258,IF(OR($G258="BTP,$E11=""CTZ"),S$10,S$9))</f>
        <v>#N/A The record could not be found</v>
      </c>
      <c r="T258" s="43" t="str">
        <f>_xll.RtGet("IDN",$N258,IF(OR($G258="BTP,$E11=""CTZ"),T$10,T$9))</f>
        <v>#N/A The record could not be found</v>
      </c>
      <c r="U258" s="25" t="e">
        <f t="shared" si="28"/>
        <v>#DIV/0!</v>
      </c>
      <c r="V258" s="12"/>
      <c r="W258" s="25" t="e">
        <f t="shared" si="29"/>
        <v>#DIV/0!</v>
      </c>
      <c r="X258" s="14" t="str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Market code not found in bond conventions table</v>
      </c>
      <c r="Y258" s="14" t="str">
        <v>Market code not found in bond conventions table</v>
      </c>
      <c r="Z258" s="14" t="str">
        <v>Market code not found in bond conventions table</v>
      </c>
      <c r="AA258" s="14" t="str">
        <v>Market code not found in bond conventions table</v>
      </c>
      <c r="AB258" s="14" t="str">
        <v>Market code not found in bond conventions table</v>
      </c>
      <c r="AC258" s="14" t="str">
        <v>Market code not found in bond conventions table</v>
      </c>
      <c r="AD258" s="34" t="str">
        <v>Market code not found in bond conventions table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46" t="str">
        <v>Market code not found in bond conventions table</v>
      </c>
      <c r="AL258" s="213" t="e">
        <f>IF(U258&gt;0,_xll.xlBondZSpread(F258,H258,G258,J258,K258,L258,M258,D258,U258,"annual",5)*100,"-")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5" t="str">
        <f>IF($AN$9+(($AL$9-$AM$9))*('DB Basis'!F418/10-'DB Basis'!E418),," ")</f>
        <v xml:space="preserve"> </v>
      </c>
      <c r="AO258" s="648" t="e">
        <f>IF(U258&gt;0,_xll.xlShmImplSwap2(curveName,curveName,D258,G258,,1,8,2,4),"-")</f>
        <v>#DIV/0!</v>
      </c>
      <c r="AP258" s="649" t="str">
        <f t="shared" si="24"/>
        <v>-</v>
      </c>
      <c r="AQ258" s="391" t="str">
        <f t="shared" si="25"/>
        <v>-</v>
      </c>
      <c r="AR258" s="391" t="str">
        <f t="shared" si="26"/>
        <v>-</v>
      </c>
      <c r="AS258" s="393"/>
      <c r="AT258" s="242" t="str">
        <f t="shared" si="27"/>
        <v>-</v>
      </c>
      <c r="AU258" s="701" t="str">
        <f t="shared" si="23"/>
        <v>#ERROR: Invalid ISIN  #ERROR: Invalid ISIN  #ERROR: Invalid ISIN</v>
      </c>
      <c r="AV258" s="717"/>
      <c r="AW258" s="699"/>
      <c r="AX258" s="699"/>
      <c r="AY258" s="699"/>
      <c r="AZ258" s="699"/>
      <c r="BA258" s="699"/>
      <c r="BC258" s="712"/>
      <c r="BE258" s="721">
        <f>_xll.xlDateShiftMonth(BE257,1)</f>
        <v>50706</v>
      </c>
      <c r="BF258" s="722">
        <v>2.7516068333038889E-2</v>
      </c>
    </row>
    <row r="259" spans="1:58">
      <c r="A259" s="10"/>
      <c r="B259" s="11"/>
      <c r="C259" s="12"/>
      <c r="D259" s="735">
        <f>MAX(_xll.xlDateSettle("TARGET",$D$4,2),L259)</f>
        <v>43164</v>
      </c>
      <c r="E259" s="733"/>
      <c r="F259" s="13" t="s">
        <v>2080</v>
      </c>
      <c r="G259" s="35" t="s">
        <v>2080</v>
      </c>
      <c r="H259" s="37" t="s">
        <v>2080</v>
      </c>
      <c r="I259" s="11" t="s">
        <v>2080</v>
      </c>
      <c r="J259" s="11" t="s">
        <v>2080</v>
      </c>
      <c r="K259" s="11" t="s">
        <v>2080</v>
      </c>
      <c r="L259" s="11" t="s">
        <v>2080</v>
      </c>
      <c r="M259" s="12" t="s">
        <v>2080</v>
      </c>
      <c r="N259" s="12" t="s">
        <v>2080</v>
      </c>
      <c r="O259" s="12" t="s">
        <v>2080</v>
      </c>
      <c r="P259" s="12" t="s">
        <v>2080</v>
      </c>
      <c r="Q259" s="15" t="s">
        <v>2080</v>
      </c>
      <c r="R259" s="12"/>
      <c r="S259" s="43" t="str">
        <f>_xll.RtGet("IDN",$N259,IF(OR($G259="BTP,$E11=""CTZ"),S$10,S$9))</f>
        <v>#N/A The record could not be found</v>
      </c>
      <c r="T259" s="43" t="str">
        <f>_xll.RtGet("IDN",$N259,IF(OR($G259="BTP,$E11=""CTZ"),T$10,T$9))</f>
        <v>#N/A The record could not be found</v>
      </c>
      <c r="U259" s="25" t="e">
        <f t="shared" si="28"/>
        <v>#DIV/0!</v>
      </c>
      <c r="V259" s="12"/>
      <c r="W259" s="25" t="e">
        <f t="shared" si="29"/>
        <v>#DIV/0!</v>
      </c>
      <c r="X259" s="14" t="str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Market code not found in bond conventions table</v>
      </c>
      <c r="Y259" s="14" t="str">
        <v>Market code not found in bond conventions table</v>
      </c>
      <c r="Z259" s="14" t="str">
        <v>Market code not found in bond conventions table</v>
      </c>
      <c r="AA259" s="14" t="str">
        <v>Market code not found in bond conventions table</v>
      </c>
      <c r="AB259" s="14" t="str">
        <v>Market code not found in bond conventions table</v>
      </c>
      <c r="AC259" s="14" t="str">
        <v>Market code not found in bond conventions table</v>
      </c>
      <c r="AD259" s="34" t="str">
        <v>Market code not found in bond conventions table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46" t="str">
        <v>Market code not found in bond conventions table</v>
      </c>
      <c r="AL259" s="213" t="e">
        <f>IF(U259&gt;0,_xll.xlBondZSpread(F259,H259,G259,J259,K259,L259,M259,D259,U259,"annual",5)*100,"-")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5" t="str">
        <f>IF($AN$9+(($AL$9-$AM$9))*('DB Basis'!F419/10-'DB Basis'!E419),," ")</f>
        <v xml:space="preserve"> </v>
      </c>
      <c r="AO259" s="648" t="e">
        <f>IF(U259&gt;0,_xll.xlShmImplSwap2(curveName,curveName,D259,G259,,1,8,2,4),"-")</f>
        <v>#DIV/0!</v>
      </c>
      <c r="AP259" s="649" t="str">
        <f t="shared" si="24"/>
        <v>-</v>
      </c>
      <c r="AQ259" s="391" t="str">
        <f t="shared" si="25"/>
        <v>-</v>
      </c>
      <c r="AR259" s="391" t="str">
        <f t="shared" si="26"/>
        <v>-</v>
      </c>
      <c r="AS259" s="393"/>
      <c r="AT259" s="242" t="str">
        <f t="shared" si="27"/>
        <v>-</v>
      </c>
      <c r="AU259" s="701" t="str">
        <f t="shared" si="23"/>
        <v>#ERROR: Invalid ISIN  #ERROR: Invalid ISIN  #ERROR: Invalid ISIN</v>
      </c>
      <c r="AV259" s="717"/>
      <c r="AW259" s="699"/>
      <c r="AX259" s="699"/>
      <c r="AY259" s="699"/>
      <c r="AZ259" s="699"/>
      <c r="BA259" s="699"/>
      <c r="BC259" s="712"/>
      <c r="BE259" s="721">
        <f>_xll.xlDateShiftMonth(BE258,1)</f>
        <v>50737</v>
      </c>
      <c r="BF259" s="722">
        <v>2.7547999408351294E-2</v>
      </c>
    </row>
    <row r="260" spans="1:58">
      <c r="A260" s="10"/>
      <c r="B260" s="11"/>
      <c r="C260" s="12"/>
      <c r="D260" s="735">
        <f>MAX(_xll.xlDateSettle("TARGET",$D$4,2),L260)</f>
        <v>43164</v>
      </c>
      <c r="E260" s="733"/>
      <c r="F260" s="13" t="s">
        <v>2080</v>
      </c>
      <c r="G260" s="35" t="s">
        <v>2080</v>
      </c>
      <c r="H260" s="37" t="s">
        <v>2080</v>
      </c>
      <c r="I260" s="11" t="s">
        <v>2080</v>
      </c>
      <c r="J260" s="11" t="s">
        <v>2080</v>
      </c>
      <c r="K260" s="11" t="s">
        <v>2080</v>
      </c>
      <c r="L260" s="11" t="s">
        <v>2080</v>
      </c>
      <c r="M260" s="12" t="s">
        <v>2080</v>
      </c>
      <c r="N260" s="12" t="s">
        <v>2080</v>
      </c>
      <c r="O260" s="12" t="s">
        <v>2080</v>
      </c>
      <c r="P260" s="12" t="s">
        <v>2080</v>
      </c>
      <c r="Q260" s="15" t="s">
        <v>2080</v>
      </c>
      <c r="R260" s="12"/>
      <c r="S260" s="43" t="str">
        <f>_xll.RtGet("IDN",$N260,IF(OR($G260="BTP,$E11=""CTZ"),S$10,S$9))</f>
        <v>#N/A The record could not be found</v>
      </c>
      <c r="T260" s="43" t="str">
        <f>_xll.RtGet("IDN",$N260,IF(OR($G260="BTP,$E11=""CTZ"),T$10,T$9))</f>
        <v>#N/A The record could not be found</v>
      </c>
      <c r="U260" s="25" t="e">
        <f t="shared" si="28"/>
        <v>#DIV/0!</v>
      </c>
      <c r="V260" s="12"/>
      <c r="W260" s="25" t="e">
        <f t="shared" si="29"/>
        <v>#DIV/0!</v>
      </c>
      <c r="X260" s="14" t="str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Market code not found in bond conventions table</v>
      </c>
      <c r="Y260" s="14" t="str">
        <v>Market code not found in bond conventions table</v>
      </c>
      <c r="Z260" s="14" t="str">
        <v>Market code not found in bond conventions table</v>
      </c>
      <c r="AA260" s="14" t="str">
        <v>Market code not found in bond conventions table</v>
      </c>
      <c r="AB260" s="14" t="str">
        <v>Market code not found in bond conventions table</v>
      </c>
      <c r="AC260" s="14" t="str">
        <v>Market code not found in bond conventions table</v>
      </c>
      <c r="AD260" s="34" t="str">
        <v>Market code not found in bond conventions table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46" t="str">
        <v>Market code not found in bond conventions table</v>
      </c>
      <c r="AL260" s="213" t="e">
        <f>IF(U260&gt;0,_xll.xlBondZSpread(F260,H260,G260,J260,K260,L260,M260,D260,U260,"annual",5)*100,"-")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5" t="str">
        <f>IF($AN$9+(($AL$9-$AM$9))*('DB Basis'!F420/10-'DB Basis'!E420),," ")</f>
        <v xml:space="preserve"> </v>
      </c>
      <c r="AO260" s="648" t="e">
        <f>IF(U260&gt;0,_xll.xlShmImplSwap2(curveName,curveName,D260,G260,,1,8,2,4),"-")</f>
        <v>#DIV/0!</v>
      </c>
      <c r="AP260" s="649" t="str">
        <f t="shared" si="24"/>
        <v>-</v>
      </c>
      <c r="AQ260" s="391" t="str">
        <f t="shared" si="25"/>
        <v>-</v>
      </c>
      <c r="AR260" s="391" t="str">
        <f t="shared" si="26"/>
        <v>-</v>
      </c>
      <c r="AS260" s="393"/>
      <c r="AT260" s="242" t="str">
        <f t="shared" si="27"/>
        <v>-</v>
      </c>
      <c r="AU260" s="701" t="str">
        <f t="shared" si="23"/>
        <v>#ERROR: Invalid ISIN  #ERROR: Invalid ISIN  #ERROR: Invalid ISIN</v>
      </c>
      <c r="AV260" s="717"/>
      <c r="AW260" s="699"/>
      <c r="AX260" s="699"/>
      <c r="AY260" s="699"/>
      <c r="AZ260" s="699"/>
      <c r="BA260" s="699"/>
      <c r="BC260" s="712"/>
      <c r="BE260" s="721">
        <f>_xll.xlDateShiftMonth(BE259,1)</f>
        <v>50767</v>
      </c>
      <c r="BF260" s="722">
        <v>2.7578849501114132E-2</v>
      </c>
    </row>
    <row r="261" spans="1:58">
      <c r="A261" s="10"/>
      <c r="B261" s="11"/>
      <c r="C261" s="12"/>
      <c r="D261" s="735">
        <f>MAX(_xll.xlDateSettle("TARGET",$D$4,2),L261)</f>
        <v>43164</v>
      </c>
      <c r="E261" s="733"/>
      <c r="F261" s="13" t="s">
        <v>2080</v>
      </c>
      <c r="G261" s="35" t="s">
        <v>2080</v>
      </c>
      <c r="H261" s="37" t="s">
        <v>2080</v>
      </c>
      <c r="I261" s="11" t="s">
        <v>2080</v>
      </c>
      <c r="J261" s="11" t="s">
        <v>2080</v>
      </c>
      <c r="K261" s="11" t="s">
        <v>2080</v>
      </c>
      <c r="L261" s="11" t="s">
        <v>2080</v>
      </c>
      <c r="M261" s="12" t="s">
        <v>2080</v>
      </c>
      <c r="N261" s="12" t="s">
        <v>2080</v>
      </c>
      <c r="O261" s="12" t="s">
        <v>2080</v>
      </c>
      <c r="P261" s="12" t="s">
        <v>2080</v>
      </c>
      <c r="Q261" s="15" t="s">
        <v>2080</v>
      </c>
      <c r="R261" s="12"/>
      <c r="S261" s="43" t="str">
        <f>_xll.RtGet("IDN",$N261,IF(OR($G261="BTP,$E11=""CTZ"),S$10,S$9))</f>
        <v>#N/A The record could not be found</v>
      </c>
      <c r="T261" s="43" t="str">
        <f>_xll.RtGet("IDN",$N261,IF(OR($G261="BTP,$E11=""CTZ"),T$10,T$9))</f>
        <v>#N/A The record could not be found</v>
      </c>
      <c r="U261" s="25" t="e">
        <f t="shared" si="28"/>
        <v>#DIV/0!</v>
      </c>
      <c r="V261" s="12"/>
      <c r="W261" s="25" t="e">
        <f t="shared" si="29"/>
        <v>#DIV/0!</v>
      </c>
      <c r="X261" s="14" t="str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Market code not found in bond conventions table</v>
      </c>
      <c r="Y261" s="14" t="str">
        <v>Market code not found in bond conventions table</v>
      </c>
      <c r="Z261" s="14" t="str">
        <v>Market code not found in bond conventions table</v>
      </c>
      <c r="AA261" s="14" t="str">
        <v>Market code not found in bond conventions table</v>
      </c>
      <c r="AB261" s="14" t="str">
        <v>Market code not found in bond conventions table</v>
      </c>
      <c r="AC261" s="14" t="str">
        <v>Market code not found in bond conventions table</v>
      </c>
      <c r="AD261" s="34" t="str">
        <v>Market code not found in bond conventions table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46" t="str">
        <v>Market code not found in bond conventions table</v>
      </c>
      <c r="AL261" s="213" t="e">
        <f>IF(U261&gt;0,_xll.xlBondZSpread(F261,H261,G261,J261,K261,L261,M261,D261,U261,"annual",5)*100,"-")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5" t="str">
        <f>IF($AN$9+(($AL$9-$AM$9))*('DB Basis'!F421/10-'DB Basis'!E421),," ")</f>
        <v xml:space="preserve"> </v>
      </c>
      <c r="AO261" s="648" t="e">
        <f>IF(U261&gt;0,_xll.xlShmImplSwap2(curveName,curveName,D261,G261,,1,8,2,4),"-")</f>
        <v>#DIV/0!</v>
      </c>
      <c r="AP261" s="649" t="str">
        <f t="shared" si="24"/>
        <v>-</v>
      </c>
      <c r="AQ261" s="391" t="str">
        <f t="shared" si="25"/>
        <v>-</v>
      </c>
      <c r="AR261" s="391" t="str">
        <f t="shared" si="26"/>
        <v>-</v>
      </c>
      <c r="AS261" s="393"/>
      <c r="AT261" s="242" t="str">
        <f t="shared" si="27"/>
        <v>-</v>
      </c>
      <c r="AU261" s="701" t="str">
        <f t="shared" si="23"/>
        <v>#ERROR: Invalid ISIN  #ERROR: Invalid ISIN  #ERROR: Invalid ISIN</v>
      </c>
      <c r="AV261" s="717"/>
      <c r="AW261" s="699"/>
      <c r="AX261" s="699"/>
      <c r="AY261" s="699"/>
      <c r="AZ261" s="699"/>
      <c r="BA261" s="699"/>
      <c r="BC261" s="712"/>
      <c r="BE261" s="721">
        <f>_xll.xlDateShiftMonth(BE260,1)</f>
        <v>50798</v>
      </c>
      <c r="BF261" s="722">
        <v>2.7610675761647052E-2</v>
      </c>
    </row>
    <row r="262" spans="1:58">
      <c r="A262" s="10"/>
      <c r="B262" s="11"/>
      <c r="C262" s="12"/>
      <c r="D262" s="735">
        <f>MAX(_xll.xlDateSettle("TARGET",$D$4,2),L262)</f>
        <v>43164</v>
      </c>
      <c r="E262" s="733"/>
      <c r="F262" s="13" t="s">
        <v>2080</v>
      </c>
      <c r="G262" s="35" t="s">
        <v>2080</v>
      </c>
      <c r="H262" s="37" t="s">
        <v>2080</v>
      </c>
      <c r="I262" s="11" t="s">
        <v>2080</v>
      </c>
      <c r="J262" s="11" t="s">
        <v>2080</v>
      </c>
      <c r="K262" s="11" t="s">
        <v>2080</v>
      </c>
      <c r="L262" s="11" t="s">
        <v>2080</v>
      </c>
      <c r="M262" s="12" t="s">
        <v>2080</v>
      </c>
      <c r="N262" s="12" t="s">
        <v>2080</v>
      </c>
      <c r="O262" s="12" t="s">
        <v>2080</v>
      </c>
      <c r="P262" s="12" t="s">
        <v>2080</v>
      </c>
      <c r="Q262" s="15" t="s">
        <v>2080</v>
      </c>
      <c r="R262" s="12"/>
      <c r="S262" s="43" t="str">
        <f>_xll.RtGet("IDN",$N262,IF(OR($G262="BTP,$E11=""CTZ"),S$10,S$9))</f>
        <v>#N/A The record could not be found</v>
      </c>
      <c r="T262" s="43" t="str">
        <f>_xll.RtGet("IDN",$N262,IF(OR($G262="BTP,$E11=""CTZ"),T$10,T$9))</f>
        <v>#N/A The record could not be found</v>
      </c>
      <c r="U262" s="25" t="e">
        <f t="shared" si="28"/>
        <v>#DIV/0!</v>
      </c>
      <c r="V262" s="12"/>
      <c r="W262" s="25" t="e">
        <f t="shared" si="29"/>
        <v>#DIV/0!</v>
      </c>
      <c r="X262" s="14" t="str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Market code not found in bond conventions table</v>
      </c>
      <c r="Y262" s="14" t="str">
        <v>Market code not found in bond conventions table</v>
      </c>
      <c r="Z262" s="14" t="str">
        <v>Market code not found in bond conventions table</v>
      </c>
      <c r="AA262" s="14" t="str">
        <v>Market code not found in bond conventions table</v>
      </c>
      <c r="AB262" s="14" t="str">
        <v>Market code not found in bond conventions table</v>
      </c>
      <c r="AC262" s="14" t="str">
        <v>Market code not found in bond conventions table</v>
      </c>
      <c r="AD262" s="34" t="str">
        <v>Market code not found in bond conventions table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46" t="str">
        <v>Market code not found in bond conventions table</v>
      </c>
      <c r="AL262" s="213" t="e">
        <f>IF(U262&gt;0,_xll.xlBondZSpread(F262,H262,G262,J262,K262,L262,M262,D262,U262,"annual",5)*100,"-")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5" t="str">
        <f>IF($AN$9+(($AL$9-$AM$9))*('DB Basis'!F422/10-'DB Basis'!E422),," ")</f>
        <v xml:space="preserve"> </v>
      </c>
      <c r="AO262" s="648" t="e">
        <f>IF(U262&gt;0,_xll.xlShmImplSwap2(curveName,curveName,D262,G262,,1,8,2,4),"-")</f>
        <v>#DIV/0!</v>
      </c>
      <c r="AP262" s="649" t="str">
        <f t="shared" si="24"/>
        <v>-</v>
      </c>
      <c r="AQ262" s="391" t="str">
        <f t="shared" si="25"/>
        <v>-</v>
      </c>
      <c r="AR262" s="391" t="str">
        <f t="shared" si="26"/>
        <v>-</v>
      </c>
      <c r="AS262" s="393"/>
      <c r="AT262" s="242" t="str">
        <f t="shared" si="27"/>
        <v>-</v>
      </c>
      <c r="AU262" s="701" t="str">
        <f t="shared" si="23"/>
        <v>#ERROR: Invalid ISIN  #ERROR: Invalid ISIN  #ERROR: Invalid ISIN</v>
      </c>
      <c r="AV262" s="717"/>
      <c r="AW262" s="699"/>
      <c r="AX262" s="699"/>
      <c r="AY262" s="699"/>
      <c r="AZ262" s="699"/>
      <c r="BA262" s="699"/>
      <c r="BC262" s="712"/>
      <c r="BE262" s="721">
        <f>_xll.xlDateShiftMonth(BE261,1)</f>
        <v>50829</v>
      </c>
      <c r="BF262" s="722">
        <v>2.7642449483596912E-2</v>
      </c>
    </row>
    <row r="263" spans="1:58">
      <c r="A263" s="10"/>
      <c r="B263" s="11"/>
      <c r="C263" s="12"/>
      <c r="D263" s="735">
        <f>MAX(_xll.xlDateSettle("TARGET",$D$4,2),L263)</f>
        <v>43164</v>
      </c>
      <c r="E263" s="733"/>
      <c r="F263" s="13" t="s">
        <v>2080</v>
      </c>
      <c r="G263" s="35" t="s">
        <v>2080</v>
      </c>
      <c r="H263" s="37" t="s">
        <v>2080</v>
      </c>
      <c r="I263" s="11" t="s">
        <v>2080</v>
      </c>
      <c r="J263" s="11" t="s">
        <v>2080</v>
      </c>
      <c r="K263" s="11" t="s">
        <v>2080</v>
      </c>
      <c r="L263" s="11" t="s">
        <v>2080</v>
      </c>
      <c r="M263" s="12" t="s">
        <v>2080</v>
      </c>
      <c r="N263" s="12" t="s">
        <v>2080</v>
      </c>
      <c r="O263" s="12" t="s">
        <v>2080</v>
      </c>
      <c r="P263" s="12" t="s">
        <v>2080</v>
      </c>
      <c r="Q263" s="15" t="s">
        <v>2080</v>
      </c>
      <c r="R263" s="12"/>
      <c r="S263" s="43" t="str">
        <f>_xll.RtGet("IDN",$N263,IF(OR($G263="BTP,$E11=""CTZ"),S$10,S$9))</f>
        <v>#N/A The record could not be found</v>
      </c>
      <c r="T263" s="43" t="str">
        <f>_xll.RtGet("IDN",$N263,IF(OR($G263="BTP,$E11=""CTZ"),T$10,T$9))</f>
        <v>#N/A The record could not be found</v>
      </c>
      <c r="U263" s="25" t="e">
        <f t="shared" si="28"/>
        <v>#DIV/0!</v>
      </c>
      <c r="V263" s="12"/>
      <c r="W263" s="25" t="e">
        <f t="shared" si="29"/>
        <v>#DIV/0!</v>
      </c>
      <c r="X263" s="14" t="str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Market code not found in bond conventions table</v>
      </c>
      <c r="Y263" s="14" t="str">
        <v>Market code not found in bond conventions table</v>
      </c>
      <c r="Z263" s="14" t="str">
        <v>Market code not found in bond conventions table</v>
      </c>
      <c r="AA263" s="14" t="str">
        <v>Market code not found in bond conventions table</v>
      </c>
      <c r="AB263" s="14" t="str">
        <v>Market code not found in bond conventions table</v>
      </c>
      <c r="AC263" s="14" t="str">
        <v>Market code not found in bond conventions table</v>
      </c>
      <c r="AD263" s="34" t="str">
        <v>Market code not found in bond conventions table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46" t="str">
        <v>Market code not found in bond conventions table</v>
      </c>
      <c r="AL263" s="213" t="e">
        <f>IF(U263&gt;0,_xll.xlBondZSpread(F263,H263,G263,J263,K263,L263,M263,D263,U263,"annual",5)*100,"-")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5" t="str">
        <f>IF($AN$9+(($AL$9-$AM$9))*('DB Basis'!F423/10-'DB Basis'!E423),," ")</f>
        <v xml:space="preserve"> </v>
      </c>
      <c r="AO263" s="648" t="e">
        <f>IF(U263&gt;0,_xll.xlShmImplSwap2(curveName,curveName,D263,G263,,1,8,2,4),"-")</f>
        <v>#DIV/0!</v>
      </c>
      <c r="AP263" s="649" t="str">
        <f t="shared" si="24"/>
        <v>-</v>
      </c>
      <c r="AQ263" s="391" t="str">
        <f t="shared" si="25"/>
        <v>-</v>
      </c>
      <c r="AR263" s="391" t="str">
        <f t="shared" si="26"/>
        <v>-</v>
      </c>
      <c r="AS263" s="393"/>
      <c r="AT263" s="242" t="str">
        <f t="shared" si="27"/>
        <v>-</v>
      </c>
      <c r="AU263" s="701" t="str">
        <f t="shared" si="23"/>
        <v>#ERROR: Invalid ISIN  #ERROR: Invalid ISIN  #ERROR: Invalid ISIN</v>
      </c>
      <c r="AV263" s="717"/>
      <c r="AW263" s="699"/>
      <c r="AX263" s="699"/>
      <c r="AY263" s="699"/>
      <c r="AZ263" s="699"/>
      <c r="BA263" s="699"/>
      <c r="BC263" s="712"/>
      <c r="BE263" s="721">
        <f>_xll.xlDateShiftMonth(BE262,1)</f>
        <v>50857</v>
      </c>
      <c r="BF263" s="722">
        <v>2.7671103579250667E-2</v>
      </c>
    </row>
    <row r="264" spans="1:58">
      <c r="A264" s="10"/>
      <c r="B264" s="11"/>
      <c r="C264" s="12"/>
      <c r="D264" s="735">
        <f>MAX(_xll.xlDateSettle("TARGET",$D$4,2),L264)</f>
        <v>43164</v>
      </c>
      <c r="E264" s="733"/>
      <c r="F264" s="13" t="s">
        <v>2080</v>
      </c>
      <c r="G264" s="35" t="s">
        <v>2080</v>
      </c>
      <c r="H264" s="37" t="s">
        <v>2080</v>
      </c>
      <c r="I264" s="11" t="s">
        <v>2080</v>
      </c>
      <c r="J264" s="11" t="s">
        <v>2080</v>
      </c>
      <c r="K264" s="11" t="s">
        <v>2080</v>
      </c>
      <c r="L264" s="11" t="s">
        <v>2080</v>
      </c>
      <c r="M264" s="12" t="s">
        <v>2080</v>
      </c>
      <c r="N264" s="12" t="s">
        <v>2080</v>
      </c>
      <c r="O264" s="12" t="s">
        <v>2080</v>
      </c>
      <c r="P264" s="12" t="s">
        <v>2080</v>
      </c>
      <c r="Q264" s="15" t="s">
        <v>2080</v>
      </c>
      <c r="R264" s="12"/>
      <c r="S264" s="43" t="str">
        <f>_xll.RtGet("IDN",$N264,IF(OR($G264="BTP,$E11=""CTZ"),S$10,S$9))</f>
        <v>#N/A The record could not be found</v>
      </c>
      <c r="T264" s="43" t="str">
        <f>_xll.RtGet("IDN",$N264,IF(OR($G264="BTP,$E11=""CTZ"),T$10,T$9))</f>
        <v>#N/A The record could not be found</v>
      </c>
      <c r="U264" s="25" t="e">
        <f t="shared" si="28"/>
        <v>#DIV/0!</v>
      </c>
      <c r="V264" s="12"/>
      <c r="W264" s="25" t="e">
        <f t="shared" si="29"/>
        <v>#DIV/0!</v>
      </c>
      <c r="X264" s="14" t="str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Market code not found in bond conventions table</v>
      </c>
      <c r="Y264" s="14" t="str">
        <v>Market code not found in bond conventions table</v>
      </c>
      <c r="Z264" s="14" t="str">
        <v>Market code not found in bond conventions table</v>
      </c>
      <c r="AA264" s="14" t="str">
        <v>Market code not found in bond conventions table</v>
      </c>
      <c r="AB264" s="14" t="str">
        <v>Market code not found in bond conventions table</v>
      </c>
      <c r="AC264" s="14" t="str">
        <v>Market code not found in bond conventions table</v>
      </c>
      <c r="AD264" s="34" t="str">
        <v>Market code not found in bond conventions table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46" t="str">
        <v>Market code not found in bond conventions table</v>
      </c>
      <c r="AL264" s="213" t="e">
        <f>IF(U264&gt;0,_xll.xlBondZSpread(F264,H264,G264,J264,K264,L264,M264,D264,U264,"annual",5)*100,"-")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5" t="str">
        <f>IF($AN$9+(($AL$9-$AM$9))*('DB Basis'!F424/10-'DB Basis'!E424),," ")</f>
        <v xml:space="preserve"> </v>
      </c>
      <c r="AO264" s="648" t="e">
        <f>IF(U264&gt;0,_xll.xlShmImplSwap2(curveName,curveName,D264,G264,,1,8,2,4),"-")</f>
        <v>#DIV/0!</v>
      </c>
      <c r="AP264" s="649" t="str">
        <f t="shared" si="24"/>
        <v>-</v>
      </c>
      <c r="AQ264" s="391" t="str">
        <f t="shared" si="25"/>
        <v>-</v>
      </c>
      <c r="AR264" s="391" t="str">
        <f t="shared" si="26"/>
        <v>-</v>
      </c>
      <c r="AS264" s="393"/>
      <c r="AT264" s="242" t="str">
        <f t="shared" si="27"/>
        <v>-</v>
      </c>
      <c r="AU264" s="701" t="str">
        <f t="shared" si="23"/>
        <v>#ERROR: Invalid ISIN  #ERROR: Invalid ISIN  #ERROR: Invalid ISIN</v>
      </c>
      <c r="AV264" s="717"/>
      <c r="AW264" s="699"/>
      <c r="AX264" s="699"/>
      <c r="AY264" s="699"/>
      <c r="AZ264" s="699"/>
      <c r="BA264" s="699"/>
      <c r="BC264" s="712"/>
      <c r="BE264" s="721">
        <f>_xll.xlDateShiftMonth(BE263,1)</f>
        <v>50888</v>
      </c>
      <c r="BF264" s="722">
        <v>2.770277866373734E-2</v>
      </c>
    </row>
    <row r="265" spans="1:58">
      <c r="A265" s="10"/>
      <c r="B265" s="11"/>
      <c r="C265" s="12"/>
      <c r="D265" s="735">
        <f>MAX(_xll.xlDateSettle("TARGET",$D$4,2),L265)</f>
        <v>43164</v>
      </c>
      <c r="E265" s="733"/>
      <c r="F265" s="13" t="s">
        <v>2080</v>
      </c>
      <c r="G265" s="35" t="s">
        <v>2080</v>
      </c>
      <c r="H265" s="37" t="s">
        <v>2080</v>
      </c>
      <c r="I265" s="11" t="s">
        <v>2080</v>
      </c>
      <c r="J265" s="11" t="s">
        <v>2080</v>
      </c>
      <c r="K265" s="11" t="s">
        <v>2080</v>
      </c>
      <c r="L265" s="11" t="s">
        <v>2080</v>
      </c>
      <c r="M265" s="12" t="s">
        <v>2080</v>
      </c>
      <c r="N265" s="12" t="s">
        <v>2080</v>
      </c>
      <c r="O265" s="12" t="s">
        <v>2080</v>
      </c>
      <c r="P265" s="12" t="s">
        <v>2080</v>
      </c>
      <c r="Q265" s="15" t="s">
        <v>2080</v>
      </c>
      <c r="R265" s="12"/>
      <c r="S265" s="43" t="str">
        <f>_xll.RtGet("IDN",$N265,IF(OR($G265="BTP,$E11=""CTZ"),S$10,S$9))</f>
        <v>#N/A The record could not be found</v>
      </c>
      <c r="T265" s="43" t="str">
        <f>_xll.RtGet("IDN",$N265,IF(OR($G265="BTP,$E11=""CTZ"),T$10,T$9))</f>
        <v>#N/A The record could not be found</v>
      </c>
      <c r="U265" s="25" t="e">
        <f t="shared" si="28"/>
        <v>#DIV/0!</v>
      </c>
      <c r="V265" s="12"/>
      <c r="W265" s="25" t="e">
        <f t="shared" si="29"/>
        <v>#DIV/0!</v>
      </c>
      <c r="X265" s="14" t="str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Market code not found in bond conventions table</v>
      </c>
      <c r="Y265" s="14" t="str">
        <v>Market code not found in bond conventions table</v>
      </c>
      <c r="Z265" s="14" t="str">
        <v>Market code not found in bond conventions table</v>
      </c>
      <c r="AA265" s="14" t="str">
        <v>Market code not found in bond conventions table</v>
      </c>
      <c r="AB265" s="14" t="str">
        <v>Market code not found in bond conventions table</v>
      </c>
      <c r="AC265" s="14" t="str">
        <v>Market code not found in bond conventions table</v>
      </c>
      <c r="AD265" s="34" t="str">
        <v>Market code not found in bond conventions table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46" t="str">
        <v>Market code not found in bond conventions table</v>
      </c>
      <c r="AL265" s="213" t="e">
        <f>IF(U265&gt;0,_xll.xlBondZSpread(F265,H265,G265,J265,K265,L265,M265,D265,U265,"annual",5)*100,"-")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5" t="str">
        <f>IF($AN$9+(($AL$9-$AM$9))*('DB Basis'!F425/10-'DB Basis'!E425),," ")</f>
        <v xml:space="preserve"> </v>
      </c>
      <c r="AO265" s="648" t="e">
        <f>IF(U265&gt;0,_xll.xlShmImplSwap2(curveName,curveName,D265,G265,,1,8,2,4),"-")</f>
        <v>#DIV/0!</v>
      </c>
      <c r="AP265" s="649" t="str">
        <f t="shared" si="24"/>
        <v>-</v>
      </c>
      <c r="AQ265" s="391" t="str">
        <f t="shared" si="25"/>
        <v>-</v>
      </c>
      <c r="AR265" s="391" t="str">
        <f t="shared" si="26"/>
        <v>-</v>
      </c>
      <c r="AS265" s="393"/>
      <c r="AT265" s="242" t="str">
        <f t="shared" si="27"/>
        <v>-</v>
      </c>
      <c r="AU265" s="701" t="str">
        <f t="shared" si="23"/>
        <v>#ERROR: Invalid ISIN  #ERROR: Invalid ISIN  #ERROR: Invalid ISIN</v>
      </c>
      <c r="AV265" s="717"/>
      <c r="AW265" s="699"/>
      <c r="AX265" s="699"/>
      <c r="AY265" s="699"/>
      <c r="AZ265" s="699"/>
      <c r="BA265" s="699"/>
      <c r="BC265" s="712"/>
      <c r="BE265" s="721">
        <f>_xll.xlDateShiftMonth(BE264,1)</f>
        <v>50918</v>
      </c>
      <c r="BF265" s="722">
        <v>2.7733383298618637E-2</v>
      </c>
    </row>
    <row r="266" spans="1:58">
      <c r="A266" s="10"/>
      <c r="B266" s="11"/>
      <c r="C266" s="12"/>
      <c r="D266" s="735">
        <f>MAX(_xll.xlDateSettle("TARGET",$D$4,2),L266)</f>
        <v>43164</v>
      </c>
      <c r="E266" s="733"/>
      <c r="F266" s="13" t="s">
        <v>2080</v>
      </c>
      <c r="G266" s="35" t="s">
        <v>2080</v>
      </c>
      <c r="H266" s="37" t="s">
        <v>2080</v>
      </c>
      <c r="I266" s="11" t="s">
        <v>2080</v>
      </c>
      <c r="J266" s="11" t="s">
        <v>2080</v>
      </c>
      <c r="K266" s="11" t="s">
        <v>2080</v>
      </c>
      <c r="L266" s="11" t="s">
        <v>2080</v>
      </c>
      <c r="M266" s="12" t="s">
        <v>2080</v>
      </c>
      <c r="N266" s="12" t="s">
        <v>2080</v>
      </c>
      <c r="O266" s="12" t="s">
        <v>2080</v>
      </c>
      <c r="P266" s="12" t="s">
        <v>2080</v>
      </c>
      <c r="Q266" s="15" t="s">
        <v>2080</v>
      </c>
      <c r="R266" s="12"/>
      <c r="S266" s="43" t="str">
        <f>_xll.RtGet("IDN",$N266,IF(OR($G266="BTP,$E11=""CTZ"),S$10,S$9))</f>
        <v>#N/A The record could not be found</v>
      </c>
      <c r="T266" s="43" t="str">
        <f>_xll.RtGet("IDN",$N266,IF(OR($G266="BTP,$E11=""CTZ"),T$10,T$9))</f>
        <v>#N/A The record could not be found</v>
      </c>
      <c r="U266" s="25" t="e">
        <f t="shared" si="28"/>
        <v>#DIV/0!</v>
      </c>
      <c r="V266" s="12"/>
      <c r="W266" s="25" t="e">
        <f t="shared" si="29"/>
        <v>#DIV/0!</v>
      </c>
      <c r="X266" s="14" t="str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Market code not found in bond conventions table</v>
      </c>
      <c r="Y266" s="14" t="str">
        <v>Market code not found in bond conventions table</v>
      </c>
      <c r="Z266" s="14" t="str">
        <v>Market code not found in bond conventions table</v>
      </c>
      <c r="AA266" s="14" t="str">
        <v>Market code not found in bond conventions table</v>
      </c>
      <c r="AB266" s="14" t="str">
        <v>Market code not found in bond conventions table</v>
      </c>
      <c r="AC266" s="14" t="str">
        <v>Market code not found in bond conventions table</v>
      </c>
      <c r="AD266" s="34" t="str">
        <v>Market code not found in bond conventions table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46" t="str">
        <v>Market code not found in bond conventions table</v>
      </c>
      <c r="AL266" s="213" t="e">
        <f>IF(U266&gt;0,_xll.xlBondZSpread(F266,H266,G266,J266,K266,L266,M266,D266,U266,"annual",5)*100,"-")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5" t="str">
        <f>IF($AN$9+(($AL$9-$AM$9))*('DB Basis'!F426/10-'DB Basis'!E426),," ")</f>
        <v xml:space="preserve"> </v>
      </c>
      <c r="AO266" s="648" t="e">
        <f>IF(U266&gt;0,_xll.xlShmImplSwap2(curveName,curveName,D266,G266,,1,8,2,4),"-")</f>
        <v>#DIV/0!</v>
      </c>
      <c r="AP266" s="649" t="str">
        <f t="shared" si="24"/>
        <v>-</v>
      </c>
      <c r="AQ266" s="391" t="str">
        <f t="shared" si="25"/>
        <v>-</v>
      </c>
      <c r="AR266" s="391" t="str">
        <f t="shared" si="26"/>
        <v>-</v>
      </c>
      <c r="AS266" s="393"/>
      <c r="AT266" s="242" t="str">
        <f t="shared" si="27"/>
        <v>-</v>
      </c>
      <c r="AU266" s="701" t="str">
        <f t="shared" si="23"/>
        <v>#ERROR: Invalid ISIN  #ERROR: Invalid ISIN  #ERROR: Invalid ISIN</v>
      </c>
      <c r="AV266" s="717"/>
      <c r="AW266" s="699"/>
      <c r="AX266" s="699"/>
      <c r="AY266" s="699"/>
      <c r="AZ266" s="699"/>
      <c r="BA266" s="699"/>
      <c r="BC266" s="712"/>
      <c r="BE266" s="721">
        <f>_xll.xlDateShiftMonth(BE265,1)</f>
        <v>50949</v>
      </c>
      <c r="BF266" s="722">
        <v>2.7764958270355442E-2</v>
      </c>
    </row>
    <row r="267" spans="1:58">
      <c r="A267" s="10"/>
      <c r="B267" s="11"/>
      <c r="C267" s="12"/>
      <c r="D267" s="735">
        <f>MAX(_xll.xlDateSettle("TARGET",$D$4,2),L267)</f>
        <v>43164</v>
      </c>
      <c r="E267" s="733"/>
      <c r="F267" s="13" t="s">
        <v>2080</v>
      </c>
      <c r="G267" s="35" t="s">
        <v>2080</v>
      </c>
      <c r="H267" s="37" t="s">
        <v>2080</v>
      </c>
      <c r="I267" s="11" t="s">
        <v>2080</v>
      </c>
      <c r="J267" s="11" t="s">
        <v>2080</v>
      </c>
      <c r="K267" s="11" t="s">
        <v>2080</v>
      </c>
      <c r="L267" s="11" t="s">
        <v>2080</v>
      </c>
      <c r="M267" s="12" t="s">
        <v>2080</v>
      </c>
      <c r="N267" s="12" t="s">
        <v>2080</v>
      </c>
      <c r="O267" s="12" t="s">
        <v>2080</v>
      </c>
      <c r="P267" s="12" t="s">
        <v>2080</v>
      </c>
      <c r="Q267" s="15" t="s">
        <v>2080</v>
      </c>
      <c r="R267" s="12"/>
      <c r="S267" s="43" t="str">
        <f>_xll.RtGet("IDN",$N267,IF(OR($G267="BTP,$E11=""CTZ"),S$10,S$9))</f>
        <v>#N/A The record could not be found</v>
      </c>
      <c r="T267" s="43" t="str">
        <f>_xll.RtGet("IDN",$N267,IF(OR($G267="BTP,$E11=""CTZ"),T$10,T$9))</f>
        <v>#N/A The record could not be found</v>
      </c>
      <c r="U267" s="25" t="e">
        <f t="shared" si="28"/>
        <v>#DIV/0!</v>
      </c>
      <c r="V267" s="12"/>
      <c r="W267" s="25" t="e">
        <f t="shared" si="29"/>
        <v>#DIV/0!</v>
      </c>
      <c r="X267" s="14" t="str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Market code not found in bond conventions table</v>
      </c>
      <c r="Y267" s="14" t="str">
        <v>Market code not found in bond conventions table</v>
      </c>
      <c r="Z267" s="14" t="str">
        <v>Market code not found in bond conventions table</v>
      </c>
      <c r="AA267" s="14" t="str">
        <v>Market code not found in bond conventions table</v>
      </c>
      <c r="AB267" s="14" t="str">
        <v>Market code not found in bond conventions table</v>
      </c>
      <c r="AC267" s="14" t="str">
        <v>Market code not found in bond conventions table</v>
      </c>
      <c r="AD267" s="34" t="str">
        <v>Market code not found in bond conventions table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46" t="str">
        <v>Market code not found in bond conventions table</v>
      </c>
      <c r="AL267" s="213" t="e">
        <f>IF(U267&gt;0,_xll.xlBondZSpread(F267,H267,G267,J267,K267,L267,M267,D267,U267,"annual",5)*100,"-")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5" t="str">
        <f>IF($AN$9+(($AL$9-$AM$9))*('DB Basis'!F427/10-'DB Basis'!E427),," ")</f>
        <v xml:space="preserve"> </v>
      </c>
      <c r="AO267" s="648" t="e">
        <f>IF(U267&gt;0,_xll.xlShmImplSwap2(curveName,curveName,D267,G267,,1,8,2,4),"-")</f>
        <v>#DIV/0!</v>
      </c>
      <c r="AP267" s="649" t="str">
        <f t="shared" si="24"/>
        <v>-</v>
      </c>
      <c r="AQ267" s="391" t="str">
        <f t="shared" si="25"/>
        <v>-</v>
      </c>
      <c r="AR267" s="391" t="str">
        <f t="shared" si="26"/>
        <v>-</v>
      </c>
      <c r="AS267" s="393"/>
      <c r="AT267" s="242" t="str">
        <f t="shared" si="27"/>
        <v>-</v>
      </c>
      <c r="AU267" s="701" t="str">
        <f t="shared" si="23"/>
        <v>#ERROR: Invalid ISIN  #ERROR: Invalid ISIN  #ERROR: Invalid ISIN</v>
      </c>
      <c r="AV267" s="717"/>
      <c r="AW267" s="699"/>
      <c r="AX267" s="699"/>
      <c r="AY267" s="699"/>
      <c r="AZ267" s="699"/>
      <c r="BA267" s="699"/>
      <c r="BC267" s="712"/>
      <c r="BE267" s="721">
        <f>_xll.xlDateShiftMonth(BE266,1)</f>
        <v>50979</v>
      </c>
      <c r="BF267" s="722">
        <v>2.7795466941041101E-2</v>
      </c>
    </row>
    <row r="268" spans="1:58">
      <c r="A268" s="10"/>
      <c r="B268" s="11"/>
      <c r="C268" s="12"/>
      <c r="D268" s="735">
        <f>MAX(_xll.xlDateSettle("TARGET",$D$4,2),L268)</f>
        <v>43164</v>
      </c>
      <c r="E268" s="733"/>
      <c r="F268" s="13" t="s">
        <v>2080</v>
      </c>
      <c r="G268" s="35" t="s">
        <v>2080</v>
      </c>
      <c r="H268" s="37" t="s">
        <v>2080</v>
      </c>
      <c r="I268" s="11" t="s">
        <v>2080</v>
      </c>
      <c r="J268" s="11" t="s">
        <v>2080</v>
      </c>
      <c r="K268" s="11" t="s">
        <v>2080</v>
      </c>
      <c r="L268" s="11" t="s">
        <v>2080</v>
      </c>
      <c r="M268" s="12" t="s">
        <v>2080</v>
      </c>
      <c r="N268" s="12" t="s">
        <v>2080</v>
      </c>
      <c r="O268" s="12" t="s">
        <v>2080</v>
      </c>
      <c r="P268" s="12" t="s">
        <v>2080</v>
      </c>
      <c r="Q268" s="15" t="s">
        <v>2080</v>
      </c>
      <c r="R268" s="12"/>
      <c r="S268" s="43" t="str">
        <f>_xll.RtGet("IDN",$N268,IF(OR($G268="BTP,$E11=""CTZ"),S$10,S$9))</f>
        <v>#N/A The record could not be found</v>
      </c>
      <c r="T268" s="43" t="str">
        <f>_xll.RtGet("IDN",$N268,IF(OR($G268="BTP,$E11=""CTZ"),T$10,T$9))</f>
        <v>#N/A The record could not be found</v>
      </c>
      <c r="U268" s="25" t="e">
        <f t="shared" si="28"/>
        <v>#DIV/0!</v>
      </c>
      <c r="V268" s="12"/>
      <c r="W268" s="25" t="e">
        <f t="shared" si="29"/>
        <v>#DIV/0!</v>
      </c>
      <c r="X268" s="14" t="str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Market code not found in bond conventions table</v>
      </c>
      <c r="Y268" s="14" t="str">
        <v>Market code not found in bond conventions table</v>
      </c>
      <c r="Z268" s="14" t="str">
        <v>Market code not found in bond conventions table</v>
      </c>
      <c r="AA268" s="14" t="str">
        <v>Market code not found in bond conventions table</v>
      </c>
      <c r="AB268" s="14" t="str">
        <v>Market code not found in bond conventions table</v>
      </c>
      <c r="AC268" s="14" t="str">
        <v>Market code not found in bond conventions table</v>
      </c>
      <c r="AD268" s="34" t="str">
        <v>Market code not found in bond conventions table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46" t="str">
        <v>Market code not found in bond conventions table</v>
      </c>
      <c r="AL268" s="213" t="e">
        <f>IF(U268&gt;0,_xll.xlBondZSpread(F268,H268,G268,J268,K268,L268,M268,D268,U268,"annual",5)*100,"-")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5" t="str">
        <f>IF($AN$9+(($AL$9-$AM$9))*('DB Basis'!F428/10-'DB Basis'!E428),," ")</f>
        <v xml:space="preserve"> </v>
      </c>
      <c r="AO268" s="648" t="e">
        <f>IF(U268&gt;0,_xll.xlShmImplSwap2(curveName,curveName,D268,G268,,1,8,2,4),"-")</f>
        <v>#DIV/0!</v>
      </c>
      <c r="AP268" s="649" t="str">
        <f t="shared" ref="AP268:AP310" si="30">IF(AND(ISNUMBER(AD268),ISNUMBER(AO268)),AD268-AO268,"-")</f>
        <v>-</v>
      </c>
      <c r="AQ268" s="391" t="str">
        <f t="shared" ref="AQ268:AQ310" si="31">IF(ISNUMBER(((AD268-AD267)/(G268-G267)*365)*10000),((AD268-AD267)/(G268-G267)*365)*10000,"-")</f>
        <v>-</v>
      </c>
      <c r="AR268" s="391" t="str">
        <f t="shared" ref="AR268:AR327" si="32">IF(ISNUMBER(((AP268-AP267)/(G268-G267)*365)*10000),((AP268-AP267)/(G268-G267)*365)*10000,"-")</f>
        <v>-</v>
      </c>
      <c r="AS268" s="393"/>
      <c r="AT268" s="242" t="str">
        <f t="shared" ref="AT268:AT310" si="33">IF(ISNUMBER(AD268),AD268*360/365*100,"-")</f>
        <v>-</v>
      </c>
      <c r="AU268" s="701" t="str">
        <f t="shared" si="23"/>
        <v>#ERROR: Invalid ISIN  #ERROR: Invalid ISIN  #ERROR: Invalid ISIN</v>
      </c>
      <c r="AV268" s="717"/>
      <c r="AW268" s="699"/>
      <c r="AX268" s="699"/>
      <c r="AY268" s="699"/>
      <c r="AZ268" s="699"/>
      <c r="BA268" s="699"/>
      <c r="BC268" s="712"/>
      <c r="BE268" s="721">
        <f>_xll.xlDateShiftMonth(BE267,1)</f>
        <v>51010</v>
      </c>
      <c r="BF268" s="722">
        <v>2.7826943699523446E-2</v>
      </c>
    </row>
    <row r="269" spans="1:58">
      <c r="A269" s="10"/>
      <c r="B269" s="11"/>
      <c r="C269" s="12"/>
      <c r="D269" s="735">
        <f>MAX(_xll.xlDateSettle("TARGET",$D$4,2),L269)</f>
        <v>43164</v>
      </c>
      <c r="E269" s="733"/>
      <c r="F269" s="13" t="s">
        <v>2080</v>
      </c>
      <c r="G269" s="35" t="s">
        <v>2080</v>
      </c>
      <c r="H269" s="37" t="s">
        <v>2080</v>
      </c>
      <c r="I269" s="11" t="s">
        <v>2080</v>
      </c>
      <c r="J269" s="11" t="s">
        <v>2080</v>
      </c>
      <c r="K269" s="11" t="s">
        <v>2080</v>
      </c>
      <c r="L269" s="11" t="s">
        <v>2080</v>
      </c>
      <c r="M269" s="12" t="s">
        <v>2080</v>
      </c>
      <c r="N269" s="12" t="s">
        <v>2080</v>
      </c>
      <c r="O269" s="12" t="s">
        <v>2080</v>
      </c>
      <c r="P269" s="12" t="s">
        <v>2080</v>
      </c>
      <c r="Q269" s="15" t="s">
        <v>2080</v>
      </c>
      <c r="R269" s="12"/>
      <c r="S269" s="43" t="str">
        <f>_xll.RtGet("IDN",$N269,IF(OR($G269="BTP,$E11=""CTZ"),S$10,S$9))</f>
        <v>#N/A The record could not be found</v>
      </c>
      <c r="T269" s="43" t="str">
        <f>_xll.RtGet("IDN",$N269,IF(OR($G269="BTP,$E11=""CTZ"),T$10,T$9))</f>
        <v>#N/A The record could not be found</v>
      </c>
      <c r="U269" s="25" t="e">
        <f t="shared" ref="U269:U310" si="34">IF($U$4="B",AVERAGE(S269:T269),AVERAGE(S269:T269))</f>
        <v>#DIV/0!</v>
      </c>
      <c r="V269" s="12"/>
      <c r="W269" s="25" t="e">
        <f t="shared" si="29"/>
        <v>#DIV/0!</v>
      </c>
      <c r="X269" s="14" t="str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Market code not found in bond conventions table</v>
      </c>
      <c r="Y269" s="14" t="str">
        <v>Market code not found in bond conventions table</v>
      </c>
      <c r="Z269" s="14" t="str">
        <v>Market code not found in bond conventions table</v>
      </c>
      <c r="AA269" s="14" t="str">
        <v>Market code not found in bond conventions table</v>
      </c>
      <c r="AB269" s="14" t="str">
        <v>Market code not found in bond conventions table</v>
      </c>
      <c r="AC269" s="14" t="str">
        <v>Market code not found in bond conventions table</v>
      </c>
      <c r="AD269" s="34" t="str">
        <v>Market code not found in bond conventions table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46" t="str">
        <v>Market code not found in bond conventions table</v>
      </c>
      <c r="AL269" s="213" t="e">
        <f>IF(U269&gt;0,_xll.xlBondZSpread(F269,H269,G269,J269,K269,L269,M269,D269,U269,"annual",5)*100,"-")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5" t="str">
        <f>IF($AN$9+(($AL$9-$AM$9))*('DB Basis'!F429/10-'DB Basis'!E429),," ")</f>
        <v xml:space="preserve"> </v>
      </c>
      <c r="AO269" s="648" t="e">
        <f>IF(U269&gt;0,_xll.xlShmImplSwap2(curveName,curveName,D269,G269,,1,8,2,4),"-")</f>
        <v>#DIV/0!</v>
      </c>
      <c r="AP269" s="649" t="str">
        <f t="shared" si="30"/>
        <v>-</v>
      </c>
      <c r="AQ269" s="391" t="str">
        <f t="shared" si="31"/>
        <v>-</v>
      </c>
      <c r="AR269" s="391" t="str">
        <f t="shared" si="32"/>
        <v>-</v>
      </c>
      <c r="AS269" s="393"/>
      <c r="AT269" s="242" t="str">
        <f t="shared" si="33"/>
        <v>-</v>
      </c>
      <c r="AU269" s="701" t="str">
        <f t="shared" si="23"/>
        <v>#ERROR: Invalid ISIN  #ERROR: Invalid ISIN  #ERROR: Invalid ISIN</v>
      </c>
      <c r="AV269" s="717"/>
      <c r="AW269" s="699"/>
      <c r="AX269" s="699"/>
      <c r="AY269" s="699"/>
      <c r="AZ269" s="699"/>
      <c r="BA269" s="699"/>
      <c r="BC269" s="712"/>
      <c r="BE269" s="721">
        <f>_xll.xlDateShiftMonth(BE268,1)</f>
        <v>51041</v>
      </c>
      <c r="BF269" s="722">
        <v>2.785837127429611E-2</v>
      </c>
    </row>
    <row r="270" spans="1:58">
      <c r="A270" s="10"/>
      <c r="B270" s="11"/>
      <c r="C270" s="12"/>
      <c r="D270" s="735">
        <f>MAX(_xll.xlDateSettle("TARGET",$D$4,2),L270)</f>
        <v>43164</v>
      </c>
      <c r="E270" s="733"/>
      <c r="F270" s="13" t="s">
        <v>2080</v>
      </c>
      <c r="G270" s="35" t="s">
        <v>2080</v>
      </c>
      <c r="H270" s="37" t="s">
        <v>2080</v>
      </c>
      <c r="I270" s="11" t="s">
        <v>2080</v>
      </c>
      <c r="J270" s="11" t="s">
        <v>2080</v>
      </c>
      <c r="K270" s="11" t="s">
        <v>2080</v>
      </c>
      <c r="L270" s="11" t="s">
        <v>2080</v>
      </c>
      <c r="M270" s="12" t="s">
        <v>2080</v>
      </c>
      <c r="N270" s="12" t="s">
        <v>2080</v>
      </c>
      <c r="O270" s="12" t="s">
        <v>2080</v>
      </c>
      <c r="P270" s="12" t="s">
        <v>2080</v>
      </c>
      <c r="Q270" s="15" t="s">
        <v>2080</v>
      </c>
      <c r="R270" s="12"/>
      <c r="S270" s="43" t="str">
        <f>_xll.RtGet("IDN",$N270,IF(OR($G270="BTP,$E11=""CTZ"),S$10,S$9))</f>
        <v>#N/A The record could not be found</v>
      </c>
      <c r="T270" s="43" t="str">
        <f>_xll.RtGet("IDN",$N270,IF(OR($G270="BTP,$E11=""CTZ"),T$10,T$9))</f>
        <v>#N/A The record could not be found</v>
      </c>
      <c r="U270" s="25" t="e">
        <f t="shared" si="34"/>
        <v>#DIV/0!</v>
      </c>
      <c r="V270" s="12"/>
      <c r="W270" s="25" t="e">
        <f t="shared" si="29"/>
        <v>#DIV/0!</v>
      </c>
      <c r="X270" s="14" t="str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Market code not found in bond conventions table</v>
      </c>
      <c r="Y270" s="14" t="str">
        <v>Market code not found in bond conventions table</v>
      </c>
      <c r="Z270" s="14" t="str">
        <v>Market code not found in bond conventions table</v>
      </c>
      <c r="AA270" s="14" t="str">
        <v>Market code not found in bond conventions table</v>
      </c>
      <c r="AB270" s="14" t="str">
        <v>Market code not found in bond conventions table</v>
      </c>
      <c r="AC270" s="14" t="str">
        <v>Market code not found in bond conventions table</v>
      </c>
      <c r="AD270" s="34" t="str">
        <v>Market code not found in bond conventions table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46" t="str">
        <v>Market code not found in bond conventions table</v>
      </c>
      <c r="AL270" s="213" t="e">
        <f>IF(U270&gt;0,_xll.xlBondZSpread(F270,H270,G270,J270,K270,L270,M270,D270,U270,"annual",5)*100,"-")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5" t="str">
        <f>IF($AN$9+(($AL$9-$AM$9))*('DB Basis'!F430/10-'DB Basis'!E430),," ")</f>
        <v xml:space="preserve"> </v>
      </c>
      <c r="AO270" s="648" t="e">
        <f>IF(U270&gt;0,_xll.xlShmImplSwap2(curveName,curveName,D270,G270,,1,8,2,4),"-")</f>
        <v>#DIV/0!</v>
      </c>
      <c r="AP270" s="649" t="str">
        <f t="shared" si="30"/>
        <v>-</v>
      </c>
      <c r="AQ270" s="391" t="str">
        <f t="shared" si="31"/>
        <v>-</v>
      </c>
      <c r="AR270" s="391" t="str">
        <f t="shared" si="32"/>
        <v>-</v>
      </c>
      <c r="AS270" s="393"/>
      <c r="AT270" s="242" t="str">
        <f t="shared" si="33"/>
        <v>-</v>
      </c>
      <c r="AU270" s="701" t="str">
        <f t="shared" si="23"/>
        <v>#ERROR: Invalid ISIN  #ERROR: Invalid ISIN  #ERROR: Invalid ISIN</v>
      </c>
      <c r="AV270" s="717"/>
      <c r="AW270" s="699"/>
      <c r="AX270" s="699"/>
      <c r="AY270" s="699"/>
      <c r="AZ270" s="699"/>
      <c r="BA270" s="699"/>
      <c r="BC270" s="712"/>
      <c r="BE270" s="721">
        <f>_xll.xlDateShiftMonth(BE269,1)</f>
        <v>51071</v>
      </c>
      <c r="BF270" s="722">
        <v>2.7888738688958123E-2</v>
      </c>
    </row>
    <row r="271" spans="1:58">
      <c r="A271" s="10"/>
      <c r="B271" s="11"/>
      <c r="C271" s="12"/>
      <c r="D271" s="735">
        <f>MAX(_xll.xlDateSettle("TARGET",$D$4,2),L271)</f>
        <v>43164</v>
      </c>
      <c r="E271" s="733"/>
      <c r="F271" s="13" t="s">
        <v>2080</v>
      </c>
      <c r="G271" s="35" t="s">
        <v>2080</v>
      </c>
      <c r="H271" s="37" t="s">
        <v>2080</v>
      </c>
      <c r="I271" s="11" t="s">
        <v>2080</v>
      </c>
      <c r="J271" s="11" t="s">
        <v>2080</v>
      </c>
      <c r="K271" s="11" t="s">
        <v>2080</v>
      </c>
      <c r="L271" s="11" t="s">
        <v>2080</v>
      </c>
      <c r="M271" s="12" t="s">
        <v>2080</v>
      </c>
      <c r="N271" s="12" t="s">
        <v>2080</v>
      </c>
      <c r="O271" s="12" t="s">
        <v>2080</v>
      </c>
      <c r="P271" s="12" t="s">
        <v>2080</v>
      </c>
      <c r="Q271" s="15" t="s">
        <v>2080</v>
      </c>
      <c r="R271" s="12"/>
      <c r="S271" s="43" t="str">
        <f>_xll.RtGet("IDN",$N271,IF(OR($G271="BTP,$E11=""CTZ"),S$10,S$9))</f>
        <v>#N/A The record could not be found</v>
      </c>
      <c r="T271" s="43" t="str">
        <f>_xll.RtGet("IDN",$N271,IF(OR($G271="BTP,$E11=""CTZ"),T$10,T$9))</f>
        <v>#N/A The record could not be found</v>
      </c>
      <c r="U271" s="25" t="e">
        <f t="shared" si="34"/>
        <v>#DIV/0!</v>
      </c>
      <c r="V271" s="12"/>
      <c r="W271" s="25" t="e">
        <f t="shared" si="29"/>
        <v>#DIV/0!</v>
      </c>
      <c r="X271" s="14" t="str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Market code not found in bond conventions table</v>
      </c>
      <c r="Y271" s="14" t="str">
        <v>Market code not found in bond conventions table</v>
      </c>
      <c r="Z271" s="14" t="str">
        <v>Market code not found in bond conventions table</v>
      </c>
      <c r="AA271" s="14" t="str">
        <v>Market code not found in bond conventions table</v>
      </c>
      <c r="AB271" s="14" t="str">
        <v>Market code not found in bond conventions table</v>
      </c>
      <c r="AC271" s="14" t="str">
        <v>Market code not found in bond conventions table</v>
      </c>
      <c r="AD271" s="34" t="str">
        <v>Market code not found in bond conventions table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46" t="str">
        <v>Market code not found in bond conventions table</v>
      </c>
      <c r="AL271" s="213" t="e">
        <f>IF(U271&gt;0,_xll.xlBondZSpread(F271,H271,G271,J271,K271,L271,M271,D271,U271,"annual",5)*100,"-")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5" t="str">
        <f>IF($AN$9+(($AL$9-$AM$9))*('DB Basis'!F431/10-'DB Basis'!E431),," ")</f>
        <v xml:space="preserve"> </v>
      </c>
      <c r="AO271" s="648" t="e">
        <f>IF(U271&gt;0,_xll.xlShmImplSwap2(curveName,curveName,D271,G271,,1,8,2,4),"-")</f>
        <v>#DIV/0!</v>
      </c>
      <c r="AP271" s="649" t="str">
        <f t="shared" si="30"/>
        <v>-</v>
      </c>
      <c r="AQ271" s="391" t="str">
        <f t="shared" si="31"/>
        <v>-</v>
      </c>
      <c r="AR271" s="391" t="str">
        <f t="shared" si="32"/>
        <v>-</v>
      </c>
      <c r="AS271" s="393"/>
      <c r="AT271" s="242" t="str">
        <f t="shared" si="33"/>
        <v>-</v>
      </c>
      <c r="AU271" s="701" t="str">
        <f t="shared" si="23"/>
        <v>#ERROR: Invalid ISIN  #ERROR: Invalid ISIN  #ERROR: Invalid ISIN</v>
      </c>
      <c r="AV271" s="717"/>
      <c r="AW271" s="699"/>
      <c r="AX271" s="699"/>
      <c r="AY271" s="699"/>
      <c r="AZ271" s="699"/>
      <c r="BA271" s="699"/>
      <c r="BC271" s="712"/>
      <c r="BE271" s="721">
        <f>_xll.xlDateShiftMonth(BE270,1)</f>
        <v>51102</v>
      </c>
      <c r="BF271" s="722">
        <v>2.7920070915289079E-2</v>
      </c>
    </row>
    <row r="272" spans="1:58">
      <c r="A272" s="10"/>
      <c r="B272" s="11"/>
      <c r="C272" s="12"/>
      <c r="D272" s="735">
        <f>MAX(_xll.xlDateSettle("TARGET",$D$4,2),L272)</f>
        <v>43164</v>
      </c>
      <c r="E272" s="733"/>
      <c r="F272" s="13" t="s">
        <v>2080</v>
      </c>
      <c r="G272" s="35" t="s">
        <v>2080</v>
      </c>
      <c r="H272" s="37" t="s">
        <v>2080</v>
      </c>
      <c r="I272" s="11" t="s">
        <v>2080</v>
      </c>
      <c r="J272" s="11" t="s">
        <v>2080</v>
      </c>
      <c r="K272" s="11" t="s">
        <v>2080</v>
      </c>
      <c r="L272" s="11" t="s">
        <v>2080</v>
      </c>
      <c r="M272" s="12" t="s">
        <v>2080</v>
      </c>
      <c r="N272" s="12" t="s">
        <v>2080</v>
      </c>
      <c r="O272" s="12" t="s">
        <v>2080</v>
      </c>
      <c r="P272" s="12" t="s">
        <v>2080</v>
      </c>
      <c r="Q272" s="15" t="s">
        <v>2080</v>
      </c>
      <c r="R272" s="12"/>
      <c r="S272" s="43" t="str">
        <f>_xll.RtGet("IDN",$N272,IF(OR($G272="BTP,$E11=""CTZ"),S$10,S$9))</f>
        <v>#N/A The record could not be found</v>
      </c>
      <c r="T272" s="43" t="str">
        <f>_xll.RtGet("IDN",$N272,IF(OR($G272="BTP,$E11=""CTZ"),T$10,T$9))</f>
        <v>#N/A The record could not be found</v>
      </c>
      <c r="U272" s="25" t="e">
        <f t="shared" si="34"/>
        <v>#DIV/0!</v>
      </c>
      <c r="V272" s="12"/>
      <c r="W272" s="25" t="e">
        <f t="shared" ref="W272:W310" si="35">IF(V272="",U272,V272)</f>
        <v>#DIV/0!</v>
      </c>
      <c r="X272" s="14" t="str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Market code not found in bond conventions table</v>
      </c>
      <c r="Y272" s="14" t="str">
        <v>Market code not found in bond conventions table</v>
      </c>
      <c r="Z272" s="14" t="str">
        <v>Market code not found in bond conventions table</v>
      </c>
      <c r="AA272" s="14" t="str">
        <v>Market code not found in bond conventions table</v>
      </c>
      <c r="AB272" s="14" t="str">
        <v>Market code not found in bond conventions table</v>
      </c>
      <c r="AC272" s="14" t="str">
        <v>Market code not found in bond conventions table</v>
      </c>
      <c r="AD272" s="34" t="str">
        <v>Market code not found in bond conventions table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46" t="str">
        <v>Market code not found in bond conventions table</v>
      </c>
      <c r="AL272" s="213" t="e">
        <f>IF(U272&gt;0,_xll.xlBondZSpread(F272,H272,G272,J272,K272,L272,M272,D272,U272,"annual",5)*100,"-")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5" t="str">
        <f>IF($AN$9+(($AL$9-$AM$9))*('DB Basis'!F432/10-'DB Basis'!E432),," ")</f>
        <v xml:space="preserve"> </v>
      </c>
      <c r="AO272" s="648" t="e">
        <f>IF(U272&gt;0,_xll.xlShmImplSwap2(curveName,curveName,D272,G272,,1,8,2,4),"-")</f>
        <v>#DIV/0!</v>
      </c>
      <c r="AP272" s="649" t="str">
        <f t="shared" si="30"/>
        <v>-</v>
      </c>
      <c r="AQ272" s="391" t="str">
        <f t="shared" si="31"/>
        <v>-</v>
      </c>
      <c r="AR272" s="391" t="str">
        <f t="shared" si="32"/>
        <v>-</v>
      </c>
      <c r="AS272" s="393"/>
      <c r="AT272" s="242" t="str">
        <f t="shared" si="33"/>
        <v>-</v>
      </c>
      <c r="AU272" s="701" t="str">
        <f t="shared" ref="AU272:AU310" si="36">F272&amp;"  "&amp;TEXT(G272,"dd-mmm-yy")&amp;"  "&amp;H272</f>
        <v>#ERROR: Invalid ISIN  #ERROR: Invalid ISIN  #ERROR: Invalid ISIN</v>
      </c>
      <c r="AV272" s="717"/>
      <c r="AW272" s="699"/>
      <c r="AX272" s="699"/>
      <c r="AY272" s="699"/>
      <c r="AZ272" s="699"/>
      <c r="BA272" s="699"/>
      <c r="BC272" s="712"/>
      <c r="BE272" s="721">
        <f>_xll.xlDateShiftMonth(BE271,1)</f>
        <v>51132</v>
      </c>
      <c r="BF272" s="722">
        <v>2.7950346976376248E-2</v>
      </c>
    </row>
    <row r="273" spans="1:58">
      <c r="A273" s="10"/>
      <c r="B273" s="11"/>
      <c r="C273" s="12"/>
      <c r="D273" s="735">
        <f>MAX(_xll.xlDateSettle("TARGET",$D$4,2),L273)</f>
        <v>43164</v>
      </c>
      <c r="E273" s="733"/>
      <c r="F273" s="13" t="s">
        <v>2080</v>
      </c>
      <c r="G273" s="35" t="s">
        <v>2080</v>
      </c>
      <c r="H273" s="37" t="s">
        <v>2080</v>
      </c>
      <c r="I273" s="11" t="s">
        <v>2080</v>
      </c>
      <c r="J273" s="11" t="s">
        <v>2080</v>
      </c>
      <c r="K273" s="11" t="s">
        <v>2080</v>
      </c>
      <c r="L273" s="11" t="s">
        <v>2080</v>
      </c>
      <c r="M273" s="12" t="s">
        <v>2080</v>
      </c>
      <c r="N273" s="12" t="s">
        <v>2080</v>
      </c>
      <c r="O273" s="12" t="s">
        <v>2080</v>
      </c>
      <c r="P273" s="12" t="s">
        <v>2080</v>
      </c>
      <c r="Q273" s="15" t="s">
        <v>2080</v>
      </c>
      <c r="R273" s="12"/>
      <c r="S273" s="43" t="str">
        <f>_xll.RtGet("IDN",$N273,IF(OR($G273="BTP,$E11=""CTZ"),S$10,S$9))</f>
        <v>#N/A The record could not be found</v>
      </c>
      <c r="T273" s="43" t="str">
        <f>_xll.RtGet("IDN",$N273,IF(OR($G273="BTP,$E11=""CTZ"),T$10,T$9))</f>
        <v>#N/A The record could not be found</v>
      </c>
      <c r="U273" s="25" t="e">
        <f t="shared" si="34"/>
        <v>#DIV/0!</v>
      </c>
      <c r="V273" s="12"/>
      <c r="W273" s="25" t="e">
        <f t="shared" si="35"/>
        <v>#DIV/0!</v>
      </c>
      <c r="X273" s="14" t="str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Market code not found in bond conventions table</v>
      </c>
      <c r="Y273" s="14" t="str">
        <v>Market code not found in bond conventions table</v>
      </c>
      <c r="Z273" s="14" t="str">
        <v>Market code not found in bond conventions table</v>
      </c>
      <c r="AA273" s="14" t="str">
        <v>Market code not found in bond conventions table</v>
      </c>
      <c r="AB273" s="14" t="str">
        <v>Market code not found in bond conventions table</v>
      </c>
      <c r="AC273" s="14" t="str">
        <v>Market code not found in bond conventions table</v>
      </c>
      <c r="AD273" s="34" t="str">
        <v>Market code not found in bond conventions table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46" t="str">
        <v>Market code not found in bond conventions table</v>
      </c>
      <c r="AL273" s="213" t="e">
        <f>IF(U273&gt;0,_xll.xlBondZSpread(F273,H273,G273,J273,K273,L273,M273,D273,U273,"annual",5)*100,"-")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5" t="str">
        <f>IF($AN$9+(($AL$9-$AM$9))*('DB Basis'!F433/10-'DB Basis'!E433),," ")</f>
        <v xml:space="preserve"> </v>
      </c>
      <c r="AO273" s="648" t="e">
        <f>IF(U273&gt;0,_xll.xlShmImplSwap2(curveName,curveName,D273,G273,,1,8,2,4),"-")</f>
        <v>#DIV/0!</v>
      </c>
      <c r="AP273" s="649" t="str">
        <f t="shared" si="30"/>
        <v>-</v>
      </c>
      <c r="AQ273" s="391" t="str">
        <f t="shared" si="31"/>
        <v>-</v>
      </c>
      <c r="AR273" s="391" t="str">
        <f t="shared" si="32"/>
        <v>-</v>
      </c>
      <c r="AS273" s="393"/>
      <c r="AT273" s="242" t="str">
        <f t="shared" si="33"/>
        <v>-</v>
      </c>
      <c r="AU273" s="701" t="str">
        <f t="shared" si="36"/>
        <v>#ERROR: Invalid ISIN  #ERROR: Invalid ISIN  #ERROR: Invalid ISIN</v>
      </c>
      <c r="AV273" s="717"/>
      <c r="AW273" s="699"/>
      <c r="AX273" s="699"/>
      <c r="AY273" s="699"/>
      <c r="AZ273" s="699"/>
      <c r="BA273" s="699"/>
      <c r="BC273" s="712"/>
      <c r="BE273" s="721">
        <f>_xll.xlDateShiftMonth(BE272,1)</f>
        <v>51163</v>
      </c>
      <c r="BF273" s="722">
        <v>2.7981585753760904E-2</v>
      </c>
    </row>
    <row r="274" spans="1:58">
      <c r="A274" s="10"/>
      <c r="B274" s="11"/>
      <c r="C274" s="12"/>
      <c r="D274" s="735">
        <f>MAX(_xll.xlDateSettle("TARGET",$D$4,2),L274)</f>
        <v>43164</v>
      </c>
      <c r="E274" s="733"/>
      <c r="F274" s="13" t="s">
        <v>2080</v>
      </c>
      <c r="G274" s="35" t="s">
        <v>2080</v>
      </c>
      <c r="H274" s="37" t="s">
        <v>2080</v>
      </c>
      <c r="I274" s="11" t="s">
        <v>2080</v>
      </c>
      <c r="J274" s="11" t="s">
        <v>2080</v>
      </c>
      <c r="K274" s="11" t="s">
        <v>2080</v>
      </c>
      <c r="L274" s="11" t="s">
        <v>2080</v>
      </c>
      <c r="M274" s="12" t="s">
        <v>2080</v>
      </c>
      <c r="N274" s="12" t="s">
        <v>2080</v>
      </c>
      <c r="O274" s="12" t="s">
        <v>2080</v>
      </c>
      <c r="P274" s="12" t="s">
        <v>2080</v>
      </c>
      <c r="Q274" s="15" t="s">
        <v>2080</v>
      </c>
      <c r="R274" s="12"/>
      <c r="S274" s="43" t="str">
        <f>_xll.RtGet("IDN",$N274,IF(OR($G274="BTP,$E11=""CTZ"),S$10,S$9))</f>
        <v>#N/A The record could not be found</v>
      </c>
      <c r="T274" s="43" t="str">
        <f>_xll.RtGet("IDN",$N274,IF(OR($G274="BTP,$E11=""CTZ"),T$10,T$9))</f>
        <v>#N/A The record could not be found</v>
      </c>
      <c r="U274" s="25" t="e">
        <f t="shared" si="34"/>
        <v>#DIV/0!</v>
      </c>
      <c r="V274" s="12"/>
      <c r="W274" s="25" t="e">
        <f t="shared" si="35"/>
        <v>#DIV/0!</v>
      </c>
      <c r="X274" s="14" t="str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Market code not found in bond conventions table</v>
      </c>
      <c r="Y274" s="14" t="str">
        <v>Market code not found in bond conventions table</v>
      </c>
      <c r="Z274" s="14" t="str">
        <v>Market code not found in bond conventions table</v>
      </c>
      <c r="AA274" s="14" t="str">
        <v>Market code not found in bond conventions table</v>
      </c>
      <c r="AB274" s="14" t="str">
        <v>Market code not found in bond conventions table</v>
      </c>
      <c r="AC274" s="14" t="str">
        <v>Market code not found in bond conventions table</v>
      </c>
      <c r="AD274" s="34" t="str">
        <v>Market code not found in bond conventions table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46" t="str">
        <v>Market code not found in bond conventions table</v>
      </c>
      <c r="AL274" s="213" t="e">
        <f>IF(U274&gt;0,_xll.xlBondZSpread(F274,H274,G274,J274,K274,L274,M274,D274,U274,"annual",5)*100,"-")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5" t="str">
        <f>IF($AN$9+(($AL$9-$AM$9))*('DB Basis'!F434/10-'DB Basis'!E434),," ")</f>
        <v xml:space="preserve"> </v>
      </c>
      <c r="AO274" s="648" t="e">
        <f>IF(U274&gt;0,_xll.xlShmImplSwap2(curveName,curveName,D274,G274,,1,8,2,4),"-")</f>
        <v>#DIV/0!</v>
      </c>
      <c r="AP274" s="649" t="str">
        <f t="shared" si="30"/>
        <v>-</v>
      </c>
      <c r="AQ274" s="391" t="str">
        <f t="shared" si="31"/>
        <v>-</v>
      </c>
      <c r="AR274" s="391" t="str">
        <f t="shared" si="32"/>
        <v>-</v>
      </c>
      <c r="AS274" s="393"/>
      <c r="AT274" s="242" t="str">
        <f t="shared" si="33"/>
        <v>-</v>
      </c>
      <c r="AU274" s="701" t="str">
        <f t="shared" si="36"/>
        <v>#ERROR: Invalid ISIN  #ERROR: Invalid ISIN  #ERROR: Invalid ISIN</v>
      </c>
      <c r="AV274" s="717"/>
      <c r="AW274" s="699"/>
      <c r="AX274" s="699"/>
      <c r="AY274" s="699"/>
      <c r="AZ274" s="699"/>
      <c r="BA274" s="699"/>
      <c r="BC274" s="712"/>
      <c r="BE274" s="721">
        <f>_xll.xlDateShiftMonth(BE273,1)</f>
        <v>51194</v>
      </c>
      <c r="BF274" s="722">
        <v>2.8012777768641663E-2</v>
      </c>
    </row>
    <row r="275" spans="1:58">
      <c r="A275" s="10"/>
      <c r="B275" s="11"/>
      <c r="C275" s="12"/>
      <c r="D275" s="735">
        <f>MAX(_xll.xlDateSettle("TARGET",$D$4,2),L275)</f>
        <v>43164</v>
      </c>
      <c r="E275" s="733"/>
      <c r="F275" s="13" t="s">
        <v>2080</v>
      </c>
      <c r="G275" s="35" t="s">
        <v>2080</v>
      </c>
      <c r="H275" s="37" t="s">
        <v>2080</v>
      </c>
      <c r="I275" s="11" t="s">
        <v>2080</v>
      </c>
      <c r="J275" s="11" t="s">
        <v>2080</v>
      </c>
      <c r="K275" s="11" t="s">
        <v>2080</v>
      </c>
      <c r="L275" s="11" t="s">
        <v>2080</v>
      </c>
      <c r="M275" s="12" t="s">
        <v>2080</v>
      </c>
      <c r="N275" s="12" t="s">
        <v>2080</v>
      </c>
      <c r="O275" s="12" t="s">
        <v>2080</v>
      </c>
      <c r="P275" s="12" t="s">
        <v>2080</v>
      </c>
      <c r="Q275" s="15" t="s">
        <v>2080</v>
      </c>
      <c r="R275" s="12"/>
      <c r="S275" s="43" t="str">
        <f>_xll.RtGet("IDN",$N275,IF(OR($G275="BTP,$E11=""CTZ"),S$10,S$9))</f>
        <v>#N/A The record could not be found</v>
      </c>
      <c r="T275" s="43" t="str">
        <f>_xll.RtGet("IDN",$N275,IF(OR($G275="BTP,$E11=""CTZ"),T$10,T$9))</f>
        <v>#N/A The record could not be found</v>
      </c>
      <c r="U275" s="25" t="e">
        <f t="shared" si="34"/>
        <v>#DIV/0!</v>
      </c>
      <c r="V275" s="12"/>
      <c r="W275" s="25" t="e">
        <f t="shared" si="35"/>
        <v>#DIV/0!</v>
      </c>
      <c r="X275" s="14" t="str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Market code not found in bond conventions table</v>
      </c>
      <c r="Y275" s="14" t="str">
        <v>Market code not found in bond conventions table</v>
      </c>
      <c r="Z275" s="14" t="str">
        <v>Market code not found in bond conventions table</v>
      </c>
      <c r="AA275" s="14" t="str">
        <v>Market code not found in bond conventions table</v>
      </c>
      <c r="AB275" s="14" t="str">
        <v>Market code not found in bond conventions table</v>
      </c>
      <c r="AC275" s="14" t="str">
        <v>Market code not found in bond conventions table</v>
      </c>
      <c r="AD275" s="34" t="str">
        <v>Market code not found in bond conventions table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46" t="str">
        <v>Market code not found in bond conventions table</v>
      </c>
      <c r="AL275" s="213" t="e">
        <f>IF(U275&gt;0,_xll.xlBondZSpread(F275,H275,G275,J275,K275,L275,M275,D275,U275,"annual",5)*100,"-")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5" t="str">
        <f>IF($AN$9+(($AL$9-$AM$9))*('DB Basis'!F435/10-'DB Basis'!E435),," ")</f>
        <v xml:space="preserve"> </v>
      </c>
      <c r="AO275" s="648" t="e">
        <f>IF(U275&gt;0,_xll.xlShmImplSwap2(curveName,curveName,D275,G275,,1,8,2,4),"-")</f>
        <v>#DIV/0!</v>
      </c>
      <c r="AP275" s="649" t="str">
        <f t="shared" si="30"/>
        <v>-</v>
      </c>
      <c r="AQ275" s="391" t="str">
        <f t="shared" si="31"/>
        <v>-</v>
      </c>
      <c r="AR275" s="391" t="str">
        <f t="shared" si="32"/>
        <v>-</v>
      </c>
      <c r="AS275" s="393"/>
      <c r="AT275" s="242" t="str">
        <f t="shared" si="33"/>
        <v>-</v>
      </c>
      <c r="AU275" s="701" t="str">
        <f t="shared" si="36"/>
        <v>#ERROR: Invalid ISIN  #ERROR: Invalid ISIN  #ERROR: Invalid ISIN</v>
      </c>
      <c r="AV275" s="717"/>
      <c r="AW275" s="699"/>
      <c r="AX275" s="699"/>
      <c r="AY275" s="699"/>
      <c r="AZ275" s="699"/>
      <c r="BA275" s="699"/>
      <c r="BC275" s="712"/>
      <c r="BE275" s="721">
        <f>_xll.xlDateShiftMonth(BE274,1)</f>
        <v>51223</v>
      </c>
      <c r="BF275" s="722">
        <v>2.804191549561133E-2</v>
      </c>
    </row>
    <row r="276" spans="1:58">
      <c r="A276" s="10"/>
      <c r="B276" s="11"/>
      <c r="C276" s="12"/>
      <c r="D276" s="735">
        <f>MAX(_xll.xlDateSettle("TARGET",$D$4,2),L276)</f>
        <v>43164</v>
      </c>
      <c r="E276" s="733"/>
      <c r="F276" s="13" t="s">
        <v>2080</v>
      </c>
      <c r="G276" s="35" t="s">
        <v>2080</v>
      </c>
      <c r="H276" s="37" t="s">
        <v>2080</v>
      </c>
      <c r="I276" s="11" t="s">
        <v>2080</v>
      </c>
      <c r="J276" s="11" t="s">
        <v>2080</v>
      </c>
      <c r="K276" s="11" t="s">
        <v>2080</v>
      </c>
      <c r="L276" s="11" t="s">
        <v>2080</v>
      </c>
      <c r="M276" s="12" t="s">
        <v>2080</v>
      </c>
      <c r="N276" s="12" t="s">
        <v>2080</v>
      </c>
      <c r="O276" s="12" t="s">
        <v>2080</v>
      </c>
      <c r="P276" s="12" t="s">
        <v>2080</v>
      </c>
      <c r="Q276" s="15" t="s">
        <v>2080</v>
      </c>
      <c r="R276" s="12"/>
      <c r="S276" s="43" t="str">
        <f>_xll.RtGet("IDN",$N276,IF(OR($G276="BTP,$E11=""CTZ"),S$10,S$9))</f>
        <v>#N/A The record could not be found</v>
      </c>
      <c r="T276" s="43" t="str">
        <f>_xll.RtGet("IDN",$N276,IF(OR($G276="BTP,$E11=""CTZ"),T$10,T$9))</f>
        <v>#N/A The record could not be found</v>
      </c>
      <c r="U276" s="25" t="e">
        <f t="shared" si="34"/>
        <v>#DIV/0!</v>
      </c>
      <c r="V276" s="12"/>
      <c r="W276" s="25" t="e">
        <f t="shared" si="35"/>
        <v>#DIV/0!</v>
      </c>
      <c r="X276" s="14" t="str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Market code not found in bond conventions table</v>
      </c>
      <c r="Y276" s="14" t="str">
        <v>Market code not found in bond conventions table</v>
      </c>
      <c r="Z276" s="14" t="str">
        <v>Market code not found in bond conventions table</v>
      </c>
      <c r="AA276" s="14" t="str">
        <v>Market code not found in bond conventions table</v>
      </c>
      <c r="AB276" s="14" t="str">
        <v>Market code not found in bond conventions table</v>
      </c>
      <c r="AC276" s="14" t="str">
        <v>Market code not found in bond conventions table</v>
      </c>
      <c r="AD276" s="34" t="str">
        <v>Market code not found in bond conventions table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46" t="str">
        <v>Market code not found in bond conventions table</v>
      </c>
      <c r="AL276" s="213" t="e">
        <f>IF(U276&gt;0,_xll.xlBondZSpread(F276,H276,G276,J276,K276,L276,M276,D276,U276,"annual",5)*100,"-")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5" t="str">
        <f>IF($AN$9+(($AL$9-$AM$9))*('DB Basis'!F436/10-'DB Basis'!E436),," ")</f>
        <v xml:space="preserve"> </v>
      </c>
      <c r="AO276" s="648" t="e">
        <f>IF(U276&gt;0,_xll.xlShmImplSwap2(curveName,curveName,D276,G276,,1,8,2,4),"-")</f>
        <v>#DIV/0!</v>
      </c>
      <c r="AP276" s="649" t="str">
        <f t="shared" si="30"/>
        <v>-</v>
      </c>
      <c r="AQ276" s="391" t="str">
        <f t="shared" si="31"/>
        <v>-</v>
      </c>
      <c r="AR276" s="391" t="str">
        <f t="shared" si="32"/>
        <v>-</v>
      </c>
      <c r="AS276" s="393"/>
      <c r="AT276" s="242" t="str">
        <f t="shared" si="33"/>
        <v>-</v>
      </c>
      <c r="AU276" s="701" t="str">
        <f t="shared" si="36"/>
        <v>#ERROR: Invalid ISIN  #ERROR: Invalid ISIN  #ERROR: Invalid ISIN</v>
      </c>
      <c r="AV276" s="717"/>
      <c r="AW276" s="699"/>
      <c r="AX276" s="699"/>
      <c r="AY276" s="699"/>
      <c r="AZ276" s="699"/>
      <c r="BA276" s="699"/>
      <c r="BC276" s="712"/>
      <c r="BE276" s="721">
        <f>_xll.xlDateShiftMonth(BE275,1)</f>
        <v>51254</v>
      </c>
      <c r="BF276" s="722">
        <v>2.807301839602994E-2</v>
      </c>
    </row>
    <row r="277" spans="1:58">
      <c r="A277" s="10"/>
      <c r="B277" s="11"/>
      <c r="C277" s="12"/>
      <c r="D277" s="735">
        <f>MAX(_xll.xlDateSettle("TARGET",$D$4,2),L277)</f>
        <v>43164</v>
      </c>
      <c r="E277" s="733"/>
      <c r="F277" s="13" t="s">
        <v>2080</v>
      </c>
      <c r="G277" s="35" t="s">
        <v>2080</v>
      </c>
      <c r="H277" s="37" t="s">
        <v>2080</v>
      </c>
      <c r="I277" s="11" t="s">
        <v>2080</v>
      </c>
      <c r="J277" s="11" t="s">
        <v>2080</v>
      </c>
      <c r="K277" s="11" t="s">
        <v>2080</v>
      </c>
      <c r="L277" s="11" t="s">
        <v>2080</v>
      </c>
      <c r="M277" s="12" t="s">
        <v>2080</v>
      </c>
      <c r="N277" s="12" t="s">
        <v>2080</v>
      </c>
      <c r="O277" s="12" t="s">
        <v>2080</v>
      </c>
      <c r="P277" s="12" t="s">
        <v>2080</v>
      </c>
      <c r="Q277" s="15" t="s">
        <v>2080</v>
      </c>
      <c r="R277" s="12"/>
      <c r="S277" s="43" t="str">
        <f>_xll.RtGet("IDN",$N277,IF(OR($G277="BTP,$E11=""CTZ"),S$10,S$9))</f>
        <v>#N/A The record could not be found</v>
      </c>
      <c r="T277" s="43" t="str">
        <f>_xll.RtGet("IDN",$N277,IF(OR($G277="BTP,$E11=""CTZ"),T$10,T$9))</f>
        <v>#N/A The record could not be found</v>
      </c>
      <c r="U277" s="25" t="e">
        <f t="shared" si="34"/>
        <v>#DIV/0!</v>
      </c>
      <c r="V277" s="12"/>
      <c r="W277" s="25" t="e">
        <f t="shared" si="35"/>
        <v>#DIV/0!</v>
      </c>
      <c r="X277" s="14" t="str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Market code not found in bond conventions table</v>
      </c>
      <c r="Y277" s="14" t="str">
        <v>Market code not found in bond conventions table</v>
      </c>
      <c r="Z277" s="14" t="str">
        <v>Market code not found in bond conventions table</v>
      </c>
      <c r="AA277" s="14" t="str">
        <v>Market code not found in bond conventions table</v>
      </c>
      <c r="AB277" s="14" t="str">
        <v>Market code not found in bond conventions table</v>
      </c>
      <c r="AC277" s="14" t="str">
        <v>Market code not found in bond conventions table</v>
      </c>
      <c r="AD277" s="34" t="str">
        <v>Market code not found in bond conventions table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46" t="str">
        <v>Market code not found in bond conventions table</v>
      </c>
      <c r="AL277" s="213" t="e">
        <f>IF(U277&gt;0,_xll.xlBondZSpread(F277,H277,G277,J277,K277,L277,M277,D277,U277,"annual",5)*100,"-")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5" t="str">
        <f>IF($AN$9+(($AL$9-$AM$9))*('DB Basis'!F437/10-'DB Basis'!E437),," ")</f>
        <v xml:space="preserve"> </v>
      </c>
      <c r="AO277" s="648" t="e">
        <f>IF(U277&gt;0,_xll.xlShmImplSwap2(curveName,curveName,D277,G277,,1,8,2,4),"-")</f>
        <v>#DIV/0!</v>
      </c>
      <c r="AP277" s="649" t="str">
        <f t="shared" si="30"/>
        <v>-</v>
      </c>
      <c r="AQ277" s="391" t="str">
        <f t="shared" si="31"/>
        <v>-</v>
      </c>
      <c r="AR277" s="391" t="str">
        <f t="shared" si="32"/>
        <v>-</v>
      </c>
      <c r="AS277" s="393"/>
      <c r="AT277" s="242" t="str">
        <f t="shared" si="33"/>
        <v>-</v>
      </c>
      <c r="AU277" s="701" t="str">
        <f t="shared" si="36"/>
        <v>#ERROR: Invalid ISIN  #ERROR: Invalid ISIN  #ERROR: Invalid ISIN</v>
      </c>
      <c r="AV277" s="717"/>
      <c r="AW277" s="699"/>
      <c r="AX277" s="699"/>
      <c r="AY277" s="699"/>
      <c r="AZ277" s="699"/>
      <c r="BA277" s="699"/>
      <c r="BC277" s="712"/>
      <c r="BE277" s="721">
        <f>_xll.xlDateShiftMonth(BE276,1)</f>
        <v>51284</v>
      </c>
      <c r="BF277" s="722">
        <v>2.8103074819057852E-2</v>
      </c>
    </row>
    <row r="278" spans="1:58">
      <c r="A278" s="10"/>
      <c r="B278" s="11"/>
      <c r="C278" s="12"/>
      <c r="D278" s="735">
        <f>MAX(_xll.xlDateSettle("TARGET",$D$4,2),L278)</f>
        <v>43164</v>
      </c>
      <c r="E278" s="733"/>
      <c r="F278" s="13" t="s">
        <v>2080</v>
      </c>
      <c r="G278" s="35" t="s">
        <v>2080</v>
      </c>
      <c r="H278" s="37" t="s">
        <v>2080</v>
      </c>
      <c r="I278" s="11" t="s">
        <v>2080</v>
      </c>
      <c r="J278" s="11" t="s">
        <v>2080</v>
      </c>
      <c r="K278" s="11" t="s">
        <v>2080</v>
      </c>
      <c r="L278" s="11" t="s">
        <v>2080</v>
      </c>
      <c r="M278" s="12" t="s">
        <v>2080</v>
      </c>
      <c r="N278" s="12" t="s">
        <v>2080</v>
      </c>
      <c r="O278" s="12" t="s">
        <v>2080</v>
      </c>
      <c r="P278" s="12" t="s">
        <v>2080</v>
      </c>
      <c r="Q278" s="15" t="s">
        <v>2080</v>
      </c>
      <c r="R278" s="12"/>
      <c r="S278" s="43" t="str">
        <f>_xll.RtGet("IDN",$N278,IF(OR($G278="BTP,$E11=""CTZ"),S$10,S$9))</f>
        <v>#N/A The record could not be found</v>
      </c>
      <c r="T278" s="43" t="str">
        <f>_xll.RtGet("IDN",$N278,IF(OR($G278="BTP,$E11=""CTZ"),T$10,T$9))</f>
        <v>#N/A The record could not be found</v>
      </c>
      <c r="U278" s="25" t="e">
        <f t="shared" si="34"/>
        <v>#DIV/0!</v>
      </c>
      <c r="V278" s="12"/>
      <c r="W278" s="25" t="e">
        <f t="shared" si="35"/>
        <v>#DIV/0!</v>
      </c>
      <c r="X278" s="14" t="str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Market code not found in bond conventions table</v>
      </c>
      <c r="Y278" s="14" t="str">
        <v>Market code not found in bond conventions table</v>
      </c>
      <c r="Z278" s="14" t="str">
        <v>Market code not found in bond conventions table</v>
      </c>
      <c r="AA278" s="14" t="str">
        <v>Market code not found in bond conventions table</v>
      </c>
      <c r="AB278" s="14" t="str">
        <v>Market code not found in bond conventions table</v>
      </c>
      <c r="AC278" s="14" t="str">
        <v>Market code not found in bond conventions table</v>
      </c>
      <c r="AD278" s="34" t="str">
        <v>Market code not found in bond conventions table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46" t="str">
        <v>Market code not found in bond conventions table</v>
      </c>
      <c r="AL278" s="213" t="e">
        <f>IF(U278&gt;0,_xll.xlBondZSpread(F278,H278,G278,J278,K278,L278,M278,D278,U278,"annual",5)*100,"-")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5" t="str">
        <f>IF($AN$9+(($AL$9-$AM$9))*('DB Basis'!F438/10-'DB Basis'!E438),," ")</f>
        <v xml:space="preserve"> </v>
      </c>
      <c r="AO278" s="648" t="e">
        <f>IF(U278&gt;0,_xll.xlShmImplSwap2(curveName,curveName,D278,G278,,1,8,2,4),"-")</f>
        <v>#DIV/0!</v>
      </c>
      <c r="AP278" s="649" t="str">
        <f t="shared" si="30"/>
        <v>-</v>
      </c>
      <c r="AQ278" s="391" t="str">
        <f t="shared" si="31"/>
        <v>-</v>
      </c>
      <c r="AR278" s="391" t="str">
        <f t="shared" si="32"/>
        <v>-</v>
      </c>
      <c r="AS278" s="393"/>
      <c r="AT278" s="242" t="str">
        <f t="shared" si="33"/>
        <v>-</v>
      </c>
      <c r="AU278" s="701" t="str">
        <f t="shared" si="36"/>
        <v>#ERROR: Invalid ISIN  #ERROR: Invalid ISIN  #ERROR: Invalid ISIN</v>
      </c>
      <c r="AV278" s="717"/>
      <c r="AW278" s="699"/>
      <c r="AX278" s="699"/>
      <c r="AY278" s="699"/>
      <c r="AZ278" s="699"/>
      <c r="BA278" s="699"/>
      <c r="BC278" s="712"/>
      <c r="BE278" s="721">
        <f>_xll.xlDateShiftMonth(BE277,1)</f>
        <v>51315</v>
      </c>
      <c r="BF278" s="722">
        <v>2.8134089003699052E-2</v>
      </c>
    </row>
    <row r="279" spans="1:58">
      <c r="A279" s="10"/>
      <c r="B279" s="11"/>
      <c r="C279" s="12"/>
      <c r="D279" s="735">
        <f>MAX(_xll.xlDateSettle("TARGET",$D$4,2),L279)</f>
        <v>43164</v>
      </c>
      <c r="E279" s="733"/>
      <c r="F279" s="13" t="s">
        <v>2080</v>
      </c>
      <c r="G279" s="35" t="s">
        <v>2080</v>
      </c>
      <c r="H279" s="37" t="s">
        <v>2080</v>
      </c>
      <c r="I279" s="11" t="s">
        <v>2080</v>
      </c>
      <c r="J279" s="11" t="s">
        <v>2080</v>
      </c>
      <c r="K279" s="11" t="s">
        <v>2080</v>
      </c>
      <c r="L279" s="11" t="s">
        <v>2080</v>
      </c>
      <c r="M279" s="12" t="s">
        <v>2080</v>
      </c>
      <c r="N279" s="12" t="s">
        <v>2080</v>
      </c>
      <c r="O279" s="12" t="s">
        <v>2080</v>
      </c>
      <c r="P279" s="12" t="s">
        <v>2080</v>
      </c>
      <c r="Q279" s="15" t="s">
        <v>2080</v>
      </c>
      <c r="R279" s="12"/>
      <c r="S279" s="43" t="str">
        <f>_xll.RtGet("IDN",$N279,IF(OR($G279="BTP,$E11=""CTZ"),S$10,S$9))</f>
        <v>#N/A The record could not be found</v>
      </c>
      <c r="T279" s="43" t="str">
        <f>_xll.RtGet("IDN",$N279,IF(OR($G279="BTP,$E11=""CTZ"),T$10,T$9))</f>
        <v>#N/A The record could not be found</v>
      </c>
      <c r="U279" s="25" t="e">
        <f t="shared" si="34"/>
        <v>#DIV/0!</v>
      </c>
      <c r="V279" s="12"/>
      <c r="W279" s="25" t="e">
        <f t="shared" si="35"/>
        <v>#DIV/0!</v>
      </c>
      <c r="X279" s="14" t="str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Market code not found in bond conventions table</v>
      </c>
      <c r="Y279" s="14" t="str">
        <v>Market code not found in bond conventions table</v>
      </c>
      <c r="Z279" s="14" t="str">
        <v>Market code not found in bond conventions table</v>
      </c>
      <c r="AA279" s="14" t="str">
        <v>Market code not found in bond conventions table</v>
      </c>
      <c r="AB279" s="14" t="str">
        <v>Market code not found in bond conventions table</v>
      </c>
      <c r="AC279" s="14" t="str">
        <v>Market code not found in bond conventions table</v>
      </c>
      <c r="AD279" s="34" t="str">
        <v>Market code not found in bond conventions table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46" t="str">
        <v>Market code not found in bond conventions table</v>
      </c>
      <c r="AL279" s="213" t="e">
        <f>IF(U279&gt;0,_xll.xlBondZSpread(F279,H279,G279,J279,K279,L279,M279,D279,U279,"annual",5)*100,"-")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5" t="str">
        <f>IF($AN$9+(($AL$9-$AM$9))*('DB Basis'!F439/10-'DB Basis'!E439),," ")</f>
        <v xml:space="preserve"> </v>
      </c>
      <c r="AO279" s="648" t="e">
        <f>IF(U279&gt;0,_xll.xlShmImplSwap2(curveName,curveName,D279,G279,,1,8,2,4),"-")</f>
        <v>#DIV/0!</v>
      </c>
      <c r="AP279" s="649" t="str">
        <f t="shared" si="30"/>
        <v>-</v>
      </c>
      <c r="AQ279" s="391" t="str">
        <f t="shared" si="31"/>
        <v>-</v>
      </c>
      <c r="AR279" s="391" t="str">
        <f t="shared" si="32"/>
        <v>-</v>
      </c>
      <c r="AS279" s="393"/>
      <c r="AT279" s="242" t="str">
        <f t="shared" si="33"/>
        <v>-</v>
      </c>
      <c r="AU279" s="701" t="str">
        <f t="shared" si="36"/>
        <v>#ERROR: Invalid ISIN  #ERROR: Invalid ISIN  #ERROR: Invalid ISIN</v>
      </c>
      <c r="AV279" s="717"/>
      <c r="AW279" s="699"/>
      <c r="AX279" s="699"/>
      <c r="AY279" s="699"/>
      <c r="AZ279" s="699"/>
      <c r="BA279" s="699"/>
      <c r="BC279" s="712"/>
      <c r="BE279" s="721">
        <f>_xll.xlDateShiftMonth(BE278,1)</f>
        <v>51345</v>
      </c>
      <c r="BF279" s="722">
        <v>2.8164060491859509E-2</v>
      </c>
    </row>
    <row r="280" spans="1:58">
      <c r="A280" s="10"/>
      <c r="B280" s="11"/>
      <c r="C280" s="12"/>
      <c r="D280" s="735">
        <f>MAX(_xll.xlDateSettle("TARGET",$D$4,2),L280)</f>
        <v>43164</v>
      </c>
      <c r="E280" s="733"/>
      <c r="F280" s="13" t="s">
        <v>2080</v>
      </c>
      <c r="G280" s="35" t="s">
        <v>2080</v>
      </c>
      <c r="H280" s="37" t="s">
        <v>2080</v>
      </c>
      <c r="I280" s="11" t="s">
        <v>2080</v>
      </c>
      <c r="J280" s="11" t="s">
        <v>2080</v>
      </c>
      <c r="K280" s="11" t="s">
        <v>2080</v>
      </c>
      <c r="L280" s="11" t="s">
        <v>2080</v>
      </c>
      <c r="M280" s="12" t="s">
        <v>2080</v>
      </c>
      <c r="N280" s="12" t="s">
        <v>2080</v>
      </c>
      <c r="O280" s="12" t="s">
        <v>2080</v>
      </c>
      <c r="P280" s="12" t="s">
        <v>2080</v>
      </c>
      <c r="Q280" s="15" t="s">
        <v>2080</v>
      </c>
      <c r="R280" s="12"/>
      <c r="S280" s="43" t="str">
        <f>_xll.RtGet("IDN",$N280,IF(OR($G280="BTP,$E11=""CTZ"),S$10,S$9))</f>
        <v>#N/A The record could not be found</v>
      </c>
      <c r="T280" s="43" t="str">
        <f>_xll.RtGet("IDN",$N280,IF(OR($G280="BTP,$E11=""CTZ"),T$10,T$9))</f>
        <v>#N/A The record could not be found</v>
      </c>
      <c r="U280" s="25" t="e">
        <f t="shared" si="34"/>
        <v>#DIV/0!</v>
      </c>
      <c r="V280" s="12"/>
      <c r="W280" s="25" t="e">
        <f t="shared" si="35"/>
        <v>#DIV/0!</v>
      </c>
      <c r="X280" s="14" t="str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Market code not found in bond conventions table</v>
      </c>
      <c r="Y280" s="14" t="str">
        <v>Market code not found in bond conventions table</v>
      </c>
      <c r="Z280" s="14" t="str">
        <v>Market code not found in bond conventions table</v>
      </c>
      <c r="AA280" s="14" t="str">
        <v>Market code not found in bond conventions table</v>
      </c>
      <c r="AB280" s="14" t="str">
        <v>Market code not found in bond conventions table</v>
      </c>
      <c r="AC280" s="14" t="str">
        <v>Market code not found in bond conventions table</v>
      </c>
      <c r="AD280" s="34" t="str">
        <v>Market code not found in bond conventions table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46" t="str">
        <v>Market code not found in bond conventions table</v>
      </c>
      <c r="AL280" s="213" t="e">
        <f>IF(U280&gt;0,_xll.xlBondZSpread(F280,H280,G280,J280,K280,L280,M280,D280,U280,"annual",5)*100,"-")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5" t="str">
        <f>IF($AN$9+(($AL$9-$AM$9))*('DB Basis'!F440/10-'DB Basis'!E440),," ")</f>
        <v xml:space="preserve"> </v>
      </c>
      <c r="AO280" s="648" t="e">
        <f>IF(U280&gt;0,_xll.xlShmImplSwap2(curveName,curveName,D280,G280,,1,8,2,4),"-")</f>
        <v>#DIV/0!</v>
      </c>
      <c r="AP280" s="649" t="str">
        <f t="shared" si="30"/>
        <v>-</v>
      </c>
      <c r="AQ280" s="391" t="str">
        <f t="shared" si="31"/>
        <v>-</v>
      </c>
      <c r="AR280" s="391" t="str">
        <f t="shared" si="32"/>
        <v>-</v>
      </c>
      <c r="AS280" s="393"/>
      <c r="AT280" s="242" t="str">
        <f t="shared" si="33"/>
        <v>-</v>
      </c>
      <c r="AU280" s="701" t="str">
        <f t="shared" si="36"/>
        <v>#ERROR: Invalid ISIN  #ERROR: Invalid ISIN  #ERROR: Invalid ISIN</v>
      </c>
      <c r="AV280" s="717"/>
      <c r="AW280" s="699"/>
      <c r="AX280" s="699"/>
      <c r="AY280" s="699"/>
      <c r="AZ280" s="699"/>
      <c r="BA280" s="699"/>
      <c r="BC280" s="712"/>
      <c r="BE280" s="721">
        <f>_xll.xlDateShiftMonth(BE279,1)</f>
        <v>51376</v>
      </c>
      <c r="BF280" s="722">
        <v>2.8194987860218707E-2</v>
      </c>
    </row>
    <row r="281" spans="1:58">
      <c r="A281" s="10"/>
      <c r="B281" s="11"/>
      <c r="C281" s="12"/>
      <c r="D281" s="735">
        <f>MAX(_xll.xlDateSettle("TARGET",$D$4,2),L281)</f>
        <v>43164</v>
      </c>
      <c r="E281" s="733"/>
      <c r="F281" s="13" t="s">
        <v>2080</v>
      </c>
      <c r="G281" s="35" t="s">
        <v>2080</v>
      </c>
      <c r="H281" s="37" t="s">
        <v>2080</v>
      </c>
      <c r="I281" s="11" t="s">
        <v>2080</v>
      </c>
      <c r="J281" s="11" t="s">
        <v>2080</v>
      </c>
      <c r="K281" s="11" t="s">
        <v>2080</v>
      </c>
      <c r="L281" s="11" t="s">
        <v>2080</v>
      </c>
      <c r="M281" s="12" t="s">
        <v>2080</v>
      </c>
      <c r="N281" s="12" t="s">
        <v>2080</v>
      </c>
      <c r="O281" s="12" t="s">
        <v>2080</v>
      </c>
      <c r="P281" s="12" t="s">
        <v>2080</v>
      </c>
      <c r="Q281" s="15" t="s">
        <v>2080</v>
      </c>
      <c r="R281" s="12"/>
      <c r="S281" s="43" t="str">
        <f>_xll.RtGet("IDN",$N281,IF(OR($G281="BTP,$E11=""CTZ"),S$10,S$9))</f>
        <v>#N/A The record could not be found</v>
      </c>
      <c r="T281" s="43" t="str">
        <f>_xll.RtGet("IDN",$N281,IF(OR($G281="BTP,$E11=""CTZ"),T$10,T$9))</f>
        <v>#N/A The record could not be found</v>
      </c>
      <c r="U281" s="25" t="e">
        <f t="shared" si="34"/>
        <v>#DIV/0!</v>
      </c>
      <c r="V281" s="12"/>
      <c r="W281" s="25" t="e">
        <f t="shared" si="35"/>
        <v>#DIV/0!</v>
      </c>
      <c r="X281" s="14" t="str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Market code not found in bond conventions table</v>
      </c>
      <c r="Y281" s="14" t="str">
        <v>Market code not found in bond conventions table</v>
      </c>
      <c r="Z281" s="14" t="str">
        <v>Market code not found in bond conventions table</v>
      </c>
      <c r="AA281" s="14" t="str">
        <v>Market code not found in bond conventions table</v>
      </c>
      <c r="AB281" s="14" t="str">
        <v>Market code not found in bond conventions table</v>
      </c>
      <c r="AC281" s="14" t="str">
        <v>Market code not found in bond conventions table</v>
      </c>
      <c r="AD281" s="34" t="str">
        <v>Market code not found in bond conventions table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46" t="str">
        <v>Market code not found in bond conventions table</v>
      </c>
      <c r="AL281" s="213" t="e">
        <f>IF(U281&gt;0,_xll.xlBondZSpread(F281,H281,G281,J281,K281,L281,M281,D281,U281,"annual",5)*100,"-")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5" t="str">
        <f>IF($AN$9+(($AL$9-$AM$9))*('DB Basis'!F441/10-'DB Basis'!E441),," ")</f>
        <v xml:space="preserve"> </v>
      </c>
      <c r="AO281" s="648" t="e">
        <f>IF(U281&gt;0,_xll.xlShmImplSwap2(curveName,curveName,D281,G281,,1,8,2,4),"-")</f>
        <v>#DIV/0!</v>
      </c>
      <c r="AP281" s="649" t="str">
        <f t="shared" si="30"/>
        <v>-</v>
      </c>
      <c r="AQ281" s="391" t="str">
        <f t="shared" si="31"/>
        <v>-</v>
      </c>
      <c r="AR281" s="391" t="str">
        <f t="shared" si="32"/>
        <v>-</v>
      </c>
      <c r="AS281" s="393"/>
      <c r="AT281" s="242" t="str">
        <f t="shared" si="33"/>
        <v>-</v>
      </c>
      <c r="AU281" s="701" t="str">
        <f t="shared" si="36"/>
        <v>#ERROR: Invalid ISIN  #ERROR: Invalid ISIN  #ERROR: Invalid ISIN</v>
      </c>
      <c r="AV281" s="717"/>
      <c r="AW281" s="699"/>
      <c r="AX281" s="699"/>
      <c r="AY281" s="699"/>
      <c r="AZ281" s="699"/>
      <c r="BA281" s="699"/>
      <c r="BC281" s="712"/>
      <c r="BE281" s="721">
        <f>_xll.xlDateShiftMonth(BE280,1)</f>
        <v>51407</v>
      </c>
      <c r="BF281" s="722">
        <v>2.8225871836772262E-2</v>
      </c>
    </row>
    <row r="282" spans="1:58">
      <c r="A282" s="10"/>
      <c r="B282" s="11"/>
      <c r="C282" s="12"/>
      <c r="D282" s="735">
        <f>MAX(_xll.xlDateSettle("TARGET",$D$4,2),L282)</f>
        <v>43164</v>
      </c>
      <c r="E282" s="733"/>
      <c r="F282" s="13" t="s">
        <v>2080</v>
      </c>
      <c r="G282" s="35" t="s">
        <v>2080</v>
      </c>
      <c r="H282" s="37" t="s">
        <v>2080</v>
      </c>
      <c r="I282" s="11" t="s">
        <v>2080</v>
      </c>
      <c r="J282" s="11" t="s">
        <v>2080</v>
      </c>
      <c r="K282" s="11" t="s">
        <v>2080</v>
      </c>
      <c r="L282" s="11" t="s">
        <v>2080</v>
      </c>
      <c r="M282" s="12" t="s">
        <v>2080</v>
      </c>
      <c r="N282" s="12" t="s">
        <v>2080</v>
      </c>
      <c r="O282" s="12" t="s">
        <v>2080</v>
      </c>
      <c r="P282" s="12" t="s">
        <v>2080</v>
      </c>
      <c r="Q282" s="15" t="s">
        <v>2080</v>
      </c>
      <c r="R282" s="12"/>
      <c r="S282" s="43" t="str">
        <f>_xll.RtGet("IDN",$N282,IF(OR($G282="BTP,$E11=""CTZ"),S$10,S$9))</f>
        <v>#N/A The record could not be found</v>
      </c>
      <c r="T282" s="43" t="str">
        <f>_xll.RtGet("IDN",$N282,IF(OR($G282="BTP,$E11=""CTZ"),T$10,T$9))</f>
        <v>#N/A The record could not be found</v>
      </c>
      <c r="U282" s="25" t="e">
        <f t="shared" si="34"/>
        <v>#DIV/0!</v>
      </c>
      <c r="V282" s="12"/>
      <c r="W282" s="25" t="e">
        <f t="shared" si="35"/>
        <v>#DIV/0!</v>
      </c>
      <c r="X282" s="14" t="str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Market code not found in bond conventions table</v>
      </c>
      <c r="Y282" s="14" t="str">
        <v>Market code not found in bond conventions table</v>
      </c>
      <c r="Z282" s="14" t="str">
        <v>Market code not found in bond conventions table</v>
      </c>
      <c r="AA282" s="14" t="str">
        <v>Market code not found in bond conventions table</v>
      </c>
      <c r="AB282" s="14" t="str">
        <v>Market code not found in bond conventions table</v>
      </c>
      <c r="AC282" s="14" t="str">
        <v>Market code not found in bond conventions table</v>
      </c>
      <c r="AD282" s="34" t="str">
        <v>Market code not found in bond conventions table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46" t="str">
        <v>Market code not found in bond conventions table</v>
      </c>
      <c r="AL282" s="213" t="e">
        <f>IF(U282&gt;0,_xll.xlBondZSpread(F282,H282,G282,J282,K282,L282,M282,D282,U282,"annual",5)*100,"-")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5" t="str">
        <f>IF($AN$9+(($AL$9-$AM$9))*('DB Basis'!F442/10-'DB Basis'!E442),," ")</f>
        <v xml:space="preserve"> </v>
      </c>
      <c r="AO282" s="648" t="e">
        <f>IF(U282&gt;0,_xll.xlShmImplSwap2(curveName,curveName,D282,G282,,1,8,2,4),"-")</f>
        <v>#DIV/0!</v>
      </c>
      <c r="AP282" s="649" t="str">
        <f t="shared" si="30"/>
        <v>-</v>
      </c>
      <c r="AQ282" s="391" t="str">
        <f t="shared" si="31"/>
        <v>-</v>
      </c>
      <c r="AR282" s="391" t="str">
        <f t="shared" si="32"/>
        <v>-</v>
      </c>
      <c r="AS282" s="393"/>
      <c r="AT282" s="242" t="str">
        <f t="shared" si="33"/>
        <v>-</v>
      </c>
      <c r="AU282" s="701" t="str">
        <f t="shared" si="36"/>
        <v>#ERROR: Invalid ISIN  #ERROR: Invalid ISIN  #ERROR: Invalid ISIN</v>
      </c>
      <c r="AV282" s="717"/>
      <c r="AW282" s="699"/>
      <c r="AX282" s="699"/>
      <c r="AY282" s="699"/>
      <c r="AZ282" s="699"/>
      <c r="BA282" s="699"/>
      <c r="BC282" s="712"/>
      <c r="BE282" s="721">
        <f>_xll.xlDateShiftMonth(BE281,1)</f>
        <v>51437</v>
      </c>
      <c r="BF282" s="722">
        <v>2.825571870330568E-2</v>
      </c>
    </row>
    <row r="283" spans="1:58">
      <c r="A283" s="10"/>
      <c r="B283" s="11"/>
      <c r="C283" s="12"/>
      <c r="D283" s="735">
        <f>MAX(_xll.xlDateSettle("TARGET",$D$4,2),L283)</f>
        <v>43164</v>
      </c>
      <c r="E283" s="733"/>
      <c r="F283" s="13" t="s">
        <v>2080</v>
      </c>
      <c r="G283" s="35" t="s">
        <v>2080</v>
      </c>
      <c r="H283" s="37" t="s">
        <v>2080</v>
      </c>
      <c r="I283" s="11" t="s">
        <v>2080</v>
      </c>
      <c r="J283" s="11" t="s">
        <v>2080</v>
      </c>
      <c r="K283" s="11" t="s">
        <v>2080</v>
      </c>
      <c r="L283" s="11" t="s">
        <v>2080</v>
      </c>
      <c r="M283" s="12" t="s">
        <v>2080</v>
      </c>
      <c r="N283" s="12" t="s">
        <v>2080</v>
      </c>
      <c r="O283" s="12" t="s">
        <v>2080</v>
      </c>
      <c r="P283" s="12" t="s">
        <v>2080</v>
      </c>
      <c r="Q283" s="15" t="s">
        <v>2080</v>
      </c>
      <c r="R283" s="12"/>
      <c r="S283" s="43" t="str">
        <f>_xll.RtGet("IDN",$N283,IF(OR($G283="BTP,$E11=""CTZ"),S$10,S$9))</f>
        <v>#N/A The record could not be found</v>
      </c>
      <c r="T283" s="43" t="str">
        <f>_xll.RtGet("IDN",$N283,IF(OR($G283="BTP,$E11=""CTZ"),T$10,T$9))</f>
        <v>#N/A The record could not be found</v>
      </c>
      <c r="U283" s="25" t="e">
        <f t="shared" si="34"/>
        <v>#DIV/0!</v>
      </c>
      <c r="V283" s="12"/>
      <c r="W283" s="25" t="e">
        <f t="shared" si="35"/>
        <v>#DIV/0!</v>
      </c>
      <c r="X283" s="14" t="str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Market code not found in bond conventions table</v>
      </c>
      <c r="Y283" s="14" t="str">
        <v>Market code not found in bond conventions table</v>
      </c>
      <c r="Z283" s="14" t="str">
        <v>Market code not found in bond conventions table</v>
      </c>
      <c r="AA283" s="14" t="str">
        <v>Market code not found in bond conventions table</v>
      </c>
      <c r="AB283" s="14" t="str">
        <v>Market code not found in bond conventions table</v>
      </c>
      <c r="AC283" s="14" t="str">
        <v>Market code not found in bond conventions table</v>
      </c>
      <c r="AD283" s="34" t="str">
        <v>Market code not found in bond conventions table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46" t="str">
        <v>Market code not found in bond conventions table</v>
      </c>
      <c r="AL283" s="213" t="e">
        <f>IF(U283&gt;0,_xll.xlBondZSpread(F283,H283,G283,J283,K283,L283,M283,D283,U283,"annual",5)*100,"-")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5" t="str">
        <f>IF($AN$9+(($AL$9-$AM$9))*('DB Basis'!F443/10-'DB Basis'!E443),," ")</f>
        <v xml:space="preserve"> </v>
      </c>
      <c r="AO283" s="648" t="e">
        <f>IF(U283&gt;0,_xll.xlShmImplSwap2(curveName,curveName,D283,G283,,1,8,2,4),"-")</f>
        <v>#DIV/0!</v>
      </c>
      <c r="AP283" s="649" t="str">
        <f t="shared" si="30"/>
        <v>-</v>
      </c>
      <c r="AQ283" s="391" t="str">
        <f t="shared" si="31"/>
        <v>-</v>
      </c>
      <c r="AR283" s="391" t="str">
        <f t="shared" si="32"/>
        <v>-</v>
      </c>
      <c r="AS283" s="393"/>
      <c r="AT283" s="242" t="str">
        <f t="shared" si="33"/>
        <v>-</v>
      </c>
      <c r="AU283" s="701" t="str">
        <f t="shared" si="36"/>
        <v>#ERROR: Invalid ISIN  #ERROR: Invalid ISIN  #ERROR: Invalid ISIN</v>
      </c>
      <c r="AV283" s="717"/>
      <c r="AW283" s="699"/>
      <c r="AX283" s="699"/>
      <c r="AY283" s="699"/>
      <c r="AZ283" s="699"/>
      <c r="BA283" s="699"/>
      <c r="BC283" s="712"/>
      <c r="BE283" s="721">
        <f>_xll.xlDateShiftMonth(BE282,1)</f>
        <v>51468</v>
      </c>
      <c r="BF283" s="722">
        <v>2.8286518728389984E-2</v>
      </c>
    </row>
    <row r="284" spans="1:58">
      <c r="A284" s="10"/>
      <c r="B284" s="11"/>
      <c r="C284" s="12"/>
      <c r="D284" s="735">
        <f>MAX(_xll.xlDateSettle("TARGET",$D$4,2),L284)</f>
        <v>43164</v>
      </c>
      <c r="E284" s="733"/>
      <c r="F284" s="13" t="s">
        <v>2080</v>
      </c>
      <c r="G284" s="35" t="s">
        <v>2080</v>
      </c>
      <c r="H284" s="37" t="s">
        <v>2080</v>
      </c>
      <c r="I284" s="11" t="s">
        <v>2080</v>
      </c>
      <c r="J284" s="11" t="s">
        <v>2080</v>
      </c>
      <c r="K284" s="11" t="s">
        <v>2080</v>
      </c>
      <c r="L284" s="11" t="s">
        <v>2080</v>
      </c>
      <c r="M284" s="12" t="s">
        <v>2080</v>
      </c>
      <c r="N284" s="12" t="s">
        <v>2080</v>
      </c>
      <c r="O284" s="12" t="s">
        <v>2080</v>
      </c>
      <c r="P284" s="12" t="s">
        <v>2080</v>
      </c>
      <c r="Q284" s="15" t="s">
        <v>2080</v>
      </c>
      <c r="R284" s="12"/>
      <c r="S284" s="43" t="str">
        <f>_xll.RtGet("IDN",$N284,IF(OR($G284="BTP,$E11=""CTZ"),S$10,S$9))</f>
        <v>#N/A The record could not be found</v>
      </c>
      <c r="T284" s="43" t="str">
        <f>_xll.RtGet("IDN",$N284,IF(OR($G284="BTP,$E11=""CTZ"),T$10,T$9))</f>
        <v>#N/A The record could not be found</v>
      </c>
      <c r="U284" s="25" t="e">
        <f t="shared" si="34"/>
        <v>#DIV/0!</v>
      </c>
      <c r="V284" s="12"/>
      <c r="W284" s="25" t="e">
        <f t="shared" si="35"/>
        <v>#DIV/0!</v>
      </c>
      <c r="X284" s="14" t="str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Market code not found in bond conventions table</v>
      </c>
      <c r="Y284" s="14" t="str">
        <v>Market code not found in bond conventions table</v>
      </c>
      <c r="Z284" s="14" t="str">
        <v>Market code not found in bond conventions table</v>
      </c>
      <c r="AA284" s="14" t="str">
        <v>Market code not found in bond conventions table</v>
      </c>
      <c r="AB284" s="14" t="str">
        <v>Market code not found in bond conventions table</v>
      </c>
      <c r="AC284" s="14" t="str">
        <v>Market code not found in bond conventions table</v>
      </c>
      <c r="AD284" s="34" t="str">
        <v>Market code not found in bond conventions table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46" t="str">
        <v>Market code not found in bond conventions table</v>
      </c>
      <c r="AL284" s="213" t="e">
        <f>IF(U284&gt;0,_xll.xlBondZSpread(F284,H284,G284,J284,K284,L284,M284,D284,U284,"annual",5)*100,"-")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5" t="str">
        <f>IF($AN$9+(($AL$9-$AM$9))*('DB Basis'!F444/10-'DB Basis'!E444),," ")</f>
        <v xml:space="preserve"> </v>
      </c>
      <c r="AO284" s="648" t="e">
        <f>IF(U284&gt;0,_xll.xlShmImplSwap2(curveName,curveName,D284,G284,,1,8,2,4),"-")</f>
        <v>#DIV/0!</v>
      </c>
      <c r="AP284" s="649" t="str">
        <f t="shared" si="30"/>
        <v>-</v>
      </c>
      <c r="AQ284" s="391" t="str">
        <f t="shared" si="31"/>
        <v>-</v>
      </c>
      <c r="AR284" s="391" t="str">
        <f t="shared" si="32"/>
        <v>-</v>
      </c>
      <c r="AS284" s="393"/>
      <c r="AT284" s="242" t="str">
        <f t="shared" si="33"/>
        <v>-</v>
      </c>
      <c r="AU284" s="701" t="str">
        <f t="shared" si="36"/>
        <v>#ERROR: Invalid ISIN  #ERROR: Invalid ISIN  #ERROR: Invalid ISIN</v>
      </c>
      <c r="AV284" s="717"/>
      <c r="AW284" s="699"/>
      <c r="AX284" s="699"/>
      <c r="AY284" s="699"/>
      <c r="AZ284" s="699"/>
      <c r="BA284" s="699"/>
      <c r="BC284" s="712"/>
      <c r="BE284" s="721">
        <f>_xll.xlDateShiftMonth(BE283,1)</f>
        <v>51498</v>
      </c>
      <c r="BF284" s="722">
        <v>2.8316285270676745E-2</v>
      </c>
    </row>
    <row r="285" spans="1:58">
      <c r="A285" s="10"/>
      <c r="B285" s="11"/>
      <c r="C285" s="12"/>
      <c r="D285" s="735">
        <f>MAX(_xll.xlDateSettle("TARGET",$D$4,2),L285)</f>
        <v>43164</v>
      </c>
      <c r="E285" s="733"/>
      <c r="F285" s="13" t="s">
        <v>2080</v>
      </c>
      <c r="G285" s="35" t="s">
        <v>2080</v>
      </c>
      <c r="H285" s="37" t="s">
        <v>2080</v>
      </c>
      <c r="I285" s="11" t="s">
        <v>2080</v>
      </c>
      <c r="J285" s="11" t="s">
        <v>2080</v>
      </c>
      <c r="K285" s="11" t="s">
        <v>2080</v>
      </c>
      <c r="L285" s="11" t="s">
        <v>2080</v>
      </c>
      <c r="M285" s="12" t="s">
        <v>2080</v>
      </c>
      <c r="N285" s="12" t="s">
        <v>2080</v>
      </c>
      <c r="O285" s="12" t="s">
        <v>2080</v>
      </c>
      <c r="P285" s="12" t="s">
        <v>2080</v>
      </c>
      <c r="Q285" s="15" t="s">
        <v>2080</v>
      </c>
      <c r="R285" s="12"/>
      <c r="S285" s="43" t="str">
        <f>_xll.RtGet("IDN",$N285,IF(OR($G285="BTP,$E11=""CTZ"),S$10,S$9))</f>
        <v>#N/A The record could not be found</v>
      </c>
      <c r="T285" s="43" t="str">
        <f>_xll.RtGet("IDN",$N285,IF(OR($G285="BTP,$E11=""CTZ"),T$10,T$9))</f>
        <v>#N/A The record could not be found</v>
      </c>
      <c r="U285" s="25" t="e">
        <f t="shared" si="34"/>
        <v>#DIV/0!</v>
      </c>
      <c r="V285" s="12"/>
      <c r="W285" s="25" t="e">
        <f t="shared" si="35"/>
        <v>#DIV/0!</v>
      </c>
      <c r="X285" s="14" t="str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Market code not found in bond conventions table</v>
      </c>
      <c r="Y285" s="14" t="str">
        <v>Market code not found in bond conventions table</v>
      </c>
      <c r="Z285" s="14" t="str">
        <v>Market code not found in bond conventions table</v>
      </c>
      <c r="AA285" s="14" t="str">
        <v>Market code not found in bond conventions table</v>
      </c>
      <c r="AB285" s="14" t="str">
        <v>Market code not found in bond conventions table</v>
      </c>
      <c r="AC285" s="14" t="str">
        <v>Market code not found in bond conventions table</v>
      </c>
      <c r="AD285" s="34" t="str">
        <v>Market code not found in bond conventions table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46" t="str">
        <v>Market code not found in bond conventions table</v>
      </c>
      <c r="AL285" s="213" t="e">
        <f>IF(U285&gt;0,_xll.xlBondZSpread(F285,H285,G285,J285,K285,L285,M285,D285,U285,"annual",5)*100,"-")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5" t="str">
        <f>IF($AN$9+(($AL$9-$AM$9))*('DB Basis'!F445/10-'DB Basis'!E445),," ")</f>
        <v xml:space="preserve"> </v>
      </c>
      <c r="AO285" s="648" t="e">
        <f>IF(U285&gt;0,_xll.xlShmImplSwap2(curveName,curveName,D285,G285,,1,8,2,4),"-")</f>
        <v>#DIV/0!</v>
      </c>
      <c r="AP285" s="649" t="str">
        <f t="shared" si="30"/>
        <v>-</v>
      </c>
      <c r="AQ285" s="391" t="str">
        <f t="shared" si="31"/>
        <v>-</v>
      </c>
      <c r="AR285" s="391" t="str">
        <f t="shared" si="32"/>
        <v>-</v>
      </c>
      <c r="AS285" s="393"/>
      <c r="AT285" s="242" t="str">
        <f t="shared" si="33"/>
        <v>-</v>
      </c>
      <c r="AU285" s="701" t="str">
        <f t="shared" si="36"/>
        <v>#ERROR: Invalid ISIN  #ERROR: Invalid ISIN  #ERROR: Invalid ISIN</v>
      </c>
      <c r="AV285" s="717"/>
      <c r="AW285" s="699"/>
      <c r="AX285" s="699"/>
      <c r="AY285" s="699"/>
      <c r="AZ285" s="699"/>
      <c r="BA285" s="699"/>
      <c r="BC285" s="712"/>
      <c r="BE285" s="721">
        <f>_xll.xlDateShiftMonth(BE284,1)</f>
        <v>51529</v>
      </c>
      <c r="BF285" s="722">
        <v>2.8347003243787205E-2</v>
      </c>
    </row>
    <row r="286" spans="1:58">
      <c r="A286" s="10"/>
      <c r="B286" s="11"/>
      <c r="C286" s="12"/>
      <c r="D286" s="735">
        <f>MAX(_xll.xlDateSettle("TARGET",$D$4,2),L286)</f>
        <v>43164</v>
      </c>
      <c r="E286" s="733"/>
      <c r="F286" s="13" t="s">
        <v>2080</v>
      </c>
      <c r="G286" s="35" t="s">
        <v>2080</v>
      </c>
      <c r="H286" s="37" t="s">
        <v>2080</v>
      </c>
      <c r="I286" s="11" t="s">
        <v>2080</v>
      </c>
      <c r="J286" s="11" t="s">
        <v>2080</v>
      </c>
      <c r="K286" s="11" t="s">
        <v>2080</v>
      </c>
      <c r="L286" s="11" t="s">
        <v>2080</v>
      </c>
      <c r="M286" s="12" t="s">
        <v>2080</v>
      </c>
      <c r="N286" s="12" t="s">
        <v>2080</v>
      </c>
      <c r="O286" s="12" t="s">
        <v>2080</v>
      </c>
      <c r="P286" s="12" t="s">
        <v>2080</v>
      </c>
      <c r="Q286" s="15" t="s">
        <v>2080</v>
      </c>
      <c r="R286" s="12"/>
      <c r="S286" s="43" t="str">
        <f>_xll.RtGet("IDN",$N286,IF(OR($G286="BTP,$E11=""CTZ"),S$10,S$9))</f>
        <v>#N/A The record could not be found</v>
      </c>
      <c r="T286" s="43" t="str">
        <f>_xll.RtGet("IDN",$N286,IF(OR($G286="BTP,$E11=""CTZ"),T$10,T$9))</f>
        <v>#N/A The record could not be found</v>
      </c>
      <c r="U286" s="25" t="e">
        <f t="shared" si="34"/>
        <v>#DIV/0!</v>
      </c>
      <c r="V286" s="12"/>
      <c r="W286" s="25" t="e">
        <f t="shared" si="35"/>
        <v>#DIV/0!</v>
      </c>
      <c r="X286" s="14" t="str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Market code not found in bond conventions table</v>
      </c>
      <c r="Y286" s="14" t="str">
        <v>Market code not found in bond conventions table</v>
      </c>
      <c r="Z286" s="14" t="str">
        <v>Market code not found in bond conventions table</v>
      </c>
      <c r="AA286" s="14" t="str">
        <v>Market code not found in bond conventions table</v>
      </c>
      <c r="AB286" s="14" t="str">
        <v>Market code not found in bond conventions table</v>
      </c>
      <c r="AC286" s="14" t="str">
        <v>Market code not found in bond conventions table</v>
      </c>
      <c r="AD286" s="34" t="str">
        <v>Market code not found in bond conventions table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46" t="str">
        <v>Market code not found in bond conventions table</v>
      </c>
      <c r="AL286" s="213" t="e">
        <f>IF(U286&gt;0,_xll.xlBondZSpread(F286,H286,G286,J286,K286,L286,M286,D286,U286,"annual",5)*100,"-")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5" t="str">
        <f>IF($AN$9+(($AL$9-$AM$9))*('DB Basis'!F446/10-'DB Basis'!E446),," ")</f>
        <v xml:space="preserve"> </v>
      </c>
      <c r="AO286" s="648" t="e">
        <f>IF(U286&gt;0,_xll.xlShmImplSwap2(curveName,curveName,D286,G286,,1,8,2,4),"-")</f>
        <v>#DIV/0!</v>
      </c>
      <c r="AP286" s="649" t="str">
        <f t="shared" si="30"/>
        <v>-</v>
      </c>
      <c r="AQ286" s="391" t="str">
        <f t="shared" si="31"/>
        <v>-</v>
      </c>
      <c r="AR286" s="391" t="str">
        <f t="shared" si="32"/>
        <v>-</v>
      </c>
      <c r="AS286" s="393"/>
      <c r="AT286" s="242" t="str">
        <f t="shared" si="33"/>
        <v>-</v>
      </c>
      <c r="AU286" s="701" t="str">
        <f t="shared" si="36"/>
        <v>#ERROR: Invalid ISIN  #ERROR: Invalid ISIN  #ERROR: Invalid ISIN</v>
      </c>
      <c r="AV286" s="717"/>
      <c r="AW286" s="699"/>
      <c r="AX286" s="699"/>
      <c r="AY286" s="699"/>
      <c r="AZ286" s="699"/>
      <c r="BA286" s="699"/>
      <c r="BC286" s="712"/>
      <c r="BE286" s="721">
        <f>_xll.xlDateShiftMonth(BE285,1)</f>
        <v>51560</v>
      </c>
      <c r="BF286" s="722">
        <v>2.8377680246297804E-2</v>
      </c>
    </row>
    <row r="287" spans="1:58">
      <c r="A287" s="10"/>
      <c r="B287" s="11"/>
      <c r="C287" s="12"/>
      <c r="D287" s="735">
        <f>MAX(_xll.xlDateSettle("TARGET",$D$4,2),L287)</f>
        <v>43164</v>
      </c>
      <c r="E287" s="733"/>
      <c r="F287" s="13" t="s">
        <v>2080</v>
      </c>
      <c r="G287" s="35" t="s">
        <v>2080</v>
      </c>
      <c r="H287" s="37" t="s">
        <v>2080</v>
      </c>
      <c r="I287" s="11" t="s">
        <v>2080</v>
      </c>
      <c r="J287" s="11" t="s">
        <v>2080</v>
      </c>
      <c r="K287" s="11" t="s">
        <v>2080</v>
      </c>
      <c r="L287" s="11" t="s">
        <v>2080</v>
      </c>
      <c r="M287" s="12" t="s">
        <v>2080</v>
      </c>
      <c r="N287" s="12" t="s">
        <v>2080</v>
      </c>
      <c r="O287" s="12" t="s">
        <v>2080</v>
      </c>
      <c r="P287" s="12" t="s">
        <v>2080</v>
      </c>
      <c r="Q287" s="15" t="s">
        <v>2080</v>
      </c>
      <c r="R287" s="12"/>
      <c r="S287" s="43" t="str">
        <f>_xll.RtGet("IDN",$N287,IF(OR($G287="BTP,$E11=""CTZ"),S$10,S$9))</f>
        <v>#N/A The record could not be found</v>
      </c>
      <c r="T287" s="43" t="str">
        <f>_xll.RtGet("IDN",$N287,IF(OR($G287="BTP,$E11=""CTZ"),T$10,T$9))</f>
        <v>#N/A The record could not be found</v>
      </c>
      <c r="U287" s="25" t="e">
        <f t="shared" si="34"/>
        <v>#DIV/0!</v>
      </c>
      <c r="V287" s="12"/>
      <c r="W287" s="25" t="e">
        <f t="shared" si="35"/>
        <v>#DIV/0!</v>
      </c>
      <c r="X287" s="14" t="str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Market code not found in bond conventions table</v>
      </c>
      <c r="Y287" s="14" t="str">
        <v>Market code not found in bond conventions table</v>
      </c>
      <c r="Z287" s="14" t="str">
        <v>Market code not found in bond conventions table</v>
      </c>
      <c r="AA287" s="14" t="str">
        <v>Market code not found in bond conventions table</v>
      </c>
      <c r="AB287" s="14" t="str">
        <v>Market code not found in bond conventions table</v>
      </c>
      <c r="AC287" s="14" t="str">
        <v>Market code not found in bond conventions table</v>
      </c>
      <c r="AD287" s="34" t="str">
        <v>Market code not found in bond conventions table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46" t="str">
        <v>Market code not found in bond conventions table</v>
      </c>
      <c r="AL287" s="213" t="e">
        <f>IF(U287&gt;0,_xll.xlBondZSpread(F287,H287,G287,J287,K287,L287,M287,D287,U287,"annual",5)*100,"-")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5" t="str">
        <f>IF($AN$9+(($AL$9-$AM$9))*('DB Basis'!F447/10-'DB Basis'!E447),," ")</f>
        <v xml:space="preserve"> </v>
      </c>
      <c r="AO287" s="648" t="e">
        <f>IF(U287&gt;0,_xll.xlShmImplSwap2(curveName,curveName,D287,G287,,1,8,2,4),"-")</f>
        <v>#DIV/0!</v>
      </c>
      <c r="AP287" s="649" t="str">
        <f t="shared" si="30"/>
        <v>-</v>
      </c>
      <c r="AQ287" s="391" t="str">
        <f t="shared" si="31"/>
        <v>-</v>
      </c>
      <c r="AR287" s="391" t="str">
        <f t="shared" si="32"/>
        <v>-</v>
      </c>
      <c r="AS287" s="393"/>
      <c r="AT287" s="242" t="str">
        <f t="shared" si="33"/>
        <v>-</v>
      </c>
      <c r="AU287" s="701" t="str">
        <f t="shared" si="36"/>
        <v>#ERROR: Invalid ISIN  #ERROR: Invalid ISIN  #ERROR: Invalid ISIN</v>
      </c>
      <c r="AV287" s="717"/>
      <c r="AW287" s="699"/>
      <c r="AX287" s="699"/>
      <c r="AY287" s="699"/>
      <c r="AZ287" s="699"/>
      <c r="BA287" s="699"/>
      <c r="BC287" s="712"/>
      <c r="BE287" s="721">
        <f>_xll.xlDateShiftMonth(BE286,1)</f>
        <v>51588</v>
      </c>
      <c r="BF287" s="722">
        <v>2.8405353699579913E-2</v>
      </c>
    </row>
    <row r="288" spans="1:58">
      <c r="A288" s="10"/>
      <c r="B288" s="11"/>
      <c r="C288" s="12"/>
      <c r="D288" s="735">
        <f>MAX(_xll.xlDateSettle("TARGET",$D$4,2),L288)</f>
        <v>43164</v>
      </c>
      <c r="E288" s="733"/>
      <c r="F288" s="13" t="s">
        <v>2080</v>
      </c>
      <c r="G288" s="35" t="s">
        <v>2080</v>
      </c>
      <c r="H288" s="37" t="s">
        <v>2080</v>
      </c>
      <c r="I288" s="11" t="s">
        <v>2080</v>
      </c>
      <c r="J288" s="11" t="s">
        <v>2080</v>
      </c>
      <c r="K288" s="11" t="s">
        <v>2080</v>
      </c>
      <c r="L288" s="11" t="s">
        <v>2080</v>
      </c>
      <c r="M288" s="12" t="s">
        <v>2080</v>
      </c>
      <c r="N288" s="12" t="s">
        <v>2080</v>
      </c>
      <c r="O288" s="12" t="s">
        <v>2080</v>
      </c>
      <c r="P288" s="12" t="s">
        <v>2080</v>
      </c>
      <c r="Q288" s="15" t="s">
        <v>2080</v>
      </c>
      <c r="R288" s="12"/>
      <c r="S288" s="43" t="str">
        <f>_xll.RtGet("IDN",$N288,IF(OR($G288="BTP,$E11=""CTZ"),S$10,S$9))</f>
        <v>#N/A The record could not be found</v>
      </c>
      <c r="T288" s="43" t="str">
        <f>_xll.RtGet("IDN",$N288,IF(OR($G288="BTP,$E11=""CTZ"),T$10,T$9))</f>
        <v>#N/A The record could not be found</v>
      </c>
      <c r="U288" s="25" t="e">
        <f t="shared" si="34"/>
        <v>#DIV/0!</v>
      </c>
      <c r="V288" s="12"/>
      <c r="W288" s="25" t="e">
        <f t="shared" si="35"/>
        <v>#DIV/0!</v>
      </c>
      <c r="X288" s="14" t="str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Market code not found in bond conventions table</v>
      </c>
      <c r="Y288" s="14" t="str">
        <v>Market code not found in bond conventions table</v>
      </c>
      <c r="Z288" s="14" t="str">
        <v>Market code not found in bond conventions table</v>
      </c>
      <c r="AA288" s="14" t="str">
        <v>Market code not found in bond conventions table</v>
      </c>
      <c r="AB288" s="14" t="str">
        <v>Market code not found in bond conventions table</v>
      </c>
      <c r="AC288" s="14" t="str">
        <v>Market code not found in bond conventions table</v>
      </c>
      <c r="AD288" s="34" t="str">
        <v>Market code not found in bond conventions table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46" t="str">
        <v>Market code not found in bond conventions table</v>
      </c>
      <c r="AL288" s="213" t="e">
        <f>IF(U288&gt;0,_xll.xlBondZSpread(F288,H288,G288,J288,K288,L288,M288,D288,U288,"annual",5)*100,"-")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5" t="str">
        <f>IF($AN$9+(($AL$9-$AM$9))*('DB Basis'!F448/10-'DB Basis'!E448),," ")</f>
        <v xml:space="preserve"> </v>
      </c>
      <c r="AO288" s="648" t="e">
        <f>IF(U288&gt;0,_xll.xlShmImplSwap2(curveName,curveName,D288,G288,,1,8,2,4),"-")</f>
        <v>#DIV/0!</v>
      </c>
      <c r="AP288" s="649" t="str">
        <f t="shared" si="30"/>
        <v>-</v>
      </c>
      <c r="AQ288" s="391" t="str">
        <f t="shared" si="31"/>
        <v>-</v>
      </c>
      <c r="AR288" s="391" t="str">
        <f t="shared" si="32"/>
        <v>-</v>
      </c>
      <c r="AS288" s="393"/>
      <c r="AT288" s="242" t="str">
        <f t="shared" si="33"/>
        <v>-</v>
      </c>
      <c r="AU288" s="701" t="str">
        <f t="shared" si="36"/>
        <v>#ERROR: Invalid ISIN  #ERROR: Invalid ISIN  #ERROR: Invalid ISIN</v>
      </c>
      <c r="AV288" s="717"/>
      <c r="AW288" s="699"/>
      <c r="AX288" s="699"/>
      <c r="AY288" s="699"/>
      <c r="AZ288" s="699"/>
      <c r="BA288" s="699"/>
      <c r="BC288" s="712"/>
      <c r="BE288" s="721">
        <f>_xll.xlDateShiftMonth(BE287,1)</f>
        <v>51619</v>
      </c>
      <c r="BF288" s="722">
        <v>2.8435954081111475E-2</v>
      </c>
    </row>
    <row r="289" spans="1:58">
      <c r="A289" s="10"/>
      <c r="B289" s="11"/>
      <c r="C289" s="12"/>
      <c r="D289" s="735">
        <f>MAX(_xll.xlDateSettle("TARGET",$D$4,2),L289)</f>
        <v>43164</v>
      </c>
      <c r="E289" s="733"/>
      <c r="F289" s="13" t="s">
        <v>2080</v>
      </c>
      <c r="G289" s="35" t="s">
        <v>2080</v>
      </c>
      <c r="H289" s="37" t="s">
        <v>2080</v>
      </c>
      <c r="I289" s="11" t="s">
        <v>2080</v>
      </c>
      <c r="J289" s="11" t="s">
        <v>2080</v>
      </c>
      <c r="K289" s="11" t="s">
        <v>2080</v>
      </c>
      <c r="L289" s="11" t="s">
        <v>2080</v>
      </c>
      <c r="M289" s="12" t="s">
        <v>2080</v>
      </c>
      <c r="N289" s="12" t="s">
        <v>2080</v>
      </c>
      <c r="O289" s="12" t="s">
        <v>2080</v>
      </c>
      <c r="P289" s="12" t="s">
        <v>2080</v>
      </c>
      <c r="Q289" s="15" t="s">
        <v>2080</v>
      </c>
      <c r="R289" s="12"/>
      <c r="S289" s="43" t="str">
        <f>_xll.RtGet("IDN",$N289,IF(OR($G289="BTP,$E11=""CTZ"),S$10,S$9))</f>
        <v>#N/A The record could not be found</v>
      </c>
      <c r="T289" s="43" t="str">
        <f>_xll.RtGet("IDN",$N289,IF(OR($G289="BTP,$E11=""CTZ"),T$10,T$9))</f>
        <v>#N/A The record could not be found</v>
      </c>
      <c r="U289" s="25" t="e">
        <f t="shared" si="34"/>
        <v>#DIV/0!</v>
      </c>
      <c r="V289" s="12"/>
      <c r="W289" s="25" t="e">
        <f t="shared" si="35"/>
        <v>#DIV/0!</v>
      </c>
      <c r="X289" s="14" t="str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Market code not found in bond conventions table</v>
      </c>
      <c r="Y289" s="14" t="str">
        <v>Market code not found in bond conventions table</v>
      </c>
      <c r="Z289" s="14" t="str">
        <v>Market code not found in bond conventions table</v>
      </c>
      <c r="AA289" s="14" t="str">
        <v>Market code not found in bond conventions table</v>
      </c>
      <c r="AB289" s="14" t="str">
        <v>Market code not found in bond conventions table</v>
      </c>
      <c r="AC289" s="14" t="str">
        <v>Market code not found in bond conventions table</v>
      </c>
      <c r="AD289" s="34" t="str">
        <v>Market code not found in bond conventions table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46" t="str">
        <v>Market code not found in bond conventions table</v>
      </c>
      <c r="AL289" s="213" t="e">
        <f>IF(U289&gt;0,_xll.xlBondZSpread(F289,H289,G289,J289,K289,L289,M289,D289,U289,"annual",5)*100,"-")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5" t="str">
        <f>IF($AN$9+(($AL$9-$AM$9))*('DB Basis'!F449/10-'DB Basis'!E449),," ")</f>
        <v xml:space="preserve"> </v>
      </c>
      <c r="AO289" s="648" t="e">
        <f>IF(U289&gt;0,_xll.xlShmImplSwap2(curveName,curveName,D289,G289,,1,8,2,4),"-")</f>
        <v>#DIV/0!</v>
      </c>
      <c r="AP289" s="649" t="str">
        <f t="shared" si="30"/>
        <v>-</v>
      </c>
      <c r="AQ289" s="391" t="str">
        <f t="shared" si="31"/>
        <v>-</v>
      </c>
      <c r="AR289" s="391" t="str">
        <f t="shared" si="32"/>
        <v>-</v>
      </c>
      <c r="AS289" s="393"/>
      <c r="AT289" s="242" t="str">
        <f t="shared" si="33"/>
        <v>-</v>
      </c>
      <c r="AU289" s="701" t="str">
        <f t="shared" si="36"/>
        <v>#ERROR: Invalid ISIN  #ERROR: Invalid ISIN  #ERROR: Invalid ISIN</v>
      </c>
      <c r="AV289" s="717"/>
      <c r="AW289" s="699"/>
      <c r="AX289" s="699"/>
      <c r="AY289" s="699"/>
      <c r="AZ289" s="699"/>
      <c r="BA289" s="699"/>
      <c r="BC289" s="712"/>
      <c r="BE289" s="721">
        <f>_xll.xlDateShiftMonth(BE288,1)</f>
        <v>51649</v>
      </c>
      <c r="BF289" s="722">
        <v>2.846552969513572E-2</v>
      </c>
    </row>
    <row r="290" spans="1:58">
      <c r="A290" s="10"/>
      <c r="B290" s="11"/>
      <c r="C290" s="12"/>
      <c r="D290" s="735">
        <f>MAX(_xll.xlDateSettle("TARGET",$D$4,2),L290)</f>
        <v>43164</v>
      </c>
      <c r="E290" s="733"/>
      <c r="F290" s="13" t="s">
        <v>2080</v>
      </c>
      <c r="G290" s="35" t="s">
        <v>2080</v>
      </c>
      <c r="H290" s="37" t="s">
        <v>2080</v>
      </c>
      <c r="I290" s="11" t="s">
        <v>2080</v>
      </c>
      <c r="J290" s="11" t="s">
        <v>2080</v>
      </c>
      <c r="K290" s="11" t="s">
        <v>2080</v>
      </c>
      <c r="L290" s="11" t="s">
        <v>2080</v>
      </c>
      <c r="M290" s="12" t="s">
        <v>2080</v>
      </c>
      <c r="N290" s="12" t="s">
        <v>2080</v>
      </c>
      <c r="O290" s="12" t="s">
        <v>2080</v>
      </c>
      <c r="P290" s="12" t="s">
        <v>2080</v>
      </c>
      <c r="Q290" s="15" t="s">
        <v>2080</v>
      </c>
      <c r="R290" s="12"/>
      <c r="S290" s="43" t="str">
        <f>_xll.RtGet("IDN",$N290,IF(OR($G290="BTP,$E11=""CTZ"),S$10,S$9))</f>
        <v>#N/A The record could not be found</v>
      </c>
      <c r="T290" s="43" t="str">
        <f>_xll.RtGet("IDN",$N290,IF(OR($G290="BTP,$E11=""CTZ"),T$10,T$9))</f>
        <v>#N/A The record could not be found</v>
      </c>
      <c r="U290" s="25" t="e">
        <f t="shared" si="34"/>
        <v>#DIV/0!</v>
      </c>
      <c r="V290" s="12"/>
      <c r="W290" s="25" t="e">
        <f t="shared" si="35"/>
        <v>#DIV/0!</v>
      </c>
      <c r="X290" s="14" t="str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Market code not found in bond conventions table</v>
      </c>
      <c r="Y290" s="14" t="str">
        <v>Market code not found in bond conventions table</v>
      </c>
      <c r="Z290" s="14" t="str">
        <v>Market code not found in bond conventions table</v>
      </c>
      <c r="AA290" s="14" t="str">
        <v>Market code not found in bond conventions table</v>
      </c>
      <c r="AB290" s="14" t="str">
        <v>Market code not found in bond conventions table</v>
      </c>
      <c r="AC290" s="14" t="str">
        <v>Market code not found in bond conventions table</v>
      </c>
      <c r="AD290" s="34" t="str">
        <v>Market code not found in bond conventions table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46" t="str">
        <v>Market code not found in bond conventions table</v>
      </c>
      <c r="AL290" s="213" t="e">
        <f>IF(U290&gt;0,_xll.xlBondZSpread(F290,H290,G290,J290,K290,L290,M290,D290,U290,"annual",5)*100,"-")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5" t="str">
        <f>IF($AN$9+(($AL$9-$AM$9))*('DB Basis'!F450/10-'DB Basis'!E450),," ")</f>
        <v xml:space="preserve"> </v>
      </c>
      <c r="AO290" s="648" t="e">
        <f>IF(U290&gt;0,_xll.xlShmImplSwap2(curveName,curveName,D290,G290,,1,8,2,4),"-")</f>
        <v>#DIV/0!</v>
      </c>
      <c r="AP290" s="649" t="str">
        <f t="shared" si="30"/>
        <v>-</v>
      </c>
      <c r="AQ290" s="391" t="str">
        <f t="shared" si="31"/>
        <v>-</v>
      </c>
      <c r="AR290" s="391" t="str">
        <f t="shared" si="32"/>
        <v>-</v>
      </c>
      <c r="AS290" s="393"/>
      <c r="AT290" s="242" t="str">
        <f t="shared" si="33"/>
        <v>-</v>
      </c>
      <c r="AU290" s="701" t="str">
        <f t="shared" si="36"/>
        <v>#ERROR: Invalid ISIN  #ERROR: Invalid ISIN  #ERROR: Invalid ISIN</v>
      </c>
      <c r="AV290" s="717"/>
      <c r="AW290" s="699"/>
      <c r="AX290" s="699"/>
      <c r="AY290" s="699"/>
      <c r="AZ290" s="699"/>
      <c r="BA290" s="699"/>
      <c r="BC290" s="712"/>
      <c r="BE290" s="721">
        <f>_xll.xlDateShiftMonth(BE289,1)</f>
        <v>51680</v>
      </c>
      <c r="BF290" s="722">
        <v>2.8496052726723061E-2</v>
      </c>
    </row>
    <row r="291" spans="1:58">
      <c r="A291" s="10"/>
      <c r="B291" s="11"/>
      <c r="C291" s="12"/>
      <c r="D291" s="735">
        <f>MAX(_xll.xlDateSettle("TARGET",$D$4,2),L291)</f>
        <v>43164</v>
      </c>
      <c r="E291" s="733"/>
      <c r="F291" s="13" t="s">
        <v>2080</v>
      </c>
      <c r="G291" s="35" t="s">
        <v>2080</v>
      </c>
      <c r="H291" s="37" t="s">
        <v>2080</v>
      </c>
      <c r="I291" s="11" t="s">
        <v>2080</v>
      </c>
      <c r="J291" s="11" t="s">
        <v>2080</v>
      </c>
      <c r="K291" s="11" t="s">
        <v>2080</v>
      </c>
      <c r="L291" s="11" t="s">
        <v>2080</v>
      </c>
      <c r="M291" s="12" t="s">
        <v>2080</v>
      </c>
      <c r="N291" s="12" t="s">
        <v>2080</v>
      </c>
      <c r="O291" s="12" t="s">
        <v>2080</v>
      </c>
      <c r="P291" s="12" t="s">
        <v>2080</v>
      </c>
      <c r="Q291" s="15" t="s">
        <v>2080</v>
      </c>
      <c r="R291" s="12"/>
      <c r="S291" s="43" t="str">
        <f>_xll.RtGet("IDN",$N291,IF(OR($G291="BTP,$E11=""CTZ"),S$10,S$9))</f>
        <v>#N/A The record could not be found</v>
      </c>
      <c r="T291" s="43" t="str">
        <f>_xll.RtGet("IDN",$N291,IF(OR($G291="BTP,$E11=""CTZ"),T$10,T$9))</f>
        <v>#N/A The record could not be found</v>
      </c>
      <c r="U291" s="25" t="e">
        <f t="shared" si="34"/>
        <v>#DIV/0!</v>
      </c>
      <c r="V291" s="12"/>
      <c r="W291" s="25" t="e">
        <f t="shared" si="35"/>
        <v>#DIV/0!</v>
      </c>
      <c r="X291" s="14" t="str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Market code not found in bond conventions table</v>
      </c>
      <c r="Y291" s="14" t="str">
        <v>Market code not found in bond conventions table</v>
      </c>
      <c r="Z291" s="14" t="str">
        <v>Market code not found in bond conventions table</v>
      </c>
      <c r="AA291" s="14" t="str">
        <v>Market code not found in bond conventions table</v>
      </c>
      <c r="AB291" s="14" t="str">
        <v>Market code not found in bond conventions table</v>
      </c>
      <c r="AC291" s="14" t="str">
        <v>Market code not found in bond conventions table</v>
      </c>
      <c r="AD291" s="34" t="str">
        <v>Market code not found in bond conventions table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46" t="str">
        <v>Market code not found in bond conventions table</v>
      </c>
      <c r="AL291" s="213" t="e">
        <f>IF(U291&gt;0,_xll.xlBondZSpread(F291,H291,G291,J291,K291,L291,M291,D291,U291,"annual",5)*100,"-")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5" t="str">
        <f>IF($AN$9+(($AL$9-$AM$9))*('DB Basis'!F451/10-'DB Basis'!E451),," ")</f>
        <v xml:space="preserve"> </v>
      </c>
      <c r="AO291" s="648" t="e">
        <f>IF(U291&gt;0,_xll.xlShmImplSwap2(curveName,curveName,D291,G291,,1,8,2,4),"-")</f>
        <v>#DIV/0!</v>
      </c>
      <c r="AP291" s="649" t="str">
        <f t="shared" si="30"/>
        <v>-</v>
      </c>
      <c r="AQ291" s="391" t="str">
        <f t="shared" si="31"/>
        <v>-</v>
      </c>
      <c r="AR291" s="391" t="str">
        <f t="shared" si="32"/>
        <v>-</v>
      </c>
      <c r="AS291" s="393"/>
      <c r="AT291" s="242" t="str">
        <f t="shared" si="33"/>
        <v>-</v>
      </c>
      <c r="AU291" s="701" t="str">
        <f t="shared" si="36"/>
        <v>#ERROR: Invalid ISIN  #ERROR: Invalid ISIN  #ERROR: Invalid ISIN</v>
      </c>
      <c r="AV291" s="717"/>
      <c r="AW291" s="699"/>
      <c r="AX291" s="699"/>
      <c r="AY291" s="699"/>
      <c r="AZ291" s="699"/>
      <c r="BA291" s="699"/>
      <c r="BC291" s="712"/>
      <c r="BE291" s="721">
        <f>_xll.xlDateShiftMonth(BE290,1)</f>
        <v>51710</v>
      </c>
      <c r="BF291" s="722">
        <v>2.8525554405073261E-2</v>
      </c>
    </row>
    <row r="292" spans="1:58">
      <c r="A292" s="10"/>
      <c r="B292" s="11"/>
      <c r="C292" s="12"/>
      <c r="D292" s="735">
        <f>MAX(_xll.xlDateSettle("TARGET",$D$4,2),L292)</f>
        <v>43164</v>
      </c>
      <c r="E292" s="733"/>
      <c r="F292" s="13" t="s">
        <v>2080</v>
      </c>
      <c r="G292" s="35" t="s">
        <v>2080</v>
      </c>
      <c r="H292" s="37" t="s">
        <v>2080</v>
      </c>
      <c r="I292" s="11" t="s">
        <v>2080</v>
      </c>
      <c r="J292" s="11" t="s">
        <v>2080</v>
      </c>
      <c r="K292" s="11" t="s">
        <v>2080</v>
      </c>
      <c r="L292" s="11" t="s">
        <v>2080</v>
      </c>
      <c r="M292" s="12" t="s">
        <v>2080</v>
      </c>
      <c r="N292" s="12" t="s">
        <v>2080</v>
      </c>
      <c r="O292" s="12" t="s">
        <v>2080</v>
      </c>
      <c r="P292" s="12" t="s">
        <v>2080</v>
      </c>
      <c r="Q292" s="15" t="s">
        <v>2080</v>
      </c>
      <c r="R292" s="12"/>
      <c r="S292" s="43" t="str">
        <f>_xll.RtGet("IDN",$N292,IF(OR($G292="BTP,$E11=""CTZ"),S$10,S$9))</f>
        <v>#N/A The record could not be found</v>
      </c>
      <c r="T292" s="43" t="str">
        <f>_xll.RtGet("IDN",$N292,IF(OR($G292="BTP,$E11=""CTZ"),T$10,T$9))</f>
        <v>#N/A The record could not be found</v>
      </c>
      <c r="U292" s="25" t="e">
        <f t="shared" si="34"/>
        <v>#DIV/0!</v>
      </c>
      <c r="V292" s="12"/>
      <c r="W292" s="25" t="e">
        <f t="shared" si="35"/>
        <v>#DIV/0!</v>
      </c>
      <c r="X292" s="14" t="str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Market code not found in bond conventions table</v>
      </c>
      <c r="Y292" s="14" t="str">
        <v>Market code not found in bond conventions table</v>
      </c>
      <c r="Z292" s="14" t="str">
        <v>Market code not found in bond conventions table</v>
      </c>
      <c r="AA292" s="14" t="str">
        <v>Market code not found in bond conventions table</v>
      </c>
      <c r="AB292" s="14" t="str">
        <v>Market code not found in bond conventions table</v>
      </c>
      <c r="AC292" s="14" t="str">
        <v>Market code not found in bond conventions table</v>
      </c>
      <c r="AD292" s="34" t="str">
        <v>Market code not found in bond conventions table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46" t="str">
        <v>Market code not found in bond conventions table</v>
      </c>
      <c r="AL292" s="213" t="e">
        <f>IF(U292&gt;0,_xll.xlBondZSpread(F292,H292,G292,J292,K292,L292,M292,D292,U292,"annual",5)*100,"-")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5" t="str">
        <f>IF($AN$9+(($AL$9-$AM$9))*('DB Basis'!F452/10-'DB Basis'!E452),," ")</f>
        <v xml:space="preserve"> </v>
      </c>
      <c r="AO292" s="648" t="e">
        <f>IF(U292&gt;0,_xll.xlShmImplSwap2(curveName,curveName,D292,G292,,1,8,2,4),"-")</f>
        <v>#DIV/0!</v>
      </c>
      <c r="AP292" s="649" t="str">
        <f t="shared" si="30"/>
        <v>-</v>
      </c>
      <c r="AQ292" s="391" t="str">
        <f t="shared" si="31"/>
        <v>-</v>
      </c>
      <c r="AR292" s="391" t="str">
        <f t="shared" si="32"/>
        <v>-</v>
      </c>
      <c r="AS292" s="393"/>
      <c r="AT292" s="242" t="str">
        <f t="shared" si="33"/>
        <v>-</v>
      </c>
      <c r="AU292" s="701" t="str">
        <f t="shared" si="36"/>
        <v>#ERROR: Invalid ISIN  #ERROR: Invalid ISIN  #ERROR: Invalid ISIN</v>
      </c>
      <c r="AV292" s="717"/>
      <c r="AW292" s="699"/>
      <c r="AX292" s="699"/>
      <c r="AY292" s="699"/>
      <c r="AZ292" s="699"/>
      <c r="BA292" s="699"/>
      <c r="BC292" s="712"/>
      <c r="BE292" s="721">
        <f>_xll.xlDateShiftMonth(BE291,1)</f>
        <v>51741</v>
      </c>
      <c r="BF292" s="722">
        <v>2.855600198621179E-2</v>
      </c>
    </row>
    <row r="293" spans="1:58">
      <c r="A293" s="10"/>
      <c r="B293" s="11"/>
      <c r="C293" s="12"/>
      <c r="D293" s="735">
        <f>MAX(_xll.xlDateSettle("TARGET",$D$4,2),L293)</f>
        <v>43164</v>
      </c>
      <c r="E293" s="733"/>
      <c r="F293" s="13" t="s">
        <v>2080</v>
      </c>
      <c r="G293" s="35" t="s">
        <v>2080</v>
      </c>
      <c r="H293" s="37" t="s">
        <v>2080</v>
      </c>
      <c r="I293" s="11" t="s">
        <v>2080</v>
      </c>
      <c r="J293" s="11" t="s">
        <v>2080</v>
      </c>
      <c r="K293" s="11" t="s">
        <v>2080</v>
      </c>
      <c r="L293" s="11" t="s">
        <v>2080</v>
      </c>
      <c r="M293" s="12" t="s">
        <v>2080</v>
      </c>
      <c r="N293" s="12" t="s">
        <v>2080</v>
      </c>
      <c r="O293" s="12" t="s">
        <v>2080</v>
      </c>
      <c r="P293" s="12" t="s">
        <v>2080</v>
      </c>
      <c r="Q293" s="15" t="s">
        <v>2080</v>
      </c>
      <c r="R293" s="12"/>
      <c r="S293" s="43" t="str">
        <f>_xll.RtGet("IDN",$N293,IF(OR($G293="BTP,$E11=""CTZ"),S$10,S$9))</f>
        <v>#N/A The record could not be found</v>
      </c>
      <c r="T293" s="43" t="str">
        <f>_xll.RtGet("IDN",$N293,IF(OR($G293="BTP,$E11=""CTZ"),T$10,T$9))</f>
        <v>#N/A The record could not be found</v>
      </c>
      <c r="U293" s="25" t="e">
        <f t="shared" si="34"/>
        <v>#DIV/0!</v>
      </c>
      <c r="V293" s="12"/>
      <c r="W293" s="25" t="e">
        <f t="shared" si="35"/>
        <v>#DIV/0!</v>
      </c>
      <c r="X293" s="14" t="str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Market code not found in bond conventions table</v>
      </c>
      <c r="Y293" s="14" t="str">
        <v>Market code not found in bond conventions table</v>
      </c>
      <c r="Z293" s="14" t="str">
        <v>Market code not found in bond conventions table</v>
      </c>
      <c r="AA293" s="14" t="str">
        <v>Market code not found in bond conventions table</v>
      </c>
      <c r="AB293" s="14" t="str">
        <v>Market code not found in bond conventions table</v>
      </c>
      <c r="AC293" s="14" t="str">
        <v>Market code not found in bond conventions table</v>
      </c>
      <c r="AD293" s="34" t="str">
        <v>Market code not found in bond conventions table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46" t="str">
        <v>Market code not found in bond conventions table</v>
      </c>
      <c r="AL293" s="213" t="e">
        <f>IF(U293&gt;0,_xll.xlBondZSpread(F293,H293,G293,J293,K293,L293,M293,D293,U293,"annual",5)*100,"-")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5" t="str">
        <f>IF($AN$9+(($AL$9-$AM$9))*('DB Basis'!F453/10-'DB Basis'!E453),," ")</f>
        <v xml:space="preserve"> </v>
      </c>
      <c r="AO293" s="648" t="e">
        <f>IF(U293&gt;0,_xll.xlShmImplSwap2(curveName,curveName,D293,G293,,1,8,2,4),"-")</f>
        <v>#DIV/0!</v>
      </c>
      <c r="AP293" s="649" t="str">
        <f t="shared" si="30"/>
        <v>-</v>
      </c>
      <c r="AQ293" s="391" t="str">
        <f t="shared" si="31"/>
        <v>-</v>
      </c>
      <c r="AR293" s="391" t="str">
        <f t="shared" si="32"/>
        <v>-</v>
      </c>
      <c r="AS293" s="393"/>
      <c r="AT293" s="242" t="str">
        <f t="shared" si="33"/>
        <v>-</v>
      </c>
      <c r="AU293" s="701" t="str">
        <f t="shared" si="36"/>
        <v>#ERROR: Invalid ISIN  #ERROR: Invalid ISIN  #ERROR: Invalid ISIN</v>
      </c>
      <c r="AV293" s="717"/>
      <c r="AW293" s="699"/>
      <c r="AX293" s="699"/>
      <c r="AY293" s="699"/>
      <c r="AZ293" s="699"/>
      <c r="BA293" s="699"/>
      <c r="BC293" s="712"/>
      <c r="BE293" s="721">
        <f>_xll.xlDateShiftMonth(BE292,1)</f>
        <v>51772</v>
      </c>
      <c r="BF293" s="722">
        <v>2.8586411951623834E-2</v>
      </c>
    </row>
    <row r="294" spans="1:58">
      <c r="A294" s="10"/>
      <c r="B294" s="11"/>
      <c r="C294" s="12"/>
      <c r="D294" s="735">
        <f>MAX(_xll.xlDateSettle("TARGET",$D$4,2),L294)</f>
        <v>43164</v>
      </c>
      <c r="E294" s="733"/>
      <c r="F294" s="13" t="s">
        <v>2080</v>
      </c>
      <c r="G294" s="35" t="s">
        <v>2080</v>
      </c>
      <c r="H294" s="37" t="s">
        <v>2080</v>
      </c>
      <c r="I294" s="11" t="s">
        <v>2080</v>
      </c>
      <c r="J294" s="11" t="s">
        <v>2080</v>
      </c>
      <c r="K294" s="11" t="s">
        <v>2080</v>
      </c>
      <c r="L294" s="11" t="s">
        <v>2080</v>
      </c>
      <c r="M294" s="12" t="s">
        <v>2080</v>
      </c>
      <c r="N294" s="12" t="s">
        <v>2080</v>
      </c>
      <c r="O294" s="12" t="s">
        <v>2080</v>
      </c>
      <c r="P294" s="12" t="s">
        <v>2080</v>
      </c>
      <c r="Q294" s="15" t="s">
        <v>2080</v>
      </c>
      <c r="R294" s="12"/>
      <c r="S294" s="43" t="str">
        <f>_xll.RtGet("IDN",$N294,IF(OR($G294="BTP,$E11=""CTZ"),S$10,S$9))</f>
        <v>#N/A The record could not be found</v>
      </c>
      <c r="T294" s="43" t="str">
        <f>_xll.RtGet("IDN",$N294,IF(OR($G294="BTP,$E11=""CTZ"),T$10,T$9))</f>
        <v>#N/A The record could not be found</v>
      </c>
      <c r="U294" s="25" t="e">
        <f t="shared" si="34"/>
        <v>#DIV/0!</v>
      </c>
      <c r="V294" s="12"/>
      <c r="W294" s="25" t="e">
        <f t="shared" si="35"/>
        <v>#DIV/0!</v>
      </c>
      <c r="X294" s="14" t="str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Market code not found in bond conventions table</v>
      </c>
      <c r="Y294" s="14" t="str">
        <v>Market code not found in bond conventions table</v>
      </c>
      <c r="Z294" s="14" t="str">
        <v>Market code not found in bond conventions table</v>
      </c>
      <c r="AA294" s="14" t="str">
        <v>Market code not found in bond conventions table</v>
      </c>
      <c r="AB294" s="14" t="str">
        <v>Market code not found in bond conventions table</v>
      </c>
      <c r="AC294" s="14" t="str">
        <v>Market code not found in bond conventions table</v>
      </c>
      <c r="AD294" s="34" t="str">
        <v>Market code not found in bond conventions table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46" t="str">
        <v>Market code not found in bond conventions table</v>
      </c>
      <c r="AL294" s="213" t="e">
        <f>IF(U294&gt;0,_xll.xlBondZSpread(F294,H294,G294,J294,K294,L294,M294,D294,U294,"annual",5)*100,"-")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5" t="str">
        <f>IF($AN$9+(($AL$9-$AM$9))*('DB Basis'!F454/10-'DB Basis'!E454),," ")</f>
        <v xml:space="preserve"> </v>
      </c>
      <c r="AO294" s="648" t="e">
        <f>IF(U294&gt;0,_xll.xlShmImplSwap2(curveName,curveName,D294,G294,,1,8,2,4),"-")</f>
        <v>#DIV/0!</v>
      </c>
      <c r="AP294" s="649" t="str">
        <f t="shared" si="30"/>
        <v>-</v>
      </c>
      <c r="AQ294" s="391" t="str">
        <f t="shared" si="31"/>
        <v>-</v>
      </c>
      <c r="AR294" s="391" t="str">
        <f t="shared" si="32"/>
        <v>-</v>
      </c>
      <c r="AS294" s="393"/>
      <c r="AT294" s="242" t="str">
        <f t="shared" si="33"/>
        <v>-</v>
      </c>
      <c r="AU294" s="701" t="str">
        <f t="shared" si="36"/>
        <v>#ERROR: Invalid ISIN  #ERROR: Invalid ISIN  #ERROR: Invalid ISIN</v>
      </c>
      <c r="AV294" s="717"/>
      <c r="AW294" s="699"/>
      <c r="AX294" s="699"/>
      <c r="AY294" s="699"/>
      <c r="AZ294" s="699"/>
      <c r="BA294" s="699"/>
      <c r="BC294" s="712"/>
      <c r="BE294" s="721">
        <f>_xll.xlDateShiftMonth(BE293,1)</f>
        <v>51802</v>
      </c>
      <c r="BF294" s="722">
        <v>2.861580559729443E-2</v>
      </c>
    </row>
    <row r="295" spans="1:58">
      <c r="A295" s="10"/>
      <c r="B295" s="11"/>
      <c r="C295" s="12"/>
      <c r="D295" s="735">
        <f>MAX(_xll.xlDateSettle("TARGET",$D$4,2),L295)</f>
        <v>43164</v>
      </c>
      <c r="E295" s="733"/>
      <c r="F295" s="13" t="s">
        <v>2080</v>
      </c>
      <c r="G295" s="35" t="s">
        <v>2080</v>
      </c>
      <c r="H295" s="37" t="s">
        <v>2080</v>
      </c>
      <c r="I295" s="11" t="s">
        <v>2080</v>
      </c>
      <c r="J295" s="11" t="s">
        <v>2080</v>
      </c>
      <c r="K295" s="11" t="s">
        <v>2080</v>
      </c>
      <c r="L295" s="11" t="s">
        <v>2080</v>
      </c>
      <c r="M295" s="12" t="s">
        <v>2080</v>
      </c>
      <c r="N295" s="12" t="s">
        <v>2080</v>
      </c>
      <c r="O295" s="12" t="s">
        <v>2080</v>
      </c>
      <c r="P295" s="12" t="s">
        <v>2080</v>
      </c>
      <c r="Q295" s="15" t="s">
        <v>2080</v>
      </c>
      <c r="R295" s="12"/>
      <c r="S295" s="43" t="str">
        <f>_xll.RtGet("IDN",$N295,IF(OR($G295="BTP,$E11=""CTZ"),S$10,S$9))</f>
        <v>#N/A The record could not be found</v>
      </c>
      <c r="T295" s="43" t="str">
        <f>_xll.RtGet("IDN",$N295,IF(OR($G295="BTP,$E11=""CTZ"),T$10,T$9))</f>
        <v>#N/A The record could not be found</v>
      </c>
      <c r="U295" s="25" t="e">
        <f t="shared" si="34"/>
        <v>#DIV/0!</v>
      </c>
      <c r="V295" s="12"/>
      <c r="W295" s="25" t="e">
        <f t="shared" si="35"/>
        <v>#DIV/0!</v>
      </c>
      <c r="X295" s="14" t="str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Market code not found in bond conventions table</v>
      </c>
      <c r="Y295" s="14" t="str">
        <v>Market code not found in bond conventions table</v>
      </c>
      <c r="Z295" s="14" t="str">
        <v>Market code not found in bond conventions table</v>
      </c>
      <c r="AA295" s="14" t="str">
        <v>Market code not found in bond conventions table</v>
      </c>
      <c r="AB295" s="14" t="str">
        <v>Market code not found in bond conventions table</v>
      </c>
      <c r="AC295" s="14" t="str">
        <v>Market code not found in bond conventions table</v>
      </c>
      <c r="AD295" s="34" t="str">
        <v>Market code not found in bond conventions table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46" t="str">
        <v>Market code not found in bond conventions table</v>
      </c>
      <c r="AL295" s="213" t="e">
        <f>IF(U295&gt;0,_xll.xlBondZSpread(F295,H295,G295,J295,K295,L295,M295,D295,U295,"annual",5)*100,"-")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5" t="str">
        <f>IF($AN$9+(($AL$9-$AM$9))*('DB Basis'!F455/10-'DB Basis'!E455),," ")</f>
        <v xml:space="preserve"> </v>
      </c>
      <c r="AO295" s="648" t="e">
        <f>IF(U295&gt;0,_xll.xlShmImplSwap2(curveName,curveName,D295,G295,,1,8,2,4),"-")</f>
        <v>#DIV/0!</v>
      </c>
      <c r="AP295" s="649" t="str">
        <f t="shared" si="30"/>
        <v>-</v>
      </c>
      <c r="AQ295" s="391" t="str">
        <f t="shared" si="31"/>
        <v>-</v>
      </c>
      <c r="AR295" s="391" t="str">
        <f t="shared" si="32"/>
        <v>-</v>
      </c>
      <c r="AS295" s="393"/>
      <c r="AT295" s="242" t="str">
        <f t="shared" si="33"/>
        <v>-</v>
      </c>
      <c r="AU295" s="701" t="str">
        <f t="shared" si="36"/>
        <v>#ERROR: Invalid ISIN  #ERROR: Invalid ISIN  #ERROR: Invalid ISIN</v>
      </c>
      <c r="AV295" s="717"/>
      <c r="AW295" s="699"/>
      <c r="AX295" s="699"/>
      <c r="AY295" s="699"/>
      <c r="AZ295" s="699"/>
      <c r="BA295" s="699"/>
      <c r="BC295" s="712"/>
      <c r="BE295" s="721">
        <f>_xll.xlDateShiftMonth(BE294,1)</f>
        <v>51833</v>
      </c>
      <c r="BF295" s="722">
        <v>2.8646142977070414E-2</v>
      </c>
    </row>
    <row r="296" spans="1:58">
      <c r="A296" s="10"/>
      <c r="B296" s="11"/>
      <c r="C296" s="12"/>
      <c r="D296" s="735">
        <f>MAX(_xll.xlDateSettle("TARGET",$D$4,2),L296)</f>
        <v>43164</v>
      </c>
      <c r="E296" s="733"/>
      <c r="F296" s="13" t="s">
        <v>2080</v>
      </c>
      <c r="G296" s="35" t="s">
        <v>2080</v>
      </c>
      <c r="H296" s="37" t="s">
        <v>2080</v>
      </c>
      <c r="I296" s="11" t="s">
        <v>2080</v>
      </c>
      <c r="J296" s="11" t="s">
        <v>2080</v>
      </c>
      <c r="K296" s="11" t="s">
        <v>2080</v>
      </c>
      <c r="L296" s="11" t="s">
        <v>2080</v>
      </c>
      <c r="M296" s="12" t="s">
        <v>2080</v>
      </c>
      <c r="N296" s="12" t="s">
        <v>2080</v>
      </c>
      <c r="O296" s="12" t="s">
        <v>2080</v>
      </c>
      <c r="P296" s="12" t="s">
        <v>2080</v>
      </c>
      <c r="Q296" s="15" t="s">
        <v>2080</v>
      </c>
      <c r="R296" s="12"/>
      <c r="S296" s="43" t="str">
        <f>_xll.RtGet("IDN",$N296,IF(OR($G296="BTP,$E11=""CTZ"),S$10,S$9))</f>
        <v>#N/A The record could not be found</v>
      </c>
      <c r="T296" s="43" t="str">
        <f>_xll.RtGet("IDN",$N296,IF(OR($G296="BTP,$E11=""CTZ"),T$10,T$9))</f>
        <v>#N/A The record could not be found</v>
      </c>
      <c r="U296" s="25" t="e">
        <f t="shared" si="34"/>
        <v>#DIV/0!</v>
      </c>
      <c r="V296" s="12"/>
      <c r="W296" s="25" t="e">
        <f t="shared" si="35"/>
        <v>#DIV/0!</v>
      </c>
      <c r="X296" s="14" t="str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Market code not found in bond conventions table</v>
      </c>
      <c r="Y296" s="14" t="str">
        <v>Market code not found in bond conventions table</v>
      </c>
      <c r="Z296" s="14" t="str">
        <v>Market code not found in bond conventions table</v>
      </c>
      <c r="AA296" s="14" t="str">
        <v>Market code not found in bond conventions table</v>
      </c>
      <c r="AB296" s="14" t="str">
        <v>Market code not found in bond conventions table</v>
      </c>
      <c r="AC296" s="14" t="str">
        <v>Market code not found in bond conventions table</v>
      </c>
      <c r="AD296" s="34" t="str">
        <v>Market code not found in bond conventions table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46" t="str">
        <v>Market code not found in bond conventions table</v>
      </c>
      <c r="AL296" s="213" t="e">
        <f>IF(U296&gt;0,_xll.xlBondZSpread(F296,H296,G296,J296,K296,L296,M296,D296,U296,"annual",5)*100,"-")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5" t="str">
        <f>IF($AN$9+(($AL$9-$AM$9))*('DB Basis'!F456/10-'DB Basis'!E456),," ")</f>
        <v xml:space="preserve"> </v>
      </c>
      <c r="AO296" s="648" t="e">
        <f>IF(U296&gt;0,_xll.xlShmImplSwap2(curveName,curveName,D296,G296,,1,8,2,4),"-")</f>
        <v>#DIV/0!</v>
      </c>
      <c r="AP296" s="649" t="str">
        <f t="shared" si="30"/>
        <v>-</v>
      </c>
      <c r="AQ296" s="391" t="str">
        <f t="shared" si="31"/>
        <v>-</v>
      </c>
      <c r="AR296" s="391" t="str">
        <f t="shared" si="32"/>
        <v>-</v>
      </c>
      <c r="AS296" s="393"/>
      <c r="AT296" s="242" t="str">
        <f t="shared" si="33"/>
        <v>-</v>
      </c>
      <c r="AU296" s="701" t="str">
        <f t="shared" si="36"/>
        <v>#ERROR: Invalid ISIN  #ERROR: Invalid ISIN  #ERROR: Invalid ISIN</v>
      </c>
      <c r="AV296" s="717"/>
      <c r="AW296" s="699"/>
      <c r="AX296" s="699"/>
      <c r="AY296" s="699"/>
      <c r="AZ296" s="699"/>
      <c r="BA296" s="699"/>
      <c r="BC296" s="712"/>
      <c r="BE296" s="721">
        <f>_xll.xlDateShiftMonth(BE295,1)</f>
        <v>51863</v>
      </c>
      <c r="BF296" s="722">
        <v>2.8675467297687759E-2</v>
      </c>
    </row>
    <row r="297" spans="1:58">
      <c r="A297" s="10"/>
      <c r="B297" s="11"/>
      <c r="C297" s="12"/>
      <c r="D297" s="735">
        <f>MAX(_xll.xlDateSettle("TARGET",$D$4,2),L297)</f>
        <v>43164</v>
      </c>
      <c r="E297" s="733"/>
      <c r="F297" s="13" t="s">
        <v>2080</v>
      </c>
      <c r="G297" s="35" t="s">
        <v>2080</v>
      </c>
      <c r="H297" s="37" t="s">
        <v>2080</v>
      </c>
      <c r="I297" s="11" t="s">
        <v>2080</v>
      </c>
      <c r="J297" s="11" t="s">
        <v>2080</v>
      </c>
      <c r="K297" s="11" t="s">
        <v>2080</v>
      </c>
      <c r="L297" s="11" t="s">
        <v>2080</v>
      </c>
      <c r="M297" s="12" t="s">
        <v>2080</v>
      </c>
      <c r="N297" s="12" t="s">
        <v>2080</v>
      </c>
      <c r="O297" s="12" t="s">
        <v>2080</v>
      </c>
      <c r="P297" s="12" t="s">
        <v>2080</v>
      </c>
      <c r="Q297" s="15" t="s">
        <v>2080</v>
      </c>
      <c r="R297" s="12"/>
      <c r="S297" s="43" t="str">
        <f>_xll.RtGet("IDN",$N297,IF(OR($G297="BTP,$E11=""CTZ"),S$10,S$9))</f>
        <v>#N/A The record could not be found</v>
      </c>
      <c r="T297" s="43" t="str">
        <f>_xll.RtGet("IDN",$N297,IF(OR($G297="BTP,$E11=""CTZ"),T$10,T$9))</f>
        <v>#N/A The record could not be found</v>
      </c>
      <c r="U297" s="25" t="e">
        <f t="shared" si="34"/>
        <v>#DIV/0!</v>
      </c>
      <c r="V297" s="12"/>
      <c r="W297" s="25" t="e">
        <f t="shared" si="35"/>
        <v>#DIV/0!</v>
      </c>
      <c r="X297" s="14" t="str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Market code not found in bond conventions table</v>
      </c>
      <c r="Y297" s="14" t="str">
        <v>Market code not found in bond conventions table</v>
      </c>
      <c r="Z297" s="14" t="str">
        <v>Market code not found in bond conventions table</v>
      </c>
      <c r="AA297" s="14" t="str">
        <v>Market code not found in bond conventions table</v>
      </c>
      <c r="AB297" s="14" t="str">
        <v>Market code not found in bond conventions table</v>
      </c>
      <c r="AC297" s="14" t="str">
        <v>Market code not found in bond conventions table</v>
      </c>
      <c r="AD297" s="34" t="str">
        <v>Market code not found in bond conventions table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46" t="str">
        <v>Market code not found in bond conventions table</v>
      </c>
      <c r="AL297" s="213" t="e">
        <f>IF(U297&gt;0,_xll.xlBondZSpread(F297,H297,G297,J297,K297,L297,M297,D297,U297,"annual",5)*100,"-")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5" t="str">
        <f>IF($AN$9+(($AL$9-$AM$9))*('DB Basis'!F457/10-'DB Basis'!E457),," ")</f>
        <v xml:space="preserve"> </v>
      </c>
      <c r="AO297" s="648" t="e">
        <f>IF(U297&gt;0,_xll.xlShmImplSwap2(curveName,curveName,D297,G297,,1,8,2,4),"-")</f>
        <v>#DIV/0!</v>
      </c>
      <c r="AP297" s="649" t="str">
        <f t="shared" si="30"/>
        <v>-</v>
      </c>
      <c r="AQ297" s="391" t="str">
        <f t="shared" si="31"/>
        <v>-</v>
      </c>
      <c r="AR297" s="391" t="str">
        <f t="shared" si="32"/>
        <v>-</v>
      </c>
      <c r="AS297" s="393"/>
      <c r="AT297" s="242" t="str">
        <f t="shared" si="33"/>
        <v>-</v>
      </c>
      <c r="AU297" s="701" t="str">
        <f t="shared" si="36"/>
        <v>#ERROR: Invalid ISIN  #ERROR: Invalid ISIN  #ERROR: Invalid ISIN</v>
      </c>
      <c r="AV297" s="717"/>
      <c r="AW297" s="699"/>
      <c r="AX297" s="699"/>
      <c r="AY297" s="699"/>
      <c r="AZ297" s="699"/>
      <c r="BA297" s="699"/>
      <c r="BC297" s="712"/>
      <c r="BE297" s="721">
        <f>_xll.xlDateShiftMonth(BE296,1)</f>
        <v>51894</v>
      </c>
      <c r="BF297" s="722">
        <v>2.870573399132309E-2</v>
      </c>
    </row>
    <row r="298" spans="1:58">
      <c r="A298" s="10"/>
      <c r="B298" s="11"/>
      <c r="C298" s="12"/>
      <c r="D298" s="735">
        <f>MAX(_xll.xlDateSettle("TARGET",$D$4,2),L298)</f>
        <v>43164</v>
      </c>
      <c r="E298" s="733"/>
      <c r="F298" s="13" t="s">
        <v>2080</v>
      </c>
      <c r="G298" s="35" t="s">
        <v>2080</v>
      </c>
      <c r="H298" s="37" t="s">
        <v>2080</v>
      </c>
      <c r="I298" s="11" t="s">
        <v>2080</v>
      </c>
      <c r="J298" s="11" t="s">
        <v>2080</v>
      </c>
      <c r="K298" s="11" t="s">
        <v>2080</v>
      </c>
      <c r="L298" s="11" t="s">
        <v>2080</v>
      </c>
      <c r="M298" s="12" t="s">
        <v>2080</v>
      </c>
      <c r="N298" s="12" t="s">
        <v>2080</v>
      </c>
      <c r="O298" s="12" t="s">
        <v>2080</v>
      </c>
      <c r="P298" s="12" t="s">
        <v>2080</v>
      </c>
      <c r="Q298" s="15" t="s">
        <v>2080</v>
      </c>
      <c r="R298" s="12"/>
      <c r="S298" s="43" t="str">
        <f>_xll.RtGet("IDN",$N298,IF(OR($G298="BTP,$E11=""CTZ"),S$10,S$9))</f>
        <v>#N/A The record could not be found</v>
      </c>
      <c r="T298" s="43" t="str">
        <f>_xll.RtGet("IDN",$N298,IF(OR($G298="BTP,$E11=""CTZ"),T$10,T$9))</f>
        <v>#N/A The record could not be found</v>
      </c>
      <c r="U298" s="25" t="e">
        <f t="shared" si="34"/>
        <v>#DIV/0!</v>
      </c>
      <c r="V298" s="12"/>
      <c r="W298" s="25" t="e">
        <f t="shared" si="35"/>
        <v>#DIV/0!</v>
      </c>
      <c r="X298" s="14" t="str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Market code not found in bond conventions table</v>
      </c>
      <c r="Y298" s="14" t="str">
        <v>Market code not found in bond conventions table</v>
      </c>
      <c r="Z298" s="14" t="str">
        <v>Market code not found in bond conventions table</v>
      </c>
      <c r="AA298" s="14" t="str">
        <v>Market code not found in bond conventions table</v>
      </c>
      <c r="AB298" s="14" t="str">
        <v>Market code not found in bond conventions table</v>
      </c>
      <c r="AC298" s="14" t="str">
        <v>Market code not found in bond conventions table</v>
      </c>
      <c r="AD298" s="34" t="str">
        <v>Market code not found in bond conventions table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46" t="str">
        <v>Market code not found in bond conventions table</v>
      </c>
      <c r="AL298" s="213" t="e">
        <f>IF(U298&gt;0,_xll.xlBondZSpread(F298,H298,G298,J298,K298,L298,M298,D298,U298,"annual",5)*100,"-")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5" t="str">
        <f>IF($AN$9+(($AL$9-$AM$9))*('DB Basis'!F458/10-'DB Basis'!E458),," ")</f>
        <v xml:space="preserve"> </v>
      </c>
      <c r="AO298" s="648" t="e">
        <f>IF(U298&gt;0,_xll.xlShmImplSwap2(curveName,curveName,D298,G298,,1,8,2,4),"-")</f>
        <v>#DIV/0!</v>
      </c>
      <c r="AP298" s="649" t="str">
        <f t="shared" si="30"/>
        <v>-</v>
      </c>
      <c r="AQ298" s="391" t="str">
        <f t="shared" si="31"/>
        <v>-</v>
      </c>
      <c r="AR298" s="391" t="str">
        <f t="shared" si="32"/>
        <v>-</v>
      </c>
      <c r="AS298" s="393"/>
      <c r="AT298" s="242" t="str">
        <f t="shared" si="33"/>
        <v>-</v>
      </c>
      <c r="AU298" s="701" t="str">
        <f t="shared" si="36"/>
        <v>#ERROR: Invalid ISIN  #ERROR: Invalid ISIN  #ERROR: Invalid ISIN</v>
      </c>
      <c r="AV298" s="717"/>
      <c r="AW298" s="699"/>
      <c r="AX298" s="699"/>
      <c r="AY298" s="699"/>
      <c r="AZ298" s="699"/>
      <c r="BA298" s="699"/>
      <c r="BC298" s="712"/>
      <c r="BE298" s="721">
        <f>_xll.xlDateShiftMonth(BE297,1)</f>
        <v>51925</v>
      </c>
      <c r="BF298" s="722">
        <v>2.873596549043772E-2</v>
      </c>
    </row>
    <row r="299" spans="1:58">
      <c r="A299" s="10"/>
      <c r="B299" s="11"/>
      <c r="C299" s="12"/>
      <c r="D299" s="735">
        <f>MAX(_xll.xlDateSettle("TARGET",$D$4,2),L299)</f>
        <v>43164</v>
      </c>
      <c r="E299" s="733"/>
      <c r="F299" s="13" t="s">
        <v>2080</v>
      </c>
      <c r="G299" s="35" t="s">
        <v>2080</v>
      </c>
      <c r="H299" s="37" t="s">
        <v>2080</v>
      </c>
      <c r="I299" s="11" t="s">
        <v>2080</v>
      </c>
      <c r="J299" s="11" t="s">
        <v>2080</v>
      </c>
      <c r="K299" s="11" t="s">
        <v>2080</v>
      </c>
      <c r="L299" s="11" t="s">
        <v>2080</v>
      </c>
      <c r="M299" s="12" t="s">
        <v>2080</v>
      </c>
      <c r="N299" s="12" t="s">
        <v>2080</v>
      </c>
      <c r="O299" s="12" t="s">
        <v>2080</v>
      </c>
      <c r="P299" s="12" t="s">
        <v>2080</v>
      </c>
      <c r="Q299" s="15" t="s">
        <v>2080</v>
      </c>
      <c r="R299" s="12"/>
      <c r="S299" s="43" t="str">
        <f>_xll.RtGet("IDN",$N299,IF(OR($G299="BTP,$E11=""CTZ"),S$10,S$9))</f>
        <v>#N/A The record could not be found</v>
      </c>
      <c r="T299" s="43" t="str">
        <f>_xll.RtGet("IDN",$N299,IF(OR($G299="BTP,$E11=""CTZ"),T$10,T$9))</f>
        <v>#N/A The record could not be found</v>
      </c>
      <c r="U299" s="25" t="e">
        <f t="shared" si="34"/>
        <v>#DIV/0!</v>
      </c>
      <c r="V299" s="12"/>
      <c r="W299" s="25" t="e">
        <f t="shared" si="35"/>
        <v>#DIV/0!</v>
      </c>
      <c r="X299" s="14" t="str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Market code not found in bond conventions table</v>
      </c>
      <c r="Y299" s="14" t="str">
        <v>Market code not found in bond conventions table</v>
      </c>
      <c r="Z299" s="14" t="str">
        <v>Market code not found in bond conventions table</v>
      </c>
      <c r="AA299" s="14" t="str">
        <v>Market code not found in bond conventions table</v>
      </c>
      <c r="AB299" s="14" t="str">
        <v>Market code not found in bond conventions table</v>
      </c>
      <c r="AC299" s="14" t="str">
        <v>Market code not found in bond conventions table</v>
      </c>
      <c r="AD299" s="34" t="str">
        <v>Market code not found in bond conventions table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46" t="str">
        <v>Market code not found in bond conventions table</v>
      </c>
      <c r="AL299" s="213" t="e">
        <f>IF(U299&gt;0,_xll.xlBondZSpread(F299,H299,G299,J299,K299,L299,M299,D299,U299,"annual",5)*100,"-")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5" t="str">
        <f>IF($AN$9+(($AL$9-$AM$9))*('DB Basis'!F459/10-'DB Basis'!E459),," ")</f>
        <v xml:space="preserve"> </v>
      </c>
      <c r="AO299" s="648" t="e">
        <f>IF(U299&gt;0,_xll.xlShmImplSwap2(curveName,curveName,D299,G299,,1,8,2,4),"-")</f>
        <v>#DIV/0!</v>
      </c>
      <c r="AP299" s="649" t="str">
        <f t="shared" si="30"/>
        <v>-</v>
      </c>
      <c r="AQ299" s="391" t="str">
        <f t="shared" si="31"/>
        <v>-</v>
      </c>
      <c r="AR299" s="391" t="str">
        <f t="shared" si="32"/>
        <v>-</v>
      </c>
      <c r="AS299" s="393"/>
      <c r="AT299" s="242" t="str">
        <f t="shared" si="33"/>
        <v>-</v>
      </c>
      <c r="AU299" s="701" t="str">
        <f t="shared" si="36"/>
        <v>#ERROR: Invalid ISIN  #ERROR: Invalid ISIN  #ERROR: Invalid ISIN</v>
      </c>
      <c r="AV299" s="717"/>
      <c r="AW299" s="699"/>
      <c r="AX299" s="699"/>
      <c r="AY299" s="699"/>
      <c r="AZ299" s="699"/>
      <c r="BA299" s="699"/>
      <c r="BC299" s="712"/>
      <c r="BE299" s="721">
        <f>_xll.xlDateShiftMonth(BE298,1)</f>
        <v>51953</v>
      </c>
      <c r="BF299" s="722">
        <v>2.8763241518218977E-2</v>
      </c>
    </row>
    <row r="300" spans="1:58">
      <c r="A300" s="10"/>
      <c r="B300" s="11"/>
      <c r="C300" s="12"/>
      <c r="D300" s="735">
        <f>MAX(_xll.xlDateSettle("TARGET",$D$4,2),L300)</f>
        <v>43164</v>
      </c>
      <c r="E300" s="733"/>
      <c r="F300" s="13" t="s">
        <v>2080</v>
      </c>
      <c r="G300" s="35" t="s">
        <v>2080</v>
      </c>
      <c r="H300" s="37" t="s">
        <v>2080</v>
      </c>
      <c r="I300" s="11" t="s">
        <v>2080</v>
      </c>
      <c r="J300" s="11" t="s">
        <v>2080</v>
      </c>
      <c r="K300" s="11" t="s">
        <v>2080</v>
      </c>
      <c r="L300" s="11" t="s">
        <v>2080</v>
      </c>
      <c r="M300" s="12" t="s">
        <v>2080</v>
      </c>
      <c r="N300" s="12" t="s">
        <v>2080</v>
      </c>
      <c r="O300" s="12" t="s">
        <v>2080</v>
      </c>
      <c r="P300" s="12" t="s">
        <v>2080</v>
      </c>
      <c r="Q300" s="15" t="s">
        <v>2080</v>
      </c>
      <c r="R300" s="12"/>
      <c r="S300" s="43" t="str">
        <f>_xll.RtGet("IDN",$N300,IF(OR($G300="BTP,$E11=""CTZ"),S$10,S$9))</f>
        <v>#N/A The record could not be found</v>
      </c>
      <c r="T300" s="43" t="str">
        <f>_xll.RtGet("IDN",$N300,IF(OR($G300="BTP,$E11=""CTZ"),T$10,T$9))</f>
        <v>#N/A The record could not be found</v>
      </c>
      <c r="U300" s="25" t="e">
        <f t="shared" si="34"/>
        <v>#DIV/0!</v>
      </c>
      <c r="V300" s="12"/>
      <c r="W300" s="25" t="e">
        <f t="shared" si="35"/>
        <v>#DIV/0!</v>
      </c>
      <c r="X300" s="14" t="str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Market code not found in bond conventions table</v>
      </c>
      <c r="Y300" s="14" t="str">
        <v>Market code not found in bond conventions table</v>
      </c>
      <c r="Z300" s="14" t="str">
        <v>Market code not found in bond conventions table</v>
      </c>
      <c r="AA300" s="14" t="str">
        <v>Market code not found in bond conventions table</v>
      </c>
      <c r="AB300" s="14" t="str">
        <v>Market code not found in bond conventions table</v>
      </c>
      <c r="AC300" s="14" t="str">
        <v>Market code not found in bond conventions table</v>
      </c>
      <c r="AD300" s="34" t="str">
        <v>Market code not found in bond conventions table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46" t="str">
        <v>Market code not found in bond conventions table</v>
      </c>
      <c r="AL300" s="213" t="e">
        <f>IF(U300&gt;0,_xll.xlBondZSpread(F300,H300,G300,J300,K300,L300,M300,D300,U300,"annual",5)*100,"-")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5" t="str">
        <f>IF($AN$9+(($AL$9-$AM$9))*('DB Basis'!F460/10-'DB Basis'!E460),," ")</f>
        <v xml:space="preserve"> </v>
      </c>
      <c r="AO300" s="648" t="e">
        <f>IF(U300&gt;0,_xll.xlShmImplSwap2(curveName,curveName,D300,G300,,1,8,2,4),"-")</f>
        <v>#DIV/0!</v>
      </c>
      <c r="AP300" s="649" t="str">
        <f t="shared" si="30"/>
        <v>-</v>
      </c>
      <c r="AQ300" s="391" t="str">
        <f t="shared" si="31"/>
        <v>-</v>
      </c>
      <c r="AR300" s="391" t="str">
        <f t="shared" si="32"/>
        <v>-</v>
      </c>
      <c r="AS300" s="393"/>
      <c r="AT300" s="242" t="str">
        <f t="shared" si="33"/>
        <v>-</v>
      </c>
      <c r="AU300" s="701" t="str">
        <f t="shared" si="36"/>
        <v>#ERROR: Invalid ISIN  #ERROR: Invalid ISIN  #ERROR: Invalid ISIN</v>
      </c>
      <c r="AV300" s="717"/>
      <c r="AW300" s="699"/>
      <c r="AX300" s="699"/>
      <c r="AY300" s="699"/>
      <c r="AZ300" s="699"/>
      <c r="BA300" s="699"/>
      <c r="BC300" s="712"/>
      <c r="BE300" s="721">
        <f>_xll.xlDateShiftMonth(BE299,1)</f>
        <v>51984</v>
      </c>
      <c r="BF300" s="722">
        <v>2.8793407389537489E-2</v>
      </c>
    </row>
    <row r="301" spans="1:58">
      <c r="A301" s="10"/>
      <c r="B301" s="11"/>
      <c r="C301" s="12"/>
      <c r="D301" s="735">
        <f>MAX(_xll.xlDateSettle("TARGET",$D$4,2),L301)</f>
        <v>43164</v>
      </c>
      <c r="E301" s="733"/>
      <c r="F301" s="13" t="s">
        <v>2080</v>
      </c>
      <c r="G301" s="35" t="s">
        <v>2080</v>
      </c>
      <c r="H301" s="37" t="s">
        <v>2080</v>
      </c>
      <c r="I301" s="11" t="s">
        <v>2080</v>
      </c>
      <c r="J301" s="11" t="s">
        <v>2080</v>
      </c>
      <c r="K301" s="11" t="s">
        <v>2080</v>
      </c>
      <c r="L301" s="11" t="s">
        <v>2080</v>
      </c>
      <c r="M301" s="12" t="s">
        <v>2080</v>
      </c>
      <c r="N301" s="12" t="s">
        <v>2080</v>
      </c>
      <c r="O301" s="12" t="s">
        <v>2080</v>
      </c>
      <c r="P301" s="12" t="s">
        <v>2080</v>
      </c>
      <c r="Q301" s="15" t="s">
        <v>2080</v>
      </c>
      <c r="R301" s="12"/>
      <c r="S301" s="43" t="str">
        <f>_xll.RtGet("IDN",$N301,IF(OR($G301="BTP,$E11=""CTZ"),S$10,S$9))</f>
        <v>#N/A The record could not be found</v>
      </c>
      <c r="T301" s="43" t="str">
        <f>_xll.RtGet("IDN",$N301,IF(OR($G301="BTP,$E11=""CTZ"),T$10,T$9))</f>
        <v>#N/A The record could not be found</v>
      </c>
      <c r="U301" s="25" t="e">
        <f t="shared" si="34"/>
        <v>#DIV/0!</v>
      </c>
      <c r="V301" s="12"/>
      <c r="W301" s="25" t="e">
        <f t="shared" si="35"/>
        <v>#DIV/0!</v>
      </c>
      <c r="X301" s="14" t="str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Market code not found in bond conventions table</v>
      </c>
      <c r="Y301" s="14" t="str">
        <v>Market code not found in bond conventions table</v>
      </c>
      <c r="Z301" s="14" t="str">
        <v>Market code not found in bond conventions table</v>
      </c>
      <c r="AA301" s="14" t="str">
        <v>Market code not found in bond conventions table</v>
      </c>
      <c r="AB301" s="14" t="str">
        <v>Market code not found in bond conventions table</v>
      </c>
      <c r="AC301" s="14" t="str">
        <v>Market code not found in bond conventions table</v>
      </c>
      <c r="AD301" s="34" t="str">
        <v>Market code not found in bond conventions table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46" t="str">
        <v>Market code not found in bond conventions table</v>
      </c>
      <c r="AL301" s="213" t="e">
        <f>IF(U301&gt;0,_xll.xlBondZSpread(F301,H301,G301,J301,K301,L301,M301,D301,U301,"annual",5)*100,"-")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5" t="str">
        <f>IF($AN$9+(($AL$9-$AM$9))*('DB Basis'!F461/10-'DB Basis'!E461),," ")</f>
        <v xml:space="preserve"> </v>
      </c>
      <c r="AO301" s="648" t="e">
        <f>IF(U301&gt;0,_xll.xlShmImplSwap2(curveName,curveName,D301,G301,,1,8,2,4),"-")</f>
        <v>#DIV/0!</v>
      </c>
      <c r="AP301" s="649" t="str">
        <f t="shared" si="30"/>
        <v>-</v>
      </c>
      <c r="AQ301" s="391" t="str">
        <f t="shared" si="31"/>
        <v>-</v>
      </c>
      <c r="AR301" s="391" t="str">
        <f t="shared" si="32"/>
        <v>-</v>
      </c>
      <c r="AS301" s="393"/>
      <c r="AT301" s="242" t="str">
        <f t="shared" si="33"/>
        <v>-</v>
      </c>
      <c r="AU301" s="701" t="str">
        <f t="shared" si="36"/>
        <v>#ERROR: Invalid ISIN  #ERROR: Invalid ISIN  #ERROR: Invalid ISIN</v>
      </c>
      <c r="AV301" s="717"/>
      <c r="AW301" s="699"/>
      <c r="AX301" s="699"/>
      <c r="AY301" s="699"/>
      <c r="AZ301" s="699"/>
      <c r="BA301" s="699"/>
      <c r="BC301" s="712"/>
      <c r="BE301" s="721">
        <f>_xll.xlDateShiftMonth(BE300,1)</f>
        <v>52014</v>
      </c>
      <c r="BF301" s="722">
        <v>2.8822568009403877E-2</v>
      </c>
    </row>
    <row r="302" spans="1:58">
      <c r="A302" s="10"/>
      <c r="B302" s="11"/>
      <c r="C302" s="12"/>
      <c r="D302" s="735">
        <f>MAX(_xll.xlDateSettle("TARGET",$D$4,2),L302)</f>
        <v>43164</v>
      </c>
      <c r="E302" s="733"/>
      <c r="F302" s="13" t="s">
        <v>2080</v>
      </c>
      <c r="G302" s="35" t="s">
        <v>2080</v>
      </c>
      <c r="H302" s="37" t="s">
        <v>2080</v>
      </c>
      <c r="I302" s="11" t="s">
        <v>2080</v>
      </c>
      <c r="J302" s="11" t="s">
        <v>2080</v>
      </c>
      <c r="K302" s="11" t="s">
        <v>2080</v>
      </c>
      <c r="L302" s="11" t="s">
        <v>2080</v>
      </c>
      <c r="M302" s="12" t="s">
        <v>2080</v>
      </c>
      <c r="N302" s="12" t="s">
        <v>2080</v>
      </c>
      <c r="O302" s="12" t="s">
        <v>2080</v>
      </c>
      <c r="P302" s="12" t="s">
        <v>2080</v>
      </c>
      <c r="Q302" s="15" t="s">
        <v>2080</v>
      </c>
      <c r="R302" s="12"/>
      <c r="S302" s="43" t="str">
        <f>_xll.RtGet("IDN",$N302,IF(OR($G302="BTP,$E11=""CTZ"),S$10,S$9))</f>
        <v>#N/A The record could not be found</v>
      </c>
      <c r="T302" s="43" t="str">
        <f>_xll.RtGet("IDN",$N302,IF(OR($G302="BTP,$E11=""CTZ"),T$10,T$9))</f>
        <v>#N/A The record could not be found</v>
      </c>
      <c r="U302" s="25" t="e">
        <f t="shared" si="34"/>
        <v>#DIV/0!</v>
      </c>
      <c r="V302" s="12"/>
      <c r="W302" s="25" t="e">
        <f t="shared" si="35"/>
        <v>#DIV/0!</v>
      </c>
      <c r="X302" s="14" t="str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Market code not found in bond conventions table</v>
      </c>
      <c r="Y302" s="14" t="str">
        <v>Market code not found in bond conventions table</v>
      </c>
      <c r="Z302" s="14" t="str">
        <v>Market code not found in bond conventions table</v>
      </c>
      <c r="AA302" s="14" t="str">
        <v>Market code not found in bond conventions table</v>
      </c>
      <c r="AB302" s="14" t="str">
        <v>Market code not found in bond conventions table</v>
      </c>
      <c r="AC302" s="14" t="str">
        <v>Market code not found in bond conventions table</v>
      </c>
      <c r="AD302" s="34" t="str">
        <v>Market code not found in bond conventions table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46" t="str">
        <v>Market code not found in bond conventions table</v>
      </c>
      <c r="AL302" s="213" t="e">
        <f>IF(U302&gt;0,_xll.xlBondZSpread(F302,H302,G302,J302,K302,L302,M302,D302,U302,"annual",5)*100,"-")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5" t="str">
        <f>IF($AN$9+(($AL$9-$AM$9))*('DB Basis'!F462/10-'DB Basis'!E462),," ")</f>
        <v xml:space="preserve"> </v>
      </c>
      <c r="AO302" s="648" t="e">
        <f>IF(U302&gt;0,_xll.xlShmImplSwap2(curveName,curveName,D302,G302,,1,8,2,4),"-")</f>
        <v>#DIV/0!</v>
      </c>
      <c r="AP302" s="649" t="str">
        <f t="shared" si="30"/>
        <v>-</v>
      </c>
      <c r="AQ302" s="391" t="str">
        <f t="shared" si="31"/>
        <v>-</v>
      </c>
      <c r="AR302" s="391" t="str">
        <f t="shared" si="32"/>
        <v>-</v>
      </c>
      <c r="AS302" s="393"/>
      <c r="AT302" s="242" t="str">
        <f t="shared" si="33"/>
        <v>-</v>
      </c>
      <c r="AU302" s="701" t="str">
        <f t="shared" si="36"/>
        <v>#ERROR: Invalid ISIN  #ERROR: Invalid ISIN  #ERROR: Invalid ISIN</v>
      </c>
      <c r="AV302" s="717"/>
      <c r="AW302" s="699"/>
      <c r="AX302" s="699"/>
      <c r="AY302" s="699"/>
      <c r="AZ302" s="699"/>
      <c r="BA302" s="699"/>
      <c r="BC302" s="712"/>
      <c r="BE302" s="721">
        <f>_xll.xlDateShiftMonth(BE301,1)</f>
        <v>52045</v>
      </c>
      <c r="BF302" s="722">
        <v>2.8852667896611357E-2</v>
      </c>
    </row>
    <row r="303" spans="1:58">
      <c r="A303" s="10"/>
      <c r="B303" s="11"/>
      <c r="C303" s="12"/>
      <c r="D303" s="735">
        <f>MAX(_xll.xlDateSettle("TARGET",$D$4,2),L303)</f>
        <v>43164</v>
      </c>
      <c r="E303" s="733"/>
      <c r="F303" s="13" t="s">
        <v>2080</v>
      </c>
      <c r="G303" s="35" t="s">
        <v>2080</v>
      </c>
      <c r="H303" s="37" t="s">
        <v>2080</v>
      </c>
      <c r="I303" s="11" t="s">
        <v>2080</v>
      </c>
      <c r="J303" s="11" t="s">
        <v>2080</v>
      </c>
      <c r="K303" s="11" t="s">
        <v>2080</v>
      </c>
      <c r="L303" s="11" t="s">
        <v>2080</v>
      </c>
      <c r="M303" s="12" t="s">
        <v>2080</v>
      </c>
      <c r="N303" s="12" t="s">
        <v>2080</v>
      </c>
      <c r="O303" s="12" t="s">
        <v>2080</v>
      </c>
      <c r="P303" s="12" t="s">
        <v>2080</v>
      </c>
      <c r="Q303" s="15" t="s">
        <v>2080</v>
      </c>
      <c r="R303" s="12"/>
      <c r="S303" s="43" t="str">
        <f>_xll.RtGet("IDN",$N303,IF(OR($G303="BTP,$E11=""CTZ"),S$10,S$9))</f>
        <v>#N/A The record could not be found</v>
      </c>
      <c r="T303" s="43" t="str">
        <f>_xll.RtGet("IDN",$N303,IF(OR($G303="BTP,$E11=""CTZ"),T$10,T$9))</f>
        <v>#N/A The record could not be found</v>
      </c>
      <c r="U303" s="25" t="e">
        <f t="shared" si="34"/>
        <v>#DIV/0!</v>
      </c>
      <c r="V303" s="12"/>
      <c r="W303" s="25" t="e">
        <f t="shared" si="35"/>
        <v>#DIV/0!</v>
      </c>
      <c r="X303" s="14" t="str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Market code not found in bond conventions table</v>
      </c>
      <c r="Y303" s="14" t="str">
        <v>Market code not found in bond conventions table</v>
      </c>
      <c r="Z303" s="14" t="str">
        <v>Market code not found in bond conventions table</v>
      </c>
      <c r="AA303" s="14" t="str">
        <v>Market code not found in bond conventions table</v>
      </c>
      <c r="AB303" s="14" t="str">
        <v>Market code not found in bond conventions table</v>
      </c>
      <c r="AC303" s="14" t="str">
        <v>Market code not found in bond conventions table</v>
      </c>
      <c r="AD303" s="34" t="str">
        <v>Market code not found in bond conventions table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46" t="str">
        <v>Market code not found in bond conventions table</v>
      </c>
      <c r="AL303" s="213" t="e">
        <f>IF(U303&gt;0,_xll.xlBondZSpread(F303,H303,G303,J303,K303,L303,M303,D303,U303,"annual",5)*100,"-")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5" t="str">
        <f>IF($AN$9+(($AL$9-$AM$9))*('DB Basis'!F463/10-'DB Basis'!E463),," ")</f>
        <v xml:space="preserve"> </v>
      </c>
      <c r="AO303" s="648" t="e">
        <f>IF(U303&gt;0,_xll.xlShmImplSwap2(curveName,curveName,D303,G303,,1,8,2,4),"-")</f>
        <v>#DIV/0!</v>
      </c>
      <c r="AP303" s="649" t="str">
        <f t="shared" si="30"/>
        <v>-</v>
      </c>
      <c r="AQ303" s="391" t="str">
        <f t="shared" si="31"/>
        <v>-</v>
      </c>
      <c r="AR303" s="391" t="str">
        <f t="shared" si="32"/>
        <v>-</v>
      </c>
      <c r="AS303" s="393"/>
      <c r="AT303" s="242" t="str">
        <f t="shared" si="33"/>
        <v>-</v>
      </c>
      <c r="AU303" s="701" t="str">
        <f t="shared" si="36"/>
        <v>#ERROR: Invalid ISIN  #ERROR: Invalid ISIN  #ERROR: Invalid ISIN</v>
      </c>
      <c r="AV303" s="717"/>
      <c r="AW303" s="699"/>
      <c r="AX303" s="699"/>
      <c r="AY303" s="699"/>
      <c r="AZ303" s="699"/>
      <c r="BA303" s="699"/>
      <c r="BC303" s="712"/>
      <c r="BE303" s="721">
        <f>_xll.xlDateShiftMonth(BE302,1)</f>
        <v>52075</v>
      </c>
      <c r="BF303" s="722">
        <v>2.8881765579997103E-2</v>
      </c>
    </row>
    <row r="304" spans="1:58">
      <c r="A304" s="10"/>
      <c r="B304" s="11"/>
      <c r="C304" s="12"/>
      <c r="D304" s="735">
        <f>MAX(_xll.xlDateSettle("TARGET",$D$4,2),L304)</f>
        <v>43164</v>
      </c>
      <c r="E304" s="733"/>
      <c r="F304" s="13" t="s">
        <v>2080</v>
      </c>
      <c r="G304" s="35" t="s">
        <v>2080</v>
      </c>
      <c r="H304" s="37" t="s">
        <v>2080</v>
      </c>
      <c r="I304" s="11" t="s">
        <v>2080</v>
      </c>
      <c r="J304" s="11" t="s">
        <v>2080</v>
      </c>
      <c r="K304" s="11" t="s">
        <v>2080</v>
      </c>
      <c r="L304" s="11" t="s">
        <v>2080</v>
      </c>
      <c r="M304" s="12" t="s">
        <v>2080</v>
      </c>
      <c r="N304" s="12" t="s">
        <v>2080</v>
      </c>
      <c r="O304" s="12" t="s">
        <v>2080</v>
      </c>
      <c r="P304" s="12" t="s">
        <v>2080</v>
      </c>
      <c r="Q304" s="15" t="s">
        <v>2080</v>
      </c>
      <c r="R304" s="12"/>
      <c r="S304" s="43" t="str">
        <f>_xll.RtGet("IDN",$N304,IF(OR($G304="BTP,$E11=""CTZ"),S$10,S$9))</f>
        <v>#N/A The record could not be found</v>
      </c>
      <c r="T304" s="43" t="str">
        <f>_xll.RtGet("IDN",$N304,IF(OR($G304="BTP,$E11=""CTZ"),T$10,T$9))</f>
        <v>#N/A The record could not be found</v>
      </c>
      <c r="U304" s="25" t="e">
        <f t="shared" si="34"/>
        <v>#DIV/0!</v>
      </c>
      <c r="V304" s="12"/>
      <c r="W304" s="25" t="e">
        <f t="shared" si="35"/>
        <v>#DIV/0!</v>
      </c>
      <c r="X304" s="14" t="str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Market code not found in bond conventions table</v>
      </c>
      <c r="Y304" s="14" t="str">
        <v>Market code not found in bond conventions table</v>
      </c>
      <c r="Z304" s="14" t="str">
        <v>Market code not found in bond conventions table</v>
      </c>
      <c r="AA304" s="14" t="str">
        <v>Market code not found in bond conventions table</v>
      </c>
      <c r="AB304" s="14" t="str">
        <v>Market code not found in bond conventions table</v>
      </c>
      <c r="AC304" s="14" t="str">
        <v>Market code not found in bond conventions table</v>
      </c>
      <c r="AD304" s="34" t="str">
        <v>Market code not found in bond conventions table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46" t="str">
        <v>Market code not found in bond conventions table</v>
      </c>
      <c r="AL304" s="213" t="e">
        <f>IF(U304&gt;0,_xll.xlBondZSpread(F304,H304,G304,J304,K304,L304,M304,D304,U304,"annual",5)*100,"-")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5" t="str">
        <f>IF($AN$9+(($AL$9-$AM$9))*('DB Basis'!F464/10-'DB Basis'!E464),," ")</f>
        <v xml:space="preserve"> </v>
      </c>
      <c r="AO304" s="648" t="e">
        <f>IF(U304&gt;0,_xll.xlShmImplSwap2(curveName,curveName,D304,G304,,1,8,2,4),"-")</f>
        <v>#DIV/0!</v>
      </c>
      <c r="AP304" s="649" t="str">
        <f t="shared" si="30"/>
        <v>-</v>
      </c>
      <c r="AQ304" s="391" t="str">
        <f t="shared" si="31"/>
        <v>-</v>
      </c>
      <c r="AR304" s="391" t="str">
        <f t="shared" si="32"/>
        <v>-</v>
      </c>
      <c r="AS304" s="393"/>
      <c r="AT304" s="242" t="str">
        <f t="shared" si="33"/>
        <v>-</v>
      </c>
      <c r="AU304" s="701" t="str">
        <f t="shared" si="36"/>
        <v>#ERROR: Invalid ISIN  #ERROR: Invalid ISIN  #ERROR: Invalid ISIN</v>
      </c>
      <c r="AV304" s="717"/>
      <c r="AW304" s="699"/>
      <c r="AX304" s="699"/>
      <c r="AY304" s="699"/>
      <c r="AZ304" s="699"/>
      <c r="BA304" s="699"/>
      <c r="BC304" s="712"/>
      <c r="BE304" s="721">
        <f>_xll.xlDateShiftMonth(BE303,1)</f>
        <v>52106</v>
      </c>
      <c r="BF304" s="722">
        <v>2.8911801382588958E-2</v>
      </c>
    </row>
    <row r="305" spans="1:58">
      <c r="A305" s="10"/>
      <c r="B305" s="11"/>
      <c r="C305" s="12"/>
      <c r="D305" s="735">
        <f>MAX(_xll.xlDateSettle("TARGET",$D$4,2),L305)</f>
        <v>43164</v>
      </c>
      <c r="E305" s="733"/>
      <c r="F305" s="13" t="s">
        <v>2080</v>
      </c>
      <c r="G305" s="35" t="s">
        <v>2080</v>
      </c>
      <c r="H305" s="37" t="s">
        <v>2080</v>
      </c>
      <c r="I305" s="11" t="s">
        <v>2080</v>
      </c>
      <c r="J305" s="11" t="s">
        <v>2080</v>
      </c>
      <c r="K305" s="11" t="s">
        <v>2080</v>
      </c>
      <c r="L305" s="11" t="s">
        <v>2080</v>
      </c>
      <c r="M305" s="12" t="s">
        <v>2080</v>
      </c>
      <c r="N305" s="12" t="s">
        <v>2080</v>
      </c>
      <c r="O305" s="12" t="s">
        <v>2080</v>
      </c>
      <c r="P305" s="12" t="s">
        <v>2080</v>
      </c>
      <c r="Q305" s="15" t="s">
        <v>2080</v>
      </c>
      <c r="R305" s="12"/>
      <c r="S305" s="43" t="str">
        <f>_xll.RtGet("IDN",$N305,IF(OR($G305="BTP,$E11=""CTZ"),S$10,S$9))</f>
        <v>#N/A The record could not be found</v>
      </c>
      <c r="T305" s="43" t="str">
        <f>_xll.RtGet("IDN",$N305,IF(OR($G305="BTP,$E11=""CTZ"),T$10,T$9))</f>
        <v>#N/A The record could not be found</v>
      </c>
      <c r="U305" s="25" t="e">
        <f t="shared" si="34"/>
        <v>#DIV/0!</v>
      </c>
      <c r="V305" s="12"/>
      <c r="W305" s="25" t="e">
        <f t="shared" si="35"/>
        <v>#DIV/0!</v>
      </c>
      <c r="X305" s="14" t="str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Market code not found in bond conventions table</v>
      </c>
      <c r="Y305" s="14" t="str">
        <v>Market code not found in bond conventions table</v>
      </c>
      <c r="Z305" s="14" t="str">
        <v>Market code not found in bond conventions table</v>
      </c>
      <c r="AA305" s="14" t="str">
        <v>Market code not found in bond conventions table</v>
      </c>
      <c r="AB305" s="14" t="str">
        <v>Market code not found in bond conventions table</v>
      </c>
      <c r="AC305" s="14" t="str">
        <v>Market code not found in bond conventions table</v>
      </c>
      <c r="AD305" s="34" t="str">
        <v>Market code not found in bond conventions table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46" t="str">
        <v>Market code not found in bond conventions table</v>
      </c>
      <c r="AL305" s="213" t="e">
        <f>IF(U305&gt;0,_xll.xlBondZSpread(F305,H305,G305,J305,K305,L305,M305,D305,U305,"annual",5)*100,"-")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5" t="str">
        <f>IF($AN$9+(($AL$9-$AM$9))*('DB Basis'!F465/10-'DB Basis'!E465),," ")</f>
        <v xml:space="preserve"> </v>
      </c>
      <c r="AO305" s="648" t="e">
        <f>IF(U305&gt;0,_xll.xlShmImplSwap2(curveName,curveName,D305,G305,,1,8,2,4),"-")</f>
        <v>#DIV/0!</v>
      </c>
      <c r="AP305" s="649" t="str">
        <f t="shared" si="30"/>
        <v>-</v>
      </c>
      <c r="AQ305" s="391" t="str">
        <f t="shared" si="31"/>
        <v>-</v>
      </c>
      <c r="AR305" s="391" t="str">
        <f t="shared" si="32"/>
        <v>-</v>
      </c>
      <c r="AS305" s="393"/>
      <c r="AT305" s="242" t="str">
        <f t="shared" si="33"/>
        <v>-</v>
      </c>
      <c r="AU305" s="701" t="str">
        <f t="shared" si="36"/>
        <v>#ERROR: Invalid ISIN  #ERROR: Invalid ISIN  #ERROR: Invalid ISIN</v>
      </c>
      <c r="AV305" s="717"/>
      <c r="AW305" s="699"/>
      <c r="AX305" s="699"/>
      <c r="AY305" s="699"/>
      <c r="AZ305" s="699"/>
      <c r="BA305" s="699"/>
      <c r="BC305" s="712"/>
      <c r="BE305" s="721">
        <f>_xll.xlDateShiftMonth(BE304,1)</f>
        <v>52137</v>
      </c>
      <c r="BF305" s="722">
        <v>2.8941805345533492E-2</v>
      </c>
    </row>
    <row r="306" spans="1:58">
      <c r="A306" s="10"/>
      <c r="B306" s="11"/>
      <c r="C306" s="12"/>
      <c r="D306" s="735">
        <f>MAX(_xll.xlDateSettle("TARGET",$D$4,2),L306)</f>
        <v>43164</v>
      </c>
      <c r="E306" s="733"/>
      <c r="F306" s="13" t="s">
        <v>2080</v>
      </c>
      <c r="G306" s="35" t="s">
        <v>2080</v>
      </c>
      <c r="H306" s="37" t="s">
        <v>2080</v>
      </c>
      <c r="I306" s="11" t="s">
        <v>2080</v>
      </c>
      <c r="J306" s="11" t="s">
        <v>2080</v>
      </c>
      <c r="K306" s="11" t="s">
        <v>2080</v>
      </c>
      <c r="L306" s="11" t="s">
        <v>2080</v>
      </c>
      <c r="M306" s="12" t="s">
        <v>2080</v>
      </c>
      <c r="N306" s="12" t="s">
        <v>2080</v>
      </c>
      <c r="O306" s="12" t="s">
        <v>2080</v>
      </c>
      <c r="P306" s="12" t="s">
        <v>2080</v>
      </c>
      <c r="Q306" s="15" t="s">
        <v>2080</v>
      </c>
      <c r="R306" s="12"/>
      <c r="S306" s="43" t="str">
        <f>_xll.RtGet("IDN",$N306,IF(OR($G306="BTP,$E11=""CTZ"),S$10,S$9))</f>
        <v>#N/A The record could not be found</v>
      </c>
      <c r="T306" s="43" t="str">
        <f>_xll.RtGet("IDN",$N306,IF(OR($G306="BTP,$E11=""CTZ"),T$10,T$9))</f>
        <v>#N/A The record could not be found</v>
      </c>
      <c r="U306" s="25" t="e">
        <f t="shared" si="34"/>
        <v>#DIV/0!</v>
      </c>
      <c r="V306" s="12"/>
      <c r="W306" s="25" t="e">
        <f t="shared" si="35"/>
        <v>#DIV/0!</v>
      </c>
      <c r="X306" s="14" t="str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Market code not found in bond conventions table</v>
      </c>
      <c r="Y306" s="14" t="str">
        <v>Market code not found in bond conventions table</v>
      </c>
      <c r="Z306" s="14" t="str">
        <v>Market code not found in bond conventions table</v>
      </c>
      <c r="AA306" s="14" t="str">
        <v>Market code not found in bond conventions table</v>
      </c>
      <c r="AB306" s="14" t="str">
        <v>Market code not found in bond conventions table</v>
      </c>
      <c r="AC306" s="14" t="str">
        <v>Market code not found in bond conventions table</v>
      </c>
      <c r="AD306" s="34" t="str">
        <v>Market code not found in bond conventions table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46" t="str">
        <v>Market code not found in bond conventions table</v>
      </c>
      <c r="AL306" s="213" t="e">
        <f>IF(U306&gt;0,_xll.xlBondZSpread(F306,H306,G306,J306,K306,L306,M306,D306,U306,"annual",5)*100,"-")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5" t="str">
        <f>IF($AN$9+(($AL$9-$AM$9))*('DB Basis'!F466/10-'DB Basis'!E466),," ")</f>
        <v xml:space="preserve"> </v>
      </c>
      <c r="AO306" s="648" t="e">
        <f>IF(U306&gt;0,_xll.xlShmImplSwap2(curveName,curveName,D306,G306,,1,8,2,4),"-")</f>
        <v>#DIV/0!</v>
      </c>
      <c r="AP306" s="649" t="str">
        <f t="shared" si="30"/>
        <v>-</v>
      </c>
      <c r="AQ306" s="391" t="str">
        <f t="shared" si="31"/>
        <v>-</v>
      </c>
      <c r="AR306" s="391" t="str">
        <f t="shared" si="32"/>
        <v>-</v>
      </c>
      <c r="AS306" s="393"/>
      <c r="AT306" s="242" t="str">
        <f t="shared" si="33"/>
        <v>-</v>
      </c>
      <c r="AU306" s="701" t="str">
        <f t="shared" si="36"/>
        <v>#ERROR: Invalid ISIN  #ERROR: Invalid ISIN  #ERROR: Invalid ISIN</v>
      </c>
      <c r="AV306" s="717"/>
      <c r="AW306" s="699"/>
      <c r="AX306" s="699"/>
      <c r="AY306" s="699"/>
      <c r="AZ306" s="699"/>
      <c r="BA306" s="699"/>
      <c r="BC306" s="712"/>
      <c r="BE306" s="721">
        <f>_xll.xlDateShiftMonth(BE305,1)</f>
        <v>52167</v>
      </c>
      <c r="BF306" s="722">
        <v>2.8970811585187072E-2</v>
      </c>
    </row>
    <row r="307" spans="1:58">
      <c r="A307" s="10"/>
      <c r="B307" s="11"/>
      <c r="C307" s="12"/>
      <c r="D307" s="735">
        <f>MAX(_xll.xlDateSettle("TARGET",$D$4,2),L307)</f>
        <v>43164</v>
      </c>
      <c r="E307" s="733"/>
      <c r="F307" s="13" t="s">
        <v>2080</v>
      </c>
      <c r="G307" s="35" t="s">
        <v>2080</v>
      </c>
      <c r="H307" s="37" t="s">
        <v>2080</v>
      </c>
      <c r="I307" s="11" t="s">
        <v>2080</v>
      </c>
      <c r="J307" s="11" t="s">
        <v>2080</v>
      </c>
      <c r="K307" s="11" t="s">
        <v>2080</v>
      </c>
      <c r="L307" s="11" t="s">
        <v>2080</v>
      </c>
      <c r="M307" s="12" t="s">
        <v>2080</v>
      </c>
      <c r="N307" s="12" t="s">
        <v>2080</v>
      </c>
      <c r="O307" s="12" t="s">
        <v>2080</v>
      </c>
      <c r="P307" s="12" t="s">
        <v>2080</v>
      </c>
      <c r="Q307" s="15" t="s">
        <v>2080</v>
      </c>
      <c r="R307" s="12"/>
      <c r="S307" s="43" t="str">
        <f>_xll.RtGet("IDN",$N307,IF(OR($G307="BTP,$E11=""CTZ"),S$10,S$9))</f>
        <v>#N/A The record could not be found</v>
      </c>
      <c r="T307" s="43" t="str">
        <f>_xll.RtGet("IDN",$N307,IF(OR($G307="BTP,$E11=""CTZ"),T$10,T$9))</f>
        <v>#N/A The record could not be found</v>
      </c>
      <c r="U307" s="25" t="e">
        <f t="shared" si="34"/>
        <v>#DIV/0!</v>
      </c>
      <c r="V307" s="12"/>
      <c r="W307" s="25" t="e">
        <f t="shared" si="35"/>
        <v>#DIV/0!</v>
      </c>
      <c r="X307" s="14" t="str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Market code not found in bond conventions table</v>
      </c>
      <c r="Y307" s="14" t="str">
        <v>Market code not found in bond conventions table</v>
      </c>
      <c r="Z307" s="14" t="str">
        <v>Market code not found in bond conventions table</v>
      </c>
      <c r="AA307" s="14" t="str">
        <v>Market code not found in bond conventions table</v>
      </c>
      <c r="AB307" s="14" t="str">
        <v>Market code not found in bond conventions table</v>
      </c>
      <c r="AC307" s="14" t="str">
        <v>Market code not found in bond conventions table</v>
      </c>
      <c r="AD307" s="34" t="str">
        <v>Market code not found in bond conventions table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46" t="str">
        <v>Market code not found in bond conventions table</v>
      </c>
      <c r="AL307" s="213" t="e">
        <f>IF(U307&gt;0,_xll.xlBondZSpread(F307,H307,G307,J307,K307,L307,M307,D307,U307,"annual",5)*100,"-")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5" t="str">
        <f>IF($AN$9+(($AL$9-$AM$9))*('DB Basis'!F467/10-'DB Basis'!E467),," ")</f>
        <v xml:space="preserve"> </v>
      </c>
      <c r="AO307" s="648" t="e">
        <f>IF(U307&gt;0,_xll.xlShmImplSwap2(curveName,curveName,D307,G307,,1,8,2,4),"-")</f>
        <v>#DIV/0!</v>
      </c>
      <c r="AP307" s="649" t="str">
        <f t="shared" si="30"/>
        <v>-</v>
      </c>
      <c r="AQ307" s="391" t="str">
        <f t="shared" si="31"/>
        <v>-</v>
      </c>
      <c r="AR307" s="391" t="str">
        <f t="shared" si="32"/>
        <v>-</v>
      </c>
      <c r="AS307" s="393"/>
      <c r="AT307" s="242" t="str">
        <f t="shared" si="33"/>
        <v>-</v>
      </c>
      <c r="AU307" s="701" t="str">
        <f t="shared" si="36"/>
        <v>#ERROR: Invalid ISIN  #ERROR: Invalid ISIN  #ERROR: Invalid ISIN</v>
      </c>
      <c r="AV307" s="717"/>
      <c r="AW307" s="699"/>
      <c r="AX307" s="699"/>
      <c r="AY307" s="699"/>
      <c r="AZ307" s="699"/>
      <c r="BA307" s="699"/>
      <c r="BC307" s="712"/>
      <c r="BE307" s="721">
        <f>_xll.xlDateShiftMonth(BE306,1)</f>
        <v>52198</v>
      </c>
      <c r="BF307" s="722">
        <v>2.9000754328328732E-2</v>
      </c>
    </row>
    <row r="308" spans="1:58">
      <c r="A308" s="10"/>
      <c r="B308" s="11"/>
      <c r="C308" s="12"/>
      <c r="D308" s="735">
        <f>MAX(_xll.xlDateSettle("TARGET",$D$4,2),L308)</f>
        <v>43164</v>
      </c>
      <c r="E308" s="733"/>
      <c r="F308" s="13" t="s">
        <v>2080</v>
      </c>
      <c r="G308" s="35" t="s">
        <v>2080</v>
      </c>
      <c r="H308" s="37" t="s">
        <v>2080</v>
      </c>
      <c r="I308" s="11" t="s">
        <v>2080</v>
      </c>
      <c r="J308" s="11" t="s">
        <v>2080</v>
      </c>
      <c r="K308" s="11" t="s">
        <v>2080</v>
      </c>
      <c r="L308" s="11" t="s">
        <v>2080</v>
      </c>
      <c r="M308" s="12" t="s">
        <v>2080</v>
      </c>
      <c r="N308" s="12" t="s">
        <v>2080</v>
      </c>
      <c r="O308" s="12" t="s">
        <v>2080</v>
      </c>
      <c r="P308" s="12" t="s">
        <v>2080</v>
      </c>
      <c r="Q308" s="15" t="s">
        <v>2080</v>
      </c>
      <c r="R308" s="12"/>
      <c r="S308" s="43" t="str">
        <f>_xll.RtGet("IDN",$N308,IF(OR($G308="BTP,$E11=""CTZ"),S$10,S$9))</f>
        <v>#N/A The record could not be found</v>
      </c>
      <c r="T308" s="43" t="str">
        <f>_xll.RtGet("IDN",$N308,IF(OR($G308="BTP,$E11=""CTZ"),T$10,T$9))</f>
        <v>#N/A The record could not be found</v>
      </c>
      <c r="U308" s="25" t="e">
        <f t="shared" si="34"/>
        <v>#DIV/0!</v>
      </c>
      <c r="V308" s="12"/>
      <c r="W308" s="25" t="e">
        <f t="shared" si="35"/>
        <v>#DIV/0!</v>
      </c>
      <c r="X308" s="14" t="str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Market code not found in bond conventions table</v>
      </c>
      <c r="Y308" s="14" t="str">
        <v>Market code not found in bond conventions table</v>
      </c>
      <c r="Z308" s="14" t="str">
        <v>Market code not found in bond conventions table</v>
      </c>
      <c r="AA308" s="14" t="str">
        <v>Market code not found in bond conventions table</v>
      </c>
      <c r="AB308" s="14" t="str">
        <v>Market code not found in bond conventions table</v>
      </c>
      <c r="AC308" s="14" t="str">
        <v>Market code not found in bond conventions table</v>
      </c>
      <c r="AD308" s="34" t="str">
        <v>Market code not found in bond conventions table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46" t="str">
        <v>Market code not found in bond conventions table</v>
      </c>
      <c r="AL308" s="213" t="e">
        <f>IF(U308&gt;0,_xll.xlBondZSpread(F308,H308,G308,J308,K308,L308,M308,D308,U308,"annual",5)*100,"-")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5" t="str">
        <f>IF($AN$9+(($AL$9-$AM$9))*('DB Basis'!F468/10-'DB Basis'!E468),," ")</f>
        <v xml:space="preserve"> </v>
      </c>
      <c r="AO308" s="648" t="e">
        <f>IF(U308&gt;0,_xll.xlShmImplSwap2(curveName,curveName,D308,G308,,1,8,2,4),"-")</f>
        <v>#DIV/0!</v>
      </c>
      <c r="AP308" s="649" t="str">
        <f t="shared" si="30"/>
        <v>-</v>
      </c>
      <c r="AQ308" s="391" t="str">
        <f t="shared" si="31"/>
        <v>-</v>
      </c>
      <c r="AR308" s="391" t="str">
        <f t="shared" si="32"/>
        <v>-</v>
      </c>
      <c r="AS308" s="393"/>
      <c r="AT308" s="242" t="str">
        <f t="shared" si="33"/>
        <v>-</v>
      </c>
      <c r="AU308" s="701" t="str">
        <f t="shared" si="36"/>
        <v>#ERROR: Invalid ISIN  #ERROR: Invalid ISIN  #ERROR: Invalid ISIN</v>
      </c>
      <c r="AV308" s="717"/>
      <c r="AW308" s="699"/>
      <c r="AX308" s="699"/>
      <c r="AY308" s="699"/>
      <c r="AZ308" s="699"/>
      <c r="BA308" s="699"/>
      <c r="BC308" s="712"/>
      <c r="BE308" s="721">
        <f>_xll.xlDateShiftMonth(BE307,1)</f>
        <v>52228</v>
      </c>
      <c r="BF308" s="722">
        <v>2.9029702242122472E-2</v>
      </c>
    </row>
    <row r="309" spans="1:58">
      <c r="A309" s="10"/>
      <c r="B309" s="11"/>
      <c r="C309" s="12"/>
      <c r="D309" s="735">
        <f>MAX(_xll.xlDateSettle("TARGET",$D$4,2),L309)</f>
        <v>43164</v>
      </c>
      <c r="E309" s="733"/>
      <c r="F309" s="13" t="s">
        <v>2080</v>
      </c>
      <c r="G309" s="35" t="s">
        <v>2080</v>
      </c>
      <c r="H309" s="37" t="s">
        <v>2080</v>
      </c>
      <c r="I309" s="11" t="s">
        <v>2080</v>
      </c>
      <c r="J309" s="11" t="s">
        <v>2080</v>
      </c>
      <c r="K309" s="11" t="s">
        <v>2080</v>
      </c>
      <c r="L309" s="11" t="s">
        <v>2080</v>
      </c>
      <c r="M309" s="12" t="s">
        <v>2080</v>
      </c>
      <c r="N309" s="12" t="s">
        <v>2080</v>
      </c>
      <c r="O309" s="12" t="s">
        <v>2080</v>
      </c>
      <c r="P309" s="12" t="s">
        <v>2080</v>
      </c>
      <c r="Q309" s="15" t="s">
        <v>2080</v>
      </c>
      <c r="R309" s="12"/>
      <c r="S309" s="43" t="str">
        <f>_xll.RtGet("IDN",$N309,IF(OR($G309="BTP,$E11=""CTZ"),S$10,S$9))</f>
        <v>#N/A The record could not be found</v>
      </c>
      <c r="T309" s="43" t="str">
        <f>_xll.RtGet("IDN",$N309,IF(OR($G309="BTP,$E11=""CTZ"),T$10,T$9))</f>
        <v>#N/A The record could not be found</v>
      </c>
      <c r="U309" s="25" t="e">
        <f t="shared" si="34"/>
        <v>#DIV/0!</v>
      </c>
      <c r="V309" s="12"/>
      <c r="W309" s="25" t="e">
        <f t="shared" si="35"/>
        <v>#DIV/0!</v>
      </c>
      <c r="X309" s="14" t="str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Market code not found in bond conventions table</v>
      </c>
      <c r="Y309" s="14" t="str">
        <v>Market code not found in bond conventions table</v>
      </c>
      <c r="Z309" s="14" t="str">
        <v>Market code not found in bond conventions table</v>
      </c>
      <c r="AA309" s="14" t="str">
        <v>Market code not found in bond conventions table</v>
      </c>
      <c r="AB309" s="14" t="str">
        <v>Market code not found in bond conventions table</v>
      </c>
      <c r="AC309" s="14" t="str">
        <v>Market code not found in bond conventions table</v>
      </c>
      <c r="AD309" s="34" t="str">
        <v>Market code not found in bond conventions table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46" t="str">
        <v>Market code not found in bond conventions table</v>
      </c>
      <c r="AL309" s="213" t="e">
        <f>IF(U309&gt;0,_xll.xlBondZSpread(F309,H309,G309,J309,K309,L309,M309,D309,U309,"annual",5)*100,"-")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5" t="str">
        <f>IF($AN$9+(($AL$9-$AM$9))*('DB Basis'!F469/10-'DB Basis'!E469),," ")</f>
        <v xml:space="preserve"> </v>
      </c>
      <c r="AO309" s="648" t="e">
        <f>IF(U309&gt;0,_xll.xlShmImplSwap2(curveName,curveName,D309,G309,,1,8,2,4),"-")</f>
        <v>#DIV/0!</v>
      </c>
      <c r="AP309" s="649" t="str">
        <f t="shared" si="30"/>
        <v>-</v>
      </c>
      <c r="AQ309" s="391" t="str">
        <f t="shared" si="31"/>
        <v>-</v>
      </c>
      <c r="AR309" s="391" t="str">
        <f t="shared" si="32"/>
        <v>-</v>
      </c>
      <c r="AS309" s="393"/>
      <c r="AT309" s="242" t="str">
        <f t="shared" si="33"/>
        <v>-</v>
      </c>
      <c r="AU309" s="701" t="str">
        <f t="shared" si="36"/>
        <v>#ERROR: Invalid ISIN  #ERROR: Invalid ISIN  #ERROR: Invalid ISIN</v>
      </c>
      <c r="AV309" s="717"/>
      <c r="AW309" s="699"/>
      <c r="AX309" s="699"/>
      <c r="AY309" s="699"/>
      <c r="AZ309" s="699"/>
      <c r="BA309" s="699"/>
      <c r="BC309" s="712"/>
      <c r="BE309" s="721">
        <f>_xll.xlDateShiftMonth(BE308,1)</f>
        <v>52259</v>
      </c>
      <c r="BF309" s="722">
        <v>2.9059585664956668E-2</v>
      </c>
    </row>
    <row r="310" spans="1:58">
      <c r="A310" s="10"/>
      <c r="B310" s="11"/>
      <c r="C310" s="12"/>
      <c r="D310" s="735">
        <f>MAX(_xll.xlDateSettle("TARGET",$D$4,2),L310)</f>
        <v>43164</v>
      </c>
      <c r="E310" s="733"/>
      <c r="F310" s="13" t="s">
        <v>2080</v>
      </c>
      <c r="G310" s="35" t="s">
        <v>2080</v>
      </c>
      <c r="H310" s="37" t="s">
        <v>2080</v>
      </c>
      <c r="I310" s="11" t="s">
        <v>2080</v>
      </c>
      <c r="J310" s="11" t="s">
        <v>2080</v>
      </c>
      <c r="K310" s="11" t="s">
        <v>2080</v>
      </c>
      <c r="L310" s="11" t="s">
        <v>2080</v>
      </c>
      <c r="M310" s="12" t="s">
        <v>2080</v>
      </c>
      <c r="N310" s="12" t="s">
        <v>2080</v>
      </c>
      <c r="O310" s="12" t="s">
        <v>2080</v>
      </c>
      <c r="P310" s="12" t="s">
        <v>2080</v>
      </c>
      <c r="Q310" s="15" t="s">
        <v>2080</v>
      </c>
      <c r="R310" s="12"/>
      <c r="S310" s="43" t="str">
        <f>_xll.RtGet("IDN",$N310,IF(OR($G310="BTP,$E11=""CTZ"),S$10,S$9))</f>
        <v>#N/A The record could not be found</v>
      </c>
      <c r="T310" s="43" t="str">
        <f>_xll.RtGet("IDN",$N310,IF(OR($G310="BTP,$E11=""CTZ"),T$10,T$9))</f>
        <v>#N/A The record could not be found</v>
      </c>
      <c r="U310" s="25" t="e">
        <f t="shared" si="34"/>
        <v>#DIV/0!</v>
      </c>
      <c r="V310" s="12"/>
      <c r="W310" s="25" t="e">
        <f t="shared" si="35"/>
        <v>#DIV/0!</v>
      </c>
      <c r="X310" s="14" t="str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Market code not found in bond conventions table</v>
      </c>
      <c r="Y310" s="14" t="str">
        <v>Market code not found in bond conventions table</v>
      </c>
      <c r="Z310" s="14" t="str">
        <v>Market code not found in bond conventions table</v>
      </c>
      <c r="AA310" s="14" t="str">
        <v>Market code not found in bond conventions table</v>
      </c>
      <c r="AB310" s="14" t="str">
        <v>Market code not found in bond conventions table</v>
      </c>
      <c r="AC310" s="14" t="str">
        <v>Market code not found in bond conventions table</v>
      </c>
      <c r="AD310" s="34" t="str">
        <v>Market code not found in bond conventions table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46" t="str">
        <v>Market code not found in bond conventions table</v>
      </c>
      <c r="AL310" s="213" t="e">
        <f>IF(U310&gt;0,_xll.xlBondZSpread(F310,H310,G310,J310,K310,L310,M310,D310,U310,"annual",5)*100,"-")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5" t="str">
        <f>IF($AN$9+(($AL$9-$AM$9))*('DB Basis'!F470/10-'DB Basis'!E470),," ")</f>
        <v xml:space="preserve"> </v>
      </c>
      <c r="AO310" s="648" t="e">
        <f>IF(U310&gt;0,_xll.xlShmImplSwap2(curveName,curveName,D310,G310,,1,8,2,4),"-")</f>
        <v>#DIV/0!</v>
      </c>
      <c r="AP310" s="649" t="str">
        <f t="shared" si="30"/>
        <v>-</v>
      </c>
      <c r="AQ310" s="391" t="str">
        <f t="shared" si="31"/>
        <v>-</v>
      </c>
      <c r="AR310" s="391" t="str">
        <f t="shared" si="32"/>
        <v>-</v>
      </c>
      <c r="AS310" s="393"/>
      <c r="AT310" s="242" t="str">
        <f t="shared" si="33"/>
        <v>-</v>
      </c>
      <c r="AU310" s="701" t="str">
        <f t="shared" si="36"/>
        <v>#ERROR: Invalid ISIN  #ERROR: Invalid ISIN  #ERROR: Invalid ISIN</v>
      </c>
      <c r="AV310" s="717"/>
      <c r="AW310" s="699"/>
      <c r="AX310" s="699"/>
      <c r="AY310" s="699"/>
      <c r="AZ310" s="699"/>
      <c r="BA310" s="699"/>
      <c r="BC310" s="712"/>
      <c r="BE310" s="721">
        <f>_xll.xlDateShiftMonth(BE309,1)</f>
        <v>52290</v>
      </c>
      <c r="BF310" s="722">
        <v>2.9089439669349324E-2</v>
      </c>
    </row>
    <row r="311" spans="1:58">
      <c r="D311" s="273"/>
      <c r="E311" s="734"/>
      <c r="F311" s="2" t="s">
        <v>2080</v>
      </c>
      <c r="G311" s="3" t="s">
        <v>2080</v>
      </c>
      <c r="H311" s="6" t="s">
        <v>2080</v>
      </c>
      <c r="I311" s="19" t="s">
        <v>2080</v>
      </c>
      <c r="J311" s="19" t="s">
        <v>2080</v>
      </c>
      <c r="K311" s="19" t="s">
        <v>2080</v>
      </c>
      <c r="L311" s="19" t="s">
        <v>2080</v>
      </c>
      <c r="M311" s="1" t="s">
        <v>2080</v>
      </c>
      <c r="N311" s="1" t="s">
        <v>2080</v>
      </c>
      <c r="O311" s="1" t="s">
        <v>2080</v>
      </c>
      <c r="P311" s="1" t="s">
        <v>2080</v>
      </c>
      <c r="Q311" s="1" t="s">
        <v>2080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5"/>
      <c r="AO311" s="252"/>
      <c r="AP311" s="255"/>
      <c r="AQ311" s="392"/>
      <c r="AR311" s="391" t="str">
        <f t="shared" si="32"/>
        <v>-</v>
      </c>
      <c r="AS311" s="393"/>
      <c r="AT311" s="242"/>
      <c r="AU311" s="701" t="str">
        <f t="shared" ref="AU311:AU327" si="37">F311&amp;"  "&amp;TEXT(G311,"dd-mmm-yy")&amp;"  "&amp;H311</f>
        <v>#ERROR: Invalid ISIN  #ERROR: Invalid ISIN  #ERROR: Invalid ISIN</v>
      </c>
      <c r="AV311" s="717"/>
      <c r="AW311" s="699"/>
      <c r="AX311" s="699"/>
      <c r="AY311" s="699"/>
      <c r="AZ311" s="699"/>
      <c r="BA311" s="699"/>
      <c r="BE311" s="721">
        <f>_xll.xlDateShiftMonth(BE310,1)</f>
        <v>52318</v>
      </c>
      <c r="BF311" s="722">
        <v>2.9116379698819153E-2</v>
      </c>
    </row>
    <row r="312" spans="1:58">
      <c r="D312" s="273"/>
      <c r="E312" s="734"/>
      <c r="F312" s="2" t="s">
        <v>2080</v>
      </c>
      <c r="G312" s="3" t="s">
        <v>2080</v>
      </c>
      <c r="H312" s="6" t="s">
        <v>2080</v>
      </c>
      <c r="I312" s="19" t="s">
        <v>2080</v>
      </c>
      <c r="J312" s="19" t="s">
        <v>2080</v>
      </c>
      <c r="K312" s="19" t="s">
        <v>2080</v>
      </c>
      <c r="L312" s="19" t="s">
        <v>2080</v>
      </c>
      <c r="M312" s="1" t="s">
        <v>2080</v>
      </c>
      <c r="N312" s="1" t="s">
        <v>2080</v>
      </c>
      <c r="O312" s="1" t="s">
        <v>2080</v>
      </c>
      <c r="P312" s="1" t="s">
        <v>2080</v>
      </c>
      <c r="Q312" s="1" t="s">
        <v>2080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5"/>
      <c r="AO312" s="252"/>
      <c r="AP312" s="255"/>
      <c r="AQ312" s="392"/>
      <c r="AR312" s="391" t="str">
        <f t="shared" si="32"/>
        <v>-</v>
      </c>
      <c r="AS312" s="393"/>
      <c r="AT312" s="242"/>
      <c r="AU312" s="701" t="str">
        <f t="shared" si="37"/>
        <v>#ERROR: Invalid ISIN  #ERROR: Invalid ISIN  #ERROR: Invalid ISIN</v>
      </c>
      <c r="AV312" s="717"/>
      <c r="AW312" s="699"/>
      <c r="AX312" s="699"/>
      <c r="AY312" s="699"/>
      <c r="AZ312" s="699"/>
      <c r="BA312" s="699"/>
      <c r="BE312" s="721">
        <f>_xll.xlDateShiftMonth(BE311,1)</f>
        <v>52349</v>
      </c>
      <c r="BF312" s="722">
        <v>2.9146179068598611E-2</v>
      </c>
    </row>
    <row r="313" spans="1:58">
      <c r="D313" s="273"/>
      <c r="E313" s="734"/>
      <c r="F313" s="2" t="s">
        <v>2080</v>
      </c>
      <c r="G313" s="3" t="s">
        <v>2080</v>
      </c>
      <c r="H313" s="6" t="s">
        <v>2080</v>
      </c>
      <c r="I313" s="19" t="s">
        <v>2080</v>
      </c>
      <c r="J313" s="19" t="s">
        <v>2080</v>
      </c>
      <c r="K313" s="19" t="s">
        <v>2080</v>
      </c>
      <c r="L313" s="19" t="s">
        <v>2080</v>
      </c>
      <c r="M313" s="1" t="s">
        <v>2080</v>
      </c>
      <c r="N313" s="1" t="s">
        <v>2080</v>
      </c>
      <c r="O313" s="1" t="s">
        <v>2080</v>
      </c>
      <c r="P313" s="1" t="s">
        <v>2080</v>
      </c>
      <c r="Q313" s="1" t="s">
        <v>2080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5"/>
      <c r="AO313" s="252"/>
      <c r="AP313" s="255"/>
      <c r="AQ313" s="392"/>
      <c r="AR313" s="391" t="str">
        <f t="shared" si="32"/>
        <v>-</v>
      </c>
      <c r="AS313" s="393"/>
      <c r="AT313" s="242"/>
      <c r="AU313" s="701" t="str">
        <f t="shared" si="37"/>
        <v>#ERROR: Invalid ISIN  #ERROR: Invalid ISIN  #ERROR: Invalid ISIN</v>
      </c>
      <c r="AV313" s="717"/>
      <c r="AW313" s="699"/>
      <c r="AX313" s="699"/>
      <c r="AY313" s="699"/>
      <c r="AZ313" s="699"/>
      <c r="BA313" s="699"/>
      <c r="BE313" s="721">
        <f>_xll.xlDateShiftMonth(BE312,1)</f>
        <v>52379</v>
      </c>
      <c r="BF313" s="722">
        <v>2.9174990509152943E-2</v>
      </c>
    </row>
    <row r="314" spans="1:58">
      <c r="D314" s="273"/>
      <c r="E314" s="734"/>
      <c r="F314" s="2" t="s">
        <v>2080</v>
      </c>
      <c r="G314" s="3" t="s">
        <v>2080</v>
      </c>
      <c r="H314" s="6" t="s">
        <v>2080</v>
      </c>
      <c r="I314" s="19" t="s">
        <v>2080</v>
      </c>
      <c r="J314" s="19" t="s">
        <v>2080</v>
      </c>
      <c r="K314" s="19" t="s">
        <v>2080</v>
      </c>
      <c r="L314" s="19" t="s">
        <v>2080</v>
      </c>
      <c r="M314" s="1" t="s">
        <v>2080</v>
      </c>
      <c r="N314" s="1" t="s">
        <v>2080</v>
      </c>
      <c r="O314" s="1" t="s">
        <v>2080</v>
      </c>
      <c r="P314" s="1" t="s">
        <v>2080</v>
      </c>
      <c r="Q314" s="1" t="s">
        <v>2080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5"/>
      <c r="AO314" s="252"/>
      <c r="AP314" s="255"/>
      <c r="AQ314" s="392"/>
      <c r="AR314" s="391" t="str">
        <f t="shared" si="32"/>
        <v>-</v>
      </c>
      <c r="AS314" s="393"/>
      <c r="AT314" s="242"/>
      <c r="AU314" s="701" t="str">
        <f t="shared" si="37"/>
        <v>#ERROR: Invalid ISIN  #ERROR: Invalid ISIN  #ERROR: Invalid ISIN</v>
      </c>
      <c r="AV314" s="717"/>
      <c r="AW314" s="699"/>
      <c r="AX314" s="699"/>
      <c r="AY314" s="699"/>
      <c r="AZ314" s="699"/>
      <c r="BA314" s="699"/>
      <c r="BE314" s="721">
        <f>_xll.xlDateShiftMonth(BE313,1)</f>
        <v>52410</v>
      </c>
      <c r="BF314" s="722">
        <v>2.9204735260654559E-2</v>
      </c>
    </row>
    <row r="315" spans="1:58">
      <c r="D315" s="273"/>
      <c r="E315" s="734"/>
      <c r="F315" s="2" t="s">
        <v>2080</v>
      </c>
      <c r="G315" s="3" t="s">
        <v>2080</v>
      </c>
      <c r="H315" s="6" t="s">
        <v>2080</v>
      </c>
      <c r="I315" s="19" t="s">
        <v>2080</v>
      </c>
      <c r="J315" s="19" t="s">
        <v>2080</v>
      </c>
      <c r="K315" s="19" t="s">
        <v>2080</v>
      </c>
      <c r="L315" s="19" t="s">
        <v>2080</v>
      </c>
      <c r="M315" s="1" t="s">
        <v>2080</v>
      </c>
      <c r="N315" s="1" t="s">
        <v>2080</v>
      </c>
      <c r="O315" s="1" t="s">
        <v>2080</v>
      </c>
      <c r="P315" s="1" t="s">
        <v>2080</v>
      </c>
      <c r="Q315" s="1" t="s">
        <v>2080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5"/>
      <c r="AO315" s="252"/>
      <c r="AP315" s="255"/>
      <c r="AQ315" s="392"/>
      <c r="AR315" s="391" t="str">
        <f t="shared" si="32"/>
        <v>-</v>
      </c>
      <c r="AS315" s="393"/>
      <c r="AT315" s="242"/>
      <c r="AU315" s="701" t="str">
        <f t="shared" si="37"/>
        <v>#ERROR: Invalid ISIN  #ERROR: Invalid ISIN  #ERROR: Invalid ISIN</v>
      </c>
      <c r="AV315" s="717"/>
      <c r="AW315" s="699"/>
      <c r="AX315" s="699"/>
      <c r="AY315" s="699"/>
      <c r="AZ315" s="699"/>
      <c r="BA315" s="699"/>
      <c r="BE315" s="721">
        <f>_xll.xlDateShiftMonth(BE314,1)</f>
        <v>52440</v>
      </c>
      <c r="BF315" s="722">
        <v>2.9233494763921657E-2</v>
      </c>
    </row>
    <row r="316" spans="1:58">
      <c r="D316" s="273"/>
      <c r="E316" s="734"/>
      <c r="F316" s="2" t="s">
        <v>2080</v>
      </c>
      <c r="G316" s="3" t="s">
        <v>2080</v>
      </c>
      <c r="H316" s="6" t="s">
        <v>2080</v>
      </c>
      <c r="I316" s="19" t="s">
        <v>2080</v>
      </c>
      <c r="J316" s="19" t="s">
        <v>2080</v>
      </c>
      <c r="K316" s="19" t="s">
        <v>2080</v>
      </c>
      <c r="L316" s="19" t="s">
        <v>2080</v>
      </c>
      <c r="M316" s="1" t="s">
        <v>2080</v>
      </c>
      <c r="N316" s="1" t="s">
        <v>2080</v>
      </c>
      <c r="O316" s="1" t="s">
        <v>2080</v>
      </c>
      <c r="P316" s="1" t="s">
        <v>2080</v>
      </c>
      <c r="Q316" s="1" t="s">
        <v>2080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5"/>
      <c r="AO316" s="252"/>
      <c r="AP316" s="255"/>
      <c r="AQ316" s="392"/>
      <c r="AR316" s="391" t="str">
        <f t="shared" si="32"/>
        <v>-</v>
      </c>
      <c r="AS316" s="393"/>
      <c r="AT316" s="242"/>
      <c r="AU316" s="701" t="str">
        <f t="shared" si="37"/>
        <v>#ERROR: Invalid ISIN  #ERROR: Invalid ISIN  #ERROR: Invalid ISIN</v>
      </c>
      <c r="AV316" s="717"/>
      <c r="AW316" s="699"/>
      <c r="AX316" s="699"/>
      <c r="AY316" s="699"/>
      <c r="AZ316" s="699"/>
      <c r="BA316" s="699"/>
      <c r="BE316" s="721">
        <f>_xll.xlDateShiftMonth(BE315,1)</f>
        <v>52471</v>
      </c>
      <c r="BF316" s="722">
        <v>2.926318679664084E-2</v>
      </c>
    </row>
    <row r="317" spans="1:58">
      <c r="D317" s="273"/>
      <c r="E317" s="734"/>
      <c r="F317" s="2" t="s">
        <v>2080</v>
      </c>
      <c r="G317" s="3" t="s">
        <v>2080</v>
      </c>
      <c r="H317" s="6" t="s">
        <v>2080</v>
      </c>
      <c r="I317" s="19" t="s">
        <v>2080</v>
      </c>
      <c r="J317" s="19" t="s">
        <v>2080</v>
      </c>
      <c r="K317" s="19" t="s">
        <v>2080</v>
      </c>
      <c r="L317" s="19" t="s">
        <v>2080</v>
      </c>
      <c r="M317" s="1" t="s">
        <v>2080</v>
      </c>
      <c r="N317" s="1" t="s">
        <v>2080</v>
      </c>
      <c r="O317" s="1" t="s">
        <v>2080</v>
      </c>
      <c r="P317" s="1" t="s">
        <v>2080</v>
      </c>
      <c r="Q317" s="1" t="s">
        <v>2080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5"/>
      <c r="AO317" s="252"/>
      <c r="AP317" s="255"/>
      <c r="AQ317" s="392"/>
      <c r="AR317" s="391" t="str">
        <f t="shared" si="32"/>
        <v>-</v>
      </c>
      <c r="AS317" s="393"/>
      <c r="AT317" s="242"/>
      <c r="AU317" s="701" t="str">
        <f t="shared" si="37"/>
        <v>#ERROR: Invalid ISIN  #ERROR: Invalid ISIN  #ERROR: Invalid ISIN</v>
      </c>
      <c r="AV317" s="717"/>
      <c r="BE317" s="721">
        <f>_xll.xlDateShiftMonth(BE316,1)</f>
        <v>52502</v>
      </c>
      <c r="BF317" s="722">
        <v>2.9292852765791858E-2</v>
      </c>
    </row>
    <row r="318" spans="1:58">
      <c r="D318" s="273"/>
      <c r="E318" s="734"/>
      <c r="F318" s="2" t="s">
        <v>2080</v>
      </c>
      <c r="G318" s="3" t="s">
        <v>2080</v>
      </c>
      <c r="H318" s="6" t="s">
        <v>2080</v>
      </c>
      <c r="I318" s="19" t="s">
        <v>2080</v>
      </c>
      <c r="J318" s="19" t="s">
        <v>2080</v>
      </c>
      <c r="K318" s="19" t="s">
        <v>2080</v>
      </c>
      <c r="L318" s="19" t="s">
        <v>2080</v>
      </c>
      <c r="M318" s="1" t="s">
        <v>2080</v>
      </c>
      <c r="N318" s="1" t="s">
        <v>2080</v>
      </c>
      <c r="O318" s="1" t="s">
        <v>2080</v>
      </c>
      <c r="P318" s="1" t="s">
        <v>2080</v>
      </c>
      <c r="Q318" s="1" t="s">
        <v>2080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5"/>
      <c r="AO318" s="252"/>
      <c r="AP318" s="255"/>
      <c r="AQ318" s="392"/>
      <c r="AR318" s="391" t="str">
        <f t="shared" si="32"/>
        <v>-</v>
      </c>
      <c r="AS318" s="393"/>
      <c r="AT318" s="242"/>
      <c r="AU318" s="701" t="str">
        <f t="shared" si="37"/>
        <v>#ERROR: Invalid ISIN  #ERROR: Invalid ISIN  #ERROR: Invalid ISIN</v>
      </c>
      <c r="AV318" s="717"/>
      <c r="BE318" s="721">
        <f>_xll.xlDateShiftMonth(BE317,1)</f>
        <v>52532</v>
      </c>
      <c r="BF318" s="722">
        <v>2.9321537414274228E-2</v>
      </c>
    </row>
    <row r="319" spans="1:58">
      <c r="D319" s="273"/>
      <c r="E319" s="734"/>
      <c r="F319" s="2" t="s">
        <v>2080</v>
      </c>
      <c r="G319" s="3" t="s">
        <v>2080</v>
      </c>
      <c r="H319" s="6" t="s">
        <v>2080</v>
      </c>
      <c r="I319" s="19" t="s">
        <v>2080</v>
      </c>
      <c r="J319" s="19" t="s">
        <v>2080</v>
      </c>
      <c r="K319" s="19" t="s">
        <v>2080</v>
      </c>
      <c r="L319" s="19" t="s">
        <v>2080</v>
      </c>
      <c r="M319" s="1" t="s">
        <v>2080</v>
      </c>
      <c r="N319" s="1" t="s">
        <v>2080</v>
      </c>
      <c r="O319" s="1" t="s">
        <v>2080</v>
      </c>
      <c r="P319" s="1" t="s">
        <v>2080</v>
      </c>
      <c r="Q319" s="1" t="s">
        <v>2080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5"/>
      <c r="AO319" s="252"/>
      <c r="AP319" s="255"/>
      <c r="AQ319" s="392"/>
      <c r="AR319" s="391" t="str">
        <f t="shared" si="32"/>
        <v>-</v>
      </c>
      <c r="AS319" s="393"/>
      <c r="AT319" s="242"/>
      <c r="AU319" s="701" t="str">
        <f t="shared" si="37"/>
        <v>#ERROR: Invalid ISIN  #ERROR: Invalid ISIN  #ERROR: Invalid ISIN</v>
      </c>
      <c r="AV319" s="717"/>
      <c r="BE319" s="721">
        <f>_xll.xlDateShiftMonth(BE318,1)</f>
        <v>52563</v>
      </c>
      <c r="BF319" s="722">
        <v>2.9351153529455561E-2</v>
      </c>
    </row>
    <row r="320" spans="1:58">
      <c r="D320" s="273"/>
      <c r="E320" s="734"/>
      <c r="F320" s="2" t="s">
        <v>2080</v>
      </c>
      <c r="G320" s="3" t="s">
        <v>2080</v>
      </c>
      <c r="H320" s="6" t="s">
        <v>2080</v>
      </c>
      <c r="I320" s="19" t="s">
        <v>2080</v>
      </c>
      <c r="J320" s="19" t="s">
        <v>2080</v>
      </c>
      <c r="K320" s="19" t="s">
        <v>2080</v>
      </c>
      <c r="L320" s="19" t="s">
        <v>2080</v>
      </c>
      <c r="M320" s="1" t="s">
        <v>2080</v>
      </c>
      <c r="N320" s="1" t="s">
        <v>2080</v>
      </c>
      <c r="O320" s="1" t="s">
        <v>2080</v>
      </c>
      <c r="P320" s="1" t="s">
        <v>2080</v>
      </c>
      <c r="Q320" s="1" t="s">
        <v>2080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5"/>
      <c r="AO320" s="266"/>
      <c r="AP320" s="255"/>
      <c r="AQ320" s="392"/>
      <c r="AR320" s="391" t="str">
        <f t="shared" si="32"/>
        <v>-</v>
      </c>
      <c r="AS320" s="393"/>
      <c r="AT320" s="242"/>
      <c r="AU320" s="701" t="str">
        <f t="shared" si="37"/>
        <v>#ERROR: Invalid ISIN  #ERROR: Invalid ISIN  #ERROR: Invalid ISIN</v>
      </c>
      <c r="AV320" s="717"/>
      <c r="BE320" s="721">
        <f>_xll.xlDateShiftMonth(BE319,1)</f>
        <v>52593</v>
      </c>
      <c r="BF320" s="722">
        <v>2.9379790851271501E-2</v>
      </c>
    </row>
    <row r="321" spans="4:58">
      <c r="D321" s="273"/>
      <c r="E321" s="734"/>
      <c r="F321" s="2" t="s">
        <v>2080</v>
      </c>
      <c r="G321" s="3" t="s">
        <v>2080</v>
      </c>
      <c r="H321" s="6" t="s">
        <v>2080</v>
      </c>
      <c r="I321" s="19" t="s">
        <v>2080</v>
      </c>
      <c r="J321" s="19" t="s">
        <v>2080</v>
      </c>
      <c r="K321" s="19" t="s">
        <v>2080</v>
      </c>
      <c r="L321" s="19" t="s">
        <v>2080</v>
      </c>
      <c r="M321" s="1" t="s">
        <v>2080</v>
      </c>
      <c r="N321" s="1" t="s">
        <v>2080</v>
      </c>
      <c r="O321" s="1" t="s">
        <v>2080</v>
      </c>
      <c r="P321" s="1" t="s">
        <v>2080</v>
      </c>
      <c r="Q321" s="1" t="s">
        <v>2080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5"/>
      <c r="AO321" s="266"/>
      <c r="AP321" s="255"/>
      <c r="AQ321" s="392"/>
      <c r="AR321" s="391" t="str">
        <f t="shared" si="32"/>
        <v>-</v>
      </c>
      <c r="AS321" s="393"/>
      <c r="AT321" s="242"/>
      <c r="AU321" s="701" t="str">
        <f t="shared" si="37"/>
        <v>#ERROR: Invalid ISIN  #ERROR: Invalid ISIN  #ERROR: Invalid ISIN</v>
      </c>
      <c r="AV321" s="717"/>
      <c r="BE321" s="721">
        <f>_xll.xlDateShiftMonth(BE320,1)</f>
        <v>52624</v>
      </c>
      <c r="BF321" s="722">
        <v>2.9409359011978557E-2</v>
      </c>
    </row>
    <row r="322" spans="4:58">
      <c r="D322" s="273"/>
      <c r="E322" s="734"/>
      <c r="F322" s="2" t="s">
        <v>2080</v>
      </c>
      <c r="G322" s="3" t="s">
        <v>2080</v>
      </c>
      <c r="H322" s="6" t="s">
        <v>2080</v>
      </c>
      <c r="I322" s="19" t="s">
        <v>2080</v>
      </c>
      <c r="J322" s="19" t="s">
        <v>2080</v>
      </c>
      <c r="K322" s="19" t="s">
        <v>2080</v>
      </c>
      <c r="L322" s="19" t="s">
        <v>2080</v>
      </c>
      <c r="M322" s="1" t="s">
        <v>2080</v>
      </c>
      <c r="N322" s="1" t="s">
        <v>2080</v>
      </c>
      <c r="O322" s="1" t="s">
        <v>2080</v>
      </c>
      <c r="P322" s="1" t="s">
        <v>2080</v>
      </c>
      <c r="Q322" s="1" t="s">
        <v>2080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5"/>
      <c r="AO322" s="266"/>
      <c r="AP322" s="255"/>
      <c r="AQ322" s="392"/>
      <c r="AR322" s="391" t="str">
        <f t="shared" si="32"/>
        <v>-</v>
      </c>
      <c r="AS322" s="393"/>
      <c r="AU322" s="701" t="str">
        <f t="shared" si="37"/>
        <v>#ERROR: Invalid ISIN  #ERROR: Invalid ISIN  #ERROR: Invalid ISIN</v>
      </c>
      <c r="AV322" s="717"/>
      <c r="BE322" s="721">
        <f>_xll.xlDateShiftMonth(BE321,1)</f>
        <v>52655</v>
      </c>
      <c r="BF322" s="722">
        <v>2.9438903530323243E-2</v>
      </c>
    </row>
    <row r="323" spans="4:58">
      <c r="D323" s="273"/>
      <c r="E323" s="734"/>
      <c r="F323" s="2" t="s">
        <v>2080</v>
      </c>
      <c r="G323" s="3" t="s">
        <v>2080</v>
      </c>
      <c r="H323" s="6" t="s">
        <v>2080</v>
      </c>
      <c r="I323" s="19" t="s">
        <v>2080</v>
      </c>
      <c r="J323" s="19" t="s">
        <v>2080</v>
      </c>
      <c r="K323" s="19" t="s">
        <v>2080</v>
      </c>
      <c r="L323" s="19" t="s">
        <v>2080</v>
      </c>
      <c r="M323" s="1" t="s">
        <v>2080</v>
      </c>
      <c r="N323" s="1" t="s">
        <v>2080</v>
      </c>
      <c r="O323" s="1" t="s">
        <v>2080</v>
      </c>
      <c r="P323" s="1" t="s">
        <v>2080</v>
      </c>
      <c r="Q323" s="1" t="s">
        <v>2080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5"/>
      <c r="AO323" s="266"/>
      <c r="AP323" s="255"/>
      <c r="AQ323" s="392"/>
      <c r="AR323" s="391" t="str">
        <f t="shared" si="32"/>
        <v>-</v>
      </c>
      <c r="AS323" s="393"/>
      <c r="AU323" s="701" t="str">
        <f t="shared" si="37"/>
        <v>#ERROR: Invalid ISIN  #ERROR: Invalid ISIN  #ERROR: Invalid ISIN</v>
      </c>
      <c r="AV323" s="717"/>
      <c r="BE323" s="721">
        <f>_xll.xlDateShiftMonth(BE322,1)</f>
        <v>52684</v>
      </c>
      <c r="BF323" s="722">
        <v>2.9466520981681243E-2</v>
      </c>
    </row>
    <row r="324" spans="4:58">
      <c r="D324" s="273"/>
      <c r="E324" s="734"/>
      <c r="F324" s="2" t="s">
        <v>2080</v>
      </c>
      <c r="G324" s="3" t="s">
        <v>2080</v>
      </c>
      <c r="H324" s="6" t="s">
        <v>2080</v>
      </c>
      <c r="I324" s="19" t="s">
        <v>2080</v>
      </c>
      <c r="J324" s="19" t="s">
        <v>2080</v>
      </c>
      <c r="K324" s="19" t="s">
        <v>2080</v>
      </c>
      <c r="L324" s="19" t="s">
        <v>2080</v>
      </c>
      <c r="M324" s="1" t="s">
        <v>2080</v>
      </c>
      <c r="N324" s="1" t="s">
        <v>2080</v>
      </c>
      <c r="O324" s="1" t="s">
        <v>2080</v>
      </c>
      <c r="P324" s="1" t="s">
        <v>2080</v>
      </c>
      <c r="Q324" s="1" t="s">
        <v>2080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6"/>
      <c r="AO324" s="266"/>
      <c r="AQ324" s="388"/>
      <c r="AR324" s="391" t="str">
        <f t="shared" si="32"/>
        <v>-</v>
      </c>
      <c r="AS324" s="240"/>
      <c r="AU324" s="701" t="str">
        <f t="shared" si="37"/>
        <v>#ERROR: Invalid ISIN  #ERROR: Invalid ISIN  #ERROR: Invalid ISIN</v>
      </c>
      <c r="AV324" s="717"/>
      <c r="BE324" s="721">
        <f>_xll.xlDateShiftMonth(BE323,1)</f>
        <v>52715</v>
      </c>
      <c r="BF324" s="722">
        <v>2.9496021134224781E-2</v>
      </c>
    </row>
    <row r="325" spans="4:58">
      <c r="D325" s="273"/>
      <c r="E325" s="734"/>
      <c r="F325" s="2" t="s">
        <v>2080</v>
      </c>
      <c r="G325" s="3" t="s">
        <v>2080</v>
      </c>
      <c r="H325" s="6" t="s">
        <v>2080</v>
      </c>
      <c r="I325" s="19" t="s">
        <v>2080</v>
      </c>
      <c r="J325" s="19" t="s">
        <v>2080</v>
      </c>
      <c r="K325" s="19" t="s">
        <v>2080</v>
      </c>
      <c r="L325" s="19" t="s">
        <v>2080</v>
      </c>
      <c r="M325" s="1" t="s">
        <v>2080</v>
      </c>
      <c r="N325" s="1" t="s">
        <v>2080</v>
      </c>
      <c r="O325" s="1" t="s">
        <v>2080</v>
      </c>
      <c r="P325" s="1" t="s">
        <v>2080</v>
      </c>
      <c r="Q325" s="1" t="s">
        <v>2080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6"/>
      <c r="AO325" s="266"/>
      <c r="AQ325" s="388"/>
      <c r="AR325" s="391" t="str">
        <f t="shared" si="32"/>
        <v>-</v>
      </c>
      <c r="AS325" s="240"/>
      <c r="AU325" s="701" t="str">
        <f t="shared" si="37"/>
        <v>#ERROR: Invalid ISIN  #ERROR: Invalid ISIN  #ERROR: Invalid ISIN</v>
      </c>
      <c r="AV325" s="717"/>
      <c r="BE325" s="721">
        <f>_xll.xlDateShiftMonth(BE324,1)</f>
        <v>52745</v>
      </c>
      <c r="BF325" s="722">
        <v>2.9524548524376186E-2</v>
      </c>
    </row>
    <row r="326" spans="4:58">
      <c r="D326" s="273"/>
      <c r="E326" s="734"/>
      <c r="F326" s="2" t="s">
        <v>2080</v>
      </c>
      <c r="G326" s="3" t="s">
        <v>2080</v>
      </c>
      <c r="H326" s="6" t="s">
        <v>2080</v>
      </c>
      <c r="I326" s="19" t="s">
        <v>2080</v>
      </c>
      <c r="J326" s="19" t="s">
        <v>2080</v>
      </c>
      <c r="K326" s="19" t="s">
        <v>2080</v>
      </c>
      <c r="L326" s="19" t="s">
        <v>2080</v>
      </c>
      <c r="M326" s="1" t="s">
        <v>2080</v>
      </c>
      <c r="N326" s="1" t="s">
        <v>2080</v>
      </c>
      <c r="O326" s="1" t="s">
        <v>2080</v>
      </c>
      <c r="P326" s="1" t="s">
        <v>2080</v>
      </c>
      <c r="Q326" s="1" t="s">
        <v>2080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7"/>
      <c r="AO326" s="266"/>
      <c r="AQ326" s="383"/>
      <c r="AR326" s="391" t="str">
        <f t="shared" si="32"/>
        <v>-</v>
      </c>
      <c r="AS326" s="240"/>
      <c r="AU326" s="701" t="str">
        <f t="shared" si="37"/>
        <v>#ERROR: Invalid ISIN  #ERROR: Invalid ISIN  #ERROR: Invalid ISIN</v>
      </c>
      <c r="AV326" s="717"/>
      <c r="BE326" s="721">
        <f>_xll.xlDateShiftMonth(BE325,1)</f>
        <v>52776</v>
      </c>
      <c r="BF326" s="722">
        <v>2.9554005455614343E-2</v>
      </c>
    </row>
    <row r="327" spans="4:58">
      <c r="D327" s="273"/>
      <c r="E327" s="734"/>
      <c r="F327" s="2" t="s">
        <v>2080</v>
      </c>
      <c r="G327" s="3" t="s">
        <v>2080</v>
      </c>
      <c r="H327" s="6" t="s">
        <v>2080</v>
      </c>
      <c r="I327" s="19" t="s">
        <v>2080</v>
      </c>
      <c r="J327" s="19" t="s">
        <v>2080</v>
      </c>
      <c r="K327" s="19" t="s">
        <v>2080</v>
      </c>
      <c r="L327" s="19" t="s">
        <v>2080</v>
      </c>
      <c r="M327" s="1" t="s">
        <v>2080</v>
      </c>
      <c r="N327" s="1" t="s">
        <v>2080</v>
      </c>
      <c r="O327" s="1" t="s">
        <v>2080</v>
      </c>
      <c r="P327" s="1" t="s">
        <v>2080</v>
      </c>
      <c r="Q327" s="1" t="s">
        <v>2080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7"/>
      <c r="AO327" s="266"/>
      <c r="AQ327" s="383"/>
      <c r="AR327" s="391" t="str">
        <f t="shared" si="32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701" t="str">
        <f t="shared" si="37"/>
        <v>#ERROR: Invalid ISIN  #ERROR: Invalid ISIN  #ERROR: Invalid ISIN</v>
      </c>
      <c r="AV327" s="717"/>
      <c r="BE327" s="721">
        <f>_xll.xlDateShiftMonth(BE326,1)</f>
        <v>52806</v>
      </c>
      <c r="BF327" s="722">
        <v>2.9582491937806699E-2</v>
      </c>
    </row>
    <row r="328" spans="4:58">
      <c r="D328" s="273"/>
      <c r="E328" s="734"/>
      <c r="F328" s="2" t="s">
        <v>2080</v>
      </c>
      <c r="G328" s="3" t="s">
        <v>2080</v>
      </c>
      <c r="H328" s="6" t="s">
        <v>2080</v>
      </c>
      <c r="I328" s="1" t="s">
        <v>2080</v>
      </c>
      <c r="J328" s="1" t="s">
        <v>2080</v>
      </c>
      <c r="K328" s="1" t="s">
        <v>2080</v>
      </c>
      <c r="L328" s="1" t="s">
        <v>2080</v>
      </c>
      <c r="M328" s="1" t="s">
        <v>2080</v>
      </c>
      <c r="N328" s="1" t="s">
        <v>2080</v>
      </c>
      <c r="O328" s="1" t="s">
        <v>2080</v>
      </c>
      <c r="P328" s="1" t="s">
        <v>2080</v>
      </c>
      <c r="Q328" s="1" t="s">
        <v>2080</v>
      </c>
      <c r="BE328" s="721">
        <f>_xll.xlDateShiftMonth(BE327,1)</f>
        <v>52837</v>
      </c>
      <c r="BF328" s="722">
        <v>2.9611907547234879E-2</v>
      </c>
    </row>
    <row r="329" spans="4:58">
      <c r="D329" s="273"/>
      <c r="E329" s="734"/>
      <c r="F329" s="2" t="s">
        <v>2080</v>
      </c>
      <c r="G329" s="3" t="s">
        <v>2080</v>
      </c>
      <c r="H329" s="6" t="s">
        <v>2080</v>
      </c>
      <c r="I329" s="1" t="s">
        <v>2080</v>
      </c>
      <c r="J329" s="1" t="s">
        <v>2080</v>
      </c>
      <c r="K329" s="1" t="s">
        <v>2080</v>
      </c>
      <c r="L329" s="1" t="s">
        <v>2080</v>
      </c>
      <c r="M329" s="1" t="s">
        <v>2080</v>
      </c>
      <c r="N329" s="1" t="s">
        <v>2080</v>
      </c>
      <c r="O329" s="1" t="s">
        <v>2080</v>
      </c>
      <c r="P329" s="1" t="s">
        <v>2080</v>
      </c>
      <c r="Q329" s="1" t="s">
        <v>2080</v>
      </c>
      <c r="BE329" s="721">
        <f>_xll.xlDateShiftMonth(BE328,1)</f>
        <v>52868</v>
      </c>
      <c r="BF329" s="722">
        <v>2.9641302884998933E-2</v>
      </c>
    </row>
    <row r="330" spans="4:58">
      <c r="D330" s="273"/>
      <c r="E330" s="734"/>
      <c r="F330" s="2" t="s">
        <v>2080</v>
      </c>
      <c r="G330" s="3" t="s">
        <v>2080</v>
      </c>
      <c r="H330" s="6" t="s">
        <v>2080</v>
      </c>
      <c r="I330" s="1" t="s">
        <v>2080</v>
      </c>
      <c r="J330" s="1" t="s">
        <v>2080</v>
      </c>
      <c r="K330" s="1" t="s">
        <v>2080</v>
      </c>
      <c r="L330" s="1" t="s">
        <v>2080</v>
      </c>
      <c r="M330" s="1" t="s">
        <v>2080</v>
      </c>
      <c r="N330" s="1" t="s">
        <v>2080</v>
      </c>
      <c r="O330" s="1" t="s">
        <v>2080</v>
      </c>
      <c r="P330" s="1" t="s">
        <v>2080</v>
      </c>
      <c r="Q330" s="1" t="s">
        <v>2080</v>
      </c>
      <c r="BE330" s="721">
        <f>_xll.xlDateShiftMonth(BE329,1)</f>
        <v>52898</v>
      </c>
      <c r="BF330" s="722">
        <v>2.9669731146803165E-2</v>
      </c>
    </row>
    <row r="331" spans="4:58">
      <c r="D331" s="273"/>
      <c r="E331" s="734"/>
      <c r="F331" s="2" t="s">
        <v>2080</v>
      </c>
      <c r="G331" s="3" t="s">
        <v>2080</v>
      </c>
      <c r="H331" s="6" t="s">
        <v>2080</v>
      </c>
      <c r="I331" s="1" t="s">
        <v>2080</v>
      </c>
      <c r="J331" s="1" t="s">
        <v>2080</v>
      </c>
      <c r="K331" s="1" t="s">
        <v>2080</v>
      </c>
      <c r="L331" s="1" t="s">
        <v>2080</v>
      </c>
      <c r="M331" s="1" t="s">
        <v>2080</v>
      </c>
      <c r="N331" s="1" t="s">
        <v>2080</v>
      </c>
      <c r="O331" s="1" t="s">
        <v>2080</v>
      </c>
      <c r="P331" s="1" t="s">
        <v>2080</v>
      </c>
      <c r="Q331" s="1" t="s">
        <v>2080</v>
      </c>
      <c r="BE331" s="721">
        <f>_xll.xlDateShiftMonth(BE330,1)</f>
        <v>52929</v>
      </c>
      <c r="BF331" s="722">
        <v>2.9699088027569993E-2</v>
      </c>
    </row>
    <row r="332" spans="4:58">
      <c r="D332" s="273"/>
      <c r="E332" s="734"/>
      <c r="F332" s="2" t="s">
        <v>2080</v>
      </c>
      <c r="G332" s="3" t="s">
        <v>2080</v>
      </c>
      <c r="H332" s="6" t="s">
        <v>2080</v>
      </c>
      <c r="I332" s="1" t="s">
        <v>2080</v>
      </c>
      <c r="J332" s="1" t="s">
        <v>2080</v>
      </c>
      <c r="K332" s="1" t="s">
        <v>2080</v>
      </c>
      <c r="L332" s="1" t="s">
        <v>2080</v>
      </c>
      <c r="M332" s="1" t="s">
        <v>2080</v>
      </c>
      <c r="N332" s="1" t="s">
        <v>2080</v>
      </c>
      <c r="O332" s="1" t="s">
        <v>2080</v>
      </c>
      <c r="P332" s="1" t="s">
        <v>2080</v>
      </c>
      <c r="Q332" s="1" t="s">
        <v>2080</v>
      </c>
      <c r="BE332" s="721">
        <f>_xll.xlDateShiftMonth(BE331,1)</f>
        <v>52959</v>
      </c>
      <c r="BF332" s="722">
        <v>2.9727479992035979E-2</v>
      </c>
    </row>
    <row r="333" spans="4:58">
      <c r="D333" s="273"/>
      <c r="E333" s="734"/>
      <c r="F333" s="2" t="s">
        <v>2080</v>
      </c>
      <c r="G333" s="3" t="s">
        <v>2080</v>
      </c>
      <c r="H333" s="6" t="s">
        <v>2080</v>
      </c>
      <c r="I333" s="1" t="s">
        <v>2080</v>
      </c>
      <c r="J333" s="1" t="s">
        <v>2080</v>
      </c>
      <c r="K333" s="1" t="s">
        <v>2080</v>
      </c>
      <c r="L333" s="1" t="s">
        <v>2080</v>
      </c>
      <c r="M333" s="1" t="s">
        <v>2080</v>
      </c>
      <c r="N333" s="1" t="s">
        <v>2080</v>
      </c>
      <c r="O333" s="1" t="s">
        <v>2080</v>
      </c>
      <c r="P333" s="1" t="s">
        <v>2080</v>
      </c>
      <c r="Q333" s="1" t="s">
        <v>2080</v>
      </c>
      <c r="BE333" s="721">
        <f>_xll.xlDateShiftMonth(BE332,1)</f>
        <v>52990</v>
      </c>
      <c r="BF333" s="722">
        <v>2.9756800315300987E-2</v>
      </c>
    </row>
    <row r="334" spans="4:58">
      <c r="D334" s="273"/>
      <c r="E334" s="734"/>
      <c r="F334" s="2" t="s">
        <v>2080</v>
      </c>
      <c r="G334" s="3" t="s">
        <v>2080</v>
      </c>
      <c r="H334" s="6" t="s">
        <v>2080</v>
      </c>
      <c r="I334" s="1" t="s">
        <v>2080</v>
      </c>
      <c r="J334" s="1" t="s">
        <v>2080</v>
      </c>
      <c r="K334" s="1" t="s">
        <v>2080</v>
      </c>
      <c r="L334" s="1" t="s">
        <v>2080</v>
      </c>
      <c r="M334" s="1" t="s">
        <v>2080</v>
      </c>
      <c r="N334" s="1" t="s">
        <v>2080</v>
      </c>
      <c r="O334" s="1" t="s">
        <v>2080</v>
      </c>
      <c r="P334" s="1" t="s">
        <v>2080</v>
      </c>
      <c r="Q334" s="1" t="s">
        <v>2080</v>
      </c>
      <c r="BE334" s="721">
        <f>_xll.xlDateShiftMonth(BE333,1)</f>
        <v>53021</v>
      </c>
      <c r="BF334" s="722">
        <v>2.9786102788107654E-2</v>
      </c>
    </row>
    <row r="335" spans="4:58">
      <c r="D335" s="273"/>
      <c r="E335" s="734"/>
      <c r="F335" s="2" t="s">
        <v>2080</v>
      </c>
      <c r="G335" s="3" t="s">
        <v>2080</v>
      </c>
      <c r="H335" s="6" t="s">
        <v>2080</v>
      </c>
      <c r="I335" s="1" t="s">
        <v>2080</v>
      </c>
      <c r="J335" s="1" t="s">
        <v>2080</v>
      </c>
      <c r="K335" s="1" t="s">
        <v>2080</v>
      </c>
      <c r="L335" s="1" t="s">
        <v>2080</v>
      </c>
      <c r="M335" s="1" t="s">
        <v>2080</v>
      </c>
      <c r="N335" s="1" t="s">
        <v>2080</v>
      </c>
      <c r="O335" s="1" t="s">
        <v>2080</v>
      </c>
      <c r="P335" s="1" t="s">
        <v>2080</v>
      </c>
      <c r="Q335" s="1" t="s">
        <v>2080</v>
      </c>
      <c r="BE335" s="721">
        <f>_xll.xlDateShiftMonth(BE334,1)</f>
        <v>53049</v>
      </c>
      <c r="BF335" s="722">
        <v>2.9812554602944269E-2</v>
      </c>
    </row>
    <row r="336" spans="4:58">
      <c r="D336" s="273"/>
      <c r="E336" s="734"/>
      <c r="F336" s="2" t="s">
        <v>2080</v>
      </c>
      <c r="G336" s="3" t="s">
        <v>2080</v>
      </c>
      <c r="H336" s="6" t="s">
        <v>2080</v>
      </c>
      <c r="I336" s="1" t="s">
        <v>2080</v>
      </c>
      <c r="J336" s="1" t="s">
        <v>2080</v>
      </c>
      <c r="K336" s="1" t="s">
        <v>2080</v>
      </c>
      <c r="L336" s="1" t="s">
        <v>2080</v>
      </c>
      <c r="M336" s="1" t="s">
        <v>2080</v>
      </c>
      <c r="N336" s="1" t="s">
        <v>2080</v>
      </c>
      <c r="O336" s="1" t="s">
        <v>2080</v>
      </c>
      <c r="P336" s="1" t="s">
        <v>2080</v>
      </c>
      <c r="Q336" s="1" t="s">
        <v>2080</v>
      </c>
      <c r="BE336" s="721">
        <f>_xll.xlDateShiftMonth(BE335,1)</f>
        <v>53080</v>
      </c>
      <c r="BF336" s="722">
        <v>2.9841824457621888E-2</v>
      </c>
    </row>
    <row r="337" spans="4:58">
      <c r="D337" s="273"/>
      <c r="E337" s="734"/>
      <c r="F337" s="2" t="s">
        <v>2080</v>
      </c>
      <c r="G337" s="3" t="s">
        <v>2080</v>
      </c>
      <c r="H337" s="6" t="s">
        <v>2080</v>
      </c>
      <c r="I337" s="1" t="s">
        <v>2080</v>
      </c>
      <c r="J337" s="1" t="s">
        <v>2080</v>
      </c>
      <c r="K337" s="1" t="s">
        <v>2080</v>
      </c>
      <c r="L337" s="1" t="s">
        <v>2080</v>
      </c>
      <c r="M337" s="1" t="s">
        <v>2080</v>
      </c>
      <c r="N337" s="1" t="s">
        <v>2080</v>
      </c>
      <c r="O337" s="1" t="s">
        <v>2080</v>
      </c>
      <c r="P337" s="1" t="s">
        <v>2080</v>
      </c>
      <c r="Q337" s="1" t="s">
        <v>2080</v>
      </c>
      <c r="BE337" s="721">
        <f>_xll.xlDateShiftMonth(BE336,1)</f>
        <v>53110</v>
      </c>
      <c r="BF337" s="722">
        <v>2.9870134478467491E-2</v>
      </c>
    </row>
    <row r="338" spans="4:58">
      <c r="D338" s="273"/>
      <c r="E338" s="734"/>
      <c r="F338" s="2" t="s">
        <v>2080</v>
      </c>
      <c r="G338" s="3" t="s">
        <v>2080</v>
      </c>
      <c r="H338" s="6" t="s">
        <v>2080</v>
      </c>
      <c r="I338" s="1" t="s">
        <v>2080</v>
      </c>
      <c r="J338" s="1" t="s">
        <v>2080</v>
      </c>
      <c r="K338" s="1" t="s">
        <v>2080</v>
      </c>
      <c r="L338" s="1" t="s">
        <v>2080</v>
      </c>
      <c r="M338" s="1" t="s">
        <v>2080</v>
      </c>
      <c r="N338" s="1" t="s">
        <v>2080</v>
      </c>
      <c r="O338" s="1" t="s">
        <v>2080</v>
      </c>
      <c r="P338" s="1" t="s">
        <v>2080</v>
      </c>
      <c r="Q338" s="1" t="s">
        <v>2080</v>
      </c>
      <c r="BE338" s="721">
        <f>_xll.xlDateShiftMonth(BE337,1)</f>
        <v>53141</v>
      </c>
      <c r="BF338" s="722">
        <v>2.9899372477672912E-2</v>
      </c>
    </row>
    <row r="339" spans="4:58">
      <c r="D339" s="273"/>
      <c r="E339" s="734"/>
      <c r="F339" s="2" t="s">
        <v>2080</v>
      </c>
      <c r="G339" s="3" t="s">
        <v>2080</v>
      </c>
      <c r="H339" s="6" t="s">
        <v>2080</v>
      </c>
      <c r="I339" s="1" t="s">
        <v>2080</v>
      </c>
      <c r="J339" s="1" t="s">
        <v>2080</v>
      </c>
      <c r="K339" s="1" t="s">
        <v>2080</v>
      </c>
      <c r="L339" s="1" t="s">
        <v>2080</v>
      </c>
      <c r="M339" s="1" t="s">
        <v>2080</v>
      </c>
      <c r="N339" s="1" t="s">
        <v>2080</v>
      </c>
      <c r="O339" s="1" t="s">
        <v>2080</v>
      </c>
      <c r="P339" s="1" t="s">
        <v>2080</v>
      </c>
      <c r="Q339" s="1" t="s">
        <v>2080</v>
      </c>
      <c r="BE339" s="721">
        <f>_xll.xlDateShiftMonth(BE338,1)</f>
        <v>53171</v>
      </c>
      <c r="BF339" s="722">
        <v>2.9927652589752878E-2</v>
      </c>
    </row>
    <row r="340" spans="4:58">
      <c r="D340" s="273"/>
      <c r="E340" s="734"/>
      <c r="F340" s="2" t="s">
        <v>2080</v>
      </c>
      <c r="G340" s="3" t="s">
        <v>2080</v>
      </c>
      <c r="H340" s="6" t="s">
        <v>2080</v>
      </c>
      <c r="I340" s="1" t="s">
        <v>2080</v>
      </c>
      <c r="J340" s="1" t="s">
        <v>2080</v>
      </c>
      <c r="K340" s="1" t="s">
        <v>2080</v>
      </c>
      <c r="L340" s="1" t="s">
        <v>2080</v>
      </c>
      <c r="M340" s="1" t="s">
        <v>2080</v>
      </c>
      <c r="N340" s="1" t="s">
        <v>2080</v>
      </c>
      <c r="O340" s="1" t="s">
        <v>2080</v>
      </c>
      <c r="P340" s="1" t="s">
        <v>2080</v>
      </c>
      <c r="Q340" s="1" t="s">
        <v>2080</v>
      </c>
      <c r="BE340" s="721">
        <f>_xll.xlDateShiftMonth(BE339,1)</f>
        <v>53202</v>
      </c>
      <c r="BF340" s="722">
        <v>2.9956860632981513E-2</v>
      </c>
    </row>
    <row r="341" spans="4:58">
      <c r="D341" s="273"/>
      <c r="E341" s="734"/>
      <c r="F341" s="2" t="s">
        <v>2080</v>
      </c>
      <c r="G341" s="3" t="s">
        <v>2080</v>
      </c>
      <c r="H341" s="6" t="s">
        <v>2080</v>
      </c>
      <c r="I341" s="1" t="s">
        <v>2080</v>
      </c>
      <c r="J341" s="1" t="s">
        <v>2080</v>
      </c>
      <c r="K341" s="1" t="s">
        <v>2080</v>
      </c>
      <c r="L341" s="1" t="s">
        <v>2080</v>
      </c>
      <c r="M341" s="1" t="s">
        <v>2080</v>
      </c>
      <c r="N341" s="1" t="s">
        <v>2080</v>
      </c>
      <c r="O341" s="1" t="s">
        <v>2080</v>
      </c>
      <c r="P341" s="1" t="s">
        <v>2080</v>
      </c>
      <c r="Q341" s="1" t="s">
        <v>2080</v>
      </c>
      <c r="BE341" s="721">
        <f>_xll.xlDateShiftMonth(BE340,1)</f>
        <v>53233</v>
      </c>
      <c r="BF341" s="722">
        <v>2.998605418062518E-2</v>
      </c>
    </row>
    <row r="342" spans="4:58">
      <c r="D342" s="273"/>
      <c r="E342" s="734"/>
      <c r="F342" s="2" t="s">
        <v>2080</v>
      </c>
      <c r="G342" s="3" t="s">
        <v>2080</v>
      </c>
      <c r="H342" s="6" t="s">
        <v>2080</v>
      </c>
      <c r="I342" s="1" t="s">
        <v>2080</v>
      </c>
      <c r="J342" s="1" t="s">
        <v>2080</v>
      </c>
      <c r="K342" s="1" t="s">
        <v>2080</v>
      </c>
      <c r="L342" s="1" t="s">
        <v>2080</v>
      </c>
      <c r="M342" s="1" t="s">
        <v>2080</v>
      </c>
      <c r="N342" s="1" t="s">
        <v>2080</v>
      </c>
      <c r="O342" s="1" t="s">
        <v>2080</v>
      </c>
      <c r="P342" s="1" t="s">
        <v>2080</v>
      </c>
      <c r="Q342" s="1" t="s">
        <v>2080</v>
      </c>
      <c r="BE342" s="721">
        <f>_xll.xlDateShiftMonth(BE341,1)</f>
        <v>53263</v>
      </c>
      <c r="BF342" s="722">
        <v>3.0014292661264458E-2</v>
      </c>
    </row>
    <row r="343" spans="4:58">
      <c r="D343" s="273"/>
      <c r="E343" s="734"/>
      <c r="F343" s="2" t="s">
        <v>2080</v>
      </c>
      <c r="G343" s="3" t="s">
        <v>2080</v>
      </c>
      <c r="H343" s="6" t="s">
        <v>2080</v>
      </c>
      <c r="I343" s="1" t="s">
        <v>2080</v>
      </c>
      <c r="J343" s="1" t="s">
        <v>2080</v>
      </c>
      <c r="K343" s="1" t="s">
        <v>2080</v>
      </c>
      <c r="L343" s="1" t="s">
        <v>2080</v>
      </c>
      <c r="M343" s="1" t="s">
        <v>2080</v>
      </c>
      <c r="N343" s="1" t="s">
        <v>2080</v>
      </c>
      <c r="O343" s="1" t="s">
        <v>2080</v>
      </c>
      <c r="P343" s="1" t="s">
        <v>2080</v>
      </c>
      <c r="Q343" s="1" t="s">
        <v>2080</v>
      </c>
      <c r="BE343" s="721">
        <f>_xll.xlDateShiftMonth(BE342,1)</f>
        <v>53294</v>
      </c>
      <c r="BF343" s="722">
        <v>3.004345911774409E-2</v>
      </c>
    </row>
    <row r="344" spans="4:58">
      <c r="D344" s="273"/>
      <c r="E344" s="734"/>
      <c r="F344" s="2" t="s">
        <v>2080</v>
      </c>
      <c r="G344" s="3" t="s">
        <v>2080</v>
      </c>
      <c r="H344" s="6" t="s">
        <v>2080</v>
      </c>
      <c r="I344" s="1" t="s">
        <v>2080</v>
      </c>
      <c r="J344" s="1" t="s">
        <v>2080</v>
      </c>
      <c r="K344" s="1" t="s">
        <v>2080</v>
      </c>
      <c r="L344" s="1" t="s">
        <v>2080</v>
      </c>
      <c r="M344" s="1" t="s">
        <v>2080</v>
      </c>
      <c r="N344" s="1" t="s">
        <v>2080</v>
      </c>
      <c r="O344" s="1" t="s">
        <v>2080</v>
      </c>
      <c r="P344" s="1" t="s">
        <v>2080</v>
      </c>
      <c r="Q344" s="1" t="s">
        <v>2080</v>
      </c>
      <c r="BE344" s="721">
        <f>_xll.xlDateShiftMonth(BE343,1)</f>
        <v>53324</v>
      </c>
      <c r="BF344" s="722">
        <v>3.0071672300238529E-2</v>
      </c>
    </row>
    <row r="345" spans="4:58">
      <c r="D345" s="273"/>
      <c r="E345" s="734"/>
      <c r="F345" s="2" t="s">
        <v>2080</v>
      </c>
      <c r="G345" s="3" t="s">
        <v>2080</v>
      </c>
      <c r="H345" s="6" t="s">
        <v>2080</v>
      </c>
      <c r="I345" s="1" t="s">
        <v>2080</v>
      </c>
      <c r="J345" s="1" t="s">
        <v>2080</v>
      </c>
      <c r="K345" s="1" t="s">
        <v>2080</v>
      </c>
      <c r="L345" s="1" t="s">
        <v>2080</v>
      </c>
      <c r="M345" s="1" t="s">
        <v>2080</v>
      </c>
      <c r="N345" s="1" t="s">
        <v>2080</v>
      </c>
      <c r="O345" s="1" t="s">
        <v>2080</v>
      </c>
      <c r="P345" s="1" t="s">
        <v>2080</v>
      </c>
      <c r="Q345" s="1" t="s">
        <v>2080</v>
      </c>
      <c r="BE345" s="721">
        <f>_xll.xlDateShiftMonth(BE344,1)</f>
        <v>53355</v>
      </c>
      <c r="BF345" s="722">
        <v>3.0100813565049529E-2</v>
      </c>
    </row>
    <row r="346" spans="4:58">
      <c r="D346" s="273"/>
      <c r="F346" s="2" t="s">
        <v>2080</v>
      </c>
      <c r="G346" s="3" t="s">
        <v>2080</v>
      </c>
      <c r="H346" s="6" t="s">
        <v>2080</v>
      </c>
      <c r="I346" s="1" t="s">
        <v>2080</v>
      </c>
      <c r="J346" s="1" t="s">
        <v>2080</v>
      </c>
      <c r="K346" s="1" t="s">
        <v>2080</v>
      </c>
      <c r="L346" s="1" t="s">
        <v>2080</v>
      </c>
      <c r="M346" s="1" t="s">
        <v>2080</v>
      </c>
      <c r="N346" s="1" t="s">
        <v>2080</v>
      </c>
      <c r="O346" s="1" t="s">
        <v>2080</v>
      </c>
      <c r="P346" s="1" t="s">
        <v>2080</v>
      </c>
      <c r="Q346" s="1" t="s">
        <v>2080</v>
      </c>
      <c r="BE346" s="721">
        <f>_xll.xlDateShiftMonth(BE345,1)</f>
        <v>53386</v>
      </c>
      <c r="BF346" s="722">
        <v>3.0129942755481351E-2</v>
      </c>
    </row>
    <row r="347" spans="4:58">
      <c r="D347" s="273"/>
      <c r="F347" s="2" t="s">
        <v>2080</v>
      </c>
      <c r="G347" s="3" t="s">
        <v>2080</v>
      </c>
      <c r="H347" s="6" t="s">
        <v>2080</v>
      </c>
      <c r="I347" s="1" t="s">
        <v>2080</v>
      </c>
      <c r="J347" s="1" t="s">
        <v>2080</v>
      </c>
      <c r="K347" s="1" t="s">
        <v>2080</v>
      </c>
      <c r="L347" s="1" t="s">
        <v>2080</v>
      </c>
      <c r="M347" s="1" t="s">
        <v>2080</v>
      </c>
      <c r="N347" s="1" t="s">
        <v>2080</v>
      </c>
      <c r="O347" s="1" t="s">
        <v>2080</v>
      </c>
      <c r="P347" s="1" t="s">
        <v>2080</v>
      </c>
      <c r="Q347" s="1" t="s">
        <v>2080</v>
      </c>
      <c r="BE347" s="721">
        <f>_xll.xlDateShiftMonth(BE346,1)</f>
        <v>53414</v>
      </c>
      <c r="BF347" s="722">
        <v>3.0156243021868458E-2</v>
      </c>
    </row>
    <row r="348" spans="4:58">
      <c r="D348" s="273"/>
      <c r="F348" s="2" t="s">
        <v>2080</v>
      </c>
      <c r="G348" s="3" t="s">
        <v>2080</v>
      </c>
      <c r="H348" s="6" t="s">
        <v>2080</v>
      </c>
      <c r="I348" s="1" t="s">
        <v>2080</v>
      </c>
      <c r="J348" s="1" t="s">
        <v>2080</v>
      </c>
      <c r="K348" s="1" t="s">
        <v>2080</v>
      </c>
      <c r="L348" s="1" t="s">
        <v>2080</v>
      </c>
      <c r="M348" s="1" t="s">
        <v>2080</v>
      </c>
      <c r="N348" s="1" t="s">
        <v>2080</v>
      </c>
      <c r="O348" s="1" t="s">
        <v>2080</v>
      </c>
      <c r="P348" s="1" t="s">
        <v>2080</v>
      </c>
      <c r="Q348" s="1" t="s">
        <v>2080</v>
      </c>
      <c r="BE348" s="721">
        <f>_xll.xlDateShiftMonth(BE347,1)</f>
        <v>53445</v>
      </c>
      <c r="BF348" s="722">
        <v>3.0185350587354155E-2</v>
      </c>
    </row>
    <row r="349" spans="4:58">
      <c r="D349" s="273"/>
      <c r="F349" s="2" t="s">
        <v>2080</v>
      </c>
      <c r="G349" s="3" t="s">
        <v>2080</v>
      </c>
      <c r="H349" s="6" t="s">
        <v>2080</v>
      </c>
      <c r="I349" s="1" t="s">
        <v>2080</v>
      </c>
      <c r="J349" s="1" t="s">
        <v>2080</v>
      </c>
      <c r="K349" s="1" t="s">
        <v>2080</v>
      </c>
      <c r="L349" s="1" t="s">
        <v>2080</v>
      </c>
      <c r="M349" s="1" t="s">
        <v>2080</v>
      </c>
      <c r="N349" s="1" t="s">
        <v>2080</v>
      </c>
      <c r="O349" s="1" t="s">
        <v>2080</v>
      </c>
      <c r="P349" s="1" t="s">
        <v>2080</v>
      </c>
      <c r="Q349" s="1" t="s">
        <v>2080</v>
      </c>
      <c r="BE349" s="721">
        <f>_xll.xlDateShiftMonth(BE348,1)</f>
        <v>53475</v>
      </c>
      <c r="BF349" s="722">
        <v>3.0213509053739762E-2</v>
      </c>
    </row>
    <row r="350" spans="4:58">
      <c r="F350" s="2" t="s">
        <v>2080</v>
      </c>
      <c r="G350" s="3" t="s">
        <v>2080</v>
      </c>
      <c r="H350" s="6" t="s">
        <v>2080</v>
      </c>
      <c r="I350" s="1" t="s">
        <v>2080</v>
      </c>
      <c r="J350" s="1" t="s">
        <v>2080</v>
      </c>
      <c r="K350" s="1" t="s">
        <v>2080</v>
      </c>
      <c r="L350" s="1" t="s">
        <v>2080</v>
      </c>
      <c r="M350" s="1" t="s">
        <v>2080</v>
      </c>
      <c r="N350" s="1" t="s">
        <v>2080</v>
      </c>
      <c r="O350" s="1" t="s">
        <v>2080</v>
      </c>
      <c r="P350" s="1" t="s">
        <v>2080</v>
      </c>
      <c r="Q350" s="1" t="s">
        <v>2080</v>
      </c>
      <c r="BE350" s="721">
        <f>_xll.xlDateShiftMonth(BE349,1)</f>
        <v>53506</v>
      </c>
      <c r="BF350" s="722">
        <v>3.0242596129586446E-2</v>
      </c>
    </row>
    <row r="351" spans="4:58">
      <c r="F351" s="2" t="s">
        <v>2080</v>
      </c>
      <c r="G351" s="3" t="s">
        <v>2080</v>
      </c>
      <c r="H351" s="6" t="s">
        <v>2080</v>
      </c>
      <c r="I351" s="1" t="s">
        <v>2080</v>
      </c>
      <c r="J351" s="1" t="s">
        <v>2080</v>
      </c>
      <c r="K351" s="1" t="s">
        <v>2080</v>
      </c>
      <c r="L351" s="1" t="s">
        <v>2080</v>
      </c>
      <c r="M351" s="1" t="s">
        <v>2080</v>
      </c>
      <c r="N351" s="1" t="s">
        <v>2080</v>
      </c>
      <c r="O351" s="1" t="s">
        <v>2080</v>
      </c>
      <c r="P351" s="1" t="s">
        <v>2080</v>
      </c>
      <c r="Q351" s="1" t="s">
        <v>2080</v>
      </c>
      <c r="BE351" s="721">
        <f>_xll.xlDateShiftMonth(BE350,1)</f>
        <v>53536</v>
      </c>
      <c r="BF351" s="722">
        <v>3.0270735686399826E-2</v>
      </c>
    </row>
    <row r="352" spans="4:58">
      <c r="F352" s="2" t="s">
        <v>2080</v>
      </c>
      <c r="G352" s="3" t="s">
        <v>2080</v>
      </c>
      <c r="H352" s="6" t="s">
        <v>2080</v>
      </c>
      <c r="I352" s="1" t="s">
        <v>2080</v>
      </c>
      <c r="J352" s="1" t="s">
        <v>2080</v>
      </c>
      <c r="K352" s="1" t="s">
        <v>2080</v>
      </c>
      <c r="L352" s="1" t="s">
        <v>2080</v>
      </c>
      <c r="M352" s="1" t="s">
        <v>2080</v>
      </c>
      <c r="N352" s="1" t="s">
        <v>2080</v>
      </c>
      <c r="O352" s="1" t="s">
        <v>2080</v>
      </c>
      <c r="P352" s="1" t="s">
        <v>2080</v>
      </c>
      <c r="Q352" s="1" t="s">
        <v>2080</v>
      </c>
      <c r="BE352" s="721">
        <f>_xll.xlDateShiftMonth(BE351,1)</f>
        <v>53567</v>
      </c>
      <c r="BF352" s="722">
        <v>3.0299804172102911E-2</v>
      </c>
    </row>
    <row r="353" spans="6:58">
      <c r="F353" s="2" t="s">
        <v>2080</v>
      </c>
      <c r="G353" s="3" t="s">
        <v>2080</v>
      </c>
      <c r="H353" s="6" t="s">
        <v>2080</v>
      </c>
      <c r="I353" s="1" t="s">
        <v>2080</v>
      </c>
      <c r="J353" s="1" t="s">
        <v>2080</v>
      </c>
      <c r="K353" s="1" t="s">
        <v>2080</v>
      </c>
      <c r="L353" s="1" t="s">
        <v>2080</v>
      </c>
      <c r="M353" s="1" t="s">
        <v>2080</v>
      </c>
      <c r="N353" s="1" t="s">
        <v>2080</v>
      </c>
      <c r="O353" s="1" t="s">
        <v>2080</v>
      </c>
      <c r="P353" s="1" t="s">
        <v>2080</v>
      </c>
      <c r="Q353" s="1" t="s">
        <v>2080</v>
      </c>
      <c r="BE353" s="721">
        <f>_xll.xlDateShiftMonth(BE352,1)</f>
        <v>53598</v>
      </c>
      <c r="BF353" s="722">
        <v>3.0328863938300196E-2</v>
      </c>
    </row>
    <row r="354" spans="6:58">
      <c r="F354" s="2" t="s">
        <v>2080</v>
      </c>
      <c r="G354" s="3" t="s">
        <v>2080</v>
      </c>
      <c r="H354" s="6" t="s">
        <v>2080</v>
      </c>
      <c r="I354" s="1" t="s">
        <v>2080</v>
      </c>
      <c r="J354" s="1" t="s">
        <v>2080</v>
      </c>
      <c r="K354" s="1" t="s">
        <v>2080</v>
      </c>
      <c r="L354" s="1" t="s">
        <v>2080</v>
      </c>
      <c r="M354" s="1" t="s">
        <v>2080</v>
      </c>
      <c r="N354" s="1" t="s">
        <v>2080</v>
      </c>
      <c r="O354" s="1" t="s">
        <v>2080</v>
      </c>
      <c r="P354" s="1" t="s">
        <v>2080</v>
      </c>
      <c r="Q354" s="1" t="s">
        <v>2080</v>
      </c>
      <c r="BE354" s="721">
        <f>_xll.xlDateShiftMonth(BE353,1)</f>
        <v>53628</v>
      </c>
      <c r="BF354" s="722">
        <v>3.0356978452620323E-2</v>
      </c>
    </row>
    <row r="355" spans="6:58">
      <c r="F355" s="2" t="s">
        <v>2080</v>
      </c>
      <c r="G355" s="3" t="s">
        <v>2080</v>
      </c>
      <c r="H355" s="6" t="s">
        <v>2080</v>
      </c>
      <c r="I355" s="1" t="s">
        <v>2080</v>
      </c>
      <c r="J355" s="1" t="s">
        <v>2080</v>
      </c>
      <c r="K355" s="1" t="s">
        <v>2080</v>
      </c>
      <c r="L355" s="1" t="s">
        <v>2080</v>
      </c>
      <c r="M355" s="1" t="s">
        <v>2080</v>
      </c>
      <c r="N355" s="1" t="s">
        <v>2080</v>
      </c>
      <c r="O355" s="1" t="s">
        <v>2080</v>
      </c>
      <c r="P355" s="1" t="s">
        <v>2080</v>
      </c>
      <c r="Q355" s="1" t="s">
        <v>2080</v>
      </c>
      <c r="BE355" s="721">
        <f>_xll.xlDateShiftMonth(BE354,1)</f>
        <v>53659</v>
      </c>
      <c r="BF355" s="722">
        <v>3.0386022493486757E-2</v>
      </c>
    </row>
    <row r="356" spans="6:58">
      <c r="BE356" s="721">
        <f>_xll.xlDateShiftMonth(BE355,1)</f>
        <v>53689</v>
      </c>
      <c r="BF356" s="722">
        <v>3.0414122708855452E-2</v>
      </c>
    </row>
    <row r="357" spans="6:58">
      <c r="BE357" s="721">
        <f>_xll.xlDateShiftMonth(BE356,1)</f>
        <v>53720</v>
      </c>
      <c r="BF357" s="722">
        <v>3.0443152923886444E-2</v>
      </c>
    </row>
    <row r="358" spans="6:58">
      <c r="BE358" s="721">
        <f>_xll.xlDateShiftMonth(BE357,1)</f>
        <v>53751</v>
      </c>
      <c r="BF358" s="722">
        <v>3.0472176840617423E-2</v>
      </c>
    </row>
    <row r="359" spans="6:58">
      <c r="BE359" s="721">
        <f>_xll.xlDateShiftMonth(BE358,1)</f>
        <v>53779</v>
      </c>
      <c r="BF359" s="722">
        <v>3.0498386985744436E-2</v>
      </c>
    </row>
    <row r="360" spans="6:58">
      <c r="BE360" s="721">
        <f>_xll.xlDateShiftMonth(BE359,1)</f>
        <v>53810</v>
      </c>
      <c r="BF360" s="722">
        <v>3.0527400270712206E-2</v>
      </c>
    </row>
    <row r="361" spans="6:58">
      <c r="BE361" s="721">
        <f>_xll.xlDateShiftMonth(BE360,1)</f>
        <v>53840</v>
      </c>
      <c r="BF361" s="722">
        <v>3.055547299748362E-2</v>
      </c>
    </row>
    <row r="362" spans="6:58">
      <c r="BE362" s="721">
        <f>_xll.xlDateShiftMonth(BE361,1)</f>
        <v>53871</v>
      </c>
      <c r="BF362" s="722">
        <v>3.0584477158645571E-2</v>
      </c>
    </row>
    <row r="363" spans="6:58">
      <c r="BE363" s="721">
        <f>_xll.xlDateShiftMonth(BE362,1)</f>
        <v>53901</v>
      </c>
      <c r="BF363" s="722">
        <v>3.0612541975038165E-2</v>
      </c>
    </row>
    <row r="364" spans="6:58">
      <c r="BE364" s="721">
        <f>_xll.xlDateShiftMonth(BE363,1)</f>
        <v>53932</v>
      </c>
      <c r="BF364" s="722">
        <v>3.0641538911889706E-2</v>
      </c>
    </row>
    <row r="365" spans="6:58">
      <c r="BE365" s="721">
        <f>_xll.xlDateShiftMonth(BE364,1)</f>
        <v>53963</v>
      </c>
      <c r="BF365" s="722">
        <v>3.0670532905314601E-2</v>
      </c>
    </row>
    <row r="366" spans="6:58">
      <c r="BE366" s="721">
        <f>_xll.xlDateShiftMonth(BE365,1)</f>
        <v>53993</v>
      </c>
      <c r="BF366" s="722">
        <v>3.069858926816138E-2</v>
      </c>
    </row>
    <row r="367" spans="6:58">
      <c r="BE367" s="721">
        <f>_xll.xlDateShiftMonth(BE366,1)</f>
        <v>54024</v>
      </c>
      <c r="BF367" s="722">
        <v>3.0727578902088614E-2</v>
      </c>
    </row>
    <row r="368" spans="6:58">
      <c r="BE368" s="721">
        <f>_xll.xlDateShiftMonth(BE367,1)</f>
        <v>54054</v>
      </c>
      <c r="BF368" s="722">
        <v>3.0755631965177371E-2</v>
      </c>
    </row>
    <row r="369" spans="57:58">
      <c r="BE369" s="721">
        <f>_xll.xlDateShiftMonth(BE368,1)</f>
        <v>54085</v>
      </c>
      <c r="BF369" s="722">
        <v>3.0784619139102354E-2</v>
      </c>
    </row>
    <row r="370" spans="57:58">
      <c r="BE370" s="721">
        <f>_xll.xlDateShiftMonth(BE369,1)</f>
        <v>54116</v>
      </c>
      <c r="BF370" s="722">
        <v>3.0813605790806484E-2</v>
      </c>
    </row>
    <row r="371" spans="57:58">
      <c r="BE371" s="721">
        <f>_xll.xlDateShiftMonth(BE370,1)</f>
        <v>54145</v>
      </c>
      <c r="BF371" s="722">
        <v>3.0840722297745406E-2</v>
      </c>
    </row>
    <row r="372" spans="57:58">
      <c r="BE372" s="721">
        <f>_xll.xlDateShiftMonth(BE371,1)</f>
        <v>54176</v>
      </c>
      <c r="BF372" s="722">
        <v>3.0869709332309397E-2</v>
      </c>
    </row>
    <row r="373" spans="57:58">
      <c r="BE373" s="721">
        <f>_xll.xlDateShiftMonth(BE372,1)</f>
        <v>54206</v>
      </c>
      <c r="BF373" s="722">
        <v>3.0897762170128348E-2</v>
      </c>
    </row>
    <row r="374" spans="57:58">
      <c r="BE374" s="721">
        <f>_xll.xlDateShiftMonth(BE373,1)</f>
        <v>54237</v>
      </c>
      <c r="BF374" s="722">
        <v>3.0926751477858977E-2</v>
      </c>
    </row>
    <row r="375" spans="57:58">
      <c r="BE375" s="721">
        <f>_xll.xlDateShiftMonth(BE374,1)</f>
        <v>54267</v>
      </c>
      <c r="BF375" s="722">
        <v>3.0954807434627293E-2</v>
      </c>
    </row>
    <row r="376" spans="57:58">
      <c r="BE376" s="721">
        <f>_xll.xlDateShiftMonth(BE375,1)</f>
        <v>54298</v>
      </c>
      <c r="BF376" s="722">
        <v>3.0983800915019972E-2</v>
      </c>
    </row>
    <row r="377" spans="57:58">
      <c r="BE377" s="721">
        <f>_xll.xlDateShiftMonth(BE376,1)</f>
        <v>54329</v>
      </c>
      <c r="BF377" s="722">
        <v>3.1012797243890045E-2</v>
      </c>
    </row>
    <row r="378" spans="57:58">
      <c r="BE378" s="721">
        <f>_xll.xlDateShiftMonth(BE377,1)</f>
        <v>54359</v>
      </c>
      <c r="BF378" s="722">
        <v>3.104086138150915E-2</v>
      </c>
    </row>
    <row r="379" spans="57:58">
      <c r="BE379" s="721">
        <f>_xll.xlDateShiftMonth(BE378,1)</f>
        <v>54390</v>
      </c>
      <c r="BF379" s="722">
        <v>3.1069864747854021E-2</v>
      </c>
    </row>
    <row r="380" spans="57:58">
      <c r="BE380" s="721">
        <f>_xll.xlDateShiftMonth(BE379,1)</f>
        <v>54420</v>
      </c>
      <c r="BF380" s="722">
        <v>3.1097936615043287E-2</v>
      </c>
    </row>
    <row r="381" spans="57:58">
      <c r="BE381" s="721">
        <f>_xll.xlDateShiftMonth(BE380,1)</f>
        <v>54451</v>
      </c>
      <c r="BF381" s="722">
        <v>3.1126948918358363E-2</v>
      </c>
    </row>
    <row r="382" spans="57:58">
      <c r="BE382" s="721">
        <f>_xll.xlDateShiftMonth(BE381,1)</f>
        <v>54482</v>
      </c>
      <c r="BF382" s="722">
        <v>3.1155966491356619E-2</v>
      </c>
    </row>
    <row r="383" spans="57:58">
      <c r="BE383" s="721">
        <f>_xll.xlDateShiftMonth(BE382,1)</f>
        <v>54510</v>
      </c>
      <c r="BF383" s="722">
        <v>3.1182180849588854E-2</v>
      </c>
    </row>
    <row r="384" spans="57:58">
      <c r="BE384" s="721">
        <f>_xll.xlDateShiftMonth(BE383,1)</f>
        <v>54541</v>
      </c>
      <c r="BF384" s="722">
        <v>3.1211209807308054E-2</v>
      </c>
    </row>
    <row r="385" spans="57:58">
      <c r="BE385" s="721">
        <f>_xll.xlDateShiftMonth(BE384,1)</f>
        <v>54571</v>
      </c>
      <c r="BF385" s="722">
        <v>3.1239308715519068E-2</v>
      </c>
    </row>
    <row r="386" spans="57:58">
      <c r="BE386" s="721">
        <f>_xll.xlDateShiftMonth(BE385,1)</f>
        <v>54602</v>
      </c>
      <c r="BF386" s="722">
        <v>3.1268351312238089E-2</v>
      </c>
    </row>
    <row r="387" spans="57:58">
      <c r="BE387" s="721">
        <f>_xll.xlDateShiftMonth(BE386,1)</f>
        <v>54632</v>
      </c>
      <c r="BF387" s="722">
        <v>3.129646433859188E-2</v>
      </c>
    </row>
    <row r="388" spans="57:58">
      <c r="BE388" s="721">
        <f>_xll.xlDateShiftMonth(BE387,1)</f>
        <v>54663</v>
      </c>
      <c r="BF388" s="722">
        <v>3.1325522473806142E-2</v>
      </c>
    </row>
    <row r="389" spans="57:58">
      <c r="BE389" s="721">
        <f>_xll.xlDateShiftMonth(BE388,1)</f>
        <v>54694</v>
      </c>
      <c r="BF389" s="722">
        <v>3.1354589233576952E-2</v>
      </c>
    </row>
    <row r="390" spans="57:58">
      <c r="BE390" s="721">
        <f>_xll.xlDateShiftMonth(BE389,1)</f>
        <v>54724</v>
      </c>
      <c r="BF390" s="722">
        <v>3.1382727029728968E-2</v>
      </c>
    </row>
    <row r="391" spans="57:58">
      <c r="BE391" s="721">
        <f>_xll.xlDateShiftMonth(BE390,1)</f>
        <v>54755</v>
      </c>
      <c r="BF391" s="722">
        <v>3.1411812192807767E-2</v>
      </c>
    </row>
    <row r="392" spans="57:58">
      <c r="BE392" s="721">
        <f>_xll.xlDateShiftMonth(BE391,1)</f>
        <v>54785</v>
      </c>
      <c r="BF392" s="722">
        <v>3.1439968717723352E-2</v>
      </c>
    </row>
    <row r="393" spans="57:58">
      <c r="BE393" s="721">
        <f>_xll.xlDateShiftMonth(BE392,1)</f>
        <v>54816</v>
      </c>
      <c r="BF393" s="722">
        <v>3.1469074183605547E-2</v>
      </c>
    </row>
    <row r="394" spans="57:58">
      <c r="BE394" s="721">
        <f>_xll.xlDateShiftMonth(BE393,1)</f>
        <v>54847</v>
      </c>
      <c r="BF394" s="722">
        <v>3.1498190695250082E-2</v>
      </c>
    </row>
    <row r="395" spans="57:58">
      <c r="BE395" s="721">
        <f>_xll.xlDateShiftMonth(BE394,1)</f>
        <v>54875</v>
      </c>
      <c r="BF395" s="722">
        <v>3.1524499382084153E-2</v>
      </c>
    </row>
    <row r="396" spans="57:58">
      <c r="BE396" s="721">
        <f>_xll.xlDateShiftMonth(BE395,1)</f>
        <v>54906</v>
      </c>
      <c r="BF396" s="722">
        <v>3.1553638271632552E-2</v>
      </c>
    </row>
    <row r="397" spans="57:58">
      <c r="BE397" s="721">
        <f>_xll.xlDateShiftMonth(BE396,1)</f>
        <v>54936</v>
      </c>
      <c r="BF397" s="722">
        <v>3.1581849065081435E-2</v>
      </c>
    </row>
    <row r="398" spans="57:58">
      <c r="BE398" s="721">
        <f>_xll.xlDateShiftMonth(BE397,1)</f>
        <v>54967</v>
      </c>
      <c r="BF398" s="722">
        <v>3.161101295946285E-2</v>
      </c>
    </row>
    <row r="399" spans="57:58">
      <c r="BE399" s="721">
        <f>_xll.xlDateShiftMonth(BE398,1)</f>
        <v>54997</v>
      </c>
      <c r="BF399" s="722">
        <v>3.163924887024791E-2</v>
      </c>
    </row>
    <row r="400" spans="57:58">
      <c r="BE400" s="721">
        <f>_xll.xlDateShiftMonth(BE399,1)</f>
        <v>55028</v>
      </c>
      <c r="BF400" s="722">
        <v>3.166843966895775E-2</v>
      </c>
    </row>
    <row r="401" spans="57:58">
      <c r="BE401" s="721">
        <f>_xll.xlDateShiftMonth(BE400,1)</f>
        <v>55059</v>
      </c>
      <c r="BF401" s="722">
        <v>3.1697644868303308E-2</v>
      </c>
    </row>
    <row r="402" spans="57:58">
      <c r="BE402" s="721">
        <f>_xll.xlDateShiftMonth(BE401,1)</f>
        <v>55089</v>
      </c>
      <c r="BF402" s="722">
        <v>3.1725922137834033E-2</v>
      </c>
    </row>
    <row r="403" spans="57:58">
      <c r="BE403" s="721">
        <f>_xll.xlDateShiftMonth(BE402,1)</f>
        <v>55120</v>
      </c>
      <c r="BF403" s="722">
        <v>3.1755157106320764E-2</v>
      </c>
    </row>
    <row r="404" spans="57:58">
      <c r="BE404" s="721">
        <f>_xll.xlDateShiftMonth(BE403,1)</f>
        <v>55150</v>
      </c>
      <c r="BF404" s="722">
        <v>3.1783464103808466E-2</v>
      </c>
    </row>
    <row r="405" spans="57:58">
      <c r="BE405" s="721">
        <f>_xll.xlDateShiftMonth(BE404,1)</f>
        <v>55181</v>
      </c>
      <c r="BF405" s="722">
        <v>3.1812730740931786E-2</v>
      </c>
    </row>
    <row r="406" spans="57:58">
      <c r="BE406" s="721">
        <f>_xll.xlDateShiftMonth(BE405,1)</f>
        <v>55212</v>
      </c>
      <c r="BF406" s="722">
        <v>3.1842014199896601E-2</v>
      </c>
    </row>
    <row r="407" spans="57:58">
      <c r="BE407" s="721">
        <f>_xll.xlDateShiftMonth(BE406,1)</f>
        <v>55240</v>
      </c>
      <c r="BF407" s="722">
        <v>3.1868478642521916E-2</v>
      </c>
    </row>
    <row r="408" spans="57:58">
      <c r="BE408" s="721">
        <f>_xll.xlDateShiftMonth(BE407,1)</f>
        <v>55271</v>
      </c>
      <c r="BF408" s="722">
        <v>3.1897795472573515E-2</v>
      </c>
    </row>
    <row r="409" spans="57:58">
      <c r="BE409" s="721">
        <f>_xll.xlDateShiftMonth(BE408,1)</f>
        <v>55301</v>
      </c>
      <c r="BF409" s="722">
        <v>3.1926183966106074E-2</v>
      </c>
    </row>
    <row r="410" spans="57:58">
      <c r="BE410" s="721">
        <f>_xll.xlDateShiftMonth(BE409,1)</f>
        <v>55332</v>
      </c>
      <c r="BF410" s="722">
        <v>3.195553716682388E-2</v>
      </c>
    </row>
    <row r="411" spans="57:58">
      <c r="BE411" s="721">
        <f>_xll.xlDateShiftMonth(BE410,1)</f>
        <v>55362</v>
      </c>
      <c r="BF411" s="722">
        <v>3.1983961776886019E-2</v>
      </c>
    </row>
    <row r="412" spans="57:58">
      <c r="BE412" s="721">
        <f>_xll.xlDateShiftMonth(BE411,1)</f>
        <v>55393</v>
      </c>
      <c r="BF412" s="722">
        <v>3.2013353247765435E-2</v>
      </c>
    </row>
    <row r="413" spans="57:58">
      <c r="BE413" s="721">
        <f>_xll.xlDateShiftMonth(BE412,1)</f>
        <v>55424</v>
      </c>
      <c r="BF413" s="722">
        <v>3.2042764895359732E-2</v>
      </c>
    </row>
    <row r="414" spans="57:58">
      <c r="BE414" s="721">
        <f>_xll.xlDateShiftMonth(BE413,1)</f>
        <v>55454</v>
      </c>
      <c r="BF414" s="722">
        <v>3.2071247453114973E-2</v>
      </c>
    </row>
    <row r="415" spans="57:58">
      <c r="BE415" s="721">
        <f>_xll.xlDateShiftMonth(BE414,1)</f>
        <v>55485</v>
      </c>
      <c r="BF415" s="722">
        <v>3.2100700235683635E-2</v>
      </c>
    </row>
    <row r="416" spans="57:58">
      <c r="BE416" s="721">
        <f>_xll.xlDateShiftMonth(BE415,1)</f>
        <v>55515</v>
      </c>
      <c r="BF416" s="722">
        <v>3.2129223520589265E-2</v>
      </c>
    </row>
    <row r="417" spans="57:58">
      <c r="BE417" s="721">
        <f>_xll.xlDateShiftMonth(BE416,1)</f>
        <v>55546</v>
      </c>
      <c r="BF417" s="722">
        <v>3.2158719337627692E-2</v>
      </c>
    </row>
    <row r="418" spans="57:58">
      <c r="BE418" s="721">
        <f>_xll.xlDateShiftMonth(BE417,1)</f>
        <v>55577</v>
      </c>
      <c r="BF418" s="722">
        <v>3.2188237752586786E-2</v>
      </c>
    </row>
    <row r="419" spans="57:58">
      <c r="BE419" s="721">
        <f>_xll.xlDateShiftMonth(BE418,1)</f>
        <v>55606</v>
      </c>
      <c r="BF419" s="722">
        <v>3.2215872646299215E-2</v>
      </c>
    </row>
    <row r="420" spans="57:58">
      <c r="BE420" s="721">
        <f>_xll.xlDateShiftMonth(BE419,1)</f>
        <v>55637</v>
      </c>
      <c r="BF420" s="722">
        <v>3.2245436192779184E-2</v>
      </c>
    </row>
    <row r="421" spans="57:58">
      <c r="BE421" s="721">
        <f>_xll.xlDateShiftMonth(BE420,1)</f>
        <v>55667</v>
      </c>
      <c r="BF421" s="722">
        <v>3.2274068958809729E-2</v>
      </c>
    </row>
    <row r="422" spans="57:58">
      <c r="BE422" s="721">
        <f>_xll.xlDateShiftMonth(BE421,1)</f>
        <v>55698</v>
      </c>
      <c r="BF422" s="722">
        <v>3.2303680272928362E-2</v>
      </c>
    </row>
    <row r="423" spans="57:58">
      <c r="BE423" s="721">
        <f>_xll.xlDateShiftMonth(BE422,1)</f>
        <v>55728</v>
      </c>
      <c r="BF423" s="722">
        <v>3.2332360184816687E-2</v>
      </c>
    </row>
    <row r="424" spans="57:58">
      <c r="BE424" s="721">
        <f>_xll.xlDateShiftMonth(BE423,1)</f>
        <v>55759</v>
      </c>
      <c r="BF424" s="722">
        <v>3.2362021166069385E-2</v>
      </c>
    </row>
    <row r="425" spans="57:58">
      <c r="BE425" s="721">
        <f>_xll.xlDateShiftMonth(BE424,1)</f>
        <v>55790</v>
      </c>
      <c r="BF425" s="722">
        <v>3.2391708115940998E-2</v>
      </c>
    </row>
    <row r="426" spans="57:58">
      <c r="BE426" s="721">
        <f>_xll.xlDateShiftMonth(BE425,1)</f>
        <v>55820</v>
      </c>
      <c r="BF426" s="722">
        <v>3.2420462609919029E-2</v>
      </c>
    </row>
    <row r="427" spans="57:58">
      <c r="BE427" s="721">
        <f>_xll.xlDateShiftMonth(BE426,1)</f>
        <v>55851</v>
      </c>
      <c r="BF427" s="722">
        <v>3.2450202091737462E-2</v>
      </c>
    </row>
    <row r="428" spans="57:58">
      <c r="BE428" s="721">
        <f>_xll.xlDateShiftMonth(BE427,1)</f>
        <v>55881</v>
      </c>
      <c r="BF428" s="722">
        <v>3.2479008342194068E-2</v>
      </c>
    </row>
    <row r="429" spans="57:58">
      <c r="BE429" s="721">
        <f>_xll.xlDateShiftMonth(BE428,1)</f>
        <v>55912</v>
      </c>
      <c r="BF429" s="722">
        <v>3.250880225545473E-2</v>
      </c>
    </row>
    <row r="430" spans="57:58">
      <c r="BE430" s="721">
        <f>_xll.xlDateShiftMonth(BE429,1)</f>
        <v>55943</v>
      </c>
      <c r="BF430" s="722">
        <v>3.2538624558540098E-2</v>
      </c>
    </row>
    <row r="431" spans="57:58">
      <c r="BE431" s="721">
        <f>_xll.xlDateShiftMonth(BE430,1)</f>
        <v>55971</v>
      </c>
      <c r="BF431" s="722">
        <v>3.2565585642009072E-2</v>
      </c>
    </row>
    <row r="432" spans="57:58">
      <c r="BE432" s="721">
        <f>_xll.xlDateShiftMonth(BE431,1)</f>
        <v>56002</v>
      </c>
      <c r="BF432" s="722">
        <v>3.2595463332665373E-2</v>
      </c>
    </row>
    <row r="433" spans="57:58">
      <c r="BE433" s="721">
        <f>_xll.xlDateShiftMonth(BE432,1)</f>
        <v>56032</v>
      </c>
      <c r="BF433" s="722">
        <v>3.262440560878585E-2</v>
      </c>
    </row>
    <row r="434" spans="57:58">
      <c r="BE434" s="721">
        <f>_xll.xlDateShiftMonth(BE433,1)</f>
        <v>56063</v>
      </c>
      <c r="BF434" s="722">
        <v>3.2654342432913999E-2</v>
      </c>
    </row>
    <row r="435" spans="57:58">
      <c r="BE435" s="721">
        <f>_xll.xlDateShiftMonth(BE434,1)</f>
        <v>56093</v>
      </c>
      <c r="BF435" s="722">
        <v>3.268334285408566E-2</v>
      </c>
    </row>
    <row r="436" spans="57:58">
      <c r="BE436" s="721">
        <f>_xll.xlDateShiftMonth(BE435,1)</f>
        <v>56124</v>
      </c>
      <c r="BF436" s="722">
        <v>3.2713340711181066E-2</v>
      </c>
    </row>
    <row r="437" spans="57:58">
      <c r="BE437" s="721">
        <f>_xll.xlDateShiftMonth(BE436,1)</f>
        <v>56155</v>
      </c>
      <c r="BF437" s="722">
        <v>3.274337031297455E-2</v>
      </c>
    </row>
    <row r="438" spans="57:58">
      <c r="BE438" s="721">
        <f>_xll.xlDateShiftMonth(BE437,1)</f>
        <v>56185</v>
      </c>
      <c r="BF438" s="722">
        <v>3.2772461905183348E-2</v>
      </c>
    </row>
    <row r="439" spans="57:58">
      <c r="BE439" s="721">
        <f>_xll.xlDateShiftMonth(BE438,1)</f>
        <v>56216</v>
      </c>
      <c r="BF439" s="722">
        <v>3.2802555404756843E-2</v>
      </c>
    </row>
    <row r="440" spans="57:58">
      <c r="BE440" s="721">
        <f>_xll.xlDateShiftMonth(BE439,1)</f>
        <v>56246</v>
      </c>
      <c r="BF440" s="722">
        <v>3.2831709752637626E-2</v>
      </c>
    </row>
    <row r="441" spans="57:58">
      <c r="BE441" s="721">
        <f>_xll.xlDateShiftMonth(BE440,1)</f>
        <v>56277</v>
      </c>
      <c r="BF441" s="722">
        <v>3.2861869049486535E-2</v>
      </c>
    </row>
    <row r="442" spans="57:58">
      <c r="BE442" s="721">
        <f>_xll.xlDateShiftMonth(BE441,1)</f>
        <v>56308</v>
      </c>
      <c r="BF442" s="722">
        <v>3.2892062512239306E-2</v>
      </c>
    </row>
    <row r="443" spans="57:58">
      <c r="BE443" s="721">
        <f>_xll.xlDateShiftMonth(BE442,1)</f>
        <v>56336</v>
      </c>
      <c r="BF443" s="722">
        <v>3.2919363801361456E-2</v>
      </c>
    </row>
    <row r="444" spans="57:58">
      <c r="BE444" s="721">
        <f>_xll.xlDateShiftMonth(BE443,1)</f>
        <v>56367</v>
      </c>
      <c r="BF444" s="722">
        <v>3.2949623644868087E-2</v>
      </c>
    </row>
    <row r="445" spans="57:58">
      <c r="BE445" s="721">
        <f>_xll.xlDateShiftMonth(BE444,1)</f>
        <v>56397</v>
      </c>
      <c r="BF445" s="722">
        <v>3.2978941245924293E-2</v>
      </c>
    </row>
    <row r="446" spans="57:58">
      <c r="BE446" s="721">
        <f>_xll.xlDateShiftMonth(BE445,1)</f>
        <v>56428</v>
      </c>
      <c r="BF446" s="722">
        <v>3.3009271588735963E-2</v>
      </c>
    </row>
    <row r="447" spans="57:58">
      <c r="BE447" s="721">
        <f>_xll.xlDateShiftMonth(BE446,1)</f>
        <v>56458</v>
      </c>
      <c r="BF447" s="722">
        <v>3.3038658334036762E-2</v>
      </c>
    </row>
    <row r="448" spans="57:58">
      <c r="BE448" s="721">
        <f>_xll.xlDateShiftMonth(BE447,1)</f>
        <v>56489</v>
      </c>
      <c r="BF448" s="722">
        <v>3.3069061075648873E-2</v>
      </c>
    </row>
    <row r="449" spans="57:58">
      <c r="BE449" s="721">
        <f>_xll.xlDateShiftMonth(BE448,1)</f>
        <v>56520</v>
      </c>
      <c r="BF449" s="722">
        <v>3.3099501338038226E-2</v>
      </c>
    </row>
    <row r="450" spans="57:58">
      <c r="BE450" s="721">
        <f>_xll.xlDateShiftMonth(BE449,1)</f>
        <v>56550</v>
      </c>
      <c r="BF450" s="722">
        <v>3.31289958433236E-2</v>
      </c>
    </row>
    <row r="451" spans="57:58">
      <c r="BE451" s="721">
        <f>_xll.xlDateShiftMonth(BE450,1)</f>
        <v>56581</v>
      </c>
      <c r="BF451" s="722">
        <v>3.3159511369326156E-2</v>
      </c>
    </row>
    <row r="452" spans="57:58">
      <c r="BE452" s="721">
        <f>_xll.xlDateShiftMonth(BE451,1)</f>
        <v>56611</v>
      </c>
      <c r="BF452" s="722">
        <v>3.3189079629476918E-2</v>
      </c>
    </row>
    <row r="453" spans="57:58">
      <c r="BE453" s="721">
        <f>_xll.xlDateShiftMonth(BE452,1)</f>
        <v>56642</v>
      </c>
      <c r="BF453" s="722">
        <v>3.3219672318588078E-2</v>
      </c>
    </row>
    <row r="454" spans="57:58">
      <c r="BE454" s="721">
        <f>_xll.xlDateShiftMonth(BE453,1)</f>
        <v>56673</v>
      </c>
      <c r="BF454" s="722">
        <v>3.3250304949682258E-2</v>
      </c>
    </row>
    <row r="455" spans="57:58">
      <c r="BE455" s="721">
        <f>_xll.xlDateShiftMonth(BE454,1)</f>
        <v>56701</v>
      </c>
      <c r="BF455" s="722">
        <v>3.3278007871646996E-2</v>
      </c>
    </row>
    <row r="456" spans="57:58">
      <c r="BE456" s="721">
        <f>_xll.xlDateShiftMonth(BE455,1)</f>
        <v>56732</v>
      </c>
      <c r="BF456" s="722">
        <v>3.3308717876677947E-2</v>
      </c>
    </row>
    <row r="457" spans="57:58">
      <c r="BE457" s="721">
        <f>_xll.xlDateShiftMonth(BE456,1)</f>
        <v>56762</v>
      </c>
      <c r="BF457" s="722">
        <v>3.333847661751569E-2</v>
      </c>
    </row>
    <row r="458" spans="57:58">
      <c r="BE458" s="721">
        <f>_xll.xlDateShiftMonth(BE457,1)</f>
        <v>56793</v>
      </c>
      <c r="BF458" s="722">
        <v>3.3369268487684872E-2</v>
      </c>
    </row>
    <row r="459" spans="57:58">
      <c r="BE459" s="721">
        <f>_xll.xlDateShiftMonth(BE458,1)</f>
        <v>56823</v>
      </c>
      <c r="BF459" s="722">
        <v>3.3399107371960619E-2</v>
      </c>
    </row>
    <row r="460" spans="57:58">
      <c r="BE460" s="721">
        <f>_xll.xlDateShiftMonth(BE459,1)</f>
        <v>56854</v>
      </c>
      <c r="BF460" s="722">
        <v>3.3429983006763433E-2</v>
      </c>
    </row>
    <row r="461" spans="57:58">
      <c r="BE461" s="721">
        <f>_xll.xlDateShiftMonth(BE460,1)</f>
        <v>56885</v>
      </c>
      <c r="BF461" s="722">
        <v>3.3460901938422653E-2</v>
      </c>
    </row>
    <row r="462" spans="57:58">
      <c r="BE462" s="721">
        <f>_xll.xlDateShiftMonth(BE461,1)</f>
        <v>56915</v>
      </c>
      <c r="BF462" s="722">
        <v>3.3490865171630406E-2</v>
      </c>
    </row>
    <row r="463" spans="57:58">
      <c r="BE463" s="721">
        <f>_xll.xlDateShiftMonth(BE462,1)</f>
        <v>56946</v>
      </c>
      <c r="BF463" s="722">
        <v>3.3521870732736013E-2</v>
      </c>
    </row>
    <row r="464" spans="57:58">
      <c r="BE464" s="721">
        <f>_xll.xlDateShiftMonth(BE463,1)</f>
        <v>56976</v>
      </c>
      <c r="BF464" s="722">
        <v>3.3551918720002565E-2</v>
      </c>
    </row>
    <row r="465" spans="57:58">
      <c r="BE465" s="721">
        <f>_xll.xlDateShiftMonth(BE464,1)</f>
        <v>57007</v>
      </c>
      <c r="BF465" s="722">
        <v>3.3583012810049967E-2</v>
      </c>
    </row>
    <row r="466" spans="57:58">
      <c r="BE466" s="721">
        <f>_xll.xlDateShiftMonth(BE465,1)</f>
        <v>57038</v>
      </c>
      <c r="BF466" s="722">
        <v>3.3614152618159553E-2</v>
      </c>
    </row>
    <row r="467" spans="57:58">
      <c r="BE467" s="721">
        <f>_xll.xlDateShiftMonth(BE466,1)</f>
        <v>57067</v>
      </c>
      <c r="BF467" s="722">
        <v>3.3643325229838067E-2</v>
      </c>
    </row>
    <row r="468" spans="57:58">
      <c r="BE468" s="721">
        <f>_xll.xlDateShiftMonth(BE467,1)</f>
        <v>57098</v>
      </c>
      <c r="BF468" s="722">
        <v>3.3674554918129526E-2</v>
      </c>
    </row>
    <row r="469" spans="57:58">
      <c r="BE469" s="721">
        <f>_xll.xlDateShiftMonth(BE468,1)</f>
        <v>57128</v>
      </c>
      <c r="BF469" s="722">
        <v>3.3704822092915733E-2</v>
      </c>
    </row>
    <row r="470" spans="57:58">
      <c r="BE470" s="721">
        <f>_xll.xlDateShiftMonth(BE469,1)</f>
        <v>57159</v>
      </c>
      <c r="BF470" s="722">
        <v>3.3736145043317879E-2</v>
      </c>
    </row>
    <row r="471" spans="57:58">
      <c r="BE471" s="721">
        <f>_xll.xlDateShiftMonth(BE470,1)</f>
        <v>57189</v>
      </c>
      <c r="BF471" s="722">
        <v>3.376650339087027E-2</v>
      </c>
    </row>
    <row r="472" spans="57:58">
      <c r="BE472" s="721">
        <f>_xll.xlDateShiftMonth(BE471,1)</f>
        <v>57220</v>
      </c>
      <c r="BF472" s="722">
        <v>3.3797921502878511E-2</v>
      </c>
    </row>
    <row r="473" spans="57:58">
      <c r="BE473" s="721">
        <f>_xll.xlDateShiftMonth(BE472,1)</f>
        <v>57251</v>
      </c>
      <c r="BF473" s="722">
        <v>3.3829388703647191E-2</v>
      </c>
    </row>
    <row r="474" spans="57:58">
      <c r="BE474" s="721">
        <f>_xll.xlDateShiftMonth(BE473,1)</f>
        <v>57281</v>
      </c>
      <c r="BF474" s="722">
        <v>3.3859888034528197E-2</v>
      </c>
    </row>
    <row r="475" spans="57:58">
      <c r="BE475" s="721">
        <f>_xll.xlDateShiftMonth(BE474,1)</f>
        <v>57312</v>
      </c>
      <c r="BF475" s="722">
        <v>3.389145326171572E-2</v>
      </c>
    </row>
    <row r="476" spans="57:58">
      <c r="BE476" s="721">
        <f>_xll.xlDateShiftMonth(BE475,1)</f>
        <v>57342</v>
      </c>
      <c r="BF476" s="722">
        <v>3.3922048375983706E-2</v>
      </c>
    </row>
    <row r="477" spans="57:58">
      <c r="BE477" s="721">
        <f>_xll.xlDateShiftMonth(BE476,1)</f>
        <v>57373</v>
      </c>
      <c r="BF477" s="722">
        <v>3.3953713529085487E-2</v>
      </c>
    </row>
    <row r="478" spans="57:58">
      <c r="BE478" s="721">
        <f>_xll.xlDateShiftMonth(BE477,1)</f>
        <v>57404</v>
      </c>
      <c r="BF478" s="722">
        <v>3.3985430192153485E-2</v>
      </c>
    </row>
    <row r="479" spans="57:58">
      <c r="BE479" s="721">
        <f>_xll.xlDateShiftMonth(BE478,1)</f>
        <v>57432</v>
      </c>
      <c r="BF479" s="722">
        <v>3.4014122182700321E-2</v>
      </c>
    </row>
    <row r="480" spans="57:58">
      <c r="BE480" s="721">
        <f>_xll.xlDateShiftMonth(BE479,1)</f>
        <v>57463</v>
      </c>
      <c r="BF480" s="722">
        <v>3.404593823618924E-2</v>
      </c>
    </row>
    <row r="481" spans="57:58">
      <c r="BE481" s="721">
        <f>_xll.xlDateShiftMonth(BE480,1)</f>
        <v>57493</v>
      </c>
      <c r="BF481" s="722">
        <v>3.4076778360763234E-2</v>
      </c>
    </row>
    <row r="482" spans="57:58">
      <c r="BE482" s="721">
        <f>_xll.xlDateShiftMonth(BE481,1)</f>
        <v>57524</v>
      </c>
      <c r="BF482" s="722">
        <v>3.4108699042196024E-2</v>
      </c>
    </row>
    <row r="483" spans="57:58">
      <c r="BE483" s="721">
        <f>_xll.xlDateShiftMonth(BE482,1)</f>
        <v>57554</v>
      </c>
      <c r="BF483" s="722">
        <v>3.4139641338729612E-2</v>
      </c>
    </row>
    <row r="484" spans="57:58">
      <c r="BE484" s="721">
        <f>_xll.xlDateShiftMonth(BE483,1)</f>
        <v>57585</v>
      </c>
      <c r="BF484" s="722">
        <v>3.4171668547601688E-2</v>
      </c>
    </row>
    <row r="485" spans="57:58">
      <c r="BE485" s="721">
        <f>_xll.xlDateShiftMonth(BE484,1)</f>
        <v>57616</v>
      </c>
      <c r="BF485" s="722">
        <v>3.4203750621313367E-2</v>
      </c>
    </row>
    <row r="486" spans="57:58">
      <c r="BE486" s="721">
        <f>_xll.xlDateShiftMonth(BE485,1)</f>
        <v>57646</v>
      </c>
      <c r="BF486" s="722">
        <v>3.4234850490123009E-2</v>
      </c>
    </row>
    <row r="487" spans="57:58">
      <c r="BE487" s="721">
        <f>_xll.xlDateShiftMonth(BE486,1)</f>
        <v>57677</v>
      </c>
      <c r="BF487" s="722">
        <v>3.4267041956086715E-2</v>
      </c>
    </row>
    <row r="488" spans="57:58">
      <c r="BE488" s="721">
        <f>_xll.xlDateShiftMonth(BE487,1)</f>
        <v>57707</v>
      </c>
      <c r="BF488" s="722">
        <v>3.4298248607476746E-2</v>
      </c>
    </row>
    <row r="489" spans="57:58">
      <c r="BE489" s="721">
        <f>_xll.xlDateShiftMonth(BE488,1)</f>
        <v>57738</v>
      </c>
      <c r="BF489" s="722">
        <v>3.4330551365187895E-2</v>
      </c>
    </row>
    <row r="490" spans="57:58">
      <c r="BE490" s="721">
        <f>_xll.xlDateShiftMonth(BE489,1)</f>
        <v>57769</v>
      </c>
      <c r="BF490" s="722">
        <v>3.436291140894443E-2</v>
      </c>
    </row>
    <row r="491" spans="57:58">
      <c r="BE491" s="721">
        <f>_xll.xlDateShiftMonth(BE490,1)</f>
        <v>57797</v>
      </c>
      <c r="BF491" s="722">
        <v>3.4392189482195773E-2</v>
      </c>
    </row>
    <row r="492" spans="57:58">
      <c r="BE492" s="721">
        <f>_xll.xlDateShiftMonth(BE491,1)</f>
        <v>57828</v>
      </c>
      <c r="BF492" s="722">
        <v>3.4424659909556149E-2</v>
      </c>
    </row>
    <row r="493" spans="57:58">
      <c r="BE493" s="721">
        <f>_xll.xlDateShiftMonth(BE492,1)</f>
        <v>57858</v>
      </c>
      <c r="BF493" s="722">
        <v>3.445613879876374E-2</v>
      </c>
    </row>
    <row r="494" spans="57:58">
      <c r="BE494" s="721">
        <f>_xll.xlDateShiftMonth(BE493,1)</f>
        <v>57889</v>
      </c>
      <c r="BF494" s="722">
        <v>3.4488725219901178E-2</v>
      </c>
    </row>
    <row r="495" spans="57:58">
      <c r="BE495" s="721">
        <f>_xll.xlDateShiftMonth(BE494,1)</f>
        <v>57919</v>
      </c>
      <c r="BF495" s="722">
        <v>3.4520317280261767E-2</v>
      </c>
    </row>
    <row r="496" spans="57:58">
      <c r="BE496" s="721">
        <f>_xll.xlDateShiftMonth(BE495,1)</f>
        <v>57950</v>
      </c>
      <c r="BF496" s="722">
        <v>3.4553021594671676E-2</v>
      </c>
    </row>
    <row r="497" spans="57:58">
      <c r="BE497" s="721">
        <f>_xll.xlDateShiftMonth(BE496,1)</f>
        <v>57981</v>
      </c>
      <c r="BF497" s="722">
        <v>3.4585786550000344E-2</v>
      </c>
    </row>
    <row r="498" spans="57:58">
      <c r="BE498" s="721">
        <f>_xll.xlDateShiftMonth(BE497,1)</f>
        <v>58011</v>
      </c>
      <c r="BF498" s="722">
        <v>3.4617552771584431E-2</v>
      </c>
    </row>
    <row r="499" spans="57:58">
      <c r="BE499" s="721">
        <f>_xll.xlDateShiftMonth(BE498,1)</f>
        <v>58042</v>
      </c>
      <c r="BF499" s="722">
        <v>3.4650438484998318E-2</v>
      </c>
    </row>
    <row r="500" spans="57:58">
      <c r="BE500" s="721">
        <f>_xll.xlDateShiftMonth(BE499,1)</f>
        <v>58072</v>
      </c>
      <c r="BF500" s="722">
        <v>3.4682322488356197E-2</v>
      </c>
    </row>
    <row r="501" spans="57:58">
      <c r="BE501" s="721">
        <f>_xll.xlDateShiftMonth(BE500,1)</f>
        <v>58103</v>
      </c>
      <c r="BF501" s="722">
        <v>3.4715330859350718E-2</v>
      </c>
    </row>
    <row r="502" spans="57:58">
      <c r="BE502" s="721">
        <f>_xll.xlDateShiftMonth(BE501,1)</f>
        <v>58134</v>
      </c>
      <c r="BF502" s="722">
        <v>3.4748402292469782E-2</v>
      </c>
    </row>
    <row r="503" spans="57:58">
      <c r="BE503" s="721">
        <f>_xll.xlDateShiftMonth(BE502,1)</f>
        <v>58162</v>
      </c>
      <c r="BF503" s="722">
        <v>3.4778327875615057E-2</v>
      </c>
    </row>
    <row r="504" spans="57:58">
      <c r="BE504" s="721">
        <f>_xll.xlDateShiftMonth(BE503,1)</f>
        <v>58193</v>
      </c>
      <c r="BF504" s="722">
        <v>3.4811520685520889E-2</v>
      </c>
    </row>
    <row r="505" spans="57:58">
      <c r="BE505" s="721">
        <f>_xll.xlDateShiftMonth(BE504,1)</f>
        <v>58223</v>
      </c>
      <c r="BF505" s="722">
        <v>3.4843704154207879E-2</v>
      </c>
    </row>
    <row r="506" spans="57:58">
      <c r="BE506" s="721">
        <f>_xll.xlDateShiftMonth(BE505,1)</f>
        <v>58254</v>
      </c>
      <c r="BF506" s="722">
        <v>3.4877024323723957E-2</v>
      </c>
    </row>
    <row r="507" spans="57:58">
      <c r="BE507" s="721">
        <f>_xll.xlDateShiftMonth(BE506,1)</f>
        <v>58284</v>
      </c>
      <c r="BF507" s="722">
        <v>3.4909331962757355E-2</v>
      </c>
    </row>
    <row r="508" spans="57:58">
      <c r="BE508" s="721">
        <f>_xll.xlDateShiftMonth(BE507,1)</f>
        <v>58315</v>
      </c>
      <c r="BF508" s="722">
        <v>3.4942781391379095E-2</v>
      </c>
    </row>
    <row r="509" spans="57:58">
      <c r="BE509" s="721">
        <f>_xll.xlDateShiftMonth(BE508,1)</f>
        <v>58346</v>
      </c>
      <c r="BF509" s="722">
        <v>3.4976297236998757E-2</v>
      </c>
    </row>
    <row r="510" spans="57:58">
      <c r="BE510" s="721">
        <f>_xll.xlDateShiftMonth(BE509,1)</f>
        <v>58376</v>
      </c>
      <c r="BF510" s="722">
        <v>3.5008795626203085E-2</v>
      </c>
    </row>
    <row r="511" spans="57:58">
      <c r="BE511" s="721">
        <f>_xll.xlDateShiftMonth(BE510,1)</f>
        <v>58407</v>
      </c>
      <c r="BF511" s="722">
        <v>3.504244359574115E-2</v>
      </c>
    </row>
    <row r="512" spans="57:58">
      <c r="BE512" s="721">
        <f>_xll.xlDateShiftMonth(BE511,1)</f>
        <v>58437</v>
      </c>
      <c r="BF512" s="722">
        <v>3.507507076591268E-2</v>
      </c>
    </row>
    <row r="513" spans="57:58">
      <c r="BE513" s="721">
        <f>_xll.xlDateShiftMonth(BE512,1)</f>
        <v>58468</v>
      </c>
      <c r="BF513" s="722">
        <v>3.5108852758864578E-2</v>
      </c>
    </row>
    <row r="514" spans="57:58">
      <c r="BE514" s="721">
        <f>_xll.xlDateShiftMonth(BE513,1)</f>
        <v>58499</v>
      </c>
      <c r="BF514" s="722">
        <v>3.5142703590020169E-2</v>
      </c>
    </row>
    <row r="515" spans="57:58">
      <c r="BE515" s="721">
        <f>_xll.xlDateShiftMonth(BE514,1)</f>
        <v>58528</v>
      </c>
      <c r="BF515" s="722">
        <v>3.5174433250857361E-2</v>
      </c>
    </row>
    <row r="516" spans="57:58">
      <c r="BE516" s="721">
        <f>_xll.xlDateShiftMonth(BE515,1)</f>
        <v>58559</v>
      </c>
      <c r="BF516" s="722">
        <v>3.5208418710855838E-2</v>
      </c>
    </row>
    <row r="517" spans="57:58">
      <c r="BE517" s="721">
        <f>_xll.xlDateShiftMonth(BE516,1)</f>
        <v>58589</v>
      </c>
      <c r="BF517" s="722">
        <v>3.5241374774941749E-2</v>
      </c>
    </row>
    <row r="518" spans="57:58">
      <c r="BE518" s="721">
        <f>_xll.xlDateShiftMonth(BE517,1)</f>
        <v>58620</v>
      </c>
      <c r="BF518" s="722">
        <v>3.5275498991522936E-2</v>
      </c>
    </row>
    <row r="519" spans="57:58">
      <c r="BE519" s="721">
        <f>_xll.xlDateShiftMonth(BE518,1)</f>
        <v>58650</v>
      </c>
      <c r="BF519" s="722">
        <v>3.5308590255283441E-2</v>
      </c>
    </row>
    <row r="520" spans="57:58">
      <c r="BE520" s="721">
        <f>_xll.xlDateShiftMonth(BE519,1)</f>
        <v>58681</v>
      </c>
      <c r="BF520" s="722">
        <v>3.5342855127942753E-2</v>
      </c>
    </row>
    <row r="521" spans="57:58">
      <c r="BE521" s="721">
        <f>_xll.xlDateShiftMonth(BE520,1)</f>
        <v>58712</v>
      </c>
      <c r="BF521" s="722">
        <v>3.537719220950402E-2</v>
      </c>
    </row>
    <row r="522" spans="57:58">
      <c r="BE522" s="721">
        <f>_xll.xlDateShiftMonth(BE521,1)</f>
        <v>58742</v>
      </c>
      <c r="BF522" s="722">
        <v>3.5410490857832051E-2</v>
      </c>
    </row>
    <row r="523" spans="57:58">
      <c r="BE523" s="721">
        <f>_xll.xlDateShiftMonth(BE522,1)</f>
        <v>58773</v>
      </c>
      <c r="BF523" s="722">
        <v>3.5444971460284184E-2</v>
      </c>
    </row>
    <row r="524" spans="57:58">
      <c r="BE524" s="721">
        <f>_xll.xlDateShiftMonth(BE523,1)</f>
        <v>58803</v>
      </c>
      <c r="BF524" s="722">
        <v>3.5478409918907612E-2</v>
      </c>
    </row>
    <row r="525" spans="57:58">
      <c r="BE525" s="721">
        <f>_xll.xlDateShiftMonth(BE524,1)</f>
        <v>58834</v>
      </c>
      <c r="BF525" s="722">
        <v>3.551303594174602E-2</v>
      </c>
    </row>
    <row r="526" spans="57:58">
      <c r="BE526" s="721">
        <f>_xll.xlDateShiftMonth(BE525,1)</f>
        <v>58865</v>
      </c>
      <c r="BF526" s="722">
        <v>3.5547736594692174E-2</v>
      </c>
    </row>
    <row r="527" spans="57:58">
      <c r="BE527" s="721">
        <f>_xll.xlDateShiftMonth(BE526,1)</f>
        <v>58893</v>
      </c>
      <c r="BF527" s="722">
        <v>3.5579143674157987E-2</v>
      </c>
    </row>
    <row r="528" spans="57:58">
      <c r="BE528" s="721">
        <f>_xll.xlDateShiftMonth(BE527,1)</f>
        <v>58924</v>
      </c>
      <c r="BF528" s="722">
        <v>3.5613987720375044E-2</v>
      </c>
    </row>
    <row r="529" spans="57:58">
      <c r="BE529" s="721">
        <f>_xll.xlDateShiftMonth(BE528,1)</f>
        <v>58954</v>
      </c>
      <c r="BF529" s="722">
        <v>3.5647780173946611E-2</v>
      </c>
    </row>
    <row r="530" spans="57:58">
      <c r="BE530" s="721">
        <f>_xll.xlDateShiftMonth(BE529,1)</f>
        <v>58985</v>
      </c>
      <c r="BF530" s="722">
        <v>3.5682774342579576E-2</v>
      </c>
    </row>
    <row r="531" spans="57:58">
      <c r="BE531" s="721">
        <f>_xll.xlDateShiftMonth(BE530,1)</f>
        <v>59015</v>
      </c>
      <c r="BF531" s="722">
        <v>3.5716712995019141E-2</v>
      </c>
    </row>
    <row r="532" spans="57:58">
      <c r="BE532" s="721">
        <f>_xll.xlDateShiftMonth(BE531,1)</f>
        <v>59046</v>
      </c>
      <c r="BF532" s="722">
        <v>3.5751859185563409E-2</v>
      </c>
    </row>
    <row r="533" spans="57:58">
      <c r="BE533" s="721">
        <f>_xll.xlDateShiftMonth(BE532,1)</f>
        <v>59077</v>
      </c>
      <c r="BF533" s="722">
        <v>3.5787083361088795E-2</v>
      </c>
    </row>
    <row r="534" spans="57:58">
      <c r="BE534" s="721">
        <f>_xll.xlDateShiftMonth(BE533,1)</f>
        <v>59107</v>
      </c>
      <c r="BF534" s="722">
        <v>3.5821245987043331E-2</v>
      </c>
    </row>
    <row r="535" spans="57:58">
      <c r="BE535" s="721">
        <f>_xll.xlDateShiftMonth(BE534,1)</f>
        <v>59138</v>
      </c>
      <c r="BF535" s="722">
        <v>3.5856625049292774E-2</v>
      </c>
    </row>
    <row r="536" spans="57:58">
      <c r="BE536" s="721">
        <f>_xll.xlDateShiftMonth(BE535,1)</f>
        <v>59168</v>
      </c>
      <c r="BF536" s="722">
        <v>3.589093848473611E-2</v>
      </c>
    </row>
    <row r="537" spans="57:58">
      <c r="BE537" s="721">
        <f>_xll.xlDateShiftMonth(BE536,1)</f>
        <v>59199</v>
      </c>
      <c r="BF537" s="722">
        <v>3.5926474333205019E-2</v>
      </c>
    </row>
    <row r="538" spans="57:58">
      <c r="BE538" s="721">
        <f>_xll.xlDateShiftMonth(BE537,1)</f>
        <v>59230</v>
      </c>
      <c r="BF538" s="722">
        <v>3.5962090587860832E-2</v>
      </c>
    </row>
    <row r="539" spans="57:58">
      <c r="BE539" s="721">
        <f>_xll.xlDateShiftMonth(BE538,1)</f>
        <v>59258</v>
      </c>
      <c r="BF539" s="722">
        <v>3.5994329627082489E-2</v>
      </c>
    </row>
    <row r="540" spans="57:58">
      <c r="BE540" s="721">
        <f>_xll.xlDateShiftMonth(BE539,1)</f>
        <v>59289</v>
      </c>
      <c r="BF540" s="722">
        <v>3.6030100268192138E-2</v>
      </c>
    </row>
    <row r="541" spans="57:58">
      <c r="BE541" s="721">
        <f>_xll.xlDateShiftMonth(BE540,1)</f>
        <v>59319</v>
      </c>
      <c r="BF541" s="722">
        <v>3.6064794926095163E-2</v>
      </c>
    </row>
    <row r="542" spans="57:58">
      <c r="BE542" s="721">
        <f>_xll.xlDateShiftMonth(BE541,1)</f>
        <v>59350</v>
      </c>
      <c r="BF542" s="722">
        <v>3.6100727055453891E-2</v>
      </c>
    </row>
    <row r="543" spans="57:58">
      <c r="BE543" s="721">
        <f>_xll.xlDateShiftMonth(BE542,1)</f>
        <v>59380</v>
      </c>
      <c r="BF543" s="722">
        <v>3.6135578911418331E-2</v>
      </c>
    </row>
    <row r="544" spans="57:58">
      <c r="BE544" s="721">
        <f>_xll.xlDateShiftMonth(BE543,1)</f>
        <v>59411</v>
      </c>
      <c r="BF544" s="722">
        <v>3.6171674428521559E-2</v>
      </c>
    </row>
    <row r="545" spans="57:58">
      <c r="BE545" s="721">
        <f>_xll.xlDateShiftMonth(BE544,1)</f>
        <v>59442</v>
      </c>
      <c r="BF545" s="722">
        <v>3.6207853706685063E-2</v>
      </c>
    </row>
    <row r="546" spans="57:58">
      <c r="BE546" s="721">
        <f>_xll.xlDateShiftMonth(BE545,1)</f>
        <v>59472</v>
      </c>
      <c r="BF546" s="722">
        <v>3.6242946125111905E-2</v>
      </c>
    </row>
    <row r="547" spans="57:58">
      <c r="BE547" s="721">
        <f>_xll.xlDateShiftMonth(BE546,1)</f>
        <v>59503</v>
      </c>
      <c r="BF547" s="722">
        <v>3.6279291655832657E-2</v>
      </c>
    </row>
    <row r="548" spans="57:58">
      <c r="BE548" s="721">
        <f>_xll.xlDateShiftMonth(BE547,1)</f>
        <v>59533</v>
      </c>
      <c r="BF548" s="722">
        <v>3.6314545882941703E-2</v>
      </c>
    </row>
    <row r="549" spans="57:58">
      <c r="BE549" s="721">
        <f>_xll.xlDateShiftMonth(BE548,1)</f>
        <v>59564</v>
      </c>
      <c r="BF549" s="722">
        <v>3.6351059565715112E-2</v>
      </c>
    </row>
    <row r="550" spans="57:58">
      <c r="BE550" s="721">
        <f>_xll.xlDateShiftMonth(BE549,1)</f>
        <v>59595</v>
      </c>
      <c r="BF550" s="722">
        <v>3.6387659430754581E-2</v>
      </c>
    </row>
    <row r="551" spans="57:58">
      <c r="BE551" s="721">
        <f>_xll.xlDateShiftMonth(BE550,1)</f>
        <v>59623</v>
      </c>
      <c r="BF551" s="722">
        <v>3.6420791856921507E-2</v>
      </c>
    </row>
    <row r="552" spans="57:58">
      <c r="BE552" s="721">
        <f>_xll.xlDateShiftMonth(BE551,1)</f>
        <v>59654</v>
      </c>
      <c r="BF552" s="722">
        <v>3.6457557101597732E-2</v>
      </c>
    </row>
    <row r="553" spans="57:58">
      <c r="BE553" s="721">
        <f>_xll.xlDateShiftMonth(BE552,1)</f>
        <v>59684</v>
      </c>
      <c r="BF553" s="722">
        <v>3.6493219778678018E-2</v>
      </c>
    </row>
    <row r="554" spans="57:58">
      <c r="BE554" s="721">
        <f>_xll.xlDateShiftMonth(BE553,1)</f>
        <v>59715</v>
      </c>
      <c r="BF554" s="722">
        <v>3.653015787743652E-2</v>
      </c>
    </row>
    <row r="555" spans="57:58">
      <c r="BE555" s="721">
        <f>_xll.xlDateShiftMonth(BE554,1)</f>
        <v>59745</v>
      </c>
      <c r="BF555" s="722">
        <v>3.6565988751771632E-2</v>
      </c>
    </row>
    <row r="556" spans="57:58">
      <c r="BE556" s="721">
        <f>_xll.xlDateShiftMonth(BE555,1)</f>
        <v>59776</v>
      </c>
      <c r="BF556" s="722">
        <v>3.6603101604107818E-2</v>
      </c>
    </row>
    <row r="557" spans="57:58">
      <c r="BE557" s="721">
        <f>_xll.xlDateShiftMonth(BE556,1)</f>
        <v>59807</v>
      </c>
      <c r="BF557" s="722">
        <v>3.6640303993583437E-2</v>
      </c>
    </row>
    <row r="558" spans="57:58">
      <c r="BE558" s="721">
        <f>_xll.xlDateShiftMonth(BE557,1)</f>
        <v>59837</v>
      </c>
      <c r="BF558" s="722">
        <v>3.6676392019328388E-2</v>
      </c>
    </row>
    <row r="559" spans="57:58">
      <c r="BE559" s="721">
        <f>_xll.xlDateShiftMonth(BE558,1)</f>
        <v>59868</v>
      </c>
      <c r="BF559" s="722">
        <v>3.6713772027194447E-2</v>
      </c>
    </row>
    <row r="560" spans="57:58">
      <c r="BE560" s="721">
        <f>_xll.xlDateShiftMonth(BE559,1)</f>
        <v>59898</v>
      </c>
      <c r="BF560" s="722">
        <v>3.6750032860815011E-2</v>
      </c>
    </row>
    <row r="561" spans="57:58">
      <c r="BE561" s="721">
        <f>_xll.xlDateShiftMonth(BE560,1)</f>
        <v>59929</v>
      </c>
      <c r="BF561" s="722">
        <v>3.6787592386566911E-2</v>
      </c>
    </row>
    <row r="562" spans="57:58">
      <c r="BE562" s="721">
        <f>_xll.xlDateShiftMonth(BE561,1)</f>
        <v>59960</v>
      </c>
      <c r="BF562" s="722">
        <v>3.6825243870664041E-2</v>
      </c>
    </row>
    <row r="563" spans="57:58">
      <c r="BE563" s="721">
        <f>_xll.xlDateShiftMonth(BE562,1)</f>
        <v>59989</v>
      </c>
      <c r="BF563" s="722">
        <v>3.6860549911852489E-2</v>
      </c>
    </row>
    <row r="564" spans="57:58">
      <c r="BE564" s="721">
        <f>_xll.xlDateShiftMonth(BE563,1)</f>
        <v>60020</v>
      </c>
      <c r="BF564" s="722">
        <v>3.6898380773453504E-2</v>
      </c>
    </row>
    <row r="565" spans="57:58">
      <c r="BE565" s="721">
        <f>_xll.xlDateShiftMonth(BE564,1)</f>
        <v>60050</v>
      </c>
      <c r="BF565" s="722">
        <v>3.6935080207383175E-2</v>
      </c>
    </row>
    <row r="566" spans="57:58">
      <c r="BE566" s="721">
        <f>_xll.xlDateShiftMonth(BE565,1)</f>
        <v>60081</v>
      </c>
      <c r="BF566" s="722">
        <v>3.697309532003893E-2</v>
      </c>
    </row>
    <row r="567" spans="57:58">
      <c r="BE567" s="721">
        <f>_xll.xlDateShiftMonth(BE566,1)</f>
        <v>60111</v>
      </c>
      <c r="BF567" s="722">
        <v>3.7009973980551607E-2</v>
      </c>
    </row>
    <row r="568" spans="57:58">
      <c r="BE568" s="721">
        <f>_xll.xlDateShiftMonth(BE567,1)</f>
        <v>60142</v>
      </c>
      <c r="BF568" s="722">
        <v>3.7048175243757503E-2</v>
      </c>
    </row>
    <row r="569" spans="57:58">
      <c r="BE569" s="721">
        <f>_xll.xlDateShiftMonth(BE568,1)</f>
        <v>60173</v>
      </c>
      <c r="BF569" s="722">
        <v>3.7086471836006871E-2</v>
      </c>
    </row>
    <row r="570" spans="57:58">
      <c r="BE570" s="721">
        <f>_xll.xlDateShiftMonth(BE569,1)</f>
        <v>60203</v>
      </c>
      <c r="BF570" s="722">
        <v>3.712362428232599E-2</v>
      </c>
    </row>
    <row r="571" spans="57:58">
      <c r="BE571" s="721">
        <f>_xll.xlDateShiftMonth(BE570,1)</f>
        <v>60234</v>
      </c>
      <c r="BF571" s="722">
        <v>3.7162109889938261E-2</v>
      </c>
    </row>
    <row r="572" spans="57:58">
      <c r="BE572" s="721">
        <f>_xll.xlDateShiftMonth(BE571,1)</f>
        <v>60264</v>
      </c>
      <c r="BF572" s="722">
        <v>3.7199446173461173E-2</v>
      </c>
    </row>
    <row r="573" spans="57:58">
      <c r="BE573" s="721">
        <f>_xll.xlDateShiftMonth(BE572,1)</f>
        <v>60295</v>
      </c>
      <c r="BF573" s="722">
        <v>3.7238122695931741E-2</v>
      </c>
    </row>
    <row r="574" spans="57:58">
      <c r="BE574" s="721">
        <f>_xll.xlDateShiftMonth(BE573,1)</f>
        <v>60326</v>
      </c>
      <c r="BF574" s="722">
        <v>3.7276896968651566E-2</v>
      </c>
    </row>
    <row r="575" spans="57:58">
      <c r="BE575" s="721">
        <f>_xll.xlDateShiftMonth(BE574,1)</f>
        <v>60354</v>
      </c>
      <c r="BF575" s="722">
        <v>3.7312003318877462E-2</v>
      </c>
    </row>
    <row r="576" spans="57:58">
      <c r="BE576" s="721">
        <f>_xll.xlDateShiftMonth(BE575,1)</f>
        <v>60385</v>
      </c>
      <c r="BF576" s="722">
        <v>3.7350964987718199E-2</v>
      </c>
    </row>
    <row r="577" spans="57:58">
      <c r="BE577" s="721">
        <f>_xll.xlDateShiftMonth(BE576,1)</f>
        <v>60415</v>
      </c>
      <c r="BF577" s="722">
        <v>3.7388764250831388E-2</v>
      </c>
    </row>
    <row r="578" spans="57:58">
      <c r="BE578" s="721">
        <f>_xll.xlDateShiftMonth(BE577,1)</f>
        <v>60446</v>
      </c>
      <c r="BF578" s="722">
        <v>3.7427921536560035E-2</v>
      </c>
    </row>
    <row r="579" spans="57:58">
      <c r="BE579" s="721">
        <f>_xll.xlDateShiftMonth(BE578,1)</f>
        <v>60476</v>
      </c>
      <c r="BF579" s="722">
        <v>3.7465911025449633E-2</v>
      </c>
    </row>
    <row r="580" spans="57:58">
      <c r="BE580" s="721">
        <f>_xll.xlDateShiftMonth(BE579,1)</f>
        <v>60507</v>
      </c>
      <c r="BF580" s="722">
        <v>3.7505265827561619E-2</v>
      </c>
    </row>
    <row r="581" spans="57:58">
      <c r="BE581" s="721">
        <f>_xll.xlDateShiftMonth(BE580,1)</f>
        <v>60538</v>
      </c>
      <c r="BF581" s="722">
        <v>3.7544721734796241E-2</v>
      </c>
    </row>
    <row r="582" spans="57:58">
      <c r="BE582" s="721">
        <f>_xll.xlDateShiftMonth(BE581,1)</f>
        <v>60568</v>
      </c>
      <c r="BF582" s="722">
        <v>3.7583001598439726E-2</v>
      </c>
    </row>
    <row r="583" spans="57:58">
      <c r="BE583" s="721">
        <f>_xll.xlDateShiftMonth(BE582,1)</f>
        <v>60599</v>
      </c>
      <c r="BF583" s="722">
        <v>3.7622657886870421E-2</v>
      </c>
    </row>
    <row r="584" spans="57:58">
      <c r="BE584" s="721">
        <f>_xll.xlDateShiftMonth(BE583,1)</f>
        <v>60629</v>
      </c>
      <c r="BF584" s="722">
        <v>3.7661132586911117E-2</v>
      </c>
    </row>
    <row r="585" spans="57:58">
      <c r="BE585" s="721">
        <f>_xll.xlDateShiftMonth(BE584,1)</f>
        <v>60660</v>
      </c>
      <c r="BF585" s="722">
        <v>3.7700991156033307E-2</v>
      </c>
    </row>
    <row r="586" spans="57:58">
      <c r="BE586" s="721">
        <f>_xll.xlDateShiftMonth(BE585,1)</f>
        <v>60691</v>
      </c>
      <c r="BF586" s="722">
        <v>3.7740953251483918E-2</v>
      </c>
    </row>
    <row r="587" spans="57:58">
      <c r="BE587" s="721">
        <f>_xll.xlDateShiftMonth(BE586,1)</f>
        <v>60719</v>
      </c>
      <c r="BF587" s="722">
        <v>3.777713743851701E-2</v>
      </c>
    </row>
    <row r="588" spans="57:58">
      <c r="BE588" s="721">
        <f>_xll.xlDateShiftMonth(BE587,1)</f>
        <v>60750</v>
      </c>
      <c r="BF588" s="722">
        <v>3.7817297923271445E-2</v>
      </c>
    </row>
    <row r="589" spans="57:58">
      <c r="BE589" s="721">
        <f>_xll.xlDateShiftMonth(BE588,1)</f>
        <v>60780</v>
      </c>
      <c r="BF589" s="722">
        <v>3.7856262830413961E-2</v>
      </c>
    </row>
    <row r="590" spans="57:58">
      <c r="BE590" s="721">
        <f>_xll.xlDateShiftMonth(BE589,1)</f>
        <v>60811</v>
      </c>
      <c r="BF590" s="722">
        <v>3.7896630297889505E-2</v>
      </c>
    </row>
    <row r="591" spans="57:58">
      <c r="BE591" s="721">
        <f>_xll.xlDateShiftMonth(BE590,1)</f>
        <v>60841</v>
      </c>
      <c r="BF591" s="722">
        <v>3.793579643000184E-2</v>
      </c>
    </row>
    <row r="592" spans="57:58">
      <c r="BE592" s="721">
        <f>_xll.xlDateShiftMonth(BE591,1)</f>
        <v>60872</v>
      </c>
      <c r="BF592" s="722">
        <v>3.7976372779693908E-2</v>
      </c>
    </row>
    <row r="593" spans="57:58">
      <c r="BE593" s="721">
        <f>_xll.xlDateShiftMonth(BE592,1)</f>
        <v>60903</v>
      </c>
      <c r="BF593" s="722">
        <v>3.8017056010587774E-2</v>
      </c>
    </row>
    <row r="594" spans="57:58">
      <c r="BE594" s="721">
        <f>_xll.xlDateShiftMonth(BE593,1)</f>
        <v>60933</v>
      </c>
      <c r="BF594" s="722">
        <v>3.8056529106401428E-2</v>
      </c>
    </row>
    <row r="595" spans="57:58">
      <c r="BE595" s="721">
        <f>_xll.xlDateShiftMonth(BE594,1)</f>
        <v>60964</v>
      </c>
      <c r="BF595" s="722">
        <v>3.8097424084324559E-2</v>
      </c>
    </row>
    <row r="596" spans="57:58">
      <c r="BE596" s="721">
        <f>_xll.xlDateShiftMonth(BE595,1)</f>
        <v>60994</v>
      </c>
      <c r="BF596" s="722">
        <v>3.8137103015728833E-2</v>
      </c>
    </row>
    <row r="597" spans="57:58">
      <c r="BE597" s="721">
        <f>_xll.xlDateShiftMonth(BE596,1)</f>
        <v>61025</v>
      </c>
      <c r="BF597" s="722">
        <v>3.8178211640176644E-2</v>
      </c>
    </row>
    <row r="598" spans="57:58">
      <c r="BE598" s="721">
        <f>_xll.xlDateShiftMonth(BE597,1)</f>
        <v>61056</v>
      </c>
      <c r="BF598" s="722">
        <v>3.8219429567032046E-2</v>
      </c>
    </row>
    <row r="599" spans="57:58">
      <c r="BE599" s="721">
        <f>_xll.xlDateShiftMonth(BE598,1)</f>
        <v>61084</v>
      </c>
      <c r="BF599" s="722">
        <v>3.8256753018061737E-2</v>
      </c>
    </row>
    <row r="600" spans="57:58">
      <c r="BE600" s="721"/>
    </row>
    <row r="601" spans="57:58">
      <c r="BE601" s="721"/>
    </row>
    <row r="602" spans="57:58">
      <c r="BE602" s="721"/>
    </row>
    <row r="603" spans="57:58">
      <c r="BE603" s="721"/>
    </row>
    <row r="604" spans="57:58">
      <c r="BE604" s="721"/>
    </row>
    <row r="605" spans="57:58">
      <c r="BE605" s="721"/>
    </row>
    <row r="606" spans="57:58">
      <c r="BE606" s="721"/>
    </row>
    <row r="607" spans="57:58">
      <c r="BE607" s="721"/>
    </row>
    <row r="608" spans="57:58">
      <c r="BE608" s="721"/>
    </row>
    <row r="609" spans="57:57">
      <c r="BE609" s="721"/>
    </row>
    <row r="610" spans="57:57">
      <c r="BE610" s="721"/>
    </row>
    <row r="611" spans="57:57">
      <c r="BE611" s="721"/>
    </row>
    <row r="612" spans="57:57">
      <c r="BE612" s="721"/>
    </row>
    <row r="613" spans="57:57">
      <c r="BE613" s="721"/>
    </row>
    <row r="614" spans="57:57">
      <c r="BE614" s="721"/>
    </row>
    <row r="615" spans="57:57">
      <c r="BE615" s="721"/>
    </row>
    <row r="616" spans="57:57">
      <c r="BE616" s="721"/>
    </row>
    <row r="617" spans="57:57">
      <c r="BE617" s="721"/>
    </row>
    <row r="618" spans="57:57">
      <c r="BE618" s="721"/>
    </row>
    <row r="619" spans="57:57">
      <c r="BE619" s="721"/>
    </row>
    <row r="620" spans="57:57">
      <c r="BE620" s="721"/>
    </row>
    <row r="621" spans="57:57">
      <c r="BE621" s="721"/>
    </row>
    <row r="622" spans="57:57">
      <c r="BE622" s="721"/>
    </row>
    <row r="623" spans="57:57">
      <c r="BE623" s="721"/>
    </row>
    <row r="624" spans="57:57">
      <c r="BE624" s="721"/>
    </row>
    <row r="625" spans="57:57">
      <c r="BE625" s="721"/>
    </row>
    <row r="626" spans="57:57">
      <c r="BE626" s="721"/>
    </row>
    <row r="627" spans="57:57">
      <c r="BE627" s="721"/>
    </row>
    <row r="628" spans="57:57">
      <c r="BE628" s="721"/>
    </row>
    <row r="629" spans="57:57">
      <c r="BE629" s="721"/>
    </row>
    <row r="630" spans="57:57">
      <c r="BE630" s="721"/>
    </row>
    <row r="631" spans="57:57">
      <c r="BE631" s="721"/>
    </row>
    <row r="632" spans="57:57">
      <c r="BE632" s="721"/>
    </row>
    <row r="633" spans="57:57">
      <c r="BE633" s="721"/>
    </row>
    <row r="634" spans="57:57">
      <c r="BE634" s="721"/>
    </row>
    <row r="635" spans="57:57">
      <c r="BE635" s="721"/>
    </row>
    <row r="636" spans="57:57">
      <c r="BE636" s="721"/>
    </row>
    <row r="637" spans="57:57">
      <c r="BE637" s="721"/>
    </row>
    <row r="638" spans="57:57">
      <c r="BE638" s="721"/>
    </row>
    <row r="639" spans="57:57">
      <c r="BE639" s="721"/>
    </row>
    <row r="640" spans="57:57">
      <c r="BE640" s="721"/>
    </row>
    <row r="641" spans="57:57">
      <c r="BE641" s="721"/>
    </row>
    <row r="642" spans="57:57">
      <c r="BE642" s="721"/>
    </row>
    <row r="643" spans="57:57">
      <c r="BE643" s="721"/>
    </row>
    <row r="644" spans="57:57">
      <c r="BE644" s="721"/>
    </row>
    <row r="645" spans="57:57">
      <c r="BE645" s="721"/>
    </row>
    <row r="646" spans="57:57">
      <c r="BE646" s="721"/>
    </row>
    <row r="647" spans="57:57">
      <c r="BE647" s="721"/>
    </row>
    <row r="648" spans="57:57">
      <c r="BE648" s="721"/>
    </row>
    <row r="649" spans="57:57">
      <c r="BE649" s="721"/>
    </row>
    <row r="650" spans="57:57">
      <c r="BE650" s="721"/>
    </row>
    <row r="651" spans="57:57">
      <c r="BE651" s="721"/>
    </row>
    <row r="652" spans="57:57">
      <c r="BE652" s="721"/>
    </row>
    <row r="653" spans="57:57">
      <c r="BE653" s="721"/>
    </row>
    <row r="654" spans="57:57">
      <c r="BE654" s="721"/>
    </row>
    <row r="655" spans="57:57">
      <c r="BE655" s="721"/>
    </row>
    <row r="656" spans="57:57">
      <c r="BE656" s="721"/>
    </row>
    <row r="657" spans="57:57">
      <c r="BE657" s="721"/>
    </row>
    <row r="658" spans="57:57">
      <c r="BE658" s="721"/>
    </row>
    <row r="659" spans="57:57">
      <c r="BE659" s="721"/>
    </row>
    <row r="660" spans="57:57">
      <c r="BE660" s="721"/>
    </row>
    <row r="661" spans="57:57">
      <c r="BE661" s="721"/>
    </row>
    <row r="662" spans="57:57">
      <c r="BE662" s="721"/>
    </row>
    <row r="663" spans="57:57">
      <c r="BE663" s="721"/>
    </row>
    <row r="664" spans="57:57">
      <c r="BE664" s="721"/>
    </row>
    <row r="665" spans="57:57">
      <c r="BE665" s="721"/>
    </row>
    <row r="666" spans="57:57">
      <c r="BE666" s="721"/>
    </row>
    <row r="667" spans="57:57">
      <c r="BE667" s="721"/>
    </row>
    <row r="668" spans="57:57">
      <c r="BE668" s="721"/>
    </row>
    <row r="669" spans="57:57">
      <c r="BE669" s="721"/>
    </row>
    <row r="670" spans="57:57">
      <c r="BE670" s="721"/>
    </row>
    <row r="671" spans="57:57">
      <c r="BE671" s="721"/>
    </row>
    <row r="672" spans="57:57">
      <c r="BE672" s="721"/>
    </row>
    <row r="673" spans="57:57">
      <c r="BE673" s="721"/>
    </row>
    <row r="674" spans="57:57">
      <c r="BE674" s="721"/>
    </row>
    <row r="675" spans="57:57">
      <c r="BE675" s="721"/>
    </row>
    <row r="676" spans="57:57">
      <c r="BE676" s="721"/>
    </row>
  </sheetData>
  <phoneticPr fontId="0" type="noConversion"/>
  <conditionalFormatting sqref="I311:L327">
    <cfRule type="expression" dxfId="40" priority="75" stopIfTrue="1">
      <formula>$O311="Y"</formula>
    </cfRule>
  </conditionalFormatting>
  <conditionalFormatting sqref="A11:C143 AS324:AS327 AU311:AU327 AL11:AM11 AN320:AO327 AM12:AM327 AL12:AL310 AQ11:AQ327 AT11:AT310 AW11:BA143 AU11:AU143 AN11:AN319">
    <cfRule type="expression" dxfId="39" priority="76" stopIfTrue="1">
      <formula>$O11="Y"</formula>
    </cfRule>
    <cfRule type="expression" dxfId="38" priority="77" stopIfTrue="1">
      <formula>$F11=0</formula>
    </cfRule>
  </conditionalFormatting>
  <conditionalFormatting sqref="V33:V143 V11:V31 W11:AK143 AP11:AP310 D135:U135 U101:U134 D144:AK144 D139:U140 D142:U142 D141:R141 U141 D143:R143 U143 D148:R148 U148:AK148 D160:AK174 U158:AK158 D179:AK180 D178:R178 U178:AK178 D181:R181 U181:AK181 G158:R158 G159:AK159 D131:R134 D158:F159 D11:U90 D136:R138 U136:U138 D146:AK147 D145:R145 U145:AK145 D157:AK157 U155:AK155 D176:AK177 D175:R175 U175:AK175 G155:R155 G156:AK156 D249:AK310 D248:R248 U248:AK248 G91:U100 G101:R130 D182:AK247 D149:AK154 D91:F130 D155:F156">
    <cfRule type="expression" dxfId="37" priority="78" stopIfTrue="1">
      <formula>$E11=0</formula>
    </cfRule>
  </conditionalFormatting>
  <conditionalFormatting sqref="V32">
    <cfRule type="expression" dxfId="36" priority="79" stopIfTrue="1">
      <formula>$E31=0</formula>
    </cfRule>
  </conditionalFormatting>
  <conditionalFormatting sqref="AT311:AT321">
    <cfRule type="expression" dxfId="35" priority="72" stopIfTrue="1">
      <formula>$O311="Y"</formula>
    </cfRule>
    <cfRule type="expression" dxfId="34" priority="73" stopIfTrue="1">
      <formula>$F311=0</formula>
    </cfRule>
  </conditionalFormatting>
  <conditionalFormatting sqref="A144:C310 AU144:AU310 AW144:BA310">
    <cfRule type="expression" dxfId="33" priority="69" stopIfTrue="1">
      <formula>$O144="Y"</formula>
    </cfRule>
    <cfRule type="expression" dxfId="32" priority="70" stopIfTrue="1">
      <formula>$F144=0</formula>
    </cfRule>
  </conditionalFormatting>
  <conditionalFormatting sqref="AO11:AO319">
    <cfRule type="expression" dxfId="31" priority="65" stopIfTrue="1">
      <formula>$E11=0</formula>
    </cfRule>
  </conditionalFormatting>
  <conditionalFormatting sqref="AR12:AR327">
    <cfRule type="expression" dxfId="30" priority="54" stopIfTrue="1">
      <formula>$O12="Y"</formula>
    </cfRule>
    <cfRule type="expression" dxfId="29" priority="55" stopIfTrue="1">
      <formula>$F12=0</formula>
    </cfRule>
  </conditionalFormatting>
  <conditionalFormatting sqref="AS11:AS323">
    <cfRule type="expression" dxfId="28" priority="52" stopIfTrue="1">
      <formula>$O11="Y"</formula>
    </cfRule>
    <cfRule type="expression" dxfId="27" priority="53" stopIfTrue="1">
      <formula>$F11=0</formula>
    </cfRule>
  </conditionalFormatting>
  <conditionalFormatting sqref="BC11:BC248">
    <cfRule type="expression" dxfId="26" priority="43" stopIfTrue="1">
      <formula>$O11="Y"</formula>
    </cfRule>
    <cfRule type="expression" dxfId="25" priority="44" stopIfTrue="1">
      <formula>$F11=0</formula>
    </cfRule>
  </conditionalFormatting>
  <conditionalFormatting sqref="BC249:BC310">
    <cfRule type="expression" dxfId="24" priority="41" stopIfTrue="1">
      <formula>$O249="Y"</formula>
    </cfRule>
    <cfRule type="expression" dxfId="23" priority="42" stopIfTrue="1">
      <formula>$F249=0</formula>
    </cfRule>
  </conditionalFormatting>
  <conditionalFormatting sqref="AV11:AV87">
    <cfRule type="cellIs" dxfId="22" priority="36" operator="lessThan">
      <formula>-0.00015</formula>
    </cfRule>
    <cfRule type="cellIs" dxfId="21" priority="37" operator="greaterThan">
      <formula>0.00015</formula>
    </cfRule>
  </conditionalFormatting>
  <conditionalFormatting sqref="BC11:BC87">
    <cfRule type="containsText" dxfId="20" priority="34" operator="containsText" text="TRUE">
      <formula>NOT(ISERROR(SEARCH("TRUE",BC11)))</formula>
    </cfRule>
  </conditionalFormatting>
  <conditionalFormatting sqref="S181:T181">
    <cfRule type="expression" dxfId="19" priority="9" stopIfTrue="1">
      <formula>$E181=0</formula>
    </cfRule>
  </conditionalFormatting>
  <conditionalFormatting sqref="S101:T104 S106:T132 S134:T134">
    <cfRule type="expression" dxfId="18" priority="22" stopIfTrue="1">
      <formula>$E101=0</formula>
    </cfRule>
  </conditionalFormatting>
  <conditionalFormatting sqref="S143:T143">
    <cfRule type="expression" dxfId="17" priority="13" stopIfTrue="1">
      <formula>$E143=0</formula>
    </cfRule>
  </conditionalFormatting>
  <conditionalFormatting sqref="S136:T136">
    <cfRule type="expression" dxfId="16" priority="15" stopIfTrue="1">
      <formula>$E136=0</formula>
    </cfRule>
  </conditionalFormatting>
  <conditionalFormatting sqref="S141:T141">
    <cfRule type="expression" dxfId="15" priority="14" stopIfTrue="1">
      <formula>$E141=0</formula>
    </cfRule>
  </conditionalFormatting>
  <conditionalFormatting sqref="S148:T148">
    <cfRule type="expression" dxfId="14" priority="12" stopIfTrue="1">
      <formula>$E148=0</formula>
    </cfRule>
  </conditionalFormatting>
  <conditionalFormatting sqref="S158:T158">
    <cfRule type="expression" dxfId="13" priority="11" stopIfTrue="1">
      <formula>$E158=0</formula>
    </cfRule>
  </conditionalFormatting>
  <conditionalFormatting sqref="S178:T178">
    <cfRule type="expression" dxfId="12" priority="10" stopIfTrue="1">
      <formula>$E178=0</formula>
    </cfRule>
  </conditionalFormatting>
  <conditionalFormatting sqref="S105:T105">
    <cfRule type="expression" dxfId="11" priority="8" stopIfTrue="1">
      <formula>$E105=0</formula>
    </cfRule>
  </conditionalFormatting>
  <conditionalFormatting sqref="S137:T137">
    <cfRule type="expression" dxfId="10" priority="7" stopIfTrue="1">
      <formula>$E137=0</formula>
    </cfRule>
  </conditionalFormatting>
  <conditionalFormatting sqref="S138:T138">
    <cfRule type="expression" dxfId="9" priority="6" stopIfTrue="1">
      <formula>$E138=0</formula>
    </cfRule>
  </conditionalFormatting>
  <conditionalFormatting sqref="S145:T145">
    <cfRule type="expression" dxfId="8" priority="5" stopIfTrue="1">
      <formula>$E145=0</formula>
    </cfRule>
  </conditionalFormatting>
  <conditionalFormatting sqref="S155:T155">
    <cfRule type="expression" dxfId="7" priority="4" stopIfTrue="1">
      <formula>$E155=0</formula>
    </cfRule>
  </conditionalFormatting>
  <conditionalFormatting sqref="S175:T175">
    <cfRule type="expression" dxfId="6" priority="3" stopIfTrue="1">
      <formula>$E175=0</formula>
    </cfRule>
  </conditionalFormatting>
  <conditionalFormatting sqref="S248:T248">
    <cfRule type="expression" dxfId="5" priority="2" stopIfTrue="1">
      <formula>$E248=0</formula>
    </cfRule>
  </conditionalFormatting>
  <conditionalFormatting sqref="S133:T133">
    <cfRule type="expression" dxfId="4" priority="1" stopIfTrue="1">
      <formula>$E133=0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M30" sqref="M30"/>
    </sheetView>
  </sheetViews>
  <sheetFormatPr defaultRowHeight="15"/>
  <cols>
    <col min="1" max="3" width="9.140625" style="939"/>
    <col min="4" max="4" width="14.42578125" style="939" customWidth="1"/>
    <col min="5" max="22" width="9.140625" style="939"/>
    <col min="23" max="23" width="9.28515625" style="939" bestFit="1" customWidth="1"/>
    <col min="24" max="24" width="19.28515625" style="939" bestFit="1" customWidth="1"/>
    <col min="25" max="259" width="9.140625" style="939"/>
    <col min="260" max="260" width="14.42578125" style="939" customWidth="1"/>
    <col min="261" max="515" width="9.140625" style="939"/>
    <col min="516" max="516" width="14.42578125" style="939" customWidth="1"/>
    <col min="517" max="771" width="9.140625" style="939"/>
    <col min="772" max="772" width="14.42578125" style="939" customWidth="1"/>
    <col min="773" max="1027" width="9.140625" style="939"/>
    <col min="1028" max="1028" width="14.42578125" style="939" customWidth="1"/>
    <col min="1029" max="1283" width="9.140625" style="939"/>
    <col min="1284" max="1284" width="14.42578125" style="939" customWidth="1"/>
    <col min="1285" max="1539" width="9.140625" style="939"/>
    <col min="1540" max="1540" width="14.42578125" style="939" customWidth="1"/>
    <col min="1541" max="1795" width="9.140625" style="939"/>
    <col min="1796" max="1796" width="14.42578125" style="939" customWidth="1"/>
    <col min="1797" max="2051" width="9.140625" style="939"/>
    <col min="2052" max="2052" width="14.42578125" style="939" customWidth="1"/>
    <col min="2053" max="2307" width="9.140625" style="939"/>
    <col min="2308" max="2308" width="14.42578125" style="939" customWidth="1"/>
    <col min="2309" max="2563" width="9.140625" style="939"/>
    <col min="2564" max="2564" width="14.42578125" style="939" customWidth="1"/>
    <col min="2565" max="2819" width="9.140625" style="939"/>
    <col min="2820" max="2820" width="14.42578125" style="939" customWidth="1"/>
    <col min="2821" max="3075" width="9.140625" style="939"/>
    <col min="3076" max="3076" width="14.42578125" style="939" customWidth="1"/>
    <col min="3077" max="3331" width="9.140625" style="939"/>
    <col min="3332" max="3332" width="14.42578125" style="939" customWidth="1"/>
    <col min="3333" max="3587" width="9.140625" style="939"/>
    <col min="3588" max="3588" width="14.42578125" style="939" customWidth="1"/>
    <col min="3589" max="3843" width="9.140625" style="939"/>
    <col min="3844" max="3844" width="14.42578125" style="939" customWidth="1"/>
    <col min="3845" max="4099" width="9.140625" style="939"/>
    <col min="4100" max="4100" width="14.42578125" style="939" customWidth="1"/>
    <col min="4101" max="4355" width="9.140625" style="939"/>
    <col min="4356" max="4356" width="14.42578125" style="939" customWidth="1"/>
    <col min="4357" max="4611" width="9.140625" style="939"/>
    <col min="4612" max="4612" width="14.42578125" style="939" customWidth="1"/>
    <col min="4613" max="4867" width="9.140625" style="939"/>
    <col min="4868" max="4868" width="14.42578125" style="939" customWidth="1"/>
    <col min="4869" max="5123" width="9.140625" style="939"/>
    <col min="5124" max="5124" width="14.42578125" style="939" customWidth="1"/>
    <col min="5125" max="5379" width="9.140625" style="939"/>
    <col min="5380" max="5380" width="14.42578125" style="939" customWidth="1"/>
    <col min="5381" max="5635" width="9.140625" style="939"/>
    <col min="5636" max="5636" width="14.42578125" style="939" customWidth="1"/>
    <col min="5637" max="5891" width="9.140625" style="939"/>
    <col min="5892" max="5892" width="14.42578125" style="939" customWidth="1"/>
    <col min="5893" max="6147" width="9.140625" style="939"/>
    <col min="6148" max="6148" width="14.42578125" style="939" customWidth="1"/>
    <col min="6149" max="6403" width="9.140625" style="939"/>
    <col min="6404" max="6404" width="14.42578125" style="939" customWidth="1"/>
    <col min="6405" max="6659" width="9.140625" style="939"/>
    <col min="6660" max="6660" width="14.42578125" style="939" customWidth="1"/>
    <col min="6661" max="6915" width="9.140625" style="939"/>
    <col min="6916" max="6916" width="14.42578125" style="939" customWidth="1"/>
    <col min="6917" max="7171" width="9.140625" style="939"/>
    <col min="7172" max="7172" width="14.42578125" style="939" customWidth="1"/>
    <col min="7173" max="7427" width="9.140625" style="939"/>
    <col min="7428" max="7428" width="14.42578125" style="939" customWidth="1"/>
    <col min="7429" max="7683" width="9.140625" style="939"/>
    <col min="7684" max="7684" width="14.42578125" style="939" customWidth="1"/>
    <col min="7685" max="7939" width="9.140625" style="939"/>
    <col min="7940" max="7940" width="14.42578125" style="939" customWidth="1"/>
    <col min="7941" max="8195" width="9.140625" style="939"/>
    <col min="8196" max="8196" width="14.42578125" style="939" customWidth="1"/>
    <col min="8197" max="8451" width="9.140625" style="939"/>
    <col min="8452" max="8452" width="14.42578125" style="939" customWidth="1"/>
    <col min="8453" max="8707" width="9.140625" style="939"/>
    <col min="8708" max="8708" width="14.42578125" style="939" customWidth="1"/>
    <col min="8709" max="8963" width="9.140625" style="939"/>
    <col min="8964" max="8964" width="14.42578125" style="939" customWidth="1"/>
    <col min="8965" max="9219" width="9.140625" style="939"/>
    <col min="9220" max="9220" width="14.42578125" style="939" customWidth="1"/>
    <col min="9221" max="9475" width="9.140625" style="939"/>
    <col min="9476" max="9476" width="14.42578125" style="939" customWidth="1"/>
    <col min="9477" max="9731" width="9.140625" style="939"/>
    <col min="9732" max="9732" width="14.42578125" style="939" customWidth="1"/>
    <col min="9733" max="9987" width="9.140625" style="939"/>
    <col min="9988" max="9988" width="14.42578125" style="939" customWidth="1"/>
    <col min="9989" max="10243" width="9.140625" style="939"/>
    <col min="10244" max="10244" width="14.42578125" style="939" customWidth="1"/>
    <col min="10245" max="10499" width="9.140625" style="939"/>
    <col min="10500" max="10500" width="14.42578125" style="939" customWidth="1"/>
    <col min="10501" max="10755" width="9.140625" style="939"/>
    <col min="10756" max="10756" width="14.42578125" style="939" customWidth="1"/>
    <col min="10757" max="11011" width="9.140625" style="939"/>
    <col min="11012" max="11012" width="14.42578125" style="939" customWidth="1"/>
    <col min="11013" max="11267" width="9.140625" style="939"/>
    <col min="11268" max="11268" width="14.42578125" style="939" customWidth="1"/>
    <col min="11269" max="11523" width="9.140625" style="939"/>
    <col min="11524" max="11524" width="14.42578125" style="939" customWidth="1"/>
    <col min="11525" max="11779" width="9.140625" style="939"/>
    <col min="11780" max="11780" width="14.42578125" style="939" customWidth="1"/>
    <col min="11781" max="12035" width="9.140625" style="939"/>
    <col min="12036" max="12036" width="14.42578125" style="939" customWidth="1"/>
    <col min="12037" max="12291" width="9.140625" style="939"/>
    <col min="12292" max="12292" width="14.42578125" style="939" customWidth="1"/>
    <col min="12293" max="12547" width="9.140625" style="939"/>
    <col min="12548" max="12548" width="14.42578125" style="939" customWidth="1"/>
    <col min="12549" max="12803" width="9.140625" style="939"/>
    <col min="12804" max="12804" width="14.42578125" style="939" customWidth="1"/>
    <col min="12805" max="13059" width="9.140625" style="939"/>
    <col min="13060" max="13060" width="14.42578125" style="939" customWidth="1"/>
    <col min="13061" max="13315" width="9.140625" style="939"/>
    <col min="13316" max="13316" width="14.42578125" style="939" customWidth="1"/>
    <col min="13317" max="13571" width="9.140625" style="939"/>
    <col min="13572" max="13572" width="14.42578125" style="939" customWidth="1"/>
    <col min="13573" max="13827" width="9.140625" style="939"/>
    <col min="13828" max="13828" width="14.42578125" style="939" customWidth="1"/>
    <col min="13829" max="14083" width="9.140625" style="939"/>
    <col min="14084" max="14084" width="14.42578125" style="939" customWidth="1"/>
    <col min="14085" max="14339" width="9.140625" style="939"/>
    <col min="14340" max="14340" width="14.42578125" style="939" customWidth="1"/>
    <col min="14341" max="14595" width="9.140625" style="939"/>
    <col min="14596" max="14596" width="14.42578125" style="939" customWidth="1"/>
    <col min="14597" max="14851" width="9.140625" style="939"/>
    <col min="14852" max="14852" width="14.42578125" style="939" customWidth="1"/>
    <col min="14853" max="15107" width="9.140625" style="939"/>
    <col min="15108" max="15108" width="14.42578125" style="939" customWidth="1"/>
    <col min="15109" max="15363" width="9.140625" style="939"/>
    <col min="15364" max="15364" width="14.42578125" style="939" customWidth="1"/>
    <col min="15365" max="15619" width="9.140625" style="939"/>
    <col min="15620" max="15620" width="14.42578125" style="939" customWidth="1"/>
    <col min="15621" max="15875" width="9.140625" style="939"/>
    <col min="15876" max="15876" width="14.42578125" style="939" customWidth="1"/>
    <col min="15877" max="16131" width="9.140625" style="939"/>
    <col min="16132" max="16132" width="14.42578125" style="939" customWidth="1"/>
    <col min="16133" max="16384" width="9.140625" style="939"/>
  </cols>
  <sheetData>
    <row r="1" spans="1:28" ht="15.75" thickBot="1">
      <c r="A1" s="932"/>
      <c r="B1" s="933"/>
      <c r="C1" s="933"/>
      <c r="D1" s="934"/>
      <c r="E1" s="934"/>
      <c r="F1" s="934"/>
      <c r="G1" s="934"/>
      <c r="H1" s="934"/>
      <c r="I1" s="935"/>
      <c r="J1" s="935"/>
      <c r="K1" s="935"/>
      <c r="L1" s="935"/>
      <c r="M1" s="936"/>
      <c r="N1" s="935"/>
      <c r="O1" s="935"/>
      <c r="P1" s="934"/>
      <c r="Q1" s="935"/>
      <c r="R1" s="935"/>
      <c r="S1" s="935"/>
      <c r="T1" s="935"/>
      <c r="U1" s="935"/>
      <c r="V1" s="935"/>
      <c r="W1" s="935"/>
      <c r="X1" s="937" t="s">
        <v>2052</v>
      </c>
      <c r="Y1" s="935"/>
      <c r="Z1" s="938">
        <f>DATEVALUE(_xll.BDP($B12,"T_PLUS_1_SETTLE_DT"))</f>
        <v>43161</v>
      </c>
      <c r="AA1" s="938">
        <f>DATEVALUE(_xll.BDP($B12,"SETTLE_DT"))</f>
        <v>43164</v>
      </c>
      <c r="AB1" s="935"/>
    </row>
    <row r="2" spans="1:28" ht="24">
      <c r="A2" s="940"/>
      <c r="B2" s="941"/>
      <c r="C2" s="941"/>
      <c r="D2" s="942" t="s">
        <v>40</v>
      </c>
      <c r="E2" s="943" t="s">
        <v>1026</v>
      </c>
      <c r="F2" s="943" t="s">
        <v>2053</v>
      </c>
      <c r="G2" s="943" t="s">
        <v>2054</v>
      </c>
      <c r="H2" s="943" t="s">
        <v>2055</v>
      </c>
      <c r="I2" s="943" t="s">
        <v>2056</v>
      </c>
      <c r="J2" s="944" t="s">
        <v>2057</v>
      </c>
      <c r="K2" s="944"/>
      <c r="L2" s="943" t="s">
        <v>2058</v>
      </c>
      <c r="M2" s="945" t="s">
        <v>2059</v>
      </c>
      <c r="N2" s="946" t="s">
        <v>2060</v>
      </c>
      <c r="O2" s="943"/>
      <c r="P2" s="944" t="s">
        <v>2061</v>
      </c>
      <c r="Q2" s="947" t="s">
        <v>2062</v>
      </c>
      <c r="R2" s="947"/>
      <c r="S2" s="947"/>
      <c r="T2" s="947"/>
      <c r="U2" s="947"/>
      <c r="V2" s="947"/>
      <c r="W2" s="948" t="s">
        <v>2063</v>
      </c>
      <c r="X2" s="948" t="s">
        <v>2064</v>
      </c>
      <c r="Y2" s="949" t="s">
        <v>2065</v>
      </c>
      <c r="Z2" s="949" t="s">
        <v>2066</v>
      </c>
      <c r="AA2" s="947" t="s">
        <v>2067</v>
      </c>
      <c r="AB2" s="947"/>
    </row>
    <row r="3" spans="1:28" ht="15.75" thickBot="1">
      <c r="A3" s="940"/>
      <c r="B3" s="941"/>
      <c r="C3" s="941"/>
      <c r="D3" s="950"/>
      <c r="E3" s="951"/>
      <c r="F3" s="951"/>
      <c r="G3" s="951"/>
      <c r="H3" s="951"/>
      <c r="I3" s="951"/>
      <c r="J3" s="952"/>
      <c r="K3" s="952"/>
      <c r="L3" s="953"/>
      <c r="M3" s="953" t="s">
        <v>2068</v>
      </c>
      <c r="N3" s="953"/>
      <c r="O3" s="951"/>
      <c r="P3" s="952"/>
      <c r="Q3" s="947"/>
      <c r="R3" s="947"/>
      <c r="S3" s="947"/>
      <c r="T3" s="947"/>
      <c r="U3" s="947"/>
      <c r="V3" s="947"/>
      <c r="W3" s="948"/>
      <c r="X3" s="948"/>
      <c r="Y3" s="949"/>
      <c r="Z3" s="949"/>
      <c r="AA3" s="947"/>
      <c r="AB3" s="947"/>
    </row>
    <row r="4" spans="1:28">
      <c r="A4" s="954"/>
      <c r="B4" s="955"/>
      <c r="C4" s="955"/>
      <c r="D4" s="956"/>
      <c r="E4" s="957"/>
      <c r="F4" s="957"/>
      <c r="G4" s="958"/>
      <c r="H4" s="959"/>
      <c r="I4" s="960"/>
      <c r="J4" s="961"/>
      <c r="K4" s="962"/>
      <c r="L4" s="963"/>
      <c r="M4" s="964"/>
      <c r="N4" s="964"/>
      <c r="O4" s="965"/>
      <c r="P4" s="966"/>
      <c r="Q4" s="967"/>
      <c r="R4" s="967"/>
      <c r="S4" s="968"/>
      <c r="T4" s="969"/>
      <c r="U4" s="968"/>
      <c r="V4" s="969"/>
      <c r="W4" s="970"/>
      <c r="X4" s="970"/>
      <c r="Y4" s="971"/>
      <c r="Z4" s="971"/>
      <c r="AA4" s="972"/>
      <c r="AB4" s="973"/>
    </row>
    <row r="5" spans="1:28">
      <c r="A5" s="954"/>
      <c r="B5" s="955"/>
      <c r="C5" s="955"/>
      <c r="D5" s="974"/>
      <c r="E5" s="975"/>
      <c r="F5" s="975"/>
      <c r="G5" s="976"/>
      <c r="H5" s="977"/>
      <c r="I5" s="978"/>
      <c r="J5" s="979"/>
      <c r="K5" s="980"/>
      <c r="L5" s="963"/>
      <c r="M5" s="964"/>
      <c r="N5" s="981"/>
      <c r="O5" s="982"/>
      <c r="P5" s="983"/>
      <c r="Q5" s="967"/>
      <c r="R5" s="967"/>
      <c r="S5" s="984"/>
      <c r="T5" s="969"/>
      <c r="U5" s="984"/>
      <c r="V5" s="969"/>
      <c r="W5" s="970"/>
      <c r="X5" s="970"/>
      <c r="Y5" s="971"/>
      <c r="Z5" s="971"/>
      <c r="AA5" s="972"/>
      <c r="AB5" s="973"/>
    </row>
    <row r="6" spans="1:28">
      <c r="A6" s="954" t="s">
        <v>2069</v>
      </c>
      <c r="B6" s="955" t="str">
        <f t="shared" ref="B6:B13" si="0">A6&amp;" Corp"</f>
        <v>IT0004716319 Corp</v>
      </c>
      <c r="C6" s="955"/>
      <c r="D6" s="974">
        <f>DATEVALUE(_xll.BDP($B6,D$2))</f>
        <v>43205</v>
      </c>
      <c r="E6" s="975">
        <f>_xll.BDP(B6,"FLT_SPREAD")</f>
        <v>100</v>
      </c>
      <c r="F6" s="975">
        <f>_xll.BDP(B6,F$2)</f>
        <v>0.72599999999999998</v>
      </c>
      <c r="G6" s="976">
        <f>_xll.BDP($B6,G$2)</f>
        <v>100.124</v>
      </c>
      <c r="H6" s="977">
        <f t="shared" ref="H6:H13" si="1">(G6+I6)/2</f>
        <v>100.1405</v>
      </c>
      <c r="I6" s="978">
        <f>_xll.BDP($B6,I$2)</f>
        <v>100.157</v>
      </c>
      <c r="J6" s="979">
        <f>_xll.BDP(B6&amp;"@CBBT Corp",J$2)</f>
        <v>-15.305271578380681</v>
      </c>
      <c r="K6" s="980">
        <f>_xll.BDP(B6&amp;"@CBBT Corp","ASSET_SWAP_SPD_MID")</f>
        <v>72.022494389590037</v>
      </c>
      <c r="L6" s="963" t="e">
        <f>-(H6-X6-AB6)/W6*100</f>
        <v>#REF!</v>
      </c>
      <c r="M6" s="964" t="e">
        <f>IF(_xll.MKV("EUR.CM_DEPTH.VMO_REPO."&amp;A6&amp;"_SN_Fixed", M$2)=0,"-",_xll.MKV("EUR.CM_DEPTH.VMO_REPO."&amp;A6&amp;"_SN_Fixed", M$2))</f>
        <v>#REF!</v>
      </c>
      <c r="N6" s="981" t="e">
        <f>_xll.MKV("EUR.CM_DEPTH.VMO_REPO."&amp;A6&amp;"_SN_Fixed", N$2)</f>
        <v>#REF!</v>
      </c>
      <c r="O6" s="982">
        <f t="shared" ref="O6:O10" si="2">T6+(V6-T6)*(D6-S6)/(U6-S6)</f>
        <v>-9.5010837874819707</v>
      </c>
      <c r="P6" s="983">
        <f t="shared" ref="P6:P11" si="3">J6-O6</f>
        <v>-5.8041877908987107</v>
      </c>
      <c r="Q6" s="967">
        <f t="shared" ref="Q6:Q15" si="4">MATCH(D6,$D$24:$D$41,1)</f>
        <v>1</v>
      </c>
      <c r="R6" s="967">
        <f t="shared" ref="R6:R13" si="5">Q6+1</f>
        <v>2</v>
      </c>
      <c r="S6" s="984">
        <f t="shared" ref="S6:S15" si="6">VLOOKUP(Q6,$C$24:$J$41,2)</f>
        <v>43187</v>
      </c>
      <c r="T6" s="969">
        <f t="shared" ref="T6:T15" si="7">VLOOKUP(S6,$D$24:$J$41,7)</f>
        <v>-6.6462426189689694</v>
      </c>
      <c r="U6" s="984">
        <f t="shared" ref="U6:U15" si="8">VLOOKUP(R6,$C$24:$J$41,2)</f>
        <v>43235</v>
      </c>
      <c r="V6" s="969">
        <f t="shared" ref="V6:V15" si="9">VLOOKUP(U6,$D$24:$J$41,7)</f>
        <v>-14.259152401670304</v>
      </c>
      <c r="W6" s="970" t="e">
        <f>_xll.MKV($X$1&amp;$A6, W$2)</f>
        <v>#REF!</v>
      </c>
      <c r="X6" s="970" t="e">
        <f>_xll.MKV($X$1&amp;$A6, X$2)</f>
        <v>#REF!</v>
      </c>
      <c r="Y6" s="971">
        <f>DATEVALUE(_xll.BDP($B6,Y$2))</f>
        <v>43205</v>
      </c>
      <c r="Z6" s="971">
        <f>DATEVALUE(_xll.BDP($B6,Z$2))</f>
        <v>43023</v>
      </c>
      <c r="AA6" s="972">
        <f t="shared" ref="AA6:AA12" si="10">F6/2*(Settle-Z6)/(Y6-Z6)</f>
        <v>0.2812252747252747</v>
      </c>
      <c r="AB6" s="973">
        <f t="shared" ref="AB6:AB12" si="11">F6/2/(Y6-Z6)*(Settle-$Z$1)</f>
        <v>5.9835164835164833E-3</v>
      </c>
    </row>
    <row r="7" spans="1:28">
      <c r="A7" s="954" t="s">
        <v>2070</v>
      </c>
      <c r="B7" s="955" t="str">
        <f t="shared" si="0"/>
        <v>IT0004922909 Corp</v>
      </c>
      <c r="C7" s="955"/>
      <c r="D7" s="974">
        <f>DATEVALUE(_xll.BDP($B7,D$2))</f>
        <v>43405</v>
      </c>
      <c r="E7" s="975">
        <f>_xll.BDP(B7,"FLT_SPREAD")</f>
        <v>180</v>
      </c>
      <c r="F7" s="975">
        <f>_xll.BDP(B7,F$2)</f>
        <v>1.524</v>
      </c>
      <c r="G7" s="976">
        <f>_xll.BDP($B7,G$2)</f>
        <v>101.298</v>
      </c>
      <c r="H7" s="977">
        <f t="shared" si="1"/>
        <v>101.3155</v>
      </c>
      <c r="I7" s="978">
        <f>_xll.BDP(B7,I2)</f>
        <v>101.333</v>
      </c>
      <c r="J7" s="979">
        <f>_xll.BDP(B7&amp;"@CBBT Corp",J$2)</f>
        <v>-14.279750143719143</v>
      </c>
      <c r="K7" s="980">
        <f>_xll.BDP(B7&amp;"@CBBT Corp","ASSET_SWAP_SPD_MID")</f>
        <v>50.392967041411332</v>
      </c>
      <c r="L7" s="963" t="e">
        <f>-(H7-X7-AB7)/W7*100</f>
        <v>#REF!</v>
      </c>
      <c r="M7" s="964" t="e">
        <f>IF(_xll.MKV("EUR.CM_DEPTH.VMO_REPO."&amp;A7&amp;"_SN_Fixed", M$2)=0,"-",_xll.MKV("EUR.CM_DEPTH.VMO_REPO."&amp;A7&amp;"_SN_Fixed", M$2))</f>
        <v>#REF!</v>
      </c>
      <c r="N7" s="981" t="e">
        <f>_xll.MKV("EUR.CM_DEPTH.VMO_REPO."&amp;A7&amp;"_SN_Fixed", N$2)</f>
        <v>#REF!</v>
      </c>
      <c r="O7" s="982">
        <f t="shared" si="2"/>
        <v>-20.592405273482552</v>
      </c>
      <c r="P7" s="983">
        <f t="shared" si="3"/>
        <v>6.3126551297634084</v>
      </c>
      <c r="Q7" s="967">
        <f t="shared" si="4"/>
        <v>3</v>
      </c>
      <c r="R7" s="967">
        <f t="shared" si="5"/>
        <v>4</v>
      </c>
      <c r="S7" s="984">
        <f t="shared" si="6"/>
        <v>43313</v>
      </c>
      <c r="T7" s="969">
        <f t="shared" si="7"/>
        <v>-19.62261738184009</v>
      </c>
      <c r="U7" s="984">
        <f t="shared" si="8"/>
        <v>43435</v>
      </c>
      <c r="V7" s="969">
        <f t="shared" si="9"/>
        <v>-20.908640455539878</v>
      </c>
      <c r="W7" s="970" t="e">
        <f>_xll.MKV($X$1&amp;$A7, W$2)</f>
        <v>#REF!</v>
      </c>
      <c r="X7" s="970" t="e">
        <f>_xll.MKV($X$1&amp;$A7, X$2)</f>
        <v>#REF!</v>
      </c>
      <c r="Y7" s="971">
        <f>DATEVALUE(_xll.BDP($B7,Y$2))</f>
        <v>43221</v>
      </c>
      <c r="Z7" s="971">
        <f>DATEVALUE(_xll.BDP($B7,Z$2))</f>
        <v>43040</v>
      </c>
      <c r="AA7" s="972">
        <f t="shared" si="10"/>
        <v>0.52203314917127075</v>
      </c>
      <c r="AB7" s="973">
        <f t="shared" si="11"/>
        <v>1.2629834254143647E-2</v>
      </c>
    </row>
    <row r="8" spans="1:28">
      <c r="A8" s="954" t="s">
        <v>2071</v>
      </c>
      <c r="B8" s="955" t="str">
        <f t="shared" si="0"/>
        <v>IT0005009839 Corp</v>
      </c>
      <c r="C8" s="955"/>
      <c r="D8" s="974">
        <f>DATEVALUE(_xll.BDP($B8,D$2))</f>
        <v>43784</v>
      </c>
      <c r="E8" s="975">
        <f>_xll.BDP(B8,"FLT_SPREAD")</f>
        <v>120</v>
      </c>
      <c r="F8" s="975">
        <f>_xll.BDP(B8,F$2)</f>
        <v>0.92500000000000004</v>
      </c>
      <c r="G8" s="976">
        <f>_xll.BDP($B8,G$2)</f>
        <v>102.015</v>
      </c>
      <c r="H8" s="977">
        <f t="shared" si="1"/>
        <v>102.0455</v>
      </c>
      <c r="I8" s="978">
        <f>_xll.BDP($B8,I$2)</f>
        <v>102.07599999999999</v>
      </c>
      <c r="J8" s="979">
        <f>_xll.BDP(B8&amp;"@CBBT Corp",J$2)</f>
        <v>2.0654426799980903</v>
      </c>
      <c r="K8" s="980">
        <f>_xll.BDP(B8&amp;"@CBBT Corp","ASSET_SWAP_SPD_MID")</f>
        <v>19.238594973836925</v>
      </c>
      <c r="L8" s="963" t="e">
        <f t="shared" ref="L8:L13" si="12">-(H8-X8-AB8)/W8*100</f>
        <v>#REF!</v>
      </c>
      <c r="M8" s="964" t="e">
        <f>IF(_xll.MKV("EUR.CM_DEPTH.VMO_REPO."&amp;A8&amp;"_SN_Fixed", M$2)=0,"-",_xll.MKV("EUR.CM_DEPTH.VMO_REPO."&amp;A8&amp;"_SN_Fixed", M$2))</f>
        <v>#REF!</v>
      </c>
      <c r="N8" s="981" t="e">
        <f>_xll.MKV("EUR.CM_DEPTH.VMO_REPO."&amp;A8&amp;"_SN_Fixed", N$2)</f>
        <v>#REF!</v>
      </c>
      <c r="O8" s="982">
        <f t="shared" si="2"/>
        <v>-13.404388207769944</v>
      </c>
      <c r="P8" s="983">
        <f t="shared" si="3"/>
        <v>15.469830887768035</v>
      </c>
      <c r="Q8" s="967">
        <f t="shared" si="4"/>
        <v>5</v>
      </c>
      <c r="R8" s="967">
        <f t="shared" si="5"/>
        <v>6</v>
      </c>
      <c r="S8" s="984">
        <f t="shared" si="6"/>
        <v>43709</v>
      </c>
      <c r="T8" s="969">
        <f t="shared" si="7"/>
        <v>-24.754527808624029</v>
      </c>
      <c r="U8" s="984">
        <f t="shared" si="8"/>
        <v>43800</v>
      </c>
      <c r="V8" s="969">
        <f t="shared" si="9"/>
        <v>-10.983025092921073</v>
      </c>
      <c r="W8" s="970" t="e">
        <f>_xll.MKV($X$1&amp;$A8, W$2)</f>
        <v>#REF!</v>
      </c>
      <c r="X8" s="970" t="e">
        <f>_xll.MKV($X$1&amp;$A8, X$2)</f>
        <v>#REF!</v>
      </c>
      <c r="Y8" s="971">
        <f>DATEVALUE(_xll.BDP($B8,Y$2))</f>
        <v>43235</v>
      </c>
      <c r="Z8" s="971">
        <f>DATEVALUE(_xll.BDP($B8,Z$2))</f>
        <v>43054</v>
      </c>
      <c r="AA8" s="972">
        <f t="shared" si="10"/>
        <v>0.28107734806629836</v>
      </c>
      <c r="AB8" s="973">
        <f t="shared" si="11"/>
        <v>7.6657458563535921E-3</v>
      </c>
    </row>
    <row r="9" spans="1:28">
      <c r="A9" s="954" t="s">
        <v>2072</v>
      </c>
      <c r="B9" s="955" t="str">
        <f t="shared" si="0"/>
        <v>IT0005056541 Corp</v>
      </c>
      <c r="C9" s="955"/>
      <c r="D9" s="974">
        <f>DATEVALUE(_xll.BDP($B9,D$2))</f>
        <v>44180</v>
      </c>
      <c r="E9" s="975">
        <f>_xll.BDP(B9,"FLT_SPREAD")</f>
        <v>80</v>
      </c>
      <c r="F9" s="975">
        <f>_xll.BDP(B9,F$2)</f>
        <v>0.52700000000000002</v>
      </c>
      <c r="G9" s="976">
        <f>_xll.BDP($B9,G$2)</f>
        <v>101.803</v>
      </c>
      <c r="H9" s="977">
        <f t="shared" si="1"/>
        <v>101.836</v>
      </c>
      <c r="I9" s="978">
        <f>_xll.BDP($B9,I$2)</f>
        <v>101.869</v>
      </c>
      <c r="J9" s="979">
        <f>_xll.BDP(B9&amp;"@CBBT Corp",J$2)</f>
        <v>15.340438327125401</v>
      </c>
      <c r="K9" s="980">
        <f>_xll.BDP(B9&amp;"@CBBT Corp","ASSET_SWAP_SPD_MID")</f>
        <v>19.74476854642398</v>
      </c>
      <c r="L9" s="963" t="e">
        <f t="shared" si="12"/>
        <v>#REF!</v>
      </c>
      <c r="M9" s="964" t="e">
        <f>IF(_xll.MKV("EUR.CM_DEPTH.VMO_REPO."&amp;A9&amp;"_SN_Fixed", M$2)=0,"-",_xll.MKV("EUR.CM_DEPTH.VMO_REPO."&amp;A9&amp;"_SN_Fixed", M$2))</f>
        <v>#REF!</v>
      </c>
      <c r="N9" s="981" t="e">
        <f>_xll.MKV("EUR.CM_DEPTH.VMO_REPO."&amp;A9&amp;"_SN_Fixed", N$2)</f>
        <v>#REF!</v>
      </c>
      <c r="O9" s="982">
        <f t="shared" si="2"/>
        <v>9.6479991861120986</v>
      </c>
      <c r="P9" s="983">
        <f t="shared" si="3"/>
        <v>5.6924391410133026</v>
      </c>
      <c r="Q9" s="967">
        <f t="shared" si="4"/>
        <v>7</v>
      </c>
      <c r="R9" s="967">
        <f t="shared" si="5"/>
        <v>8</v>
      </c>
      <c r="S9" s="984">
        <f t="shared" si="6"/>
        <v>44075</v>
      </c>
      <c r="T9" s="969">
        <f t="shared" si="7"/>
        <v>6.9887419707231846</v>
      </c>
      <c r="U9" s="984">
        <f t="shared" si="8"/>
        <v>44256</v>
      </c>
      <c r="V9" s="969">
        <f t="shared" si="9"/>
        <v>11.57279488486979</v>
      </c>
      <c r="W9" s="970" t="e">
        <f>_xll.MKV($X$1&amp;$A9, W$2)</f>
        <v>#REF!</v>
      </c>
      <c r="X9" s="970" t="e">
        <f>_xll.MKV($X$1&amp;$A9, X$2)</f>
        <v>#REF!</v>
      </c>
      <c r="Y9" s="971">
        <f>DATEVALUE(_xll.BDP($B9,Y$2))</f>
        <v>43266</v>
      </c>
      <c r="Z9" s="971">
        <f>DATEVALUE(_xll.BDP($B9,Z$2))</f>
        <v>43084</v>
      </c>
      <c r="AA9" s="972">
        <f t="shared" si="10"/>
        <v>0.11582417582417584</v>
      </c>
      <c r="AB9" s="973">
        <f t="shared" si="11"/>
        <v>4.3434065934065931E-3</v>
      </c>
    </row>
    <row r="10" spans="1:28">
      <c r="A10" s="954" t="s">
        <v>2073</v>
      </c>
      <c r="B10" s="955" t="str">
        <f t="shared" si="0"/>
        <v>IT0005104473 Corp</v>
      </c>
      <c r="C10" s="955"/>
      <c r="D10" s="974">
        <f>DATEVALUE(_xll.BDP($B10,D$2))</f>
        <v>44727</v>
      </c>
      <c r="E10" s="975">
        <f>_xll.BDP(B10,"FLT_SPREAD")</f>
        <v>55</v>
      </c>
      <c r="F10" s="975">
        <f>_xll.BDP(B10,F$2)</f>
        <v>0.27700000000000002</v>
      </c>
      <c r="G10" s="976">
        <f>_xll.BDP($B10,G$2)</f>
        <v>100.822</v>
      </c>
      <c r="H10" s="977">
        <f t="shared" si="1"/>
        <v>100.86150000000001</v>
      </c>
      <c r="I10" s="978">
        <f>_xll.BDP($B10,I$2)</f>
        <v>100.901</v>
      </c>
      <c r="J10" s="979">
        <f>_xll.BDP(B10&amp;"@CBBT Corp",J$2)</f>
        <v>35.265388258269141</v>
      </c>
      <c r="K10" s="980">
        <f>_xll.BDP(B10&amp;"@CBBT Corp","ASSET_SWAP_SPD_MID")</f>
        <v>36.078158248229421</v>
      </c>
      <c r="L10" s="963" t="e">
        <f t="shared" si="12"/>
        <v>#REF!</v>
      </c>
      <c r="M10" s="964" t="e">
        <f>IF(_xll.MKV("EUR.CM_DEPTH.VMO_REPO."&amp;A10&amp;"_SN_Fixed", M$2)=0,"-",_xll.MKV("EUR.CM_DEPTH.VMO_REPO."&amp;A10&amp;"_SN_Fixed", M$2))</f>
        <v>#REF!</v>
      </c>
      <c r="N10" s="981" t="e">
        <f>_xll.MKV("EUR.CM_DEPTH.VMO_REPO."&amp;A10&amp;"_SN_Fixed", N$2)</f>
        <v>#REF!</v>
      </c>
      <c r="O10" s="982">
        <f t="shared" si="2"/>
        <v>34.138374272419426</v>
      </c>
      <c r="P10" s="983">
        <f t="shared" si="3"/>
        <v>1.1270139858497146</v>
      </c>
      <c r="Q10" s="967">
        <f t="shared" si="4"/>
        <v>9</v>
      </c>
      <c r="R10" s="967">
        <f t="shared" si="5"/>
        <v>10</v>
      </c>
      <c r="S10" s="984">
        <f t="shared" si="6"/>
        <v>44621</v>
      </c>
      <c r="T10" s="969">
        <f t="shared" si="7"/>
        <v>29.157440886153207</v>
      </c>
      <c r="U10" s="984">
        <f t="shared" si="8"/>
        <v>44805</v>
      </c>
      <c r="V10" s="969">
        <f t="shared" si="9"/>
        <v>37.803589405709658</v>
      </c>
      <c r="W10" s="970" t="e">
        <f>_xll.MKV($X$1&amp;$A10, W$2)</f>
        <v>#REF!</v>
      </c>
      <c r="X10" s="970" t="e">
        <f>_xll.MKV($X$1&amp;$A10, X$2)</f>
        <v>#REF!</v>
      </c>
      <c r="Y10" s="971">
        <f>DATEVALUE(_xll.BDP($B10,Y$2))</f>
        <v>43266</v>
      </c>
      <c r="Z10" s="971">
        <f>DATEVALUE(_xll.BDP($B10,Z$2))</f>
        <v>43084</v>
      </c>
      <c r="AA10" s="972">
        <f t="shared" si="10"/>
        <v>6.0879120879120889E-2</v>
      </c>
      <c r="AB10" s="973">
        <f t="shared" si="11"/>
        <v>2.2829670329670331E-3</v>
      </c>
    </row>
    <row r="11" spans="1:28">
      <c r="A11" s="954" t="s">
        <v>2074</v>
      </c>
      <c r="B11" s="955" t="str">
        <f t="shared" si="0"/>
        <v>IT0005137614 Corp</v>
      </c>
      <c r="C11" s="955"/>
      <c r="D11" s="974">
        <f>DATEVALUE(_xll.BDP($B11,D$2))</f>
        <v>44910</v>
      </c>
      <c r="E11" s="975">
        <f>_xll.BDP(B11,"FLT_SPREAD")</f>
        <v>70</v>
      </c>
      <c r="F11" s="975">
        <f>_xll.BDP(B11,F$2)</f>
        <v>0.42699999999999999</v>
      </c>
      <c r="G11" s="976">
        <f>_xll.BDP($B11,G$2)</f>
        <v>101.44499999999999</v>
      </c>
      <c r="H11" s="977">
        <f t="shared" si="1"/>
        <v>101.483</v>
      </c>
      <c r="I11" s="978">
        <f>_xll.BDP($B11,I$2)</f>
        <v>101.521</v>
      </c>
      <c r="J11" s="979">
        <f>_xll.BDP(B11&amp;"@CBBT Corp",J$2)</f>
        <v>39.26171027510609</v>
      </c>
      <c r="K11" s="980">
        <f>_xll.BDP(B11&amp;"@CBBT Corp","ASSET_SWAP_SPD_MID")</f>
        <v>40.641450840382213</v>
      </c>
      <c r="L11" s="963" t="e">
        <f t="shared" si="12"/>
        <v>#REF!</v>
      </c>
      <c r="M11" s="964" t="e">
        <f>IF(_xll.MKV("EUR.CM_DEPTH.VMO_REPO."&amp;A11&amp;"_SN_Fixed", M$2)=0,"-",_xll.MKV("EUR.CM_DEPTH.VMO_REPO."&amp;A11&amp;"_SN_Fixed", M$2))</f>
        <v>#REF!</v>
      </c>
      <c r="N11" s="981" t="e">
        <f>_xll.MKV("EUR.CM_DEPTH.VMO_REPO."&amp;A11&amp;"_SN_Fixed", N$2)</f>
        <v>#REF!</v>
      </c>
      <c r="O11" s="982">
        <f>T11+(V11-T11)*(D11-S11)/(U11-S11)</f>
        <v>44.670284369435102</v>
      </c>
      <c r="P11" s="983">
        <f t="shared" si="3"/>
        <v>-5.4085740943290119</v>
      </c>
      <c r="Q11" s="967">
        <f t="shared" si="4"/>
        <v>11</v>
      </c>
      <c r="R11" s="967">
        <f t="shared" si="5"/>
        <v>12</v>
      </c>
      <c r="S11" s="984">
        <f t="shared" si="6"/>
        <v>44866</v>
      </c>
      <c r="T11" s="969">
        <f t="shared" si="7"/>
        <v>43.047478361157026</v>
      </c>
      <c r="U11" s="984">
        <f t="shared" si="8"/>
        <v>45047</v>
      </c>
      <c r="V11" s="969">
        <f t="shared" si="9"/>
        <v>49.723112167937288</v>
      </c>
      <c r="W11" s="970" t="e">
        <f>_xll.MKV($X$1&amp;$A11, W$2)</f>
        <v>#REF!</v>
      </c>
      <c r="X11" s="970" t="e">
        <f>_xll.MKV($X$1&amp;$A11, X$2)</f>
        <v>#REF!</v>
      </c>
      <c r="Y11" s="971">
        <f>DATEVALUE(_xll.BDP($B11,Y$2))</f>
        <v>43266</v>
      </c>
      <c r="Z11" s="971">
        <f>DATEVALUE(_xll.BDP($B11,Z$2))</f>
        <v>43084</v>
      </c>
      <c r="AA11" s="972">
        <f t="shared" si="10"/>
        <v>9.3846153846153843E-2</v>
      </c>
      <c r="AB11" s="973">
        <f t="shared" si="11"/>
        <v>3.5192307692307689E-3</v>
      </c>
    </row>
    <row r="12" spans="1:28">
      <c r="A12" s="954" t="s">
        <v>2075</v>
      </c>
      <c r="B12" s="955" t="str">
        <f t="shared" si="0"/>
        <v>IT0005185456 Corp</v>
      </c>
      <c r="C12" s="955"/>
      <c r="D12" s="974">
        <f>DATEVALUE(_xll.BDP($B12,D$2))</f>
        <v>45122</v>
      </c>
      <c r="E12" s="975">
        <f>_xll.BDP(B12,"FLT_SPREAD")</f>
        <v>70</v>
      </c>
      <c r="F12" s="975">
        <f>_xll.BDP(B12,F$2)</f>
        <v>0.42899999999999999</v>
      </c>
      <c r="G12" s="976">
        <f>_xll.BDP($B12,G$2)</f>
        <v>101.134</v>
      </c>
      <c r="H12" s="977">
        <f t="shared" si="1"/>
        <v>101.1635</v>
      </c>
      <c r="I12" s="978">
        <f>_xll.BDP($B12,I$2)</f>
        <v>101.193</v>
      </c>
      <c r="J12" s="979">
        <f>_xll.BDP(B12&amp;"@CBBT Corp",J$2)</f>
        <v>48.409540801956801</v>
      </c>
      <c r="K12" s="980">
        <f>_xll.BDP(B12&amp;"@CBBT Corp","ASSET_SWAP_SPD_MID")</f>
        <v>48.992236269317218</v>
      </c>
      <c r="L12" s="963" t="e">
        <f t="shared" si="12"/>
        <v>#REF!</v>
      </c>
      <c r="M12" s="964" t="e">
        <f>IF(_xll.MKV("EUR.CM_DEPTH.VMO_REPO."&amp;A12&amp;"_SN_Fixed", M$2)=0,"-",_xll.MKV("EUR.CM_DEPTH.VMO_REPO."&amp;A12&amp;"_SN_Fixed", M$2))</f>
        <v>#REF!</v>
      </c>
      <c r="N12" s="981" t="e">
        <f>_xll.MKV("EUR.CM_DEPTH.VMO_REPO."&amp;A12&amp;"_SN_Fixed", N$2)</f>
        <v>#REF!</v>
      </c>
      <c r="O12" s="982">
        <f>T12+(V12-T12)*(D12-S12)/(U12-S12)</f>
        <v>51.081182335284339</v>
      </c>
      <c r="P12" s="983">
        <f>J12-O12</f>
        <v>-2.6716415333275378</v>
      </c>
      <c r="Q12" s="967">
        <f t="shared" si="4"/>
        <v>12</v>
      </c>
      <c r="R12" s="967">
        <f t="shared" si="5"/>
        <v>13</v>
      </c>
      <c r="S12" s="984">
        <f t="shared" si="6"/>
        <v>45047</v>
      </c>
      <c r="T12" s="969">
        <f t="shared" si="7"/>
        <v>49.723112167937288</v>
      </c>
      <c r="U12" s="984">
        <f t="shared" si="8"/>
        <v>45214</v>
      </c>
      <c r="V12" s="969">
        <f t="shared" si="9"/>
        <v>52.747081740563388</v>
      </c>
      <c r="W12" s="970" t="e">
        <f>_xll.MKV($X$1&amp;$A12, W$2)</f>
        <v>#REF!</v>
      </c>
      <c r="X12" s="970" t="e">
        <f>_xll.MKV($X$1&amp;$A12, X$2)</f>
        <v>#REF!</v>
      </c>
      <c r="Y12" s="971">
        <f>DATEVALUE(_xll.BDP($B12,Y$2))</f>
        <v>43296</v>
      </c>
      <c r="Z12" s="971">
        <f>DATEVALUE(_xll.BDP($B12,Z$2))</f>
        <v>43115</v>
      </c>
      <c r="AA12" s="972">
        <f t="shared" si="10"/>
        <v>5.8069060773480667E-2</v>
      </c>
      <c r="AB12" s="973">
        <f t="shared" si="11"/>
        <v>3.5552486187845306E-3</v>
      </c>
    </row>
    <row r="13" spans="1:28">
      <c r="A13" s="954" t="s">
        <v>2076</v>
      </c>
      <c r="B13" s="955" t="str">
        <f t="shared" si="0"/>
        <v>IT0005218968 Corp</v>
      </c>
      <c r="C13" s="955"/>
      <c r="D13" s="974">
        <f>DATEVALUE(_xll.BDP($B13,D$2))</f>
        <v>45337</v>
      </c>
      <c r="E13" s="975">
        <f>_xll.BDP(B13,"FLT_SPREAD")</f>
        <v>75</v>
      </c>
      <c r="F13" s="975">
        <f>_xll.BDP(B13,F$2)</f>
        <v>0.47400000000000003</v>
      </c>
      <c r="G13" s="976">
        <f>_xll.BDP($B13,G$2)</f>
        <v>100.983</v>
      </c>
      <c r="H13" s="977">
        <f t="shared" si="1"/>
        <v>101.03</v>
      </c>
      <c r="I13" s="978">
        <f>_xll.BDP($B13,I$2)</f>
        <v>101.077</v>
      </c>
      <c r="J13" s="979">
        <f>_xll.BDP(B13&amp;"@CBBT Corp",J$2)</f>
        <v>57.597339981361259</v>
      </c>
      <c r="K13" s="980">
        <f>_xll.BDP(B13&amp;"@CBBT Corp","ASSET_SWAP_SPD_MID")</f>
        <v>57.914745569674373</v>
      </c>
      <c r="L13" s="963" t="e">
        <f t="shared" si="12"/>
        <v>#REF!</v>
      </c>
      <c r="M13" s="964" t="e">
        <f>IF(_xll.MKV("EUR.CM_DEPTH.VMO_REPO."&amp;A13&amp;"_SN_Fixed", M$2)=0,"-",_xll.MKV("EUR.CM_DEPTH.VMO_REPO."&amp;A13&amp;"_SN_Fixed", M$2))</f>
        <v>#REF!</v>
      </c>
      <c r="N13" s="981" t="e">
        <f>_xll.MKV("EUR.CM_DEPTH.VMO_REPO."&amp;A13&amp;"_SN_Fixed", N$2)</f>
        <v>#REF!</v>
      </c>
      <c r="O13" s="982">
        <f>T13+(V13-T13)*(D13-S13)/(U13-S13)</f>
        <v>62.644065476595699</v>
      </c>
      <c r="P13" s="983">
        <f>J13-O13</f>
        <v>-5.0467254952344405</v>
      </c>
      <c r="Q13" s="967">
        <f t="shared" si="4"/>
        <v>13</v>
      </c>
      <c r="R13" s="967">
        <f t="shared" si="5"/>
        <v>14</v>
      </c>
      <c r="S13" s="984">
        <f t="shared" si="6"/>
        <v>45214</v>
      </c>
      <c r="T13" s="969">
        <f t="shared" si="7"/>
        <v>52.747081740563388</v>
      </c>
      <c r="U13" s="984">
        <f t="shared" si="8"/>
        <v>45352</v>
      </c>
      <c r="V13" s="969">
        <f t="shared" si="9"/>
        <v>63.8510147126972</v>
      </c>
      <c r="W13" s="970" t="e">
        <f>_xll.MKV($X$1&amp;$A13, W$2)</f>
        <v>#REF!</v>
      </c>
      <c r="X13" s="970" t="e">
        <f>_xll.MKV($X$1&amp;$A13, X$2)</f>
        <v>#REF!</v>
      </c>
      <c r="Y13" s="971">
        <f>DATEVALUE(_xll.BDP($B13,Y$2))</f>
        <v>43327</v>
      </c>
      <c r="Z13" s="971">
        <f>DATEVALUE(_xll.BDP($B13,Z$2))</f>
        <v>43146</v>
      </c>
      <c r="AA13" s="972">
        <f>F13/2*(Settle-Z13)/(Y13-Z13)</f>
        <v>2.3569060773480664E-2</v>
      </c>
      <c r="AB13" s="973">
        <f>F13/2/(Y13-Z13)*(Settle-$Z$1)</f>
        <v>3.9281767955801107E-3</v>
      </c>
    </row>
    <row r="14" spans="1:28">
      <c r="A14" s="954" t="s">
        <v>2077</v>
      </c>
      <c r="B14" s="955" t="str">
        <f>A14&amp;" Corp"</f>
        <v>IT0005252520 Corp</v>
      </c>
      <c r="C14" s="955"/>
      <c r="D14" s="974">
        <f>DATEVALUE(_xll.BDP($B14,D$2))</f>
        <v>45580</v>
      </c>
      <c r="E14" s="975">
        <f>_xll.BDP(B14,"FLT_SPREAD")</f>
        <v>110</v>
      </c>
      <c r="F14" s="975">
        <f>_xll.BDP(B14,F$2)</f>
        <v>0.82599999999999996</v>
      </c>
      <c r="G14" s="976">
        <f>_xll.BDP($B14,G$2)</f>
        <v>102.81100000000001</v>
      </c>
      <c r="H14" s="977">
        <f>(G14+I14)/2</f>
        <v>102.8575</v>
      </c>
      <c r="I14" s="978">
        <f>_xll.BDP($B14,I$2)</f>
        <v>102.904</v>
      </c>
      <c r="J14" s="979">
        <f>_xll.BDP(B14&amp;"@CBBT Corp",J$2)</f>
        <v>66.041410883781936</v>
      </c>
      <c r="K14" s="980">
        <f>_xll.BDP(B14&amp;"@CBBT Corp","ASSET_SWAP_SPD_MID")</f>
        <v>69.266695283366175</v>
      </c>
      <c r="L14" s="963" t="e">
        <f>-(H14-X14-AB14)/W14*100</f>
        <v>#REF!</v>
      </c>
      <c r="M14" s="964" t="e">
        <f>IF(_xll.MKV("EUR.CM_DEPTH.VMO_REPO."&amp;A14&amp;"_SN_Fixed", M$2)=0,"-",_xll.MKV("EUR.CM_DEPTH.VMO_REPO."&amp;A14&amp;"_SN_Fixed", M$2))</f>
        <v>#REF!</v>
      </c>
      <c r="N14" s="981" t="e">
        <f>_xll.MKV("EUR.CM_DEPTH.VMO_REPO."&amp;A14&amp;"_SN_Fixed", N$2)</f>
        <v>#REF!</v>
      </c>
      <c r="O14" s="982">
        <f>T14+(V14-T14)*(D14-S14)/(U14-S14)</f>
        <v>70.761578509174015</v>
      </c>
      <c r="P14" s="983">
        <f>J14-O14</f>
        <v>-4.7201676253920795</v>
      </c>
      <c r="Q14" s="967">
        <f t="shared" si="4"/>
        <v>15</v>
      </c>
      <c r="R14" s="967">
        <f>Q14+1</f>
        <v>16</v>
      </c>
      <c r="S14" s="984">
        <f t="shared" si="6"/>
        <v>45536</v>
      </c>
      <c r="T14" s="969">
        <f t="shared" si="7"/>
        <v>69.081282347824967</v>
      </c>
      <c r="U14" s="984">
        <f t="shared" si="8"/>
        <v>45627</v>
      </c>
      <c r="V14" s="969">
        <f t="shared" si="9"/>
        <v>72.556440317887777</v>
      </c>
      <c r="W14" s="970" t="e">
        <f>_xll.MKV($X$1&amp;$A14, W$2)</f>
        <v>#REF!</v>
      </c>
      <c r="X14" s="970" t="e">
        <f>_xll.MKV($X$1&amp;$A14, X$2)</f>
        <v>#REF!</v>
      </c>
      <c r="Y14" s="971">
        <f>DATEVALUE(_xll.BDP($B14,Y$2))</f>
        <v>43205</v>
      </c>
      <c r="Z14" s="971">
        <f>DATEVALUE(_xll.BDP($B14,Z$2))</f>
        <v>43023</v>
      </c>
      <c r="AA14" s="972">
        <f>F14/2*(Settle-Z14)/(Y14-Z14)</f>
        <v>0.31996153846153846</v>
      </c>
      <c r="AB14" s="973">
        <f>F14/2/(Y14-Z14)*(Settle-$Z$1)</f>
        <v>6.8076923076923071E-3</v>
      </c>
    </row>
    <row r="15" spans="1:28" ht="15.75" thickBot="1">
      <c r="A15" s="954" t="s">
        <v>2078</v>
      </c>
      <c r="B15" s="955" t="str">
        <f>A15&amp;" Corp"</f>
        <v>IT0005311508 Corp</v>
      </c>
      <c r="C15" s="955"/>
      <c r="D15" s="985">
        <f>DATEVALUE(_xll.BDP($B15,D$2))</f>
        <v>45762</v>
      </c>
      <c r="E15" s="986">
        <f>_xll.BDP(B15,"FLT_SPREAD")</f>
        <v>95</v>
      </c>
      <c r="F15" s="986">
        <f>_xll.BDP(B15,F$2)</f>
        <v>0.67600000000000005</v>
      </c>
      <c r="G15" s="987">
        <f>_xll.BDP($B15,G$2)</f>
        <v>101.578</v>
      </c>
      <c r="H15" s="988">
        <f>(G15+I15)/2</f>
        <v>101.62</v>
      </c>
      <c r="I15" s="989">
        <f>_xll.BDP($B15,I$2)</f>
        <v>101.66200000000001</v>
      </c>
      <c r="J15" s="990">
        <f>_xll.BDP(B15&amp;"@CBBT Corp",J$2)</f>
        <v>71.753693883859881</v>
      </c>
      <c r="K15" s="991">
        <f>_xll.BDP(B15&amp;"@CBBT Corp","ASSET_SWAP_SPD_MID")</f>
        <v>73.381481494829643</v>
      </c>
      <c r="L15" s="992" t="e">
        <f>-(H15-X15-AB15)/W15*100</f>
        <v>#REF!</v>
      </c>
      <c r="M15" s="993" t="e">
        <f>IF(_xll.MKV("EUR.CM_DEPTH.VMO_REPO."&amp;A15&amp;"_SN_Fixed", M$2)=0,"-",_xll.MKV("EUR.CM_DEPTH.VMO_REPO."&amp;A15&amp;"_SN_Fixed", M$2))</f>
        <v>#REF!</v>
      </c>
      <c r="N15" s="994" t="e">
        <f>_xll.MKV("EUR.CM_DEPTH.VMO_REPO."&amp;A15&amp;"_SN_Fixed", N$2)</f>
        <v>#REF!</v>
      </c>
      <c r="O15" s="995">
        <f>T15+(V15-T15)*(D15-S15)/(U15-S15)</f>
        <v>76.74356515426291</v>
      </c>
      <c r="P15" s="996">
        <f>J15-O15</f>
        <v>-4.9898712704030288</v>
      </c>
      <c r="Q15" s="967">
        <f t="shared" si="4"/>
        <v>17</v>
      </c>
      <c r="R15" s="967">
        <f>Q15+1</f>
        <v>18</v>
      </c>
      <c r="S15" s="984">
        <f t="shared" si="6"/>
        <v>45717</v>
      </c>
      <c r="T15" s="969">
        <f t="shared" si="7"/>
        <v>75.879958135905795</v>
      </c>
      <c r="U15" s="984">
        <f t="shared" si="8"/>
        <v>45809</v>
      </c>
      <c r="V15" s="969">
        <f t="shared" si="9"/>
        <v>77.645554706769232</v>
      </c>
      <c r="W15" s="970" t="e">
        <f>_xll.MKV($X$1&amp;$A15, W$2)</f>
        <v>#REF!</v>
      </c>
      <c r="X15" s="970" t="e">
        <f>_xll.MKV($X$1&amp;$A15, X$2)</f>
        <v>#REF!</v>
      </c>
      <c r="Y15" s="971">
        <f>DATEVALUE(_xll.BDP($B15,Y$2))</f>
        <v>43205</v>
      </c>
      <c r="Z15" s="971">
        <f>DATEVALUE(_xll.BDP($B15,Z$2))</f>
        <v>43023</v>
      </c>
      <c r="AA15" s="972">
        <f>F15/2*(Settle-Z15)/(Y15-Z15)</f>
        <v>0.26185714285714284</v>
      </c>
      <c r="AB15" s="973">
        <f>F15/2/(Y15-Z15)*(Settle-$Z$1)</f>
        <v>5.5714285714285718E-3</v>
      </c>
    </row>
    <row r="16" spans="1:28">
      <c r="A16" s="932"/>
      <c r="B16" s="933"/>
      <c r="C16" s="933"/>
      <c r="D16" s="934"/>
      <c r="E16" s="934"/>
      <c r="F16" s="934"/>
      <c r="G16" s="934"/>
      <c r="H16" s="934"/>
      <c r="I16" s="935"/>
      <c r="J16" s="934"/>
      <c r="K16" s="934"/>
      <c r="L16" s="934"/>
      <c r="M16" s="934"/>
      <c r="N16" s="934"/>
      <c r="O16" s="934"/>
      <c r="P16" s="934"/>
      <c r="Q16" s="935"/>
      <c r="R16" s="935"/>
      <c r="S16" s="935"/>
      <c r="T16" s="935"/>
      <c r="U16" s="935"/>
      <c r="V16" s="935"/>
      <c r="W16" s="935"/>
      <c r="X16" s="935"/>
      <c r="Y16" s="935"/>
      <c r="Z16" s="935"/>
      <c r="AA16" s="935"/>
      <c r="AB16" s="935"/>
    </row>
    <row r="17" spans="1:28">
      <c r="A17" s="932"/>
      <c r="B17" s="933"/>
      <c r="C17" s="933"/>
      <c r="D17" s="934"/>
      <c r="E17" s="934"/>
      <c r="F17" s="934"/>
      <c r="G17" s="934"/>
      <c r="H17" s="934"/>
      <c r="I17" s="935"/>
      <c r="J17" s="934"/>
      <c r="K17" s="934"/>
      <c r="L17" s="934"/>
      <c r="M17" s="934"/>
      <c r="N17" s="934"/>
      <c r="O17" s="934"/>
      <c r="P17" s="934"/>
      <c r="Q17" s="935"/>
      <c r="R17" s="935"/>
      <c r="S17" s="935"/>
      <c r="T17" s="935"/>
      <c r="U17" s="935"/>
      <c r="V17" s="935"/>
      <c r="W17" s="935"/>
      <c r="X17" s="935"/>
      <c r="Y17" s="935"/>
      <c r="Z17" s="935"/>
      <c r="AA17" s="935"/>
      <c r="AB17" s="935"/>
    </row>
    <row r="18" spans="1:28">
      <c r="A18" s="932"/>
      <c r="B18" s="933"/>
      <c r="C18" s="933"/>
      <c r="D18" s="934"/>
      <c r="E18" s="934"/>
      <c r="F18" s="934"/>
      <c r="G18" s="934"/>
      <c r="H18" s="934"/>
      <c r="I18" s="935"/>
      <c r="J18" s="934"/>
      <c r="K18" s="934"/>
      <c r="L18" s="934"/>
      <c r="M18" s="934"/>
      <c r="N18" s="934"/>
      <c r="O18" s="934"/>
      <c r="P18" s="934"/>
      <c r="Q18" s="935"/>
      <c r="R18" s="935"/>
      <c r="S18" s="935"/>
      <c r="T18" s="935"/>
      <c r="U18" s="935"/>
      <c r="V18" s="935"/>
      <c r="W18" s="935"/>
      <c r="X18" s="935"/>
      <c r="Y18" s="935"/>
      <c r="Z18" s="935"/>
      <c r="AA18" s="935"/>
      <c r="AB18" s="935"/>
    </row>
    <row r="19" spans="1:28">
      <c r="A19" s="954"/>
      <c r="B19" s="955"/>
      <c r="C19" s="955"/>
      <c r="D19" s="997"/>
      <c r="E19" s="975"/>
      <c r="F19" s="975"/>
      <c r="G19" s="976"/>
      <c r="H19" s="934"/>
      <c r="I19" s="976"/>
      <c r="J19" s="998"/>
      <c r="K19" s="998"/>
      <c r="L19" s="998"/>
      <c r="M19" s="998"/>
      <c r="N19" s="998"/>
      <c r="O19" s="998"/>
      <c r="P19" s="998"/>
      <c r="Q19" s="935"/>
      <c r="R19" s="935"/>
      <c r="S19" s="935"/>
      <c r="T19" s="935"/>
      <c r="U19" s="935"/>
      <c r="V19" s="935"/>
      <c r="W19" s="935"/>
      <c r="X19" s="935"/>
      <c r="Y19" s="935"/>
      <c r="Z19" s="935"/>
      <c r="AA19" s="935"/>
      <c r="AB19" s="935"/>
    </row>
    <row r="20" spans="1:28">
      <c r="A20" s="954"/>
      <c r="B20" s="955"/>
      <c r="C20" s="955"/>
      <c r="D20" s="999"/>
      <c r="E20" s="975"/>
      <c r="F20" s="975"/>
      <c r="G20" s="976"/>
      <c r="H20" s="934"/>
      <c r="I20" s="976"/>
      <c r="J20" s="998"/>
      <c r="K20" s="998"/>
      <c r="L20" s="998"/>
      <c r="M20" s="998"/>
      <c r="N20" s="998"/>
      <c r="O20" s="998"/>
      <c r="P20" s="998"/>
      <c r="Q20" s="935"/>
      <c r="R20" s="935"/>
      <c r="S20" s="935"/>
      <c r="T20" s="935"/>
      <c r="U20" s="935"/>
      <c r="V20" s="935"/>
      <c r="W20" s="935"/>
      <c r="X20" s="935"/>
      <c r="Y20" s="935"/>
      <c r="Z20" s="935"/>
      <c r="AA20" s="935"/>
      <c r="AB20" s="935"/>
    </row>
    <row r="21" spans="1:28">
      <c r="A21" s="954"/>
      <c r="B21" s="955"/>
      <c r="C21" s="955"/>
      <c r="D21" s="999"/>
      <c r="E21" s="975"/>
      <c r="F21" s="975"/>
      <c r="G21" s="976"/>
      <c r="H21" s="934"/>
      <c r="I21" s="976"/>
      <c r="J21" s="998"/>
      <c r="K21" s="998"/>
      <c r="L21" s="998"/>
      <c r="M21" s="998"/>
      <c r="N21" s="998"/>
      <c r="O21" s="998"/>
      <c r="P21" s="998"/>
      <c r="Q21" s="935"/>
      <c r="R21" s="935"/>
      <c r="S21" s="935"/>
      <c r="T21" s="935"/>
      <c r="U21" s="935"/>
      <c r="V21" s="935"/>
      <c r="W21" s="935"/>
      <c r="X21" s="935"/>
      <c r="Y21" s="935"/>
      <c r="Z21" s="935"/>
      <c r="AA21" s="935"/>
      <c r="AB21" s="935"/>
    </row>
    <row r="22" spans="1:28">
      <c r="A22" s="954"/>
      <c r="B22" s="955"/>
      <c r="C22" s="955"/>
      <c r="D22" s="999"/>
      <c r="E22" s="975"/>
      <c r="F22" s="975"/>
      <c r="G22" s="976"/>
      <c r="H22" s="934"/>
      <c r="I22" s="976"/>
      <c r="J22" s="998"/>
      <c r="K22" s="998"/>
      <c r="L22" s="998"/>
      <c r="M22" s="998"/>
      <c r="N22" s="998"/>
      <c r="O22" s="998"/>
      <c r="P22" s="998"/>
      <c r="Q22" s="935"/>
      <c r="R22" s="935"/>
      <c r="S22" s="935"/>
      <c r="T22" s="935"/>
      <c r="U22" s="935"/>
      <c r="V22" s="935"/>
      <c r="W22" s="935"/>
      <c r="X22" s="935"/>
      <c r="Y22" s="935"/>
      <c r="Z22" s="935"/>
      <c r="AA22" s="935"/>
      <c r="AB22" s="935"/>
    </row>
    <row r="23" spans="1:28">
      <c r="A23" s="954"/>
      <c r="B23" s="955"/>
      <c r="C23" s="955"/>
      <c r="D23" s="999"/>
      <c r="E23" s="975"/>
      <c r="F23" s="975"/>
      <c r="G23" s="976"/>
      <c r="H23" s="934"/>
      <c r="I23" s="976"/>
      <c r="J23" s="998"/>
      <c r="K23" s="998"/>
      <c r="L23" s="998"/>
      <c r="M23" s="998"/>
      <c r="N23" s="998"/>
      <c r="O23" s="998"/>
      <c r="P23" s="998"/>
      <c r="Q23" s="935"/>
      <c r="R23" s="935"/>
      <c r="S23" s="935"/>
      <c r="T23" s="935"/>
      <c r="U23" s="935"/>
      <c r="V23" s="935"/>
      <c r="W23" s="935"/>
      <c r="X23" s="935"/>
      <c r="Y23" s="935"/>
      <c r="Z23" s="935"/>
      <c r="AA23" s="935"/>
      <c r="AB23" s="935"/>
    </row>
    <row r="24" spans="1:28">
      <c r="A24" s="954" t="s">
        <v>846</v>
      </c>
      <c r="B24" s="955" t="str">
        <f t="shared" ref="B24:B37" si="13">A24&amp;" Corp"</f>
        <v>IT0005175366 Corp</v>
      </c>
      <c r="C24" s="955">
        <v>1</v>
      </c>
      <c r="D24" s="999">
        <f>DATEVALUE(_xll.BDP($B24,D$2))</f>
        <v>43187</v>
      </c>
      <c r="E24" s="975"/>
      <c r="F24" s="975">
        <f>_xll.BDP(B24,F$2)</f>
        <v>0</v>
      </c>
      <c r="G24" s="976">
        <f>_xll.BDP($B24,G$2)</f>
        <v>99.980999999999995</v>
      </c>
      <c r="H24" s="934">
        <f t="shared" ref="H24:H37" si="14">(G24+I24)/2</f>
        <v>100.03049999999999</v>
      </c>
      <c r="I24" s="976">
        <f>_xll.BDP($B24,I$2)</f>
        <v>100.08</v>
      </c>
      <c r="J24" s="998">
        <f>_xll.BDP(B24&amp;"@CBBT Corp",J$2)</f>
        <v>-6.6462426189689694</v>
      </c>
      <c r="K24" s="998"/>
      <c r="L24" s="998"/>
      <c r="M24" s="998"/>
      <c r="N24" s="998"/>
      <c r="O24" s="998"/>
      <c r="P24" s="998"/>
      <c r="Q24" s="935"/>
      <c r="R24" s="935"/>
      <c r="S24" s="935"/>
      <c r="T24" s="935"/>
      <c r="U24" s="935"/>
      <c r="V24" s="935"/>
      <c r="W24" s="935"/>
      <c r="X24" s="935"/>
      <c r="Y24" s="935"/>
      <c r="Z24" s="935"/>
      <c r="AA24" s="935"/>
      <c r="AB24" s="935"/>
    </row>
    <row r="25" spans="1:28">
      <c r="A25" s="954" t="s">
        <v>603</v>
      </c>
      <c r="B25" s="955" t="str">
        <f t="shared" si="13"/>
        <v>IT0005106049 Corp</v>
      </c>
      <c r="C25" s="955">
        <v>2</v>
      </c>
      <c r="D25" s="999">
        <f>DATEVALUE(_xll.BDP($B25,D$2))</f>
        <v>43235</v>
      </c>
      <c r="E25" s="975"/>
      <c r="F25" s="975">
        <f>_xll.BDP(B25,F$2)</f>
        <v>0.25</v>
      </c>
      <c r="G25" s="976">
        <f>_xll.BDP($B25,G$2)</f>
        <v>100.124</v>
      </c>
      <c r="H25" s="934">
        <f t="shared" si="14"/>
        <v>100.14</v>
      </c>
      <c r="I25" s="976">
        <f>_xll.BDP($B25,I$2)</f>
        <v>100.15600000000001</v>
      </c>
      <c r="J25" s="998">
        <f>_xll.BDP(B25&amp;"@CBBT Corp",J$2)</f>
        <v>-14.259152401670304</v>
      </c>
      <c r="K25" s="998"/>
      <c r="L25" s="998"/>
      <c r="M25" s="998"/>
      <c r="N25" s="998"/>
      <c r="O25" s="998"/>
      <c r="P25" s="998"/>
      <c r="Q25" s="935"/>
      <c r="R25" s="935"/>
      <c r="S25" s="935"/>
      <c r="T25" s="935"/>
      <c r="U25" s="935"/>
      <c r="V25" s="935"/>
      <c r="W25" s="935"/>
      <c r="X25" s="935"/>
      <c r="Y25" s="935"/>
      <c r="Z25" s="935"/>
      <c r="AA25" s="935"/>
      <c r="AB25" s="935"/>
    </row>
    <row r="26" spans="1:28">
      <c r="A26" s="954" t="s">
        <v>721</v>
      </c>
      <c r="B26" s="955" t="str">
        <f t="shared" si="13"/>
        <v>IT0004361041 Corp</v>
      </c>
      <c r="C26" s="955">
        <v>3</v>
      </c>
      <c r="D26" s="999">
        <f>DATEVALUE(_xll.BDP($B26,D$2))</f>
        <v>43313</v>
      </c>
      <c r="E26" s="975"/>
      <c r="F26" s="975">
        <f>_xll.BDP(B26,F$2)</f>
        <v>4.5</v>
      </c>
      <c r="G26" s="976">
        <f>_xll.BDP($B26,G$2)</f>
        <v>102.059</v>
      </c>
      <c r="H26" s="934">
        <f t="shared" si="14"/>
        <v>102.08150000000001</v>
      </c>
      <c r="I26" s="976">
        <f>_xll.BDP($B26,I$2)</f>
        <v>102.104</v>
      </c>
      <c r="J26" s="998">
        <f>_xll.BDP(B26&amp;"@CBBT Corp",J$2)</f>
        <v>-19.62261738184009</v>
      </c>
      <c r="K26" s="998"/>
      <c r="L26" s="998"/>
      <c r="M26" s="998"/>
      <c r="N26" s="998"/>
      <c r="O26" s="998"/>
      <c r="P26" s="998"/>
      <c r="Q26" s="935"/>
      <c r="R26" s="935"/>
      <c r="S26" s="935"/>
      <c r="T26" s="935"/>
      <c r="U26" s="935"/>
      <c r="V26" s="935"/>
      <c r="W26" s="935"/>
      <c r="X26" s="935"/>
      <c r="Y26" s="935"/>
      <c r="Z26" s="935"/>
      <c r="AA26" s="935"/>
      <c r="AB26" s="935"/>
    </row>
    <row r="27" spans="1:28">
      <c r="A27" s="954" t="s">
        <v>427</v>
      </c>
      <c r="B27" s="955" t="str">
        <f t="shared" si="13"/>
        <v>IT0004957574 Corp</v>
      </c>
      <c r="C27" s="955">
        <v>4</v>
      </c>
      <c r="D27" s="999">
        <f>DATEVALUE(_xll.BDP($B27,D$2))</f>
        <v>43435</v>
      </c>
      <c r="E27" s="975"/>
      <c r="F27" s="975">
        <f>_xll.BDP(B27,F$2)</f>
        <v>3.5</v>
      </c>
      <c r="G27" s="976">
        <f>_xll.BDP($B27,G$2)</f>
        <v>102.923</v>
      </c>
      <c r="H27" s="934">
        <f t="shared" si="14"/>
        <v>102.94749999999999</v>
      </c>
      <c r="I27" s="976">
        <f>_xll.BDP($B27,I$2)</f>
        <v>102.97199999999999</v>
      </c>
      <c r="J27" s="998">
        <f>_xll.BDP(B27&amp;"@CBBT Corp",J$2)</f>
        <v>-20.908640455539878</v>
      </c>
      <c r="K27" s="998"/>
      <c r="L27" s="998"/>
      <c r="M27" s="998"/>
      <c r="N27" s="998"/>
      <c r="O27" s="998"/>
      <c r="P27" s="998"/>
      <c r="Q27" s="935"/>
      <c r="R27" s="935"/>
      <c r="S27" s="935"/>
      <c r="T27" s="935"/>
      <c r="U27" s="935"/>
      <c r="V27" s="935"/>
      <c r="W27" s="935"/>
      <c r="X27" s="935"/>
      <c r="Y27" s="935"/>
      <c r="Z27" s="935"/>
      <c r="AA27" s="935"/>
      <c r="AB27" s="935"/>
    </row>
    <row r="28" spans="1:28">
      <c r="A28" s="954" t="s">
        <v>340</v>
      </c>
      <c r="B28" s="955" t="str">
        <f t="shared" si="13"/>
        <v>IT0004489610 Corp</v>
      </c>
      <c r="C28" s="955">
        <v>5</v>
      </c>
      <c r="D28" s="999">
        <f>DATEVALUE(_xll.BDP($B28,D$2))</f>
        <v>43709</v>
      </c>
      <c r="E28" s="975"/>
      <c r="F28" s="975">
        <f>_xll.BDP(B28,F$2)</f>
        <v>4.25</v>
      </c>
      <c r="G28" s="976">
        <f>_xll.BDP($B28,G$2)</f>
        <v>106.73099999999999</v>
      </c>
      <c r="H28" s="934">
        <f t="shared" si="14"/>
        <v>106.75700000000001</v>
      </c>
      <c r="I28" s="976">
        <f>_xll.BDP($B28,I$2)</f>
        <v>106.783</v>
      </c>
      <c r="J28" s="998">
        <f>_xll.BDP(B28&amp;"@CBBT Corp",J$2)</f>
        <v>-24.754527808624029</v>
      </c>
      <c r="K28" s="998"/>
      <c r="L28" s="998"/>
      <c r="M28" s="998"/>
      <c r="N28" s="998"/>
      <c r="O28" s="998"/>
      <c r="P28" s="998"/>
      <c r="Q28" s="935"/>
      <c r="R28" s="935"/>
      <c r="S28" s="935"/>
      <c r="T28" s="935"/>
      <c r="U28" s="935"/>
      <c r="V28" s="935"/>
      <c r="W28" s="935"/>
      <c r="X28" s="935"/>
      <c r="Y28" s="935"/>
      <c r="Z28" s="935"/>
      <c r="AA28" s="935"/>
      <c r="AB28" s="935"/>
    </row>
    <row r="29" spans="1:28">
      <c r="A29" s="954" t="s">
        <v>606</v>
      </c>
      <c r="B29" s="955" t="str">
        <f t="shared" si="13"/>
        <v>IT0005069395 Corp</v>
      </c>
      <c r="C29" s="955">
        <v>6</v>
      </c>
      <c r="D29" s="999">
        <f>DATEVALUE(_xll.BDP($B29,D$2))</f>
        <v>43800</v>
      </c>
      <c r="E29" s="975"/>
      <c r="F29" s="975">
        <f>_xll.BDP(B29,F$2)</f>
        <v>1.05</v>
      </c>
      <c r="G29" s="976">
        <f>_xll.BDP($B29,G$2)</f>
        <v>102.107</v>
      </c>
      <c r="H29" s="934">
        <f t="shared" si="14"/>
        <v>102.13300000000001</v>
      </c>
      <c r="I29" s="976">
        <f>_xll.BDP($B29,I$2)</f>
        <v>102.15900000000001</v>
      </c>
      <c r="J29" s="998">
        <f>_xll.BDP(B29&amp;"@CBBT Corp",J$2)</f>
        <v>-10.983025092921073</v>
      </c>
      <c r="K29" s="998"/>
      <c r="L29" s="998"/>
      <c r="M29" s="998"/>
      <c r="N29" s="998"/>
      <c r="O29" s="998"/>
      <c r="P29" s="998"/>
      <c r="Q29" s="935"/>
      <c r="R29" s="935"/>
      <c r="S29" s="935"/>
      <c r="T29" s="935"/>
      <c r="U29" s="935"/>
      <c r="V29" s="935"/>
      <c r="W29" s="935"/>
      <c r="X29" s="935"/>
      <c r="Y29" s="935"/>
      <c r="Z29" s="935"/>
      <c r="AA29" s="935"/>
      <c r="AB29" s="935"/>
    </row>
    <row r="30" spans="1:28">
      <c r="A30" s="954" t="s">
        <v>726</v>
      </c>
      <c r="B30" s="955" t="str">
        <f t="shared" si="13"/>
        <v>IT0004594930 Corp</v>
      </c>
      <c r="C30" s="955">
        <v>7</v>
      </c>
      <c r="D30" s="999">
        <f>DATEVALUE(_xll.BDP($B30,D$2))</f>
        <v>44075</v>
      </c>
      <c r="E30" s="975"/>
      <c r="F30" s="975">
        <f>_xll.BDP(B30,F$2)</f>
        <v>4</v>
      </c>
      <c r="G30" s="976">
        <f>_xll.BDP($B30,G$2)</f>
        <v>109.833</v>
      </c>
      <c r="H30" s="934">
        <f t="shared" si="14"/>
        <v>109.85499999999999</v>
      </c>
      <c r="I30" s="976">
        <f>_xll.BDP($B30,I$2)</f>
        <v>109.877</v>
      </c>
      <c r="J30" s="998">
        <f>_xll.BDP(B30&amp;"@CBBT Corp",J$2)</f>
        <v>6.9887419707231846</v>
      </c>
      <c r="K30" s="998"/>
      <c r="L30" s="998"/>
      <c r="M30" s="998"/>
      <c r="N30" s="998"/>
      <c r="O30" s="998"/>
      <c r="P30" s="998"/>
      <c r="Q30" s="935"/>
      <c r="R30" s="935"/>
      <c r="S30" s="935"/>
      <c r="T30" s="935"/>
      <c r="U30" s="935"/>
      <c r="V30" s="935"/>
      <c r="W30" s="935"/>
      <c r="X30" s="935"/>
      <c r="Y30" s="935"/>
      <c r="Z30" s="935"/>
      <c r="AA30" s="935"/>
      <c r="AB30" s="935"/>
    </row>
    <row r="31" spans="1:28">
      <c r="A31" s="954" t="s">
        <v>727</v>
      </c>
      <c r="B31" s="955" t="str">
        <f t="shared" si="13"/>
        <v>IT0004634132 Corp</v>
      </c>
      <c r="C31" s="955">
        <v>8</v>
      </c>
      <c r="D31" s="999">
        <f>DATEVALUE(_xll.BDP($B31,D$2))</f>
        <v>44256</v>
      </c>
      <c r="E31" s="975"/>
      <c r="F31" s="975">
        <f>_xll.BDP(B31,F$2)</f>
        <v>3.75</v>
      </c>
      <c r="G31" s="976">
        <f>_xll.BDP($B31,G$2)</f>
        <v>110.633</v>
      </c>
      <c r="H31" s="934">
        <f t="shared" si="14"/>
        <v>110.65600000000001</v>
      </c>
      <c r="I31" s="976">
        <f>_xll.BDP($B31,I$2)</f>
        <v>110.679</v>
      </c>
      <c r="J31" s="998">
        <f>_xll.BDP(B31&amp;"@CBBT Corp",J$2)</f>
        <v>11.57279488486979</v>
      </c>
      <c r="K31" s="998"/>
      <c r="L31" s="998"/>
      <c r="M31" s="998"/>
      <c r="N31" s="998"/>
      <c r="O31" s="998"/>
      <c r="P31" s="998"/>
      <c r="Q31" s="935"/>
      <c r="R31" s="935"/>
      <c r="S31" s="935"/>
      <c r="T31" s="935"/>
      <c r="U31" s="935"/>
      <c r="V31" s="935"/>
      <c r="W31" s="935"/>
      <c r="X31" s="935"/>
      <c r="Y31" s="935"/>
      <c r="Z31" s="935"/>
      <c r="AA31" s="935"/>
      <c r="AB31" s="935"/>
    </row>
    <row r="32" spans="1:28">
      <c r="A32" s="954" t="s">
        <v>730</v>
      </c>
      <c r="B32" s="955" t="str">
        <f t="shared" si="13"/>
        <v>IT0004759673 Corp</v>
      </c>
      <c r="C32" s="955">
        <v>9</v>
      </c>
      <c r="D32" s="999">
        <f>DATEVALUE(_xll.BDP($B32,D$2))</f>
        <v>44621</v>
      </c>
      <c r="E32" s="975"/>
      <c r="F32" s="975">
        <f>_xll.BDP(B32,F$2)</f>
        <v>5</v>
      </c>
      <c r="G32" s="976">
        <f>_xll.BDP($B32,G$2)</f>
        <v>117.592</v>
      </c>
      <c r="H32" s="934">
        <f t="shared" si="14"/>
        <v>117.614</v>
      </c>
      <c r="I32" s="976">
        <f>_xll.BDP($B32,I$2)</f>
        <v>117.636</v>
      </c>
      <c r="J32" s="998">
        <f>_xll.BDP(B32&amp;"@CBBT Corp",J$2)</f>
        <v>29.157440886153207</v>
      </c>
      <c r="K32" s="998"/>
      <c r="L32" s="998"/>
      <c r="M32" s="998"/>
      <c r="N32" s="998"/>
      <c r="O32" s="998"/>
      <c r="P32" s="998"/>
      <c r="Q32" s="935"/>
      <c r="R32" s="935"/>
      <c r="S32" s="935"/>
      <c r="T32" s="935"/>
      <c r="U32" s="935"/>
      <c r="V32" s="935"/>
      <c r="W32" s="935"/>
      <c r="X32" s="935"/>
      <c r="Y32" s="935"/>
      <c r="Z32" s="935"/>
      <c r="AA32" s="935"/>
      <c r="AB32" s="935"/>
    </row>
    <row r="33" spans="1:28">
      <c r="A33" s="954" t="s">
        <v>731</v>
      </c>
      <c r="B33" s="955" t="str">
        <f t="shared" si="13"/>
        <v>IT0004801541 Corp</v>
      </c>
      <c r="C33" s="955">
        <v>10</v>
      </c>
      <c r="D33" s="999">
        <f>DATEVALUE(_xll.BDP($B33,D$2))</f>
        <v>44805</v>
      </c>
      <c r="E33" s="975"/>
      <c r="F33" s="975">
        <f>_xll.BDP(B33,F$2)</f>
        <v>5.5</v>
      </c>
      <c r="G33" s="976">
        <f>_xll.BDP($B33,G$2)</f>
        <v>121.13</v>
      </c>
      <c r="H33" s="934">
        <f t="shared" si="14"/>
        <v>121.155</v>
      </c>
      <c r="I33" s="976">
        <f>_xll.BDP($B33,I$2)</f>
        <v>121.18</v>
      </c>
      <c r="J33" s="998">
        <f>_xll.BDP(B33&amp;"@CBBT Corp",J$2)</f>
        <v>37.803589405709658</v>
      </c>
      <c r="K33" s="998"/>
      <c r="L33" s="998"/>
      <c r="M33" s="998"/>
      <c r="N33" s="998"/>
      <c r="O33" s="998"/>
      <c r="P33" s="998"/>
      <c r="Q33" s="935"/>
      <c r="R33" s="935"/>
      <c r="S33" s="935"/>
      <c r="T33" s="935"/>
      <c r="U33" s="935"/>
      <c r="V33" s="935"/>
      <c r="W33" s="935"/>
      <c r="X33" s="935"/>
      <c r="Y33" s="935"/>
      <c r="Z33" s="935"/>
      <c r="AA33" s="935"/>
      <c r="AB33" s="935"/>
    </row>
    <row r="34" spans="1:28">
      <c r="A34" s="954" t="s">
        <v>732</v>
      </c>
      <c r="B34" s="955" t="str">
        <f t="shared" si="13"/>
        <v>IT0004848831 Corp</v>
      </c>
      <c r="C34" s="955">
        <v>11</v>
      </c>
      <c r="D34" s="999">
        <f>DATEVALUE(_xll.BDP($B34,D$2))</f>
        <v>44866</v>
      </c>
      <c r="E34" s="975"/>
      <c r="F34" s="975">
        <f>_xll.BDP(B34,F$2)</f>
        <v>5.5</v>
      </c>
      <c r="G34" s="976">
        <f>_xll.BDP($B34,G$2)</f>
        <v>121.498</v>
      </c>
      <c r="H34" s="934">
        <f t="shared" si="14"/>
        <v>121.52350000000001</v>
      </c>
      <c r="I34" s="976">
        <f>_xll.BDP($B34,I$2)</f>
        <v>121.54900000000001</v>
      </c>
      <c r="J34" s="998">
        <f>_xll.BDP(B34&amp;"@CBBT Corp",J$2)</f>
        <v>43.047478361157026</v>
      </c>
      <c r="K34" s="998"/>
      <c r="L34" s="998"/>
      <c r="M34" s="998"/>
      <c r="N34" s="998"/>
      <c r="O34" s="998"/>
      <c r="P34" s="998"/>
      <c r="Q34" s="935"/>
      <c r="R34" s="935"/>
      <c r="S34" s="935"/>
      <c r="T34" s="935"/>
      <c r="U34" s="935"/>
      <c r="V34" s="935"/>
      <c r="W34" s="935"/>
      <c r="X34" s="935"/>
      <c r="Y34" s="935"/>
      <c r="Z34" s="935"/>
      <c r="AA34" s="935"/>
      <c r="AB34" s="935"/>
    </row>
    <row r="35" spans="1:28">
      <c r="A35" s="954" t="s">
        <v>733</v>
      </c>
      <c r="B35" s="955" t="str">
        <f t="shared" si="13"/>
        <v>IT0004898034 Corp</v>
      </c>
      <c r="C35" s="955">
        <v>12</v>
      </c>
      <c r="D35" s="999">
        <f>DATEVALUE(_xll.BDP($B35,D$2))</f>
        <v>45047</v>
      </c>
      <c r="E35" s="975"/>
      <c r="F35" s="975">
        <f>_xll.BDP(B35,F$2)</f>
        <v>4.5</v>
      </c>
      <c r="G35" s="976">
        <f>_xll.BDP($B35,G$2)</f>
        <v>117.88800000000001</v>
      </c>
      <c r="H35" s="934">
        <f t="shared" si="14"/>
        <v>117.9135</v>
      </c>
      <c r="I35" s="976">
        <f>_xll.BDP($B35,I$2)</f>
        <v>117.93899999999999</v>
      </c>
      <c r="J35" s="998">
        <f>_xll.BDP(B35&amp;"@CBBT Corp",J$2)</f>
        <v>49.723112167937288</v>
      </c>
      <c r="K35" s="998"/>
      <c r="L35" s="998"/>
      <c r="M35" s="998"/>
      <c r="N35" s="998"/>
      <c r="O35" s="998"/>
      <c r="P35" s="998"/>
      <c r="Q35" s="935"/>
      <c r="R35" s="935"/>
      <c r="S35" s="935"/>
      <c r="T35" s="935"/>
      <c r="U35" s="935"/>
      <c r="V35" s="935"/>
      <c r="W35" s="935"/>
      <c r="X35" s="935"/>
      <c r="Y35" s="935"/>
      <c r="Z35" s="935"/>
      <c r="AA35" s="935"/>
      <c r="AB35" s="935"/>
    </row>
    <row r="36" spans="1:28">
      <c r="A36" s="954" t="s">
        <v>907</v>
      </c>
      <c r="B36" s="955" t="str">
        <f t="shared" si="13"/>
        <v>IT0005215246 Corp</v>
      </c>
      <c r="C36" s="955">
        <v>13</v>
      </c>
      <c r="D36" s="999">
        <f>DATEVALUE(_xll.BDP($B36,D$2))</f>
        <v>45214</v>
      </c>
      <c r="E36" s="975"/>
      <c r="F36" s="975">
        <f>_xll.BDP(B36,F$2)</f>
        <v>0.65</v>
      </c>
      <c r="G36" s="976">
        <f>_xll.BDP($B36,G$2)</f>
        <v>97.680999999999997</v>
      </c>
      <c r="H36" s="934">
        <f t="shared" si="14"/>
        <v>97.707499999999996</v>
      </c>
      <c r="I36" s="976">
        <f>_xll.BDP($B36,I$2)</f>
        <v>97.733999999999995</v>
      </c>
      <c r="J36" s="998">
        <f>_xll.BDP(B36&amp;"@CBBT Corp",J$2)</f>
        <v>52.747081740563388</v>
      </c>
      <c r="K36" s="998"/>
      <c r="L36" s="998"/>
      <c r="M36" s="998"/>
      <c r="N36" s="998"/>
      <c r="O36" s="998"/>
      <c r="P36" s="998"/>
      <c r="Q36" s="935"/>
      <c r="R36" s="935"/>
      <c r="S36" s="935"/>
      <c r="T36" s="935"/>
      <c r="U36" s="935"/>
      <c r="V36" s="935"/>
      <c r="W36" s="935"/>
      <c r="X36" s="935"/>
      <c r="Y36" s="935"/>
      <c r="Z36" s="935"/>
      <c r="AA36" s="935"/>
      <c r="AB36" s="935"/>
    </row>
    <row r="37" spans="1:28">
      <c r="A37" s="954" t="s">
        <v>736</v>
      </c>
      <c r="B37" s="955" t="str">
        <f t="shared" si="13"/>
        <v>IT0004953417 Corp</v>
      </c>
      <c r="C37" s="955">
        <v>14</v>
      </c>
      <c r="D37" s="999">
        <f>DATEVALUE(_xll.BDP($B37,D$2))</f>
        <v>45352</v>
      </c>
      <c r="E37" s="975"/>
      <c r="F37" s="975">
        <f>_xll.BDP(B37,F$2)</f>
        <v>4.5</v>
      </c>
      <c r="G37" s="976">
        <f>_xll.BDP($B37,G$2)</f>
        <v>118.92100000000001</v>
      </c>
      <c r="H37" s="934">
        <f t="shared" si="14"/>
        <v>118.9465</v>
      </c>
      <c r="I37" s="976">
        <f>_xll.BDP($B37,I$2)</f>
        <v>118.97199999999999</v>
      </c>
      <c r="J37" s="998">
        <f>_xll.BDP(B37&amp;"@CBBT Corp",J$2)</f>
        <v>63.8510147126972</v>
      </c>
      <c r="K37" s="998"/>
      <c r="L37" s="998"/>
      <c r="M37" s="998"/>
      <c r="N37" s="998"/>
      <c r="O37" s="998"/>
      <c r="P37" s="998"/>
      <c r="Q37" s="935"/>
      <c r="R37" s="935"/>
      <c r="S37" s="935"/>
      <c r="T37" s="935"/>
      <c r="U37" s="935"/>
      <c r="V37" s="935"/>
      <c r="W37" s="935"/>
      <c r="X37" s="935"/>
      <c r="Y37" s="935"/>
      <c r="Z37" s="935"/>
      <c r="AA37" s="935"/>
      <c r="AB37" s="935"/>
    </row>
    <row r="38" spans="1:28">
      <c r="A38" s="954" t="s">
        <v>429</v>
      </c>
      <c r="B38" s="955" t="str">
        <f>A38&amp;" Corp"</f>
        <v>IT0005001547 Corp</v>
      </c>
      <c r="C38" s="955">
        <v>15</v>
      </c>
      <c r="D38" s="999">
        <f>DATEVALUE(_xll.BDP($B38,D$2))</f>
        <v>45536</v>
      </c>
      <c r="E38" s="975"/>
      <c r="F38" s="975">
        <f>_xll.BDP(B38,F$2)</f>
        <v>3.75</v>
      </c>
      <c r="G38" s="976">
        <f>_xll.BDP($B38,G$2)</f>
        <v>114.89</v>
      </c>
      <c r="H38" s="934">
        <f>(G38+I38)/2</f>
        <v>114.9225</v>
      </c>
      <c r="I38" s="976">
        <f>_xll.BDP($B38,I$2)</f>
        <v>114.955</v>
      </c>
      <c r="J38" s="998">
        <f>_xll.BDP(B38&amp;"@CBBT Corp",J$2)</f>
        <v>69.081282347824967</v>
      </c>
      <c r="K38" s="935"/>
      <c r="L38" s="935"/>
      <c r="M38" s="935"/>
      <c r="N38" s="935"/>
      <c r="O38" s="935"/>
      <c r="P38" s="934"/>
      <c r="Q38" s="935"/>
      <c r="R38" s="935"/>
      <c r="S38" s="935"/>
      <c r="T38" s="935"/>
      <c r="U38" s="935"/>
      <c r="V38" s="935"/>
      <c r="W38" s="935"/>
      <c r="X38" s="935"/>
      <c r="Y38" s="935"/>
      <c r="Z38" s="935"/>
      <c r="AA38" s="935"/>
      <c r="AB38" s="935"/>
    </row>
    <row r="39" spans="1:28">
      <c r="A39" s="954" t="s">
        <v>430</v>
      </c>
      <c r="B39" s="955" t="str">
        <f>A39&amp;" Corp"</f>
        <v>IT0005045270 Corp</v>
      </c>
      <c r="C39" s="955">
        <v>16</v>
      </c>
      <c r="D39" s="999">
        <f>DATEVALUE(_xll.BDP($B39,D$2))</f>
        <v>45627</v>
      </c>
      <c r="E39" s="975"/>
      <c r="F39" s="975">
        <f>_xll.BDP(B39,F$2)</f>
        <v>2.5</v>
      </c>
      <c r="G39" s="976">
        <f>_xll.BDP($B39,G$2)</f>
        <v>106.87</v>
      </c>
      <c r="H39" s="934">
        <f>(G39+I39)/2</f>
        <v>106.8995</v>
      </c>
      <c r="I39" s="976">
        <f>_xll.BDP($B39,I$2)</f>
        <v>106.929</v>
      </c>
      <c r="J39" s="998">
        <f>_xll.BDP(B39&amp;"@CBBT Corp",J$2)</f>
        <v>72.556440317887777</v>
      </c>
      <c r="K39" s="935"/>
      <c r="L39" s="935"/>
      <c r="M39" s="935"/>
      <c r="N39" s="935"/>
      <c r="O39" s="935"/>
      <c r="P39" s="934"/>
      <c r="Q39" s="935"/>
      <c r="R39" s="935"/>
      <c r="S39" s="935"/>
      <c r="T39" s="935"/>
      <c r="U39" s="935"/>
      <c r="V39" s="935"/>
      <c r="W39" s="935"/>
      <c r="X39" s="935"/>
      <c r="Y39" s="935"/>
      <c r="Z39" s="935"/>
      <c r="AA39" s="935"/>
      <c r="AB39" s="935"/>
    </row>
    <row r="40" spans="1:28">
      <c r="A40" s="954" t="s">
        <v>737</v>
      </c>
      <c r="B40" s="955" t="str">
        <f>A40&amp;" Corp"</f>
        <v>IT0004513641 Corp</v>
      </c>
      <c r="C40" s="955">
        <v>17</v>
      </c>
      <c r="D40" s="999">
        <f>DATEVALUE(_xll.BDP($B40,D$2))</f>
        <v>45717</v>
      </c>
      <c r="E40" s="975"/>
      <c r="F40" s="975">
        <f>_xll.BDP(B40,F$2)</f>
        <v>5</v>
      </c>
      <c r="G40" s="976">
        <f>_xll.BDP($B40,G$2)</f>
        <v>123.432</v>
      </c>
      <c r="H40" s="934">
        <f>(G40+I40)/2</f>
        <v>123.46350000000001</v>
      </c>
      <c r="I40" s="976">
        <f>_xll.BDP($B40,I$2)</f>
        <v>123.495</v>
      </c>
      <c r="J40" s="998">
        <f>_xll.BDP(B40&amp;"@CBBT Corp",J$2)</f>
        <v>75.879958135905795</v>
      </c>
      <c r="K40" s="935"/>
      <c r="L40" s="935"/>
      <c r="M40" s="935"/>
      <c r="N40" s="935"/>
      <c r="O40" s="935"/>
      <c r="P40" s="934"/>
      <c r="Q40" s="935"/>
      <c r="R40" s="935"/>
      <c r="S40" s="935"/>
      <c r="T40" s="935"/>
      <c r="U40" s="935"/>
      <c r="V40" s="935"/>
      <c r="W40" s="935"/>
      <c r="X40" s="935"/>
      <c r="Y40" s="935"/>
      <c r="Z40" s="935"/>
      <c r="AA40" s="935"/>
      <c r="AB40" s="935"/>
    </row>
    <row r="41" spans="1:28">
      <c r="A41" s="954" t="s">
        <v>612</v>
      </c>
      <c r="B41" s="955" t="str">
        <f>A41&amp;" Corp"</f>
        <v>IT0005090318 Corp</v>
      </c>
      <c r="C41" s="955">
        <v>18</v>
      </c>
      <c r="D41" s="999">
        <f>DATEVALUE(_xll.BDP($B41,D$2))</f>
        <v>45809</v>
      </c>
      <c r="E41" s="975"/>
      <c r="F41" s="975">
        <f>_xll.BDP(B41,F$2)</f>
        <v>1.5</v>
      </c>
      <c r="G41" s="976">
        <f>_xll.BDP($B41,G$2)</f>
        <v>99.671000000000006</v>
      </c>
      <c r="H41" s="934">
        <f>(G41+I41)/2</f>
        <v>99.700999999999993</v>
      </c>
      <c r="I41" s="976">
        <f>_xll.BDP($B41,I$2)</f>
        <v>99.730999999999995</v>
      </c>
      <c r="J41" s="998">
        <f>_xll.BDP(B41&amp;"@CBBT Corp",J$2)</f>
        <v>77.645554706769232</v>
      </c>
      <c r="K41" s="935"/>
      <c r="L41" s="935"/>
      <c r="M41" s="935"/>
      <c r="N41" s="935"/>
      <c r="O41" s="935"/>
      <c r="P41" s="934"/>
      <c r="Q41" s="935"/>
      <c r="R41" s="935"/>
      <c r="S41" s="935"/>
      <c r="T41" s="935"/>
      <c r="U41" s="935"/>
      <c r="V41" s="935"/>
      <c r="W41" s="935"/>
      <c r="X41" s="935"/>
      <c r="Y41" s="935"/>
      <c r="Z41" s="935"/>
      <c r="AA41" s="935"/>
      <c r="AB41" s="935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S349"/>
  <sheetViews>
    <sheetView showGridLines="0" workbookViewId="0">
      <selection activeCell="F81" sqref="F81"/>
    </sheetView>
  </sheetViews>
  <sheetFormatPr defaultRowHeight="12.75"/>
  <cols>
    <col min="1" max="1" width="2.7109375" style="660" customWidth="1"/>
    <col min="2" max="2" width="9.42578125" style="660" customWidth="1"/>
    <col min="3" max="3" width="13.42578125" style="660" customWidth="1"/>
    <col min="4" max="4" width="2.7109375" style="660" customWidth="1"/>
    <col min="5" max="5" width="13.85546875" style="662" customWidth="1"/>
    <col min="6" max="6" width="21.7109375" style="662" bestFit="1" customWidth="1"/>
    <col min="7" max="7" width="8" style="658" customWidth="1"/>
    <col min="8" max="8" width="10.140625" style="658" customWidth="1"/>
    <col min="9" max="9" width="7.28515625" style="658" customWidth="1"/>
    <col min="10" max="10" width="11.28515625" style="658" customWidth="1"/>
    <col min="11" max="11" width="12.7109375" style="658" customWidth="1"/>
    <col min="12" max="12" width="12.42578125" style="658" customWidth="1"/>
    <col min="13" max="13" width="10.5703125" style="658" customWidth="1"/>
    <col min="14" max="14" width="10.42578125" style="658" customWidth="1"/>
    <col min="15" max="15" width="15.42578125" style="658" customWidth="1"/>
    <col min="16" max="16" width="7.140625" style="658" customWidth="1"/>
    <col min="17" max="17" width="12.140625" style="658" customWidth="1"/>
    <col min="18" max="18" width="19.140625" style="658" customWidth="1"/>
    <col min="19" max="19" width="2.7109375" style="658" customWidth="1"/>
    <col min="20" max="16384" width="9.140625" style="660"/>
  </cols>
  <sheetData>
    <row r="2" spans="2:18">
      <c r="B2" s="661" t="s">
        <v>1668</v>
      </c>
      <c r="C2" s="659" t="s">
        <v>578</v>
      </c>
      <c r="D2" s="667"/>
    </row>
    <row r="3" spans="2:18">
      <c r="B3" s="663" t="s">
        <v>1200</v>
      </c>
      <c r="C3" s="664" t="s">
        <v>1201</v>
      </c>
      <c r="D3" s="667"/>
    </row>
    <row r="4" spans="2:18" ht="13.5" thickBot="1">
      <c r="E4" s="1001"/>
      <c r="F4" s="1003" t="s">
        <v>2079</v>
      </c>
      <c r="G4" s="665" t="s">
        <v>7</v>
      </c>
      <c r="H4" s="665" t="s">
        <v>2</v>
      </c>
      <c r="I4" s="665" t="s">
        <v>1</v>
      </c>
      <c r="J4" s="665" t="s">
        <v>2</v>
      </c>
      <c r="K4" s="665" t="s">
        <v>3</v>
      </c>
      <c r="L4" s="665" t="s">
        <v>4</v>
      </c>
      <c r="M4" s="665" t="s">
        <v>5</v>
      </c>
      <c r="N4" s="665" t="s">
        <v>6</v>
      </c>
      <c r="O4" s="665" t="s">
        <v>8</v>
      </c>
      <c r="P4" s="665" t="s">
        <v>10</v>
      </c>
      <c r="Q4" s="665" t="s">
        <v>60</v>
      </c>
      <c r="R4" s="665" t="s">
        <v>9</v>
      </c>
    </row>
    <row r="5" spans="2:18">
      <c r="E5" s="1005" t="s">
        <v>846</v>
      </c>
      <c r="F5" s="1002" t="str">
        <f>IF(LEN($E5)&gt;1,_xll.BondInfo($E5,$F$4),"")</f>
        <v>CTZ 28-mar-18</v>
      </c>
      <c r="G5" s="671" t="str">
        <f t="array" ref="G5:Q5">IF(AND(QueryFlag="ON",NOT(ISNA(E5))),_xll.BondInfo(E5,$G$4:$Q$4),"")</f>
        <v/>
      </c>
      <c r="H5" s="672" t="str">
        <v/>
      </c>
      <c r="I5" s="673" t="str">
        <v/>
      </c>
      <c r="J5" s="672" t="str">
        <v/>
      </c>
      <c r="K5" s="672" t="str">
        <v/>
      </c>
      <c r="L5" s="672" t="str">
        <v/>
      </c>
      <c r="M5" s="672" t="str">
        <v/>
      </c>
      <c r="N5" s="674" t="str">
        <v/>
      </c>
      <c r="O5" s="675" t="str">
        <v/>
      </c>
      <c r="P5" s="676" t="str">
        <v/>
      </c>
      <c r="Q5" s="675" t="str">
        <v/>
      </c>
      <c r="R5" s="677" t="str">
        <f>IF(AND(QueryFlag="ON",NOT(ISNA(E5))),_xll.BondOutstanding(E5),"")</f>
        <v/>
      </c>
    </row>
    <row r="6" spans="2:18">
      <c r="E6" s="1006" t="s">
        <v>603</v>
      </c>
      <c r="F6" s="1002" t="str">
        <f>IF(LEN($E6)&gt;1,_xll.BondInfo($E6,$F$4),"")</f>
        <v>BTP 15-may-18 .25%</v>
      </c>
      <c r="G6" s="678" t="str">
        <f t="array" ref="G6:Q6">IF(AND(QueryFlag="ON",NOT(ISNA(E6))),_xll.BondInfo(E6,$G$4:$Q$4),"")</f>
        <v/>
      </c>
      <c r="H6" s="668" t="str">
        <v/>
      </c>
      <c r="I6" s="666" t="str">
        <v/>
      </c>
      <c r="J6" s="668" t="str">
        <v/>
      </c>
      <c r="K6" s="668" t="str">
        <v/>
      </c>
      <c r="L6" s="668" t="str">
        <v/>
      </c>
      <c r="M6" s="668" t="str">
        <v/>
      </c>
      <c r="N6" s="669" t="str">
        <v/>
      </c>
      <c r="O6" s="670" t="str">
        <v/>
      </c>
      <c r="P6" s="667" t="str">
        <v/>
      </c>
      <c r="Q6" s="670" t="str">
        <v/>
      </c>
      <c r="R6" s="679" t="str">
        <f>IF(AND(QueryFlag="ON",NOT(ISNA(E6))),_xll.BondOutstanding(E6),"")</f>
        <v/>
      </c>
    </row>
    <row r="7" spans="2:18">
      <c r="E7" s="1006" t="s">
        <v>426</v>
      </c>
      <c r="F7" s="1002" t="str">
        <f>IF(LEN($E7)&gt;1,_xll.BondInfo($E7,$F$4),"")</f>
        <v>BTP 01-jun-18 3.5%</v>
      </c>
      <c r="G7" s="678" t="str">
        <f t="array" ref="G7:Q7">IF(AND(QueryFlag="ON",NOT(ISNA(E7))),_xll.BondInfo(E7,$G$4:$Q$4),"")</f>
        <v/>
      </c>
      <c r="H7" s="668" t="str">
        <v/>
      </c>
      <c r="I7" s="666" t="str">
        <v/>
      </c>
      <c r="J7" s="668" t="str">
        <v/>
      </c>
      <c r="K7" s="668" t="str">
        <v/>
      </c>
      <c r="L7" s="668" t="str">
        <v/>
      </c>
      <c r="M7" s="668" t="str">
        <v/>
      </c>
      <c r="N7" s="669" t="str">
        <v/>
      </c>
      <c r="O7" s="670" t="str">
        <v/>
      </c>
      <c r="P7" s="667" t="str">
        <v/>
      </c>
      <c r="Q7" s="670" t="str">
        <v/>
      </c>
      <c r="R7" s="679" t="str">
        <f>IF(AND(QueryFlag="ON",NOT(ISNA(E7))),_xll.BondOutstanding(E7),"")</f>
        <v/>
      </c>
    </row>
    <row r="8" spans="2:18">
      <c r="E8" s="1006" t="s">
        <v>721</v>
      </c>
      <c r="F8" s="1002" t="str">
        <f>IF(LEN($E8)&gt;1,_xll.BondInfo($E8,$F$4),"")</f>
        <v>BTP 01-aug-18 4.5%</v>
      </c>
      <c r="G8" s="678" t="str">
        <f t="array" ref="G8:Q8">IF(AND(QueryFlag="ON",NOT(ISNA(E8))),_xll.BondInfo(E8,$G$4:$Q$4),"")</f>
        <v/>
      </c>
      <c r="H8" s="668" t="str">
        <v/>
      </c>
      <c r="I8" s="666" t="str">
        <v/>
      </c>
      <c r="J8" s="668" t="str">
        <v/>
      </c>
      <c r="K8" s="668" t="str">
        <v/>
      </c>
      <c r="L8" s="668" t="str">
        <v/>
      </c>
      <c r="M8" s="668" t="str">
        <v/>
      </c>
      <c r="N8" s="669" t="str">
        <v/>
      </c>
      <c r="O8" s="670" t="str">
        <v/>
      </c>
      <c r="P8" s="667" t="str">
        <v/>
      </c>
      <c r="Q8" s="670" t="str">
        <v/>
      </c>
      <c r="R8" s="679" t="str">
        <f>IF(AND(QueryFlag="ON",NOT(ISNA(E8))),_xll.BondOutstanding(E8),"")</f>
        <v/>
      </c>
    </row>
    <row r="9" spans="2:18">
      <c r="E9" s="1006" t="s">
        <v>776</v>
      </c>
      <c r="F9" s="1002" t="str">
        <f>IF(LEN($E9)&gt;1,_xll.BondInfo($E9,$F$4),"")</f>
        <v>BTP 15-oct-18 .3%</v>
      </c>
      <c r="G9" s="678" t="str">
        <f t="array" ref="G9:Q9">IF(AND(QueryFlag="ON",NOT(ISNA(E9))),_xll.BondInfo(E9,$G$4:$Q$4),"")</f>
        <v/>
      </c>
      <c r="H9" s="668" t="str">
        <v/>
      </c>
      <c r="I9" s="666" t="str">
        <v/>
      </c>
      <c r="J9" s="668" t="str">
        <v/>
      </c>
      <c r="K9" s="668" t="str">
        <v/>
      </c>
      <c r="L9" s="668" t="str">
        <v/>
      </c>
      <c r="M9" s="668" t="str">
        <v/>
      </c>
      <c r="N9" s="669" t="str">
        <v/>
      </c>
      <c r="O9" s="670" t="str">
        <v/>
      </c>
      <c r="P9" s="667" t="str">
        <v/>
      </c>
      <c r="Q9" s="670" t="str">
        <v/>
      </c>
      <c r="R9" s="679" t="str">
        <f>IF(AND(QueryFlag="ON",NOT(ISNA(E9))),_xll.BondOutstanding(E9),"")</f>
        <v/>
      </c>
    </row>
    <row r="10" spans="2:18">
      <c r="E10" s="1006" t="s">
        <v>427</v>
      </c>
      <c r="F10" s="1002" t="str">
        <f>IF(LEN($E10)&gt;1,_xll.BondInfo($E10,$F$4),"")</f>
        <v>BTP 01-dec-18 3.5%</v>
      </c>
      <c r="G10" s="678" t="str">
        <f t="array" ref="G10:Q10">IF(AND(QueryFlag="ON",NOT(ISNA(E10))),_xll.BondInfo(E10,$G$4:$Q$4),"")</f>
        <v/>
      </c>
      <c r="H10" s="668" t="str">
        <v/>
      </c>
      <c r="I10" s="666" t="str">
        <v/>
      </c>
      <c r="J10" s="668" t="str">
        <v/>
      </c>
      <c r="K10" s="668" t="str">
        <v/>
      </c>
      <c r="L10" s="668" t="str">
        <v/>
      </c>
      <c r="M10" s="668" t="str">
        <v/>
      </c>
      <c r="N10" s="669" t="str">
        <v/>
      </c>
      <c r="O10" s="670" t="str">
        <v/>
      </c>
      <c r="P10" s="667" t="str">
        <v/>
      </c>
      <c r="Q10" s="670" t="str">
        <v/>
      </c>
      <c r="R10" s="679" t="str">
        <f>IF(AND(QueryFlag="ON",NOT(ISNA(E10))),_xll.BondOutstanding(E10),"")</f>
        <v/>
      </c>
    </row>
    <row r="11" spans="2:18">
      <c r="E11" s="1006" t="s">
        <v>1652</v>
      </c>
      <c r="F11" s="1002" t="str">
        <f>IF(LEN($E11)&gt;1,_xll.BondInfo($E11,$F$4),"")</f>
        <v>CTZ 28-dec-18</v>
      </c>
      <c r="G11" s="678" t="str">
        <f t="array" ref="G11:Q11">IF(AND(QueryFlag="ON",NOT(ISNA(E11))),_xll.BondInfo(E11,$G$4:$Q$4),"")</f>
        <v/>
      </c>
      <c r="H11" s="668" t="str">
        <v/>
      </c>
      <c r="I11" s="666" t="str">
        <v/>
      </c>
      <c r="J11" s="668" t="str">
        <v/>
      </c>
      <c r="K11" s="668" t="str">
        <v/>
      </c>
      <c r="L11" s="668" t="str">
        <v/>
      </c>
      <c r="M11" s="668" t="str">
        <v/>
      </c>
      <c r="N11" s="669" t="str">
        <v/>
      </c>
      <c r="O11" s="670" t="str">
        <v/>
      </c>
      <c r="P11" s="667" t="str">
        <v/>
      </c>
      <c r="Q11" s="670" t="str">
        <v/>
      </c>
      <c r="R11" s="679" t="str">
        <f>IF(AND(QueryFlag="ON",NOT(ISNA(E11))),_xll.BondOutstanding(E11),"")</f>
        <v/>
      </c>
    </row>
    <row r="12" spans="2:18">
      <c r="E12" s="1006" t="s">
        <v>575</v>
      </c>
      <c r="F12" s="1002" t="str">
        <f>IF(LEN($E12)&gt;1,_xll.BondInfo($E12,$F$4),"")</f>
        <v>BTP 01-feb-19 4.25%</v>
      </c>
      <c r="G12" s="678" t="str">
        <f t="array" ref="G12:Q12">IF(AND(QueryFlag="ON",NOT(ISNA(E12))),_xll.BondInfo(E12,$G$4:$Q$4),"")</f>
        <v/>
      </c>
      <c r="H12" s="668" t="str">
        <v/>
      </c>
      <c r="I12" s="666" t="str">
        <v/>
      </c>
      <c r="J12" s="668" t="str">
        <v/>
      </c>
      <c r="K12" s="668" t="str">
        <v/>
      </c>
      <c r="L12" s="668" t="str">
        <v/>
      </c>
      <c r="M12" s="668" t="str">
        <v/>
      </c>
      <c r="N12" s="669" t="str">
        <v/>
      </c>
      <c r="O12" s="670" t="str">
        <v/>
      </c>
      <c r="P12" s="667" t="str">
        <v/>
      </c>
      <c r="Q12" s="670" t="str">
        <v/>
      </c>
      <c r="R12" s="679" t="str">
        <f>IF(AND(QueryFlag="ON",NOT(ISNA(E12))),_xll.BondOutstanding(E12),"")</f>
        <v/>
      </c>
    </row>
    <row r="13" spans="2:18">
      <c r="E13" s="1006" t="s">
        <v>722</v>
      </c>
      <c r="F13" s="1002" t="str">
        <f>IF(LEN($E13)&gt;1,_xll.BondInfo($E13,$F$4),"")</f>
        <v>BTP 01-mar-19 4.5%</v>
      </c>
      <c r="G13" s="678" t="str">
        <f t="array" ref="G13:Q13">IF(AND(QueryFlag="ON",NOT(ISNA(E13))),_xll.BondInfo(E13,$G$4:$Q$4),"")</f>
        <v/>
      </c>
      <c r="H13" s="668" t="str">
        <v/>
      </c>
      <c r="I13" s="666" t="str">
        <v/>
      </c>
      <c r="J13" s="668" t="str">
        <v/>
      </c>
      <c r="K13" s="668" t="str">
        <v/>
      </c>
      <c r="L13" s="668" t="str">
        <v/>
      </c>
      <c r="M13" s="668" t="str">
        <v/>
      </c>
      <c r="N13" s="669" t="str">
        <v/>
      </c>
      <c r="O13" s="670" t="str">
        <v/>
      </c>
      <c r="P13" s="667" t="str">
        <v/>
      </c>
      <c r="Q13" s="670" t="str">
        <v/>
      </c>
      <c r="R13" s="679" t="str">
        <f>IF(AND(QueryFlag="ON",NOT(ISNA(E13))),_xll.BondOutstanding(E13),"")</f>
        <v/>
      </c>
    </row>
    <row r="14" spans="2:18">
      <c r="E14" s="1006" t="s">
        <v>889</v>
      </c>
      <c r="F14" s="1002" t="str">
        <f>IF(LEN($E14)&gt;1,_xll.BondInfo($E14,$F$4),"")</f>
        <v>BTP 15-apr-19 .1%</v>
      </c>
      <c r="G14" s="678" t="str">
        <f t="array" ref="G14:Q14">IF(AND(QueryFlag="ON",NOT(ISNA(E14))),_xll.BondInfo(E14,$G$4:$Q$4),"")</f>
        <v/>
      </c>
      <c r="H14" s="668" t="str">
        <v/>
      </c>
      <c r="I14" s="666" t="str">
        <v/>
      </c>
      <c r="J14" s="668" t="str">
        <v/>
      </c>
      <c r="K14" s="668" t="str">
        <v/>
      </c>
      <c r="L14" s="668" t="str">
        <v/>
      </c>
      <c r="M14" s="668" t="str">
        <v/>
      </c>
      <c r="N14" s="669" t="str">
        <v/>
      </c>
      <c r="O14" s="670" t="str">
        <v/>
      </c>
      <c r="P14" s="667" t="str">
        <v/>
      </c>
      <c r="Q14" s="670" t="str">
        <v/>
      </c>
      <c r="R14" s="679" t="str">
        <f>IF(AND(QueryFlag="ON",NOT(ISNA(E14))),_xll.BondOutstanding(E14),"")</f>
        <v/>
      </c>
    </row>
    <row r="15" spans="2:18">
      <c r="E15" s="1006" t="s">
        <v>723</v>
      </c>
      <c r="F15" s="1002" t="str">
        <f>IF(LEN($E15)&gt;1,_xll.BondInfo($E15,$F$4),"")</f>
        <v>BTP 01-may-19 2.5%</v>
      </c>
      <c r="G15" s="678" t="str">
        <f t="array" ref="G15:Q15">IF(AND(QueryFlag="ON",NOT(ISNA(E15))),_xll.BondInfo(E15,$G$4:$Q$4),"")</f>
        <v/>
      </c>
      <c r="H15" s="668" t="str">
        <v/>
      </c>
      <c r="I15" s="666" t="str">
        <v/>
      </c>
      <c r="J15" s="668" t="str">
        <v/>
      </c>
      <c r="K15" s="668" t="str">
        <v/>
      </c>
      <c r="L15" s="668" t="str">
        <v/>
      </c>
      <c r="M15" s="668" t="str">
        <v/>
      </c>
      <c r="N15" s="669" t="str">
        <v/>
      </c>
      <c r="O15" s="670" t="str">
        <v/>
      </c>
      <c r="P15" s="667" t="str">
        <v/>
      </c>
      <c r="Q15" s="670" t="str">
        <v/>
      </c>
      <c r="R15" s="679" t="str">
        <f>IF(AND(QueryFlag="ON",NOT(ISNA(E15))),_xll.BondOutstanding(E15),"")</f>
        <v/>
      </c>
    </row>
    <row r="16" spans="2:18">
      <c r="E16" s="1006" t="s">
        <v>1653</v>
      </c>
      <c r="F16" s="1002" t="str">
        <f>IF(LEN($E16)&gt;1,_xll.BondInfo($E16,$F$4),"")</f>
        <v>CTZ 30-may-19</v>
      </c>
      <c r="G16" s="678" t="str">
        <f t="array" ref="G16:Q16">IF(AND(QueryFlag="ON",NOT(ISNA(E16))),_xll.BondInfo(E16,$G$4:$Q$4),"")</f>
        <v/>
      </c>
      <c r="H16" s="668" t="str">
        <v/>
      </c>
      <c r="I16" s="666" t="str">
        <v/>
      </c>
      <c r="J16" s="668" t="str">
        <v/>
      </c>
      <c r="K16" s="668" t="str">
        <v/>
      </c>
      <c r="L16" s="668" t="str">
        <v/>
      </c>
      <c r="M16" s="668" t="str">
        <v/>
      </c>
      <c r="N16" s="669" t="str">
        <v/>
      </c>
      <c r="O16" s="670" t="str">
        <v/>
      </c>
      <c r="P16" s="667" t="str">
        <v/>
      </c>
      <c r="Q16" s="670" t="str">
        <v/>
      </c>
      <c r="R16" s="679" t="str">
        <f>IF(AND(QueryFlag="ON",NOT(ISNA(E16))),_xll.BondOutstanding(E16),"")</f>
        <v/>
      </c>
    </row>
    <row r="17" spans="5:18">
      <c r="E17" s="1006" t="s">
        <v>604</v>
      </c>
      <c r="F17" s="1002" t="str">
        <f>IF(LEN($E17)&gt;1,_xll.BondInfo($E17,$F$4),"")</f>
        <v>BTP 01-aug-19 1.5%</v>
      </c>
      <c r="G17" s="678" t="str">
        <f t="array" ref="G17:Q17">IF(AND(QueryFlag="ON",NOT(ISNA(E17))),_xll.BondInfo(E17,$G$4:$Q$4),"")</f>
        <v/>
      </c>
      <c r="H17" s="668" t="str">
        <v/>
      </c>
      <c r="I17" s="666" t="str">
        <v/>
      </c>
      <c r="J17" s="668" t="str">
        <v/>
      </c>
      <c r="K17" s="668" t="str">
        <v/>
      </c>
      <c r="L17" s="668" t="str">
        <v/>
      </c>
      <c r="M17" s="668" t="str">
        <v/>
      </c>
      <c r="N17" s="669" t="str">
        <v/>
      </c>
      <c r="O17" s="670" t="str">
        <v/>
      </c>
      <c r="P17" s="667" t="str">
        <v/>
      </c>
      <c r="Q17" s="670" t="str">
        <v/>
      </c>
      <c r="R17" s="679" t="str">
        <f>IF(AND(QueryFlag="ON",NOT(ISNA(E17))),_xll.BondOutstanding(E17),"")</f>
        <v/>
      </c>
    </row>
    <row r="18" spans="5:18">
      <c r="E18" s="1006" t="s">
        <v>340</v>
      </c>
      <c r="F18" s="1002" t="str">
        <f>IF(LEN($E18)&gt;1,_xll.BondInfo($E18,$F$4),"")</f>
        <v>BTP 01-sep-19 4.25%</v>
      </c>
      <c r="G18" s="678" t="str">
        <f t="array" ref="G18:Q18">IF(AND(QueryFlag="ON",NOT(ISNA(E18))),_xll.BondInfo(E18,$G$4:$Q$4),"")</f>
        <v/>
      </c>
      <c r="H18" s="668" t="str">
        <v/>
      </c>
      <c r="I18" s="666" t="str">
        <v/>
      </c>
      <c r="J18" s="668" t="str">
        <v/>
      </c>
      <c r="K18" s="668" t="str">
        <v/>
      </c>
      <c r="L18" s="668" t="str">
        <v/>
      </c>
      <c r="M18" s="668" t="str">
        <v/>
      </c>
      <c r="N18" s="669" t="str">
        <v/>
      </c>
      <c r="O18" s="670" t="str">
        <v/>
      </c>
      <c r="P18" s="667" t="str">
        <v/>
      </c>
      <c r="Q18" s="670" t="str">
        <v/>
      </c>
      <c r="R18" s="679" t="str">
        <f>IF(AND(QueryFlag="ON",NOT(ISNA(E18))),_xll.BondOutstanding(E18),"")</f>
        <v/>
      </c>
    </row>
    <row r="19" spans="5:18">
      <c r="E19" s="1006" t="s">
        <v>920</v>
      </c>
      <c r="F19" s="1002" t="str">
        <f>IF(LEN($E19)&gt;1,_xll.BondInfo($E19,$F$4),"")</f>
        <v>BTP 15-oct-19 .05%</v>
      </c>
      <c r="G19" s="678" t="str">
        <f t="array" ref="G19:Q19">IF(AND(QueryFlag="ON",NOT(ISNA(E19))),_xll.BondInfo(E19,$G$4:$Q$4),"")</f>
        <v/>
      </c>
      <c r="H19" s="668" t="str">
        <v/>
      </c>
      <c r="I19" s="666" t="str">
        <v/>
      </c>
      <c r="J19" s="668" t="str">
        <v/>
      </c>
      <c r="K19" s="668" t="str">
        <v/>
      </c>
      <c r="L19" s="668" t="str">
        <v/>
      </c>
      <c r="M19" s="668" t="str">
        <v/>
      </c>
      <c r="N19" s="669" t="str">
        <v/>
      </c>
      <c r="O19" s="670" t="str">
        <v/>
      </c>
      <c r="P19" s="667" t="str">
        <v/>
      </c>
      <c r="Q19" s="670" t="str">
        <v/>
      </c>
      <c r="R19" s="679" t="str">
        <f>IF(AND(QueryFlag="ON",NOT(ISNA(E19))),_xll.BondOutstanding(E19),"")</f>
        <v/>
      </c>
    </row>
    <row r="20" spans="5:18">
      <c r="E20" s="1006" t="s">
        <v>1654</v>
      </c>
      <c r="F20" s="1002" t="str">
        <f>IF(LEN($E20)&gt;1,_xll.BondInfo($E20,$F$4),"")</f>
        <v>CTZ 30-oct-19</v>
      </c>
      <c r="G20" s="678" t="str">
        <f t="array" ref="G20:Q20">IF(AND(QueryFlag="ON",NOT(ISNA(E20))),_xll.BondInfo(E20,$G$4:$Q$4),"")</f>
        <v/>
      </c>
      <c r="H20" s="668" t="str">
        <v/>
      </c>
      <c r="I20" s="666" t="str">
        <v/>
      </c>
      <c r="J20" s="668" t="str">
        <v/>
      </c>
      <c r="K20" s="668" t="str">
        <v/>
      </c>
      <c r="L20" s="668" t="str">
        <v/>
      </c>
      <c r="M20" s="668" t="str">
        <v/>
      </c>
      <c r="N20" s="669" t="str">
        <v/>
      </c>
      <c r="O20" s="670" t="str">
        <v/>
      </c>
      <c r="P20" s="667" t="str">
        <v/>
      </c>
      <c r="Q20" s="670" t="str">
        <v/>
      </c>
      <c r="R20" s="679" t="str">
        <f>IF(AND(QueryFlag="ON",NOT(ISNA(E20))),_xll.BondOutstanding(E20),"")</f>
        <v/>
      </c>
    </row>
    <row r="21" spans="5:18">
      <c r="E21" s="1006" t="s">
        <v>606</v>
      </c>
      <c r="F21" s="1002" t="str">
        <f>IF(LEN($E21)&gt;1,_xll.BondInfo($E21,$F$4),"")</f>
        <v>BTP 01-dec-19 1.05%</v>
      </c>
      <c r="G21" s="678" t="str">
        <f t="array" ref="G21:Q21">IF(AND(QueryFlag="ON",NOT(ISNA(E21))),_xll.BondInfo(E21,$G$4:$Q$4),"")</f>
        <v/>
      </c>
      <c r="H21" s="668" t="str">
        <v/>
      </c>
      <c r="I21" s="666" t="str">
        <v/>
      </c>
      <c r="J21" s="668" t="str">
        <v/>
      </c>
      <c r="K21" s="668" t="str">
        <v/>
      </c>
      <c r="L21" s="668" t="str">
        <v/>
      </c>
      <c r="M21" s="668" t="str">
        <v/>
      </c>
      <c r="N21" s="669" t="str">
        <v/>
      </c>
      <c r="O21" s="670" t="str">
        <v/>
      </c>
      <c r="P21" s="667" t="str">
        <v/>
      </c>
      <c r="Q21" s="670" t="str">
        <v/>
      </c>
      <c r="R21" s="679" t="str">
        <f>IF(AND(QueryFlag="ON",NOT(ISNA(E21))),_xll.BondOutstanding(E21),"")</f>
        <v/>
      </c>
    </row>
    <row r="22" spans="5:18">
      <c r="E22" s="1006" t="s">
        <v>724</v>
      </c>
      <c r="F22" s="1002" t="str">
        <f>IF(LEN($E22)&gt;1,_xll.BondInfo($E22,$F$4),"")</f>
        <v>BTP 01-feb-20 4.5%</v>
      </c>
      <c r="G22" s="678" t="str">
        <f t="array" ref="G22:Q22">IF(AND(QueryFlag="ON",NOT(ISNA(E22))),_xll.BondInfo(E22,$G$4:$Q$4),"")</f>
        <v/>
      </c>
      <c r="H22" s="668" t="str">
        <v/>
      </c>
      <c r="I22" s="666" t="str">
        <v/>
      </c>
      <c r="J22" s="668" t="str">
        <v/>
      </c>
      <c r="K22" s="668" t="str">
        <v/>
      </c>
      <c r="L22" s="668" t="str">
        <v/>
      </c>
      <c r="M22" s="668" t="str">
        <v/>
      </c>
      <c r="N22" s="669" t="str">
        <v/>
      </c>
      <c r="O22" s="670" t="str">
        <v/>
      </c>
      <c r="P22" s="667" t="str">
        <v/>
      </c>
      <c r="Q22" s="670" t="str">
        <v/>
      </c>
      <c r="R22" s="679" t="str">
        <f>IF(AND(QueryFlag="ON",NOT(ISNA(E22))),_xll.BondOutstanding(E22),"")</f>
        <v/>
      </c>
    </row>
    <row r="23" spans="5:18">
      <c r="E23" s="1006" t="s">
        <v>725</v>
      </c>
      <c r="F23" s="1002" t="str">
        <f>IF(LEN($E23)&gt;1,_xll.BondInfo($E23,$F$4),"")</f>
        <v>BTP 01-mar-20 4.25%</v>
      </c>
      <c r="G23" s="678" t="str">
        <f t="array" ref="G23:Q23">IF(AND(QueryFlag="ON",NOT(ISNA(E23))),_xll.BondInfo(E23,$G$4:$Q$4),"")</f>
        <v/>
      </c>
      <c r="H23" s="668" t="str">
        <v/>
      </c>
      <c r="I23" s="666" t="str">
        <v/>
      </c>
      <c r="J23" s="668" t="str">
        <v/>
      </c>
      <c r="K23" s="668" t="str">
        <v/>
      </c>
      <c r="L23" s="668" t="str">
        <v/>
      </c>
      <c r="M23" s="668" t="str">
        <v/>
      </c>
      <c r="N23" s="669" t="str">
        <v/>
      </c>
      <c r="O23" s="670" t="str">
        <v/>
      </c>
      <c r="P23" s="667" t="str">
        <v/>
      </c>
      <c r="Q23" s="670" t="str">
        <v/>
      </c>
      <c r="R23" s="679" t="str">
        <f>IF(AND(QueryFlag="ON",NOT(ISNA(E23))),_xll.BondOutstanding(E23),"")</f>
        <v/>
      </c>
    </row>
    <row r="24" spans="5:18">
      <c r="E24" s="1006" t="s">
        <v>775</v>
      </c>
      <c r="F24" s="1002" t="str">
        <f>IF(LEN($E24)&gt;1,_xll.BondInfo($E24,$F$4),"")</f>
        <v>BTP 01-may-20 .7%</v>
      </c>
      <c r="G24" s="678" t="str">
        <f t="array" ref="G24:Q24">IF(AND(QueryFlag="ON",NOT(ISNA(E24))),_xll.BondInfo(E24,$G$4:$Q$4),"")</f>
        <v/>
      </c>
      <c r="H24" s="668" t="str">
        <v/>
      </c>
      <c r="I24" s="666" t="str">
        <v/>
      </c>
      <c r="J24" s="668" t="str">
        <v/>
      </c>
      <c r="K24" s="668" t="str">
        <v/>
      </c>
      <c r="L24" s="668" t="str">
        <v/>
      </c>
      <c r="M24" s="668" t="str">
        <v/>
      </c>
      <c r="N24" s="669" t="str">
        <v/>
      </c>
      <c r="O24" s="670" t="str">
        <v/>
      </c>
      <c r="P24" s="667" t="str">
        <v/>
      </c>
      <c r="Q24" s="670" t="str">
        <v/>
      </c>
      <c r="R24" s="679" t="str">
        <f>IF(AND(QueryFlag="ON",NOT(ISNA(E24))),_xll.BondOutstanding(E24),"")</f>
        <v/>
      </c>
    </row>
    <row r="25" spans="5:18">
      <c r="E25" s="1006" t="s">
        <v>1018</v>
      </c>
      <c r="F25" s="1002" t="str">
        <f>IF(LEN($E25)&gt;1,_xll.BondInfo($E25,$F$4),"")</f>
        <v>BTP 15-jun-20 .35%</v>
      </c>
      <c r="G25" s="678" t="str">
        <f t="array" ref="G25:Q25">IF(AND(QueryFlag="ON",NOT(ISNA(E25))),_xll.BondInfo(E25,$G$4:$Q$4),"")</f>
        <v/>
      </c>
      <c r="H25" s="668" t="str">
        <v/>
      </c>
      <c r="I25" s="666" t="str">
        <v/>
      </c>
      <c r="J25" s="668" t="str">
        <v/>
      </c>
      <c r="K25" s="668" t="str">
        <v/>
      </c>
      <c r="L25" s="668" t="str">
        <v/>
      </c>
      <c r="M25" s="668" t="str">
        <v/>
      </c>
      <c r="N25" s="669" t="str">
        <v/>
      </c>
      <c r="O25" s="670" t="str">
        <v/>
      </c>
      <c r="P25" s="667" t="str">
        <v/>
      </c>
      <c r="Q25" s="670" t="str">
        <v/>
      </c>
      <c r="R25" s="679" t="str">
        <f>IF(AND(QueryFlag="ON",NOT(ISNA(E25))),_xll.BondOutstanding(E25),"")</f>
        <v/>
      </c>
    </row>
    <row r="26" spans="5:18">
      <c r="E26" s="1006" t="s">
        <v>726</v>
      </c>
      <c r="F26" s="1002" t="str">
        <f>IF(LEN($E26)&gt;1,_xll.BondInfo($E26,$F$4),"")</f>
        <v>BTP 01-sep-20 4%</v>
      </c>
      <c r="G26" s="678" t="str">
        <f t="array" ref="G26:Q26">IF(AND(QueryFlag="ON",NOT(ISNA(E26))),_xll.BondInfo(E26,$G$4:$Q$4),"")</f>
        <v/>
      </c>
      <c r="H26" s="668" t="str">
        <v/>
      </c>
      <c r="I26" s="666" t="str">
        <v/>
      </c>
      <c r="J26" s="668" t="str">
        <v/>
      </c>
      <c r="K26" s="668" t="str">
        <v/>
      </c>
      <c r="L26" s="668" t="str">
        <v/>
      </c>
      <c r="M26" s="668" t="str">
        <v/>
      </c>
      <c r="N26" s="669" t="str">
        <v/>
      </c>
      <c r="O26" s="670" t="str">
        <v/>
      </c>
      <c r="P26" s="667" t="str">
        <v/>
      </c>
      <c r="Q26" s="670" t="str">
        <v/>
      </c>
      <c r="R26" s="679" t="str">
        <f>IF(AND(QueryFlag="ON",NOT(ISNA(E26))),_xll.BondOutstanding(E26),"")</f>
        <v/>
      </c>
    </row>
    <row r="27" spans="5:18">
      <c r="E27" s="1006" t="s">
        <v>1655</v>
      </c>
      <c r="F27" s="1002" t="str">
        <f>IF(LEN($E27)&gt;1,_xll.BondInfo($E27,$F$4),"")</f>
        <v>BTP 15-oct-20 .2%</v>
      </c>
      <c r="G27" s="678" t="str">
        <f t="array" ref="G27:Q27">IF(AND(QueryFlag="ON",NOT(ISNA(E27))),_xll.BondInfo(E27,$G$4:$Q$4),"")</f>
        <v/>
      </c>
      <c r="H27" s="668" t="str">
        <v/>
      </c>
      <c r="I27" s="666" t="str">
        <v/>
      </c>
      <c r="J27" s="668" t="str">
        <v/>
      </c>
      <c r="K27" s="668" t="str">
        <v/>
      </c>
      <c r="L27" s="668" t="str">
        <v/>
      </c>
      <c r="M27" s="668" t="str">
        <v/>
      </c>
      <c r="N27" s="669" t="str">
        <v/>
      </c>
      <c r="O27" s="670" t="str">
        <v/>
      </c>
      <c r="P27" s="667" t="str">
        <v/>
      </c>
      <c r="Q27" s="670" t="str">
        <v/>
      </c>
      <c r="R27" s="679" t="str">
        <f>IF(AND(QueryFlag="ON",NOT(ISNA(E27))),_xll.BondOutstanding(E27),"")</f>
        <v/>
      </c>
    </row>
    <row r="28" spans="5:18">
      <c r="E28" s="1006" t="s">
        <v>826</v>
      </c>
      <c r="F28" s="1002" t="str">
        <f>IF(LEN($E28)&gt;1,_xll.BondInfo($E28,$F$4),"")</f>
        <v>BTP 01-nov-20 .65%</v>
      </c>
      <c r="G28" s="678" t="str">
        <f t="array" ref="G28:Q28">IF(AND(QueryFlag="ON",NOT(ISNA(E28))),_xll.BondInfo(E28,$G$4:$Q$4),"")</f>
        <v/>
      </c>
      <c r="H28" s="668" t="str">
        <v/>
      </c>
      <c r="I28" s="666" t="str">
        <v/>
      </c>
      <c r="J28" s="668" t="str">
        <v/>
      </c>
      <c r="K28" s="668" t="str">
        <v/>
      </c>
      <c r="L28" s="668" t="str">
        <v/>
      </c>
      <c r="M28" s="668" t="str">
        <v/>
      </c>
      <c r="N28" s="669" t="str">
        <v/>
      </c>
      <c r="O28" s="670" t="str">
        <v/>
      </c>
      <c r="P28" s="667" t="str">
        <v/>
      </c>
      <c r="Q28" s="670" t="str">
        <v/>
      </c>
      <c r="R28" s="679" t="str">
        <f>IF(AND(QueryFlag="ON",NOT(ISNA(E28))),_xll.BondOutstanding(E28),"")</f>
        <v/>
      </c>
    </row>
    <row r="29" spans="5:18">
      <c r="E29" s="1006" t="s">
        <v>727</v>
      </c>
      <c r="F29" s="1002" t="str">
        <f>IF(LEN($E29)&gt;1,_xll.BondInfo($E29,$F$4),"")</f>
        <v>BTP 01-mar-21 3.75%</v>
      </c>
      <c r="G29" s="678" t="str">
        <f t="array" ref="G29:Q29">IF(AND(QueryFlag="ON",NOT(ISNA(E29))),_xll.BondInfo(E29,$G$4:$Q$4),"")</f>
        <v/>
      </c>
      <c r="H29" s="668" t="str">
        <v/>
      </c>
      <c r="I29" s="666" t="str">
        <v/>
      </c>
      <c r="J29" s="668" t="str">
        <v/>
      </c>
      <c r="K29" s="668" t="str">
        <v/>
      </c>
      <c r="L29" s="668" t="str">
        <v/>
      </c>
      <c r="M29" s="668" t="str">
        <v/>
      </c>
      <c r="N29" s="669" t="str">
        <v/>
      </c>
      <c r="O29" s="670" t="str">
        <v/>
      </c>
      <c r="P29" s="667" t="str">
        <v/>
      </c>
      <c r="Q29" s="670" t="str">
        <v/>
      </c>
      <c r="R29" s="679" t="str">
        <f>IF(AND(QueryFlag="ON",NOT(ISNA(E29))),_xll.BondOutstanding(E29),"")</f>
        <v/>
      </c>
    </row>
    <row r="30" spans="5:18">
      <c r="E30" s="1006" t="s">
        <v>428</v>
      </c>
      <c r="F30" s="1002" t="str">
        <f>IF(LEN($E30)&gt;1,_xll.BondInfo($E30,$F$4),"")</f>
        <v>BTP 01-may-21 3.75%</v>
      </c>
      <c r="G30" s="678" t="str">
        <f t="array" ref="G30:Q30">IF(AND(QueryFlag="ON",NOT(ISNA(E30))),_xll.BondInfo(E30,$G$4:$Q$4),"")</f>
        <v/>
      </c>
      <c r="H30" s="668" t="str">
        <v/>
      </c>
      <c r="I30" s="666" t="str">
        <v/>
      </c>
      <c r="J30" s="668" t="str">
        <v/>
      </c>
      <c r="K30" s="668" t="str">
        <v/>
      </c>
      <c r="L30" s="668" t="str">
        <v/>
      </c>
      <c r="M30" s="668" t="str">
        <v/>
      </c>
      <c r="N30" s="669" t="str">
        <v/>
      </c>
      <c r="O30" s="670" t="str">
        <v/>
      </c>
      <c r="P30" s="667" t="str">
        <v/>
      </c>
      <c r="Q30" s="670" t="str">
        <v/>
      </c>
      <c r="R30" s="679" t="str">
        <f>IF(AND(QueryFlag="ON",NOT(ISNA(E30))),_xll.BondOutstanding(E30),"")</f>
        <v/>
      </c>
    </row>
    <row r="31" spans="5:18">
      <c r="E31" s="1006" t="s">
        <v>847</v>
      </c>
      <c r="F31" s="1002" t="str">
        <f>IF(LEN($E31)&gt;1,_xll.BondInfo($E31,$F$4),"")</f>
        <v>BTP 01-jun-21 .45%</v>
      </c>
      <c r="G31" s="678" t="str">
        <f t="array" ref="G31:Q31">IF(AND(QueryFlag="ON",NOT(ISNA(E31))),_xll.BondInfo(E31,$G$4:$Q$4),"")</f>
        <v/>
      </c>
      <c r="H31" s="668" t="str">
        <v/>
      </c>
      <c r="I31" s="666" t="str">
        <v/>
      </c>
      <c r="J31" s="668" t="str">
        <v/>
      </c>
      <c r="K31" s="668" t="str">
        <v/>
      </c>
      <c r="L31" s="668" t="str">
        <v/>
      </c>
      <c r="M31" s="668" t="str">
        <v/>
      </c>
      <c r="N31" s="669" t="str">
        <v/>
      </c>
      <c r="O31" s="670" t="str">
        <v/>
      </c>
      <c r="P31" s="667" t="str">
        <v/>
      </c>
      <c r="Q31" s="670" t="str">
        <v/>
      </c>
      <c r="R31" s="679" t="str">
        <f>IF(AND(QueryFlag="ON",NOT(ISNA(E31))),_xll.BondOutstanding(E31),"")</f>
        <v/>
      </c>
    </row>
    <row r="32" spans="5:18">
      <c r="E32" s="1006" t="s">
        <v>728</v>
      </c>
      <c r="F32" s="1002" t="str">
        <f>IF(LEN($E32)&gt;1,_xll.BondInfo($E32,$F$4),"")</f>
        <v>BTP 01-aug-21 3.75%</v>
      </c>
      <c r="G32" s="678" t="str">
        <f t="array" ref="G32:Q32">IF(AND(QueryFlag="ON",NOT(ISNA(E32))),_xll.BondInfo(E32,$G$4:$Q$4),"")</f>
        <v/>
      </c>
      <c r="H32" s="668" t="str">
        <v/>
      </c>
      <c r="I32" s="666" t="str">
        <v/>
      </c>
      <c r="J32" s="668" t="str">
        <v/>
      </c>
      <c r="K32" s="668" t="str">
        <v/>
      </c>
      <c r="L32" s="668" t="str">
        <v/>
      </c>
      <c r="M32" s="668" t="str">
        <v/>
      </c>
      <c r="N32" s="669" t="str">
        <v/>
      </c>
      <c r="O32" s="670" t="str">
        <v/>
      </c>
      <c r="P32" s="667" t="str">
        <v/>
      </c>
      <c r="Q32" s="670" t="str">
        <v/>
      </c>
      <c r="R32" s="679" t="str">
        <f>IF(AND(QueryFlag="ON",NOT(ISNA(E32))),_xll.BondOutstanding(E32),"")</f>
        <v/>
      </c>
    </row>
    <row r="33" spans="5:18">
      <c r="E33" s="1006" t="s">
        <v>729</v>
      </c>
      <c r="F33" s="1002" t="str">
        <f>IF(LEN($E33)&gt;1,_xll.BondInfo($E33,$F$4),"")</f>
        <v>BTP 01-sep-21 4.75%</v>
      </c>
      <c r="G33" s="678" t="str">
        <f t="array" ref="G33:Q33">IF(AND(QueryFlag="ON",NOT(ISNA(E33))),_xll.BondInfo(E33,$G$4:$Q$4),"")</f>
        <v/>
      </c>
      <c r="H33" s="668" t="str">
        <v/>
      </c>
      <c r="I33" s="666" t="str">
        <v/>
      </c>
      <c r="J33" s="668" t="str">
        <v/>
      </c>
      <c r="K33" s="668" t="str">
        <v/>
      </c>
      <c r="L33" s="668" t="str">
        <v/>
      </c>
      <c r="M33" s="668" t="str">
        <v/>
      </c>
      <c r="N33" s="669" t="str">
        <v/>
      </c>
      <c r="O33" s="670" t="str">
        <v/>
      </c>
      <c r="P33" s="667" t="str">
        <v/>
      </c>
      <c r="Q33" s="670" t="str">
        <v/>
      </c>
      <c r="R33" s="679" t="str">
        <f>IF(AND(QueryFlag="ON",NOT(ISNA(E33))),_xll.BondOutstanding(E33),"")</f>
        <v/>
      </c>
    </row>
    <row r="34" spans="5:18">
      <c r="E34" s="1006" t="s">
        <v>908</v>
      </c>
      <c r="F34" s="1002" t="str">
        <f>IF(LEN($E34)&gt;1,_xll.BondInfo($E34,$F$4),"")</f>
        <v>BTP 01-nov-21 .35%</v>
      </c>
      <c r="G34" s="678" t="str">
        <f t="array" ref="G34:Q34">IF(AND(QueryFlag="ON",NOT(ISNA(E34))),_xll.BondInfo(E34,$G$4:$Q$4),"")</f>
        <v/>
      </c>
      <c r="H34" s="668" t="str">
        <v/>
      </c>
      <c r="I34" s="666" t="str">
        <v/>
      </c>
      <c r="J34" s="668" t="str">
        <v/>
      </c>
      <c r="K34" s="668" t="str">
        <v/>
      </c>
      <c r="L34" s="668" t="str">
        <v/>
      </c>
      <c r="M34" s="668" t="str">
        <v/>
      </c>
      <c r="N34" s="669" t="str">
        <v/>
      </c>
      <c r="O34" s="670" t="str">
        <v/>
      </c>
      <c r="P34" s="667" t="str">
        <v/>
      </c>
      <c r="Q34" s="670" t="str">
        <v/>
      </c>
      <c r="R34" s="679" t="str">
        <f>IF(AND(QueryFlag="ON",NOT(ISNA(E34))),_xll.BondOutstanding(E34),"")</f>
        <v/>
      </c>
    </row>
    <row r="35" spans="5:18">
      <c r="E35" s="1006" t="s">
        <v>608</v>
      </c>
      <c r="F35" s="1002" t="str">
        <f>IF(LEN($E35)&gt;1,_xll.BondInfo($E35,$F$4),"")</f>
        <v>BTP 15-dec-21 2.15%</v>
      </c>
      <c r="G35" s="678" t="str">
        <f t="array" ref="G35:Q35">IF(AND(QueryFlag="ON",NOT(ISNA(E35))),_xll.BondInfo(E35,$G$4:$Q$4),"")</f>
        <v/>
      </c>
      <c r="H35" s="668" t="str">
        <v/>
      </c>
      <c r="I35" s="666" t="str">
        <v/>
      </c>
      <c r="J35" s="668" t="str">
        <v/>
      </c>
      <c r="K35" s="668" t="str">
        <v/>
      </c>
      <c r="L35" s="668" t="str">
        <v/>
      </c>
      <c r="M35" s="668" t="str">
        <v/>
      </c>
      <c r="N35" s="669" t="str">
        <v/>
      </c>
      <c r="O35" s="670" t="str">
        <v/>
      </c>
      <c r="P35" s="667" t="str">
        <v/>
      </c>
      <c r="Q35" s="670" t="str">
        <v/>
      </c>
      <c r="R35" s="679" t="str">
        <f>IF(AND(QueryFlag="ON",NOT(ISNA(E35))),_xll.BondOutstanding(E35),"")</f>
        <v/>
      </c>
    </row>
    <row r="36" spans="5:18">
      <c r="E36" s="1006" t="s">
        <v>730</v>
      </c>
      <c r="F36" s="1002" t="str">
        <f>IF(LEN($E36)&gt;1,_xll.BondInfo($E36,$F$4),"")</f>
        <v>BTP 01-mar-22 5%</v>
      </c>
      <c r="G36" s="678" t="str">
        <f t="array" ref="G36:Q36">IF(AND(QueryFlag="ON",NOT(ISNA(E36))),_xll.BondInfo(E36,$G$4:$Q$4),"")</f>
        <v/>
      </c>
      <c r="H36" s="668" t="str">
        <v/>
      </c>
      <c r="I36" s="666" t="str">
        <v/>
      </c>
      <c r="J36" s="668" t="str">
        <v/>
      </c>
      <c r="K36" s="668" t="str">
        <v/>
      </c>
      <c r="L36" s="668" t="str">
        <v/>
      </c>
      <c r="M36" s="668" t="str">
        <v/>
      </c>
      <c r="N36" s="669" t="str">
        <v/>
      </c>
      <c r="O36" s="670" t="str">
        <v/>
      </c>
      <c r="P36" s="667" t="str">
        <v/>
      </c>
      <c r="Q36" s="670" t="str">
        <v/>
      </c>
      <c r="R36" s="679" t="str">
        <f>IF(AND(QueryFlag="ON",NOT(ISNA(E36))),_xll.BondOutstanding(E36),"")</f>
        <v/>
      </c>
    </row>
    <row r="37" spans="5:18">
      <c r="E37" s="1006" t="s">
        <v>1005</v>
      </c>
      <c r="F37" s="1002" t="str">
        <f>IF(LEN($E37)&gt;1,_xll.BondInfo($E37,$F$4),"")</f>
        <v>BTP 01-apr-22 1.2%</v>
      </c>
      <c r="G37" s="678" t="str">
        <f t="array" ref="G37:Q37">IF(AND(QueryFlag="ON",NOT(ISNA(E37))),_xll.BondInfo(E37,$G$4:$Q$4),"")</f>
        <v/>
      </c>
      <c r="H37" s="668" t="str">
        <v/>
      </c>
      <c r="I37" s="666" t="str">
        <v/>
      </c>
      <c r="J37" s="668" t="str">
        <v/>
      </c>
      <c r="K37" s="668" t="str">
        <v/>
      </c>
      <c r="L37" s="668" t="str">
        <v/>
      </c>
      <c r="M37" s="668" t="str">
        <v/>
      </c>
      <c r="N37" s="669" t="str">
        <v/>
      </c>
      <c r="O37" s="670" t="str">
        <v/>
      </c>
      <c r="P37" s="667" t="str">
        <v/>
      </c>
      <c r="Q37" s="670" t="str">
        <v/>
      </c>
      <c r="R37" s="679" t="str">
        <f>IF(AND(QueryFlag="ON",NOT(ISNA(E37))),_xll.BondOutstanding(E37),"")</f>
        <v/>
      </c>
    </row>
    <row r="38" spans="5:18">
      <c r="E38" s="1006" t="s">
        <v>610</v>
      </c>
      <c r="F38" s="1002" t="str">
        <f>IF(LEN($E38)&gt;1,_xll.BondInfo($E38,$F$4),"")</f>
        <v>BTP 15-apr-22 1.35%</v>
      </c>
      <c r="G38" s="678" t="str">
        <f t="array" ref="G38:Q38">IF(AND(QueryFlag="ON",NOT(ISNA(E38))),_xll.BondInfo(E38,$G$4:$Q$4),"")</f>
        <v/>
      </c>
      <c r="H38" s="668" t="str">
        <v/>
      </c>
      <c r="I38" s="666" t="str">
        <v/>
      </c>
      <c r="J38" s="668" t="str">
        <v/>
      </c>
      <c r="K38" s="668" t="str">
        <v/>
      </c>
      <c r="L38" s="668" t="str">
        <v/>
      </c>
      <c r="M38" s="668" t="str">
        <v/>
      </c>
      <c r="N38" s="669" t="str">
        <v/>
      </c>
      <c r="O38" s="670" t="str">
        <v/>
      </c>
      <c r="P38" s="667" t="str">
        <v/>
      </c>
      <c r="Q38" s="670" t="str">
        <v/>
      </c>
      <c r="R38" s="679" t="str">
        <f>IF(AND(QueryFlag="ON",NOT(ISNA(E38))),_xll.BondOutstanding(E38),"")</f>
        <v/>
      </c>
    </row>
    <row r="39" spans="5:18">
      <c r="E39" s="1006" t="s">
        <v>1656</v>
      </c>
      <c r="F39" s="1002" t="str">
        <f>IF(LEN($E39)&gt;1,_xll.BondInfo($E39,$F$4),"")</f>
        <v>BTP 01-aug-22 .9%</v>
      </c>
      <c r="G39" s="678" t="str">
        <f t="array" ref="G39:Q39">IF(AND(QueryFlag="ON",NOT(ISNA(E39))),_xll.BondInfo(E39,$G$4:$Q$4),"")</f>
        <v/>
      </c>
      <c r="H39" s="668" t="str">
        <v/>
      </c>
      <c r="I39" s="666" t="str">
        <v/>
      </c>
      <c r="J39" s="668" t="str">
        <v/>
      </c>
      <c r="K39" s="668" t="str">
        <v/>
      </c>
      <c r="L39" s="668" t="str">
        <v/>
      </c>
      <c r="M39" s="668" t="str">
        <v/>
      </c>
      <c r="N39" s="669" t="str">
        <v/>
      </c>
      <c r="O39" s="670" t="str">
        <v/>
      </c>
      <c r="P39" s="667" t="str">
        <v/>
      </c>
      <c r="Q39" s="670" t="str">
        <v/>
      </c>
      <c r="R39" s="679" t="str">
        <f>IF(AND(QueryFlag="ON",NOT(ISNA(E39))),_xll.BondOutstanding(E39),"")</f>
        <v/>
      </c>
    </row>
    <row r="40" spans="5:18">
      <c r="E40" s="1006" t="s">
        <v>731</v>
      </c>
      <c r="F40" s="1002" t="str">
        <f>IF(LEN($E40)&gt;1,_xll.BondInfo($E40,$F$4),"")</f>
        <v>BTP 01-sep-22 5.5%</v>
      </c>
      <c r="G40" s="678" t="str">
        <f t="array" ref="G40:Q40">IF(AND(QueryFlag="ON",NOT(ISNA(E40))),_xll.BondInfo(E40,$G$4:$Q$4),"")</f>
        <v/>
      </c>
      <c r="H40" s="668" t="str">
        <v/>
      </c>
      <c r="I40" s="666" t="str">
        <v/>
      </c>
      <c r="J40" s="668" t="str">
        <v/>
      </c>
      <c r="K40" s="668" t="str">
        <v/>
      </c>
      <c r="L40" s="668" t="str">
        <v/>
      </c>
      <c r="M40" s="668" t="str">
        <v/>
      </c>
      <c r="N40" s="669" t="str">
        <v/>
      </c>
      <c r="O40" s="670" t="str">
        <v/>
      </c>
      <c r="P40" s="667" t="str">
        <v/>
      </c>
      <c r="Q40" s="670" t="str">
        <v/>
      </c>
      <c r="R40" s="679" t="str">
        <f>IF(AND(QueryFlag="ON",NOT(ISNA(E40))),_xll.BondOutstanding(E40),"")</f>
        <v/>
      </c>
    </row>
    <row r="41" spans="5:18">
      <c r="E41" s="1006" t="s">
        <v>844</v>
      </c>
      <c r="F41" s="1002" t="str">
        <f>IF(LEN($E41)&gt;1,_xll.BondInfo($E41,$F$4),"")</f>
        <v>BTP 15-sep-22 1.45%</v>
      </c>
      <c r="G41" s="678" t="str">
        <f t="array" ref="G41:Q41">IF(AND(QueryFlag="ON",NOT(ISNA(E41))),_xll.BondInfo(E41,$G$4:$Q$4),"")</f>
        <v/>
      </c>
      <c r="H41" s="668" t="str">
        <v/>
      </c>
      <c r="I41" s="666" t="str">
        <v/>
      </c>
      <c r="J41" s="668" t="str">
        <v/>
      </c>
      <c r="K41" s="668" t="str">
        <v/>
      </c>
      <c r="L41" s="668" t="str">
        <v/>
      </c>
      <c r="M41" s="668" t="str">
        <v/>
      </c>
      <c r="N41" s="669" t="str">
        <v/>
      </c>
      <c r="O41" s="670" t="str">
        <v/>
      </c>
      <c r="P41" s="667" t="str">
        <v/>
      </c>
      <c r="Q41" s="670" t="str">
        <v/>
      </c>
      <c r="R41" s="679" t="str">
        <f>IF(AND(QueryFlag="ON",NOT(ISNA(E41))),_xll.BondOutstanding(E41),"")</f>
        <v/>
      </c>
    </row>
    <row r="42" spans="5:18">
      <c r="E42" s="1006" t="s">
        <v>732</v>
      </c>
      <c r="F42" s="1002" t="str">
        <f>IF(LEN($E42)&gt;1,_xll.BondInfo($E42,$F$4),"")</f>
        <v>BTP 01-nov-22 5.5%</v>
      </c>
      <c r="G42" s="678" t="str">
        <f t="array" ref="G42:Q42">IF(AND(QueryFlag="ON",NOT(ISNA(E42))),_xll.BondInfo(E42,$G$4:$Q$4),"")</f>
        <v/>
      </c>
      <c r="H42" s="668" t="str">
        <v/>
      </c>
      <c r="I42" s="666" t="str">
        <v/>
      </c>
      <c r="J42" s="668" t="str">
        <v/>
      </c>
      <c r="K42" s="668" t="str">
        <v/>
      </c>
      <c r="L42" s="668" t="str">
        <v/>
      </c>
      <c r="M42" s="668" t="str">
        <v/>
      </c>
      <c r="N42" s="669" t="str">
        <v/>
      </c>
      <c r="O42" s="670" t="str">
        <v/>
      </c>
      <c r="P42" s="667" t="str">
        <v/>
      </c>
      <c r="Q42" s="670" t="str">
        <v/>
      </c>
      <c r="R42" s="679" t="str">
        <f>IF(AND(QueryFlag="ON",NOT(ISNA(E42))),_xll.BondOutstanding(E42),"")</f>
        <v/>
      </c>
    </row>
    <row r="43" spans="5:18">
      <c r="E43" s="1006" t="s">
        <v>2049</v>
      </c>
      <c r="F43" s="1002" t="str">
        <f>IF(LEN($E43)&gt;1,_xll.BondInfo($E43,$F$4),"")</f>
        <v>BTP 01-mar-23 .95%</v>
      </c>
      <c r="G43" s="678" t="str">
        <f t="array" ref="G43:Q43">IF(AND(QueryFlag="ON",NOT(ISNA(E43))),_xll.BondInfo(E43,$G$4:$Q$4),"")</f>
        <v/>
      </c>
      <c r="H43" s="668" t="str">
        <v/>
      </c>
      <c r="I43" s="666" t="str">
        <v/>
      </c>
      <c r="J43" s="668" t="str">
        <v/>
      </c>
      <c r="K43" s="668" t="str">
        <v/>
      </c>
      <c r="L43" s="668" t="str">
        <v/>
      </c>
      <c r="M43" s="668" t="str">
        <v/>
      </c>
      <c r="N43" s="669" t="str">
        <v/>
      </c>
      <c r="O43" s="670" t="str">
        <v/>
      </c>
      <c r="P43" s="667" t="str">
        <v/>
      </c>
      <c r="Q43" s="670" t="str">
        <v/>
      </c>
      <c r="R43" s="679" t="str">
        <f>IF(AND(QueryFlag="ON",NOT(ISNA(E43))),_xll.BondOutstanding(E43),"")</f>
        <v/>
      </c>
    </row>
    <row r="44" spans="5:18">
      <c r="E44" s="1006" t="s">
        <v>845</v>
      </c>
      <c r="F44" s="1002" t="str">
        <f>IF(LEN($E44)&gt;1,_xll.BondInfo($E44,$F$4),"")</f>
        <v>BTP 15-mar-23 .95%</v>
      </c>
      <c r="G44" s="678" t="str">
        <f t="array" ref="G44:Q44">IF(AND(QueryFlag="ON",NOT(ISNA(E44))),_xll.BondInfo(E44,$G$4:$Q$4),"")</f>
        <v/>
      </c>
      <c r="H44" s="668" t="str">
        <v/>
      </c>
      <c r="I44" s="666" t="str">
        <v/>
      </c>
      <c r="J44" s="668" t="str">
        <v/>
      </c>
      <c r="K44" s="668" t="str">
        <v/>
      </c>
      <c r="L44" s="668" t="str">
        <v/>
      </c>
      <c r="M44" s="668" t="str">
        <v/>
      </c>
      <c r="N44" s="669" t="str">
        <v/>
      </c>
      <c r="O44" s="670" t="str">
        <v/>
      </c>
      <c r="P44" s="667" t="str">
        <v/>
      </c>
      <c r="Q44" s="670" t="str">
        <v/>
      </c>
      <c r="R44" s="679" t="str">
        <f>IF(AND(QueryFlag="ON",NOT(ISNA(E44))),_xll.BondOutstanding(E44),"")</f>
        <v/>
      </c>
    </row>
    <row r="45" spans="5:18">
      <c r="E45" s="1006" t="s">
        <v>733</v>
      </c>
      <c r="F45" s="1002" t="str">
        <f>IF(LEN($E45)&gt;1,_xll.BondInfo($E45,$F$4),"")</f>
        <v>BTP 01-may-23 4.5%</v>
      </c>
      <c r="G45" s="678" t="str">
        <f t="array" ref="G45:Q45">IF(AND(QueryFlag="ON",NOT(ISNA(E45))),_xll.BondInfo(E45,$G$4:$Q$4),"")</f>
        <v/>
      </c>
      <c r="H45" s="668" t="str">
        <v/>
      </c>
      <c r="I45" s="666" t="str">
        <v/>
      </c>
      <c r="J45" s="668" t="str">
        <v/>
      </c>
      <c r="K45" s="668" t="str">
        <v/>
      </c>
      <c r="L45" s="668" t="str">
        <v/>
      </c>
      <c r="M45" s="668" t="str">
        <v/>
      </c>
      <c r="N45" s="669" t="str">
        <v/>
      </c>
      <c r="O45" s="670" t="str">
        <v/>
      </c>
      <c r="P45" s="667" t="str">
        <v/>
      </c>
      <c r="Q45" s="670" t="str">
        <v/>
      </c>
      <c r="R45" s="679" t="str">
        <f>IF(AND(QueryFlag="ON",NOT(ISNA(E45))),_xll.BondOutstanding(E45),"")</f>
        <v/>
      </c>
    </row>
    <row r="46" spans="5:18">
      <c r="E46" s="1006" t="s">
        <v>734</v>
      </c>
      <c r="F46" s="1002" t="str">
        <f>IF(LEN($E46)&gt;1,_xll.BondInfo($E46,$F$4),"")</f>
        <v>BTP 01-aug-23 4.75%</v>
      </c>
      <c r="G46" s="678" t="str">
        <f t="array" ref="G46:Q46">IF(AND(QueryFlag="ON",NOT(ISNA(E46))),_xll.BondInfo(E46,$G$4:$Q$4),"")</f>
        <v/>
      </c>
      <c r="H46" s="668" t="str">
        <v/>
      </c>
      <c r="I46" s="666" t="str">
        <v/>
      </c>
      <c r="J46" s="668" t="str">
        <v/>
      </c>
      <c r="K46" s="668" t="str">
        <v/>
      </c>
      <c r="L46" s="668" t="str">
        <v/>
      </c>
      <c r="M46" s="668" t="str">
        <v/>
      </c>
      <c r="N46" s="669" t="str">
        <v/>
      </c>
      <c r="O46" s="670" t="str">
        <v/>
      </c>
      <c r="P46" s="667" t="str">
        <v/>
      </c>
      <c r="Q46" s="670" t="str">
        <v/>
      </c>
      <c r="R46" s="679" t="str">
        <f>IF(AND(QueryFlag="ON",NOT(ISNA(E46))),_xll.BondOutstanding(E46),"")</f>
        <v/>
      </c>
    </row>
    <row r="47" spans="5:18">
      <c r="E47" s="1006" t="s">
        <v>907</v>
      </c>
      <c r="F47" s="1002" t="str">
        <f>IF(LEN($E47)&gt;1,_xll.BondInfo($E47,$F$4),"")</f>
        <v>BTP 15-oct-23 .65%</v>
      </c>
      <c r="G47" s="678" t="str">
        <f t="array" ref="G47:Q47">IF(AND(QueryFlag="ON",NOT(ISNA(E47))),_xll.BondInfo(E47,$G$4:$Q$4),"")</f>
        <v/>
      </c>
      <c r="H47" s="668" t="str">
        <v/>
      </c>
      <c r="I47" s="666" t="str">
        <v/>
      </c>
      <c r="J47" s="668" t="str">
        <v/>
      </c>
      <c r="K47" s="668" t="str">
        <v/>
      </c>
      <c r="L47" s="668" t="str">
        <v/>
      </c>
      <c r="M47" s="668" t="str">
        <v/>
      </c>
      <c r="N47" s="669" t="str">
        <v/>
      </c>
      <c r="O47" s="670" t="str">
        <v/>
      </c>
      <c r="P47" s="667" t="str">
        <v/>
      </c>
      <c r="Q47" s="670" t="str">
        <v/>
      </c>
      <c r="R47" s="679" t="str">
        <f>IF(AND(QueryFlag="ON",NOT(ISNA(E47))),_xll.BondOutstanding(E47),"")</f>
        <v/>
      </c>
    </row>
    <row r="48" spans="5:18">
      <c r="E48" s="1006" t="s">
        <v>735</v>
      </c>
      <c r="F48" s="1002" t="str">
        <f>IF(LEN($E48)&gt;1,_xll.BondInfo($E48,$F$4),"")</f>
        <v>BTP 01-nov-2023 9.00%</v>
      </c>
      <c r="G48" s="678" t="str">
        <f t="array" ref="G48:Q48">IF(AND(QueryFlag="ON",NOT(ISNA(E48))),_xll.BondInfo(E48,$G$4:$Q$4),"")</f>
        <v/>
      </c>
      <c r="H48" s="668" t="str">
        <v/>
      </c>
      <c r="I48" s="666" t="str">
        <v/>
      </c>
      <c r="J48" s="668" t="str">
        <v/>
      </c>
      <c r="K48" s="668" t="str">
        <v/>
      </c>
      <c r="L48" s="668" t="str">
        <v/>
      </c>
      <c r="M48" s="668" t="str">
        <v/>
      </c>
      <c r="N48" s="669" t="str">
        <v/>
      </c>
      <c r="O48" s="670" t="str">
        <v/>
      </c>
      <c r="P48" s="667" t="str">
        <v/>
      </c>
      <c r="Q48" s="670" t="str">
        <v/>
      </c>
      <c r="R48" s="679" t="str">
        <f>IF(AND(QueryFlag="ON",NOT(ISNA(E48))),_xll.BondOutstanding(E48),"")</f>
        <v/>
      </c>
    </row>
    <row r="49" spans="5:18">
      <c r="E49" s="1006" t="s">
        <v>736</v>
      </c>
      <c r="F49" s="1002" t="str">
        <f>IF(LEN($E49)&gt;1,_xll.BondInfo($E49,$F$4),"")</f>
        <v>BTP 01-mar-24 4.5%</v>
      </c>
      <c r="G49" s="678" t="str">
        <f t="array" ref="G49:Q49">IF(AND(QueryFlag="ON",NOT(ISNA(E49))),_xll.BondInfo(E49,$G$4:$Q$4),"")</f>
        <v/>
      </c>
      <c r="H49" s="668" t="str">
        <v/>
      </c>
      <c r="I49" s="666" t="str">
        <v/>
      </c>
      <c r="J49" s="668" t="str">
        <v/>
      </c>
      <c r="K49" s="668" t="str">
        <v/>
      </c>
      <c r="L49" s="668" t="str">
        <v/>
      </c>
      <c r="M49" s="668" t="str">
        <v/>
      </c>
      <c r="N49" s="669" t="str">
        <v/>
      </c>
      <c r="O49" s="670" t="str">
        <v/>
      </c>
      <c r="P49" s="667" t="str">
        <v/>
      </c>
      <c r="Q49" s="670" t="str">
        <v/>
      </c>
      <c r="R49" s="679" t="str">
        <f>IF(AND(QueryFlag="ON",NOT(ISNA(E49))),_xll.BondOutstanding(E49),"")</f>
        <v/>
      </c>
    </row>
    <row r="50" spans="5:18">
      <c r="E50" s="1006" t="s">
        <v>957</v>
      </c>
      <c r="F50" s="1002" t="str">
        <f>IF(LEN($E50)&gt;1,_xll.BondInfo($E50,$F$4),"")</f>
        <v>BTP 15-may-24 1.85%</v>
      </c>
      <c r="G50" s="678" t="str">
        <f t="array" ref="G50:Q50">IF(AND(QueryFlag="ON",NOT(ISNA(E50))),_xll.BondInfo(E50,$G$4:$Q$4),"")</f>
        <v/>
      </c>
      <c r="H50" s="668" t="str">
        <v/>
      </c>
      <c r="I50" s="666" t="str">
        <v/>
      </c>
      <c r="J50" s="668" t="str">
        <v/>
      </c>
      <c r="K50" s="668" t="str">
        <v/>
      </c>
      <c r="L50" s="668" t="str">
        <v/>
      </c>
      <c r="M50" s="668" t="str">
        <v/>
      </c>
      <c r="N50" s="669" t="str">
        <v/>
      </c>
      <c r="O50" s="670" t="str">
        <v/>
      </c>
      <c r="P50" s="667" t="str">
        <v/>
      </c>
      <c r="Q50" s="670" t="str">
        <v/>
      </c>
      <c r="R50" s="679" t="str">
        <f>IF(AND(QueryFlag="ON",NOT(ISNA(E50))),_xll.BondOutstanding(E50),"")</f>
        <v/>
      </c>
    </row>
    <row r="51" spans="5:18">
      <c r="E51" s="1006" t="s">
        <v>429</v>
      </c>
      <c r="F51" s="1002" t="str">
        <f>IF(LEN($E51)&gt;1,_xll.BondInfo($E51,$F$4),"")</f>
        <v>BTP 01-sep-24 3.75%</v>
      </c>
      <c r="G51" s="678" t="str">
        <f t="array" ref="G51:Q51">IF(AND(QueryFlag="ON",NOT(ISNA(E51))),_xll.BondInfo(E51,$G$4:$Q$4),"")</f>
        <v/>
      </c>
      <c r="H51" s="668" t="str">
        <v/>
      </c>
      <c r="I51" s="666" t="str">
        <v/>
      </c>
      <c r="J51" s="668" t="str">
        <v/>
      </c>
      <c r="K51" s="668" t="str">
        <v/>
      </c>
      <c r="L51" s="668" t="str">
        <v/>
      </c>
      <c r="M51" s="668" t="str">
        <v/>
      </c>
      <c r="N51" s="669" t="str">
        <v/>
      </c>
      <c r="O51" s="670" t="str">
        <v/>
      </c>
      <c r="P51" s="667" t="str">
        <v/>
      </c>
      <c r="Q51" s="670" t="str">
        <v/>
      </c>
      <c r="R51" s="679" t="str">
        <f>IF(AND(QueryFlag="ON",NOT(ISNA(E51))),_xll.BondOutstanding(E51),"")</f>
        <v/>
      </c>
    </row>
    <row r="52" spans="5:18">
      <c r="E52" s="1006" t="s">
        <v>1019</v>
      </c>
      <c r="F52" s="1002" t="str">
        <f>IF(LEN($E52)&gt;1,_xll.BondInfo($E52,$F$4),"")</f>
        <v>BTP 15-nov-24 1.45%</v>
      </c>
      <c r="G52" s="678" t="str">
        <f t="array" ref="G52:Q52">IF(AND(QueryFlag="ON",NOT(ISNA(E52))),_xll.BondInfo(E52,$G$4:$Q$4),"")</f>
        <v/>
      </c>
      <c r="H52" s="668" t="str">
        <v/>
      </c>
      <c r="I52" s="666" t="str">
        <v/>
      </c>
      <c r="J52" s="668" t="str">
        <v/>
      </c>
      <c r="K52" s="668" t="str">
        <v/>
      </c>
      <c r="L52" s="668" t="str">
        <v/>
      </c>
      <c r="M52" s="668" t="str">
        <v/>
      </c>
      <c r="N52" s="669" t="str">
        <v/>
      </c>
      <c r="O52" s="670" t="str">
        <v/>
      </c>
      <c r="P52" s="667" t="str">
        <v/>
      </c>
      <c r="Q52" s="670" t="str">
        <v/>
      </c>
      <c r="R52" s="679" t="str">
        <f>IF(AND(QueryFlag="ON",NOT(ISNA(E52))),_xll.BondOutstanding(E52),"")</f>
        <v/>
      </c>
    </row>
    <row r="53" spans="5:18">
      <c r="E53" s="1006" t="s">
        <v>430</v>
      </c>
      <c r="F53" s="1002" t="str">
        <f>IF(LEN($E53)&gt;1,_xll.BondInfo($E53,$F$4),"")</f>
        <v>BTP 01-dec-24 2.5%</v>
      </c>
      <c r="G53" s="678" t="str">
        <f t="array" ref="G53:Q53">IF(AND(QueryFlag="ON",NOT(ISNA(E53))),_xll.BondInfo(E53,$G$4:$Q$4),"")</f>
        <v/>
      </c>
      <c r="H53" s="668" t="str">
        <v/>
      </c>
      <c r="I53" s="666" t="str">
        <v/>
      </c>
      <c r="J53" s="668" t="str">
        <v/>
      </c>
      <c r="K53" s="668" t="str">
        <v/>
      </c>
      <c r="L53" s="668" t="str">
        <v/>
      </c>
      <c r="M53" s="668" t="str">
        <v/>
      </c>
      <c r="N53" s="669" t="str">
        <v/>
      </c>
      <c r="O53" s="670" t="str">
        <v/>
      </c>
      <c r="P53" s="667" t="str">
        <v/>
      </c>
      <c r="Q53" s="670" t="str">
        <v/>
      </c>
      <c r="R53" s="679" t="str">
        <f>IF(AND(QueryFlag="ON",NOT(ISNA(E53))),_xll.BondOutstanding(E53),"")</f>
        <v/>
      </c>
    </row>
    <row r="54" spans="5:18">
      <c r="E54" s="1006" t="s">
        <v>737</v>
      </c>
      <c r="F54" s="1002" t="str">
        <f>IF(LEN($E54)&gt;1,_xll.BondInfo($E54,$F$4),"")</f>
        <v>BTP 01-mar-25 5%</v>
      </c>
      <c r="G54" s="678" t="str">
        <f t="array" ref="G54:Q54">IF(AND(QueryFlag="ON",NOT(ISNA(E54))),_xll.BondInfo(E54,$G$4:$Q$4),"")</f>
        <v/>
      </c>
      <c r="H54" s="668" t="str">
        <v/>
      </c>
      <c r="I54" s="666" t="str">
        <v/>
      </c>
      <c r="J54" s="668" t="str">
        <v/>
      </c>
      <c r="K54" s="668" t="str">
        <v/>
      </c>
      <c r="L54" s="668" t="str">
        <v/>
      </c>
      <c r="M54" s="668" t="str">
        <v/>
      </c>
      <c r="N54" s="669" t="str">
        <v/>
      </c>
      <c r="O54" s="670" t="str">
        <v/>
      </c>
      <c r="P54" s="667" t="str">
        <v/>
      </c>
      <c r="Q54" s="670" t="str">
        <v/>
      </c>
      <c r="R54" s="679" t="str">
        <f>IF(AND(QueryFlag="ON",NOT(ISNA(E54))),_xll.BondOutstanding(E54),"")</f>
        <v/>
      </c>
    </row>
    <row r="55" spans="5:18">
      <c r="E55" s="1006" t="s">
        <v>612</v>
      </c>
      <c r="F55" s="1002" t="str">
        <f>IF(LEN($E55)&gt;1,_xll.BondInfo($E55,$F$4),"")</f>
        <v>BTP 01-jun-25 1.5%</v>
      </c>
      <c r="G55" s="678" t="str">
        <f t="array" ref="G55:Q55">IF(AND(QueryFlag="ON",NOT(ISNA(E55))),_xll.BondInfo(E55,$G$4:$Q$4),"")</f>
        <v/>
      </c>
      <c r="H55" s="668" t="str">
        <v/>
      </c>
      <c r="I55" s="666" t="str">
        <v/>
      </c>
      <c r="J55" s="668" t="str">
        <v/>
      </c>
      <c r="K55" s="668" t="str">
        <v/>
      </c>
      <c r="L55" s="668" t="str">
        <v/>
      </c>
      <c r="M55" s="668" t="str">
        <v/>
      </c>
      <c r="N55" s="669" t="str">
        <v/>
      </c>
      <c r="O55" s="670" t="str">
        <v/>
      </c>
      <c r="P55" s="667" t="str">
        <v/>
      </c>
      <c r="Q55" s="670" t="str">
        <v/>
      </c>
      <c r="R55" s="679" t="str">
        <f>IF(AND(QueryFlag="ON",NOT(ISNA(E55))),_xll.BondOutstanding(E55),"")</f>
        <v/>
      </c>
    </row>
    <row r="56" spans="5:18">
      <c r="E56" s="1006" t="s">
        <v>773</v>
      </c>
      <c r="F56" s="1002" t="str">
        <f>IF(LEN($E56)&gt;1,_xll.BondInfo($E56,$F$4),"")</f>
        <v>BTP 01-dec-25 2%</v>
      </c>
      <c r="G56" s="678" t="str">
        <f t="array" ref="G56:Q56">IF(AND(QueryFlag="ON",NOT(ISNA(E56))),_xll.BondInfo(E56,$G$4:$Q$4),"")</f>
        <v/>
      </c>
      <c r="H56" s="668" t="str">
        <v/>
      </c>
      <c r="I56" s="666" t="str">
        <v/>
      </c>
      <c r="J56" s="668" t="str">
        <v/>
      </c>
      <c r="K56" s="668" t="str">
        <v/>
      </c>
      <c r="L56" s="668" t="str">
        <v/>
      </c>
      <c r="M56" s="668" t="str">
        <v/>
      </c>
      <c r="N56" s="669" t="str">
        <v/>
      </c>
      <c r="O56" s="670" t="str">
        <v/>
      </c>
      <c r="P56" s="667" t="str">
        <v/>
      </c>
      <c r="Q56" s="670" t="str">
        <v/>
      </c>
      <c r="R56" s="679" t="str">
        <f>IF(AND(QueryFlag="ON",NOT(ISNA(E56))),_xll.BondOutstanding(E56),"")</f>
        <v/>
      </c>
    </row>
    <row r="57" spans="5:18">
      <c r="E57" s="1006" t="s">
        <v>738</v>
      </c>
      <c r="F57" s="1002" t="str">
        <f>IF(LEN($E57)&gt;1,_xll.BondInfo($E57,$F$4),"")</f>
        <v>BTP 01-mar-26 4.5%</v>
      </c>
      <c r="G57" s="678" t="str">
        <f t="array" ref="G57:Q57">IF(AND(QueryFlag="ON",NOT(ISNA(E57))),_xll.BondInfo(E57,$G$4:$Q$4),"")</f>
        <v/>
      </c>
      <c r="H57" s="668" t="str">
        <v/>
      </c>
      <c r="I57" s="666" t="str">
        <v/>
      </c>
      <c r="J57" s="668" t="str">
        <v/>
      </c>
      <c r="K57" s="668" t="str">
        <v/>
      </c>
      <c r="L57" s="668" t="str">
        <v/>
      </c>
      <c r="M57" s="668" t="str">
        <v/>
      </c>
      <c r="N57" s="669" t="str">
        <v/>
      </c>
      <c r="O57" s="670" t="str">
        <v/>
      </c>
      <c r="P57" s="667" t="str">
        <v/>
      </c>
      <c r="Q57" s="670" t="str">
        <v/>
      </c>
      <c r="R57" s="679" t="str">
        <f>IF(AND(QueryFlag="ON",NOT(ISNA(E57))),_xll.BondOutstanding(E57),"")</f>
        <v/>
      </c>
    </row>
    <row r="58" spans="5:18">
      <c r="E58" s="1006" t="s">
        <v>824</v>
      </c>
      <c r="F58" s="1002" t="str">
        <f>IF(LEN($E58)&gt;1,_xll.BondInfo($E58,$F$4),"")</f>
        <v>BTP 01-jun-26 1.6%</v>
      </c>
      <c r="G58" s="678" t="str">
        <f t="array" ref="G58:Q58">IF(AND(QueryFlag="ON",NOT(ISNA(E58))),_xll.BondInfo(E58,$G$4:$Q$4),"")</f>
        <v/>
      </c>
      <c r="H58" s="668" t="str">
        <v/>
      </c>
      <c r="I58" s="666" t="str">
        <v/>
      </c>
      <c r="J58" s="668" t="str">
        <v/>
      </c>
      <c r="K58" s="668" t="str">
        <v/>
      </c>
      <c r="L58" s="668" t="str">
        <v/>
      </c>
      <c r="M58" s="668" t="str">
        <v/>
      </c>
      <c r="N58" s="669" t="str">
        <v/>
      </c>
      <c r="O58" s="670" t="str">
        <v/>
      </c>
      <c r="P58" s="667" t="str">
        <v/>
      </c>
      <c r="Q58" s="670" t="str">
        <v/>
      </c>
      <c r="R58" s="679" t="str">
        <f>IF(AND(QueryFlag="ON",NOT(ISNA(E58))),_xll.BondOutstanding(E58),"")</f>
        <v/>
      </c>
    </row>
    <row r="59" spans="5:18">
      <c r="E59" s="1006" t="s">
        <v>739</v>
      </c>
      <c r="F59" s="1002" t="str">
        <f>IF(LEN($E59)&gt;1,_xll.BondInfo($E59,$F$4),"")</f>
        <v>BTP 01-nov-2026 7.25%</v>
      </c>
      <c r="G59" s="678" t="str">
        <f t="array" ref="G59:Q59">IF(AND(QueryFlag="ON",NOT(ISNA(E59))),_xll.BondInfo(E59,$G$4:$Q$4),"")</f>
        <v/>
      </c>
      <c r="H59" s="668" t="str">
        <v/>
      </c>
      <c r="I59" s="666" t="str">
        <v/>
      </c>
      <c r="J59" s="668" t="str">
        <v/>
      </c>
      <c r="K59" s="668" t="str">
        <v/>
      </c>
      <c r="L59" s="668" t="str">
        <v/>
      </c>
      <c r="M59" s="668" t="str">
        <v/>
      </c>
      <c r="N59" s="669" t="str">
        <v/>
      </c>
      <c r="O59" s="670" t="str">
        <v/>
      </c>
      <c r="P59" s="667" t="str">
        <v/>
      </c>
      <c r="Q59" s="670" t="str">
        <v/>
      </c>
      <c r="R59" s="679" t="str">
        <f>IF(AND(QueryFlag="ON",NOT(ISNA(E59))),_xll.BondOutstanding(E59),"")</f>
        <v/>
      </c>
    </row>
    <row r="60" spans="5:18">
      <c r="E60" s="1006" t="s">
        <v>897</v>
      </c>
      <c r="F60" s="1002" t="str">
        <f>IF(LEN($E60)&gt;1,_xll.BondInfo($E60,$F$4),"")</f>
        <v>BTP 01-dec-26 1.25%</v>
      </c>
      <c r="G60" s="678" t="str">
        <f t="array" ref="G60:Q60">IF(AND(QueryFlag="ON",NOT(ISNA(E60))),_xll.BondInfo(E60,$G$4:$Q$4),"")</f>
        <v/>
      </c>
      <c r="H60" s="668" t="str">
        <v/>
      </c>
      <c r="I60" s="666" t="str">
        <v/>
      </c>
      <c r="J60" s="668" t="str">
        <v/>
      </c>
      <c r="K60" s="668" t="str">
        <v/>
      </c>
      <c r="L60" s="668" t="str">
        <v/>
      </c>
      <c r="M60" s="668" t="str">
        <v/>
      </c>
      <c r="N60" s="669" t="str">
        <v/>
      </c>
      <c r="O60" s="670" t="str">
        <v/>
      </c>
      <c r="P60" s="667" t="str">
        <v/>
      </c>
      <c r="Q60" s="670" t="str">
        <v/>
      </c>
      <c r="R60" s="679" t="str">
        <f>IF(AND(QueryFlag="ON",NOT(ISNA(E60))),_xll.BondOutstanding(E60),"")</f>
        <v/>
      </c>
    </row>
    <row r="61" spans="5:18">
      <c r="E61" s="1006" t="s">
        <v>925</v>
      </c>
      <c r="F61" s="1002" t="str">
        <f>IF(LEN($E61)&gt;1,_xll.BondInfo($E61,$F$4),"")</f>
        <v>BTP 01-jun-27 2.2%</v>
      </c>
      <c r="G61" s="678" t="str">
        <f t="array" ref="G61:Q61">IF(AND(QueryFlag="ON",NOT(ISNA(E61))),_xll.BondInfo(E61,$G$4:$Q$4),"")</f>
        <v/>
      </c>
      <c r="H61" s="668" t="str">
        <v/>
      </c>
      <c r="I61" s="666" t="str">
        <v/>
      </c>
      <c r="J61" s="668" t="str">
        <v/>
      </c>
      <c r="K61" s="668" t="str">
        <v/>
      </c>
      <c r="L61" s="668" t="str">
        <v/>
      </c>
      <c r="M61" s="668" t="str">
        <v/>
      </c>
      <c r="N61" s="669" t="str">
        <v/>
      </c>
      <c r="O61" s="670" t="str">
        <v/>
      </c>
      <c r="P61" s="667" t="str">
        <v/>
      </c>
      <c r="Q61" s="670" t="str">
        <v/>
      </c>
      <c r="R61" s="679" t="str">
        <f>IF(AND(QueryFlag="ON",NOT(ISNA(E61))),_xll.BondOutstanding(E61),"")</f>
        <v/>
      </c>
    </row>
    <row r="62" spans="5:18">
      <c r="E62" s="1006" t="s">
        <v>1007</v>
      </c>
      <c r="F62" s="1002" t="str">
        <f>IF(LEN($E62)&gt;1,_xll.BondInfo($E62,$F$4),"")</f>
        <v>BTP 01-aug-27 2.05%</v>
      </c>
      <c r="G62" s="678" t="str">
        <f t="array" ref="G62:Q62">IF(AND(QueryFlag="ON",NOT(ISNA(E62))),_xll.BondInfo(E62,$G$4:$Q$4),"")</f>
        <v/>
      </c>
      <c r="H62" s="668" t="str">
        <v/>
      </c>
      <c r="I62" s="666" t="str">
        <v/>
      </c>
      <c r="J62" s="668" t="str">
        <v/>
      </c>
      <c r="K62" s="668" t="str">
        <v/>
      </c>
      <c r="L62" s="668" t="str">
        <v/>
      </c>
      <c r="M62" s="668" t="str">
        <v/>
      </c>
      <c r="N62" s="669" t="str">
        <v/>
      </c>
      <c r="O62" s="670" t="str">
        <v/>
      </c>
      <c r="P62" s="667" t="str">
        <v/>
      </c>
      <c r="Q62" s="670" t="str">
        <v/>
      </c>
      <c r="R62" s="679" t="str">
        <f>IF(AND(QueryFlag="ON",NOT(ISNA(E62))),_xll.BondOutstanding(E62),"")</f>
        <v/>
      </c>
    </row>
    <row r="63" spans="5:18">
      <c r="E63" s="1006" t="s">
        <v>740</v>
      </c>
      <c r="F63" s="1002" t="str">
        <f>IF(LEN($E63)&gt;1,_xll.BondInfo($E63,$F$4),"")</f>
        <v>BTP 01-nov-2027 6.50%</v>
      </c>
      <c r="G63" s="678" t="str">
        <f t="array" ref="G63:Q63">IF(AND(QueryFlag="ON",NOT(ISNA(E63))),_xll.BondInfo(E63,$G$4:$Q$4),"")</f>
        <v/>
      </c>
      <c r="H63" s="668" t="str">
        <v/>
      </c>
      <c r="I63" s="666" t="str">
        <v/>
      </c>
      <c r="J63" s="668" t="str">
        <v/>
      </c>
      <c r="K63" s="668" t="str">
        <v/>
      </c>
      <c r="L63" s="668" t="str">
        <v/>
      </c>
      <c r="M63" s="668" t="str">
        <v/>
      </c>
      <c r="N63" s="669" t="str">
        <v/>
      </c>
      <c r="O63" s="670" t="str">
        <v/>
      </c>
      <c r="P63" s="667" t="str">
        <v/>
      </c>
      <c r="Q63" s="670" t="str">
        <v/>
      </c>
      <c r="R63" s="679" t="str">
        <f>IF(AND(QueryFlag="ON",NOT(ISNA(E63))),_xll.BondOutstanding(E63),"")</f>
        <v/>
      </c>
    </row>
    <row r="64" spans="5:18">
      <c r="E64" s="1006" t="s">
        <v>2019</v>
      </c>
      <c r="F64" s="1002" t="str">
        <f>IF(LEN($E64)&gt;1,_xll.BondInfo($E64,$F$4),"")</f>
        <v>BTP 01-feb-28 2%</v>
      </c>
      <c r="G64" s="678" t="str">
        <f t="array" ref="G64:Q64">IF(AND(QueryFlag="ON",NOT(ISNA(E64))),_xll.BondInfo(E64,$G$4:$Q$4),"")</f>
        <v/>
      </c>
      <c r="H64" s="668" t="str">
        <v/>
      </c>
      <c r="I64" s="666" t="str">
        <v/>
      </c>
      <c r="J64" s="668" t="str">
        <v/>
      </c>
      <c r="K64" s="668" t="str">
        <v/>
      </c>
      <c r="L64" s="668" t="str">
        <v/>
      </c>
      <c r="M64" s="668" t="str">
        <v/>
      </c>
      <c r="N64" s="669" t="str">
        <v/>
      </c>
      <c r="O64" s="670" t="str">
        <v/>
      </c>
      <c r="P64" s="667" t="str">
        <v/>
      </c>
      <c r="Q64" s="670" t="str">
        <v/>
      </c>
      <c r="R64" s="679" t="str">
        <f>IF(AND(QueryFlag="ON",NOT(ISNA(E64))),_xll.BondOutstanding(E64),"")</f>
        <v/>
      </c>
    </row>
    <row r="65" spans="5:18">
      <c r="E65" s="1006" t="s">
        <v>741</v>
      </c>
      <c r="F65" s="1002" t="str">
        <f>IF(LEN($E65)&gt;1,_xll.BondInfo($E65,$F$4),"")</f>
        <v>BTP 01-sep-28 4.75%</v>
      </c>
      <c r="G65" s="678" t="str">
        <f t="array" ref="G65:Q65">IF(AND(QueryFlag="ON",NOT(ISNA(E65))),_xll.BondInfo(E65,$G$4:$Q$4),"")</f>
        <v/>
      </c>
      <c r="H65" s="668" t="str">
        <v/>
      </c>
      <c r="I65" s="666" t="str">
        <v/>
      </c>
      <c r="J65" s="668" t="str">
        <v/>
      </c>
      <c r="K65" s="668" t="str">
        <v/>
      </c>
      <c r="L65" s="668" t="str">
        <v/>
      </c>
      <c r="M65" s="668" t="str">
        <v/>
      </c>
      <c r="N65" s="669" t="str">
        <v/>
      </c>
      <c r="O65" s="670" t="str">
        <v/>
      </c>
      <c r="P65" s="667" t="str">
        <v/>
      </c>
      <c r="Q65" s="670" t="str">
        <v/>
      </c>
      <c r="R65" s="679" t="str">
        <f>IF(AND(QueryFlag="ON",NOT(ISNA(E65))),_xll.BondOutstanding(E65),"")</f>
        <v/>
      </c>
    </row>
    <row r="66" spans="5:18">
      <c r="E66" s="1006" t="s">
        <v>742</v>
      </c>
      <c r="F66" s="1002" t="str">
        <f>IF(LEN($E66)&gt;1,_xll.BondInfo($E66,$F$4),"")</f>
        <v>BTP 01-nov-2029 5.25%</v>
      </c>
      <c r="G66" s="678" t="str">
        <f t="array" ref="G66:Q66">IF(AND(QueryFlag="ON",NOT(ISNA(E66))),_xll.BondInfo(E66,$G$4:$Q$4),"")</f>
        <v/>
      </c>
      <c r="H66" s="668" t="str">
        <v/>
      </c>
      <c r="I66" s="666" t="str">
        <v/>
      </c>
      <c r="J66" s="668" t="str">
        <v/>
      </c>
      <c r="K66" s="668" t="str">
        <v/>
      </c>
      <c r="L66" s="668" t="str">
        <v/>
      </c>
      <c r="M66" s="668" t="str">
        <v/>
      </c>
      <c r="N66" s="669" t="str">
        <v/>
      </c>
      <c r="O66" s="670" t="str">
        <v/>
      </c>
      <c r="P66" s="667" t="str">
        <v/>
      </c>
      <c r="Q66" s="670" t="str">
        <v/>
      </c>
      <c r="R66" s="679" t="str">
        <f>IF(AND(QueryFlag="ON",NOT(ISNA(E66))),_xll.BondOutstanding(E66),"")</f>
        <v/>
      </c>
    </row>
    <row r="67" spans="5:18">
      <c r="E67" s="1006" t="s">
        <v>431</v>
      </c>
      <c r="F67" s="1002" t="str">
        <f>IF(LEN($E67)&gt;1,_xll.BondInfo($E67,$F$4),"")</f>
        <v>BTP 01-mar-30 3.5%</v>
      </c>
      <c r="G67" s="678" t="str">
        <f t="array" ref="G67:Q67">IF(AND(QueryFlag="ON",NOT(ISNA(E67))),_xll.BondInfo(E67,$G$4:$Q$4),"")</f>
        <v/>
      </c>
      <c r="H67" s="668" t="str">
        <v/>
      </c>
      <c r="I67" s="666" t="str">
        <v/>
      </c>
      <c r="J67" s="668" t="str">
        <v/>
      </c>
      <c r="K67" s="668" t="str">
        <v/>
      </c>
      <c r="L67" s="668" t="str">
        <v/>
      </c>
      <c r="M67" s="668" t="str">
        <v/>
      </c>
      <c r="N67" s="669" t="str">
        <v/>
      </c>
      <c r="O67" s="670" t="str">
        <v/>
      </c>
      <c r="P67" s="667" t="str">
        <v/>
      </c>
      <c r="Q67" s="670" t="str">
        <v/>
      </c>
      <c r="R67" s="679" t="str">
        <f>IF(AND(QueryFlag="ON",NOT(ISNA(E67))),_xll.BondOutstanding(E67),"")</f>
        <v/>
      </c>
    </row>
    <row r="68" spans="5:18">
      <c r="E68" s="1006" t="s">
        <v>743</v>
      </c>
      <c r="F68" s="1002" t="str">
        <f>IF(LEN($E68)&gt;1,_xll.BondInfo($E68,$F$4),"")</f>
        <v>BTP 01-may-2031 6.00%</v>
      </c>
      <c r="G68" s="678" t="str">
        <f t="array" ref="G68:Q68">IF(AND(QueryFlag="ON",NOT(ISNA(E68))),_xll.BondInfo(E68,$G$4:$Q$4),"")</f>
        <v/>
      </c>
      <c r="H68" s="668" t="str">
        <v/>
      </c>
      <c r="I68" s="666" t="str">
        <v/>
      </c>
      <c r="J68" s="668" t="str">
        <v/>
      </c>
      <c r="K68" s="668" t="str">
        <v/>
      </c>
      <c r="L68" s="668" t="str">
        <v/>
      </c>
      <c r="M68" s="668" t="str">
        <v/>
      </c>
      <c r="N68" s="669" t="str">
        <v/>
      </c>
      <c r="O68" s="670" t="str">
        <v/>
      </c>
      <c r="P68" s="667" t="str">
        <v/>
      </c>
      <c r="Q68" s="670" t="str">
        <v/>
      </c>
      <c r="R68" s="679" t="str">
        <f>IF(AND(QueryFlag="ON",NOT(ISNA(E68))),_xll.BondOutstanding(E68),"")</f>
        <v/>
      </c>
    </row>
    <row r="69" spans="5:18">
      <c r="E69" s="1006" t="s">
        <v>848</v>
      </c>
      <c r="F69" s="1002" t="str">
        <f>IF(LEN($E69)&gt;1,_xll.BondInfo($E69,$F$4),"")</f>
        <v>BTP 01-mar-32 1.65%</v>
      </c>
      <c r="G69" s="678" t="str">
        <f t="array" ref="G69:Q69">IF(AND(QueryFlag="ON",NOT(ISNA(E69))),_xll.BondInfo(E69,$G$4:$Q$4),"")</f>
        <v/>
      </c>
      <c r="H69" s="668" t="str">
        <v/>
      </c>
      <c r="I69" s="666" t="str">
        <v/>
      </c>
      <c r="J69" s="668" t="str">
        <v/>
      </c>
      <c r="K69" s="668" t="str">
        <v/>
      </c>
      <c r="L69" s="668" t="str">
        <v/>
      </c>
      <c r="M69" s="668" t="str">
        <v/>
      </c>
      <c r="N69" s="669" t="str">
        <v/>
      </c>
      <c r="O69" s="670" t="str">
        <v/>
      </c>
      <c r="P69" s="667" t="str">
        <v/>
      </c>
      <c r="Q69" s="670" t="str">
        <v/>
      </c>
      <c r="R69" s="679" t="str">
        <f>IF(AND(QueryFlag="ON",NOT(ISNA(E69))),_xll.BondOutstanding(E69),"")</f>
        <v/>
      </c>
    </row>
    <row r="70" spans="5:18">
      <c r="E70" s="1006" t="s">
        <v>744</v>
      </c>
      <c r="F70" s="1002" t="str">
        <f>IF(LEN($E70)&gt;1,_xll.BondInfo($E70,$F$4),"")</f>
        <v>BTP 01-feb-33 5.75%</v>
      </c>
      <c r="G70" s="678" t="str">
        <f t="array" ref="G70:Q70">IF(AND(QueryFlag="ON",NOT(ISNA(E70))),_xll.BondInfo(E70,$G$4:$Q$4),"")</f>
        <v/>
      </c>
      <c r="H70" s="668" t="str">
        <v/>
      </c>
      <c r="I70" s="666" t="str">
        <v/>
      </c>
      <c r="J70" s="668" t="str">
        <v/>
      </c>
      <c r="K70" s="668" t="str">
        <v/>
      </c>
      <c r="L70" s="668" t="str">
        <v/>
      </c>
      <c r="M70" s="668" t="str">
        <v/>
      </c>
      <c r="N70" s="669" t="str">
        <v/>
      </c>
      <c r="O70" s="670" t="str">
        <v/>
      </c>
      <c r="P70" s="667" t="str">
        <v/>
      </c>
      <c r="Q70" s="670" t="str">
        <v/>
      </c>
      <c r="R70" s="679" t="str">
        <f>IF(AND(QueryFlag="ON",NOT(ISNA(E70))),_xll.BondOutstanding(E70),"")</f>
        <v/>
      </c>
    </row>
    <row r="71" spans="5:18">
      <c r="E71" s="1006" t="s">
        <v>970</v>
      </c>
      <c r="F71" s="1002" t="str">
        <f>IF(LEN($E71)&gt;1,_xll.BondInfo($E71,$F$4),"")</f>
        <v>BTP 01-sep-33 2.45%</v>
      </c>
      <c r="G71" s="678" t="str">
        <f t="array" ref="G71:Q71">IF(AND(QueryFlag="ON",NOT(ISNA(E71))),_xll.BondInfo(E71,$G$4:$Q$4),"")</f>
        <v/>
      </c>
      <c r="H71" s="668" t="str">
        <v/>
      </c>
      <c r="I71" s="666" t="str">
        <v/>
      </c>
      <c r="J71" s="668" t="str">
        <v/>
      </c>
      <c r="K71" s="668" t="str">
        <v/>
      </c>
      <c r="L71" s="668" t="str">
        <v/>
      </c>
      <c r="M71" s="668" t="str">
        <v/>
      </c>
      <c r="N71" s="669" t="str">
        <v/>
      </c>
      <c r="O71" s="670" t="str">
        <v/>
      </c>
      <c r="P71" s="667" t="str">
        <v/>
      </c>
      <c r="Q71" s="670" t="str">
        <v/>
      </c>
      <c r="R71" s="679" t="str">
        <f>IF(AND(QueryFlag="ON",NOT(ISNA(E71))),_xll.BondOutstanding(E71),"")</f>
        <v/>
      </c>
    </row>
    <row r="72" spans="5:18">
      <c r="E72" s="1006" t="s">
        <v>745</v>
      </c>
      <c r="F72" s="1002" t="str">
        <f>IF(LEN($E72)&gt;1,_xll.BondInfo($E72,$F$4),"")</f>
        <v>BTP 01-aug-34 5%</v>
      </c>
      <c r="G72" s="678" t="str">
        <f t="array" ref="G72:Q72">IF(AND(QueryFlag="ON",NOT(ISNA(E72))),_xll.BondInfo(E72,$G$4:$Q$4),"")</f>
        <v/>
      </c>
      <c r="H72" s="668" t="str">
        <v/>
      </c>
      <c r="I72" s="666" t="str">
        <v/>
      </c>
      <c r="J72" s="668" t="str">
        <v/>
      </c>
      <c r="K72" s="668" t="str">
        <v/>
      </c>
      <c r="L72" s="668" t="str">
        <v/>
      </c>
      <c r="M72" s="668" t="str">
        <v/>
      </c>
      <c r="N72" s="669" t="str">
        <v/>
      </c>
      <c r="O72" s="670" t="str">
        <v/>
      </c>
      <c r="P72" s="667" t="str">
        <v/>
      </c>
      <c r="Q72" s="670" t="str">
        <v/>
      </c>
      <c r="R72" s="679" t="str">
        <f>IF(AND(QueryFlag="ON",NOT(ISNA(E72))),_xll.BondOutstanding(E72),"")</f>
        <v/>
      </c>
    </row>
    <row r="73" spans="5:18">
      <c r="E73" s="1006" t="s">
        <v>893</v>
      </c>
      <c r="F73" s="1002" t="str">
        <f>IF(LEN($E73)&gt;1,_xll.BondInfo($E73,$F$4),"")</f>
        <v>BTP 01-sep-36 2.25%</v>
      </c>
      <c r="G73" s="678" t="str">
        <f t="array" ref="G73:Q73">IF(AND(QueryFlag="ON",NOT(ISNA(E73))),_xll.BondInfo(E73,$G$4:$Q$4),"")</f>
        <v/>
      </c>
      <c r="H73" s="668" t="str">
        <v/>
      </c>
      <c r="I73" s="666" t="str">
        <v/>
      </c>
      <c r="J73" s="668" t="str">
        <v/>
      </c>
      <c r="K73" s="668" t="str">
        <v/>
      </c>
      <c r="L73" s="668" t="str">
        <v/>
      </c>
      <c r="M73" s="668" t="str">
        <v/>
      </c>
      <c r="N73" s="669" t="str">
        <v/>
      </c>
      <c r="O73" s="670" t="str">
        <v/>
      </c>
      <c r="P73" s="667" t="str">
        <v/>
      </c>
      <c r="Q73" s="670" t="str">
        <v/>
      </c>
      <c r="R73" s="679" t="str">
        <f>IF(AND(QueryFlag="ON",NOT(ISNA(E73))),_xll.BondOutstanding(E73),"")</f>
        <v/>
      </c>
    </row>
    <row r="74" spans="5:18">
      <c r="E74" s="1006" t="s">
        <v>746</v>
      </c>
      <c r="F74" s="1002" t="str">
        <f>IF(LEN($E74)&gt;1,_xll.BondInfo($E74,$F$4),"")</f>
        <v>BTP 01-feb-37 4%</v>
      </c>
      <c r="G74" s="678" t="str">
        <f t="array" ref="G74:Q74">IF(AND(QueryFlag="ON",NOT(ISNA(E74))),_xll.BondInfo(E74,$G$4:$Q$4),"")</f>
        <v/>
      </c>
      <c r="H74" s="668" t="str">
        <v/>
      </c>
      <c r="I74" s="666" t="str">
        <v/>
      </c>
      <c r="J74" s="668" t="str">
        <v/>
      </c>
      <c r="K74" s="668" t="str">
        <v/>
      </c>
      <c r="L74" s="668" t="str">
        <v/>
      </c>
      <c r="M74" s="668" t="str">
        <v/>
      </c>
      <c r="N74" s="669" t="str">
        <v/>
      </c>
      <c r="O74" s="670" t="str">
        <v/>
      </c>
      <c r="P74" s="667" t="str">
        <v/>
      </c>
      <c r="Q74" s="670" t="str">
        <v/>
      </c>
      <c r="R74" s="679" t="str">
        <f>IF(AND(QueryFlag="ON",NOT(ISNA(E74))),_xll.BondOutstanding(E74),"")</f>
        <v/>
      </c>
    </row>
    <row r="75" spans="5:18">
      <c r="E75" s="1006" t="s">
        <v>2010</v>
      </c>
      <c r="F75" s="1002" t="str">
        <f>IF(LEN($E75)&gt;1,_xll.BondInfo($E75,$F$4),"")</f>
        <v>BTP 01-sep-38 2.95%</v>
      </c>
      <c r="G75" s="678" t="str">
        <f t="array" ref="G75:Q75">IF(AND(QueryFlag="ON",NOT(ISNA(E75))),_xll.BondInfo(E75,$G$4:$Q$4),"")</f>
        <v/>
      </c>
      <c r="H75" s="668" t="str">
        <v/>
      </c>
      <c r="I75" s="666" t="str">
        <v/>
      </c>
      <c r="J75" s="668" t="str">
        <v/>
      </c>
      <c r="K75" s="668" t="str">
        <v/>
      </c>
      <c r="L75" s="668" t="str">
        <v/>
      </c>
      <c r="M75" s="668" t="str">
        <v/>
      </c>
      <c r="N75" s="669" t="str">
        <v/>
      </c>
      <c r="O75" s="670" t="str">
        <v/>
      </c>
      <c r="P75" s="667" t="str">
        <v/>
      </c>
      <c r="Q75" s="670" t="str">
        <v/>
      </c>
      <c r="R75" s="679" t="str">
        <f>IF(AND(QueryFlag="ON",NOT(ISNA(E75))),_xll.BondOutstanding(E75),"")</f>
        <v/>
      </c>
    </row>
    <row r="76" spans="5:18">
      <c r="E76" s="1006" t="s">
        <v>747</v>
      </c>
      <c r="F76" s="1002" t="str">
        <f>IF(LEN($E76)&gt;1,_xll.BondInfo($E76,$F$4),"")</f>
        <v>BTP 01-aug-39 5%</v>
      </c>
      <c r="G76" s="678" t="str">
        <f t="array" ref="G76:Q76">IF(AND(QueryFlag="ON",NOT(ISNA(E76))),_xll.BondInfo(E76,$G$4:$Q$4),"")</f>
        <v/>
      </c>
      <c r="H76" s="668" t="str">
        <v/>
      </c>
      <c r="I76" s="666" t="str">
        <v/>
      </c>
      <c r="J76" s="668" t="str">
        <v/>
      </c>
      <c r="K76" s="668" t="str">
        <v/>
      </c>
      <c r="L76" s="668" t="str">
        <v/>
      </c>
      <c r="M76" s="668" t="str">
        <v/>
      </c>
      <c r="N76" s="669" t="str">
        <v/>
      </c>
      <c r="O76" s="670" t="str">
        <v/>
      </c>
      <c r="P76" s="667" t="str">
        <v/>
      </c>
      <c r="Q76" s="670" t="str">
        <v/>
      </c>
      <c r="R76" s="679" t="str">
        <f>IF(AND(QueryFlag="ON",NOT(ISNA(E76))),_xll.BondOutstanding(E76),"")</f>
        <v/>
      </c>
    </row>
    <row r="77" spans="5:18">
      <c r="E77" s="1006" t="s">
        <v>748</v>
      </c>
      <c r="F77" s="1002" t="str">
        <f>IF(LEN($E77)&gt;1,_xll.BondInfo($E77,$F$4),"")</f>
        <v>BTP 01-sep-40 5%</v>
      </c>
      <c r="G77" s="678" t="str">
        <f t="array" ref="G77:Q77">IF(AND(QueryFlag="ON",NOT(ISNA(E77))),_xll.BondInfo(E77,$G$4:$Q$4),"")</f>
        <v/>
      </c>
      <c r="H77" s="668" t="str">
        <v/>
      </c>
      <c r="I77" s="666" t="str">
        <v/>
      </c>
      <c r="J77" s="668" t="str">
        <v/>
      </c>
      <c r="K77" s="668" t="str">
        <v/>
      </c>
      <c r="L77" s="668" t="str">
        <v/>
      </c>
      <c r="M77" s="668" t="str">
        <v/>
      </c>
      <c r="N77" s="669" t="str">
        <v/>
      </c>
      <c r="O77" s="670" t="str">
        <v/>
      </c>
      <c r="P77" s="667" t="str">
        <v/>
      </c>
      <c r="Q77" s="670" t="str">
        <v/>
      </c>
      <c r="R77" s="679" t="str">
        <f>IF(AND(QueryFlag="ON",NOT(ISNA(E77))),_xll.BondOutstanding(E77),"")</f>
        <v/>
      </c>
    </row>
    <row r="78" spans="5:18">
      <c r="E78" s="1006" t="s">
        <v>749</v>
      </c>
      <c r="F78" s="1002" t="str">
        <f>IF(LEN($E78)&gt;1,_xll.BondInfo($E78,$F$4),"")</f>
        <v>BTP 01-sep-44 4.75%</v>
      </c>
      <c r="G78" s="678" t="str">
        <f t="array" ref="G78:Q78">IF(AND(QueryFlag="ON",NOT(ISNA(E78))),_xll.BondInfo(E78,$G$4:$Q$4),"")</f>
        <v/>
      </c>
      <c r="H78" s="668" t="str">
        <v/>
      </c>
      <c r="I78" s="666" t="str">
        <v/>
      </c>
      <c r="J78" s="668" t="str">
        <v/>
      </c>
      <c r="K78" s="668" t="str">
        <v/>
      </c>
      <c r="L78" s="668" t="str">
        <v/>
      </c>
      <c r="M78" s="668" t="str">
        <v/>
      </c>
      <c r="N78" s="669" t="str">
        <v/>
      </c>
      <c r="O78" s="670" t="str">
        <v/>
      </c>
      <c r="P78" s="667" t="str">
        <v/>
      </c>
      <c r="Q78" s="670" t="str">
        <v/>
      </c>
      <c r="R78" s="679" t="str">
        <f>IF(AND(QueryFlag="ON",NOT(ISNA(E78))),_xll.BondOutstanding(E78),"")</f>
        <v/>
      </c>
    </row>
    <row r="79" spans="5:18">
      <c r="E79" s="1006" t="s">
        <v>615</v>
      </c>
      <c r="F79" s="1002" t="str">
        <f>IF(LEN($E79)&gt;1,_xll.BondInfo($E79,$F$4),"")</f>
        <v>BTP 01-sep-46 3.25%</v>
      </c>
      <c r="G79" s="678" t="str">
        <f t="array" ref="G79:Q79">IF(AND(QueryFlag="ON",NOT(ISNA(E79))),_xll.BondInfo(E79,$G$4:$Q$4),"")</f>
        <v/>
      </c>
      <c r="H79" s="668" t="str">
        <v/>
      </c>
      <c r="I79" s="666" t="str">
        <v/>
      </c>
      <c r="J79" s="668" t="str">
        <v/>
      </c>
      <c r="K79" s="668" t="str">
        <v/>
      </c>
      <c r="L79" s="668" t="str">
        <v/>
      </c>
      <c r="M79" s="668" t="str">
        <v/>
      </c>
      <c r="N79" s="669" t="str">
        <v/>
      </c>
      <c r="O79" s="670" t="str">
        <v/>
      </c>
      <c r="P79" s="667" t="str">
        <v/>
      </c>
      <c r="Q79" s="670" t="str">
        <v/>
      </c>
      <c r="R79" s="679" t="str">
        <f>IF(AND(QueryFlag="ON",NOT(ISNA(E79))),_xll.BondOutstanding(E79),"")</f>
        <v/>
      </c>
    </row>
    <row r="80" spans="5:18">
      <c r="E80" s="1006" t="s">
        <v>822</v>
      </c>
      <c r="F80" s="1002" t="str">
        <f>IF(LEN($E80)&gt;1,_xll.BondInfo($E80,$F$4),"")</f>
        <v>BTP 01-mar-47 2.7%</v>
      </c>
      <c r="G80" s="678" t="str">
        <f t="array" ref="G80:Q80">IF(AND(QueryFlag="ON",NOT(ISNA(E80))),_xll.BondInfo(E80,$G$4:$Q$4),"")</f>
        <v/>
      </c>
      <c r="H80" s="668" t="str">
        <v/>
      </c>
      <c r="I80" s="666" t="str">
        <v/>
      </c>
      <c r="J80" s="668" t="str">
        <v/>
      </c>
      <c r="K80" s="668" t="str">
        <v/>
      </c>
      <c r="L80" s="668" t="str">
        <v/>
      </c>
      <c r="M80" s="668" t="str">
        <v/>
      </c>
      <c r="N80" s="669" t="str">
        <v/>
      </c>
      <c r="O80" s="670" t="str">
        <v/>
      </c>
      <c r="P80" s="667" t="str">
        <v/>
      </c>
      <c r="Q80" s="670" t="str">
        <v/>
      </c>
      <c r="R80" s="679" t="str">
        <f>IF(AND(QueryFlag="ON",NOT(ISNA(E80))),_xll.BondOutstanding(E80),"")</f>
        <v/>
      </c>
    </row>
    <row r="81" spans="5:18">
      <c r="E81" s="1006" t="s">
        <v>1657</v>
      </c>
      <c r="F81" s="1002" t="str">
        <f>IF(LEN($E81)&gt;1,_xll.BondInfo($E81,$F$4),"")</f>
        <v>BTP 01-mar-48 3.45%</v>
      </c>
      <c r="G81" s="678" t="str">
        <f t="array" ref="G81:Q81">IF(AND(QueryFlag="ON",NOT(ISNA(E81))),_xll.BondInfo(E81,$G$4:$Q$4),"")</f>
        <v/>
      </c>
      <c r="H81" s="668" t="str">
        <v/>
      </c>
      <c r="I81" s="666" t="str">
        <v/>
      </c>
      <c r="J81" s="668" t="str">
        <v/>
      </c>
      <c r="K81" s="668" t="str">
        <v/>
      </c>
      <c r="L81" s="668" t="str">
        <v/>
      </c>
      <c r="M81" s="668" t="str">
        <v/>
      </c>
      <c r="N81" s="669" t="str">
        <v/>
      </c>
      <c r="O81" s="670" t="str">
        <v/>
      </c>
      <c r="P81" s="667" t="str">
        <v/>
      </c>
      <c r="Q81" s="670" t="str">
        <v/>
      </c>
      <c r="R81" s="679" t="str">
        <f>IF(AND(QueryFlag="ON",NOT(ISNA(E81))),_xll.BondOutstanding(E81),"")</f>
        <v/>
      </c>
    </row>
    <row r="82" spans="5:18">
      <c r="E82" s="1006" t="s">
        <v>1006</v>
      </c>
      <c r="F82" s="1002" t="str">
        <f>IF(LEN($E82)&gt;1,_xll.BondInfo($E82,$F$4),"")</f>
        <v>BTP 01-mar-67 2.8%</v>
      </c>
      <c r="G82" s="678" t="str">
        <f t="array" ref="G82:Q82">IF(AND(QueryFlag="ON",NOT(ISNA(E82))),_xll.BondInfo(E82,$G$4:$Q$4),"")</f>
        <v/>
      </c>
      <c r="H82" s="668" t="str">
        <v/>
      </c>
      <c r="I82" s="666" t="str">
        <v/>
      </c>
      <c r="J82" s="668" t="str">
        <v/>
      </c>
      <c r="K82" s="668" t="str">
        <v/>
      </c>
      <c r="L82" s="668" t="str">
        <v/>
      </c>
      <c r="M82" s="668" t="str">
        <v/>
      </c>
      <c r="N82" s="669" t="str">
        <v/>
      </c>
      <c r="O82" s="670" t="str">
        <v/>
      </c>
      <c r="P82" s="667" t="str">
        <v/>
      </c>
      <c r="Q82" s="670" t="str">
        <v/>
      </c>
      <c r="R82" s="679" t="str">
        <f>IF(AND(QueryFlag="ON",NOT(ISNA(E82))),_xll.BondOutstanding(E82),"")</f>
        <v/>
      </c>
    </row>
    <row r="83" spans="5:18">
      <c r="E83" s="1006" t="s">
        <v>842</v>
      </c>
      <c r="F83" s="1002" t="str">
        <f>IF(LEN($E83)&gt;1,_xll.BondInfo($E83,$F$4),"")</f>
        <v/>
      </c>
      <c r="G83" s="678" t="str">
        <f t="array" ref="G83:Q83">IF(AND(QueryFlag="ON",NOT(ISNA(E83))),_xll.BondInfo(E83,$G$4:$Q$4),"")</f>
        <v/>
      </c>
      <c r="H83" s="668" t="str">
        <v/>
      </c>
      <c r="I83" s="666" t="str">
        <v/>
      </c>
      <c r="J83" s="668" t="str">
        <v/>
      </c>
      <c r="K83" s="668" t="str">
        <v/>
      </c>
      <c r="L83" s="668" t="str">
        <v/>
      </c>
      <c r="M83" s="668" t="str">
        <v/>
      </c>
      <c r="N83" s="669" t="str">
        <v/>
      </c>
      <c r="O83" s="670" t="str">
        <v/>
      </c>
      <c r="P83" s="667" t="str">
        <v/>
      </c>
      <c r="Q83" s="670" t="str">
        <v/>
      </c>
      <c r="R83" s="679" t="str">
        <f>IF(AND(QueryFlag="ON",NOT(ISNA(E83))),_xll.BondOutstanding(E83),"")</f>
        <v/>
      </c>
    </row>
    <row r="84" spans="5:18">
      <c r="E84" s="1006" t="s">
        <v>827</v>
      </c>
      <c r="F84" s="1002" t="str">
        <f>IF(LEN($E84)&gt;1,_xll.BondInfo($E84,$F$4),"")</f>
        <v/>
      </c>
      <c r="G84" s="678" t="str">
        <f t="array" ref="G84:Q84">IF(AND(QueryFlag="ON",NOT(ISNA(E84))),_xll.BondInfo(E84,$G$4:$Q$4),"")</f>
        <v/>
      </c>
      <c r="H84" s="668" t="str">
        <v/>
      </c>
      <c r="I84" s="666" t="str">
        <v/>
      </c>
      <c r="J84" s="668" t="str">
        <v/>
      </c>
      <c r="K84" s="668" t="str">
        <v/>
      </c>
      <c r="L84" s="668" t="str">
        <v/>
      </c>
      <c r="M84" s="668" t="str">
        <v/>
      </c>
      <c r="N84" s="669" t="str">
        <v/>
      </c>
      <c r="O84" s="670" t="str">
        <v/>
      </c>
      <c r="P84" s="667" t="str">
        <v/>
      </c>
      <c r="Q84" s="670" t="str">
        <v/>
      </c>
      <c r="R84" s="679" t="str">
        <f>IF(AND(QueryFlag="ON",NOT(ISNA(E84))),_xll.BondOutstanding(E84),"")</f>
        <v/>
      </c>
    </row>
    <row r="85" spans="5:18">
      <c r="E85" s="1006" t="s">
        <v>834</v>
      </c>
      <c r="F85" s="1002" t="str">
        <f>IF(LEN($E85)&gt;1,_xll.BondInfo($E85,$F$4),"")</f>
        <v/>
      </c>
      <c r="G85" s="678" t="str">
        <f t="array" ref="G85:Q85">IF(AND(QueryFlag="ON",NOT(ISNA(E85))),_xll.BondInfo(E85,$G$4:$Q$4),"")</f>
        <v/>
      </c>
      <c r="H85" s="668" t="str">
        <v/>
      </c>
      <c r="I85" s="666" t="str">
        <v/>
      </c>
      <c r="J85" s="668" t="str">
        <v/>
      </c>
      <c r="K85" s="668" t="str">
        <v/>
      </c>
      <c r="L85" s="668" t="str">
        <v/>
      </c>
      <c r="M85" s="668" t="str">
        <v/>
      </c>
      <c r="N85" s="669" t="str">
        <v/>
      </c>
      <c r="O85" s="670" t="str">
        <v/>
      </c>
      <c r="P85" s="667" t="str">
        <v/>
      </c>
      <c r="Q85" s="670" t="str">
        <v/>
      </c>
      <c r="R85" s="679" t="str">
        <f>IF(AND(QueryFlag="ON",NOT(ISNA(E85))),_xll.BondOutstanding(E85),"")</f>
        <v/>
      </c>
    </row>
    <row r="86" spans="5:18">
      <c r="E86" s="1006" t="s">
        <v>852</v>
      </c>
      <c r="F86" s="1002" t="str">
        <f>IF(LEN($E86)&gt;1,_xll.BondInfo($E86,$F$4),"")</f>
        <v/>
      </c>
      <c r="G86" s="678" t="str">
        <f t="array" ref="G86:Q86">IF(AND(QueryFlag="ON",NOT(ISNA(E86))),_xll.BondInfo(E86,$G$4:$Q$4),"")</f>
        <v/>
      </c>
      <c r="H86" s="668" t="str">
        <v/>
      </c>
      <c r="I86" s="666" t="str">
        <v/>
      </c>
      <c r="J86" s="668" t="str">
        <v/>
      </c>
      <c r="K86" s="668" t="str">
        <v/>
      </c>
      <c r="L86" s="668" t="str">
        <v/>
      </c>
      <c r="M86" s="668" t="str">
        <v/>
      </c>
      <c r="N86" s="669" t="str">
        <v/>
      </c>
      <c r="O86" s="670" t="str">
        <v/>
      </c>
      <c r="P86" s="667" t="str">
        <v/>
      </c>
      <c r="Q86" s="670" t="str">
        <v/>
      </c>
      <c r="R86" s="679" t="str">
        <f>IF(AND(QueryFlag="ON",NOT(ISNA(E86))),_xll.BondOutstanding(E86),"")</f>
        <v/>
      </c>
    </row>
    <row r="87" spans="5:18">
      <c r="E87" s="1006" t="s">
        <v>836</v>
      </c>
      <c r="F87" s="1002" t="str">
        <f>IF(LEN($E87)&gt;1,_xll.BondInfo($E87,$F$4),"")</f>
        <v/>
      </c>
      <c r="G87" s="678" t="str">
        <f t="array" ref="G87:Q87">IF(AND(QueryFlag="ON",NOT(ISNA(E87))),_xll.BondInfo(E87,$G$4:$Q$4),"")</f>
        <v/>
      </c>
      <c r="H87" s="668" t="str">
        <v/>
      </c>
      <c r="I87" s="666" t="str">
        <v/>
      </c>
      <c r="J87" s="668" t="str">
        <v/>
      </c>
      <c r="K87" s="668" t="str">
        <v/>
      </c>
      <c r="L87" s="668" t="str">
        <v/>
      </c>
      <c r="M87" s="668" t="str">
        <v/>
      </c>
      <c r="N87" s="669" t="str">
        <v/>
      </c>
      <c r="O87" s="670" t="str">
        <v/>
      </c>
      <c r="P87" s="667" t="str">
        <v/>
      </c>
      <c r="Q87" s="670" t="str">
        <v/>
      </c>
      <c r="R87" s="679" t="str">
        <f>IF(AND(QueryFlag="ON",NOT(ISNA(E87))),_xll.BondOutstanding(E87),"")</f>
        <v/>
      </c>
    </row>
    <row r="88" spans="5:18">
      <c r="E88" s="1006" t="s">
        <v>853</v>
      </c>
      <c r="F88" s="1002" t="str">
        <f>IF(LEN($E88)&gt;1,_xll.BondInfo($E88,$F$4),"")</f>
        <v/>
      </c>
      <c r="G88" s="678" t="str">
        <f t="array" ref="G88:Q88">IF(AND(QueryFlag="ON",NOT(ISNA(E88))),_xll.BondInfo(E88,$G$4:$Q$4),"")</f>
        <v/>
      </c>
      <c r="H88" s="668" t="str">
        <v/>
      </c>
      <c r="I88" s="666" t="str">
        <v/>
      </c>
      <c r="J88" s="668" t="str">
        <v/>
      </c>
      <c r="K88" s="668" t="str">
        <v/>
      </c>
      <c r="L88" s="668" t="str">
        <v/>
      </c>
      <c r="M88" s="668" t="str">
        <v/>
      </c>
      <c r="N88" s="669" t="str">
        <v/>
      </c>
      <c r="O88" s="670" t="str">
        <v/>
      </c>
      <c r="P88" s="667" t="str">
        <v/>
      </c>
      <c r="Q88" s="670" t="str">
        <v/>
      </c>
      <c r="R88" s="679" t="str">
        <f>IF(AND(QueryFlag="ON",NOT(ISNA(E88))),_xll.BondOutstanding(E88),"")</f>
        <v/>
      </c>
    </row>
    <row r="89" spans="5:18">
      <c r="E89" s="1006" t="s">
        <v>828</v>
      </c>
      <c r="F89" s="1002" t="str">
        <f>IF(LEN($E89)&gt;1,_xll.BondInfo($E89,$F$4),"")</f>
        <v/>
      </c>
      <c r="G89" s="678" t="str">
        <f t="array" ref="G89:Q89">IF(AND(QueryFlag="ON",NOT(ISNA(E89))),_xll.BondInfo(E89,$G$4:$Q$4),"")</f>
        <v/>
      </c>
      <c r="H89" s="668" t="str">
        <v/>
      </c>
      <c r="I89" s="666" t="str">
        <v/>
      </c>
      <c r="J89" s="668" t="str">
        <v/>
      </c>
      <c r="K89" s="668" t="str">
        <v/>
      </c>
      <c r="L89" s="668" t="str">
        <v/>
      </c>
      <c r="M89" s="668" t="str">
        <v/>
      </c>
      <c r="N89" s="669" t="str">
        <v/>
      </c>
      <c r="O89" s="670" t="str">
        <v/>
      </c>
      <c r="P89" s="667" t="str">
        <v/>
      </c>
      <c r="Q89" s="670" t="str">
        <v/>
      </c>
      <c r="R89" s="679" t="str">
        <f>IF(AND(QueryFlag="ON",NOT(ISNA(E89))),_xll.BondOutstanding(E89),"")</f>
        <v/>
      </c>
    </row>
    <row r="90" spans="5:18">
      <c r="E90" s="1006" t="s">
        <v>838</v>
      </c>
      <c r="F90" s="1002" t="str">
        <f>IF(LEN($E90)&gt;1,_xll.BondInfo($E90,$F$4),"")</f>
        <v/>
      </c>
      <c r="G90" s="678" t="str">
        <f t="array" ref="G90:Q90">IF(AND(QueryFlag="ON",NOT(ISNA(E90))),_xll.BondInfo(E90,$G$4:$Q$4),"")</f>
        <v/>
      </c>
      <c r="H90" s="668" t="str">
        <v/>
      </c>
      <c r="I90" s="666" t="str">
        <v/>
      </c>
      <c r="J90" s="668" t="str">
        <v/>
      </c>
      <c r="K90" s="668" t="str">
        <v/>
      </c>
      <c r="L90" s="668" t="str">
        <v/>
      </c>
      <c r="M90" s="668" t="str">
        <v/>
      </c>
      <c r="N90" s="669" t="str">
        <v/>
      </c>
      <c r="O90" s="670" t="str">
        <v/>
      </c>
      <c r="P90" s="667" t="str">
        <v/>
      </c>
      <c r="Q90" s="670" t="str">
        <v/>
      </c>
      <c r="R90" s="679" t="str">
        <f>IF(AND(QueryFlag="ON",NOT(ISNA(E90))),_xll.BondOutstanding(E90),"")</f>
        <v/>
      </c>
    </row>
    <row r="91" spans="5:18">
      <c r="E91" s="1006" t="s">
        <v>829</v>
      </c>
      <c r="F91" s="1002" t="str">
        <f>IF(LEN($E91)&gt;1,_xll.BondInfo($E91,$F$4),"")</f>
        <v/>
      </c>
      <c r="G91" s="678" t="str">
        <f t="array" ref="G91:Q91">IF(AND(QueryFlag="ON",NOT(ISNA(E91))),_xll.BondInfo(E91,$G$4:$Q$4),"")</f>
        <v/>
      </c>
      <c r="H91" s="668" t="str">
        <v/>
      </c>
      <c r="I91" s="666" t="str">
        <v/>
      </c>
      <c r="J91" s="668" t="str">
        <v/>
      </c>
      <c r="K91" s="668" t="str">
        <v/>
      </c>
      <c r="L91" s="668" t="str">
        <v/>
      </c>
      <c r="M91" s="668" t="str">
        <v/>
      </c>
      <c r="N91" s="669" t="str">
        <v/>
      </c>
      <c r="O91" s="670" t="str">
        <v/>
      </c>
      <c r="P91" s="667" t="str">
        <v/>
      </c>
      <c r="Q91" s="670" t="str">
        <v/>
      </c>
      <c r="R91" s="679" t="str">
        <f>IF(AND(QueryFlag="ON",NOT(ISNA(E91))),_xll.BondOutstanding(E91),"")</f>
        <v/>
      </c>
    </row>
    <row r="92" spans="5:18">
      <c r="E92" s="1006" t="s">
        <v>843</v>
      </c>
      <c r="F92" s="1002" t="str">
        <f>IF(LEN($E92)&gt;1,_xll.BondInfo($E92,$F$4),"")</f>
        <v/>
      </c>
      <c r="G92" s="678" t="str">
        <f t="array" ref="G92:Q92">IF(AND(QueryFlag="ON",NOT(ISNA(E92))),_xll.BondInfo(E92,$G$4:$Q$4),"")</f>
        <v/>
      </c>
      <c r="H92" s="668" t="str">
        <v/>
      </c>
      <c r="I92" s="666" t="str">
        <v/>
      </c>
      <c r="J92" s="668" t="str">
        <v/>
      </c>
      <c r="K92" s="668" t="str">
        <v/>
      </c>
      <c r="L92" s="668" t="str">
        <v/>
      </c>
      <c r="M92" s="668" t="str">
        <v/>
      </c>
      <c r="N92" s="669" t="str">
        <v/>
      </c>
      <c r="O92" s="670" t="str">
        <v/>
      </c>
      <c r="P92" s="667" t="str">
        <v/>
      </c>
      <c r="Q92" s="670" t="str">
        <v/>
      </c>
      <c r="R92" s="679" t="str">
        <f>IF(AND(QueryFlag="ON",NOT(ISNA(E92))),_xll.BondOutstanding(E92),"")</f>
        <v/>
      </c>
    </row>
    <row r="93" spans="5:18">
      <c r="E93" s="1006" t="s">
        <v>854</v>
      </c>
      <c r="F93" s="1002" t="str">
        <f>IF(LEN($E93)&gt;1,_xll.BondInfo($E93,$F$4),"")</f>
        <v/>
      </c>
      <c r="G93" s="678" t="str">
        <f t="array" ref="G93:Q93">IF(AND(QueryFlag="ON",NOT(ISNA(E93))),_xll.BondInfo(E93,$G$4:$Q$4),"")</f>
        <v/>
      </c>
      <c r="H93" s="668" t="str">
        <v/>
      </c>
      <c r="I93" s="666" t="str">
        <v/>
      </c>
      <c r="J93" s="668" t="str">
        <v/>
      </c>
      <c r="K93" s="668" t="str">
        <v/>
      </c>
      <c r="L93" s="668" t="str">
        <v/>
      </c>
      <c r="M93" s="668" t="str">
        <v/>
      </c>
      <c r="N93" s="669" t="str">
        <v/>
      </c>
      <c r="O93" s="670" t="str">
        <v/>
      </c>
      <c r="P93" s="667" t="str">
        <v/>
      </c>
      <c r="Q93" s="670" t="str">
        <v/>
      </c>
      <c r="R93" s="679" t="str">
        <f>IF(AND(QueryFlag="ON",NOT(ISNA(E93))),_xll.BondOutstanding(E93),"")</f>
        <v/>
      </c>
    </row>
    <row r="94" spans="5:18">
      <c r="E94" s="1006" t="s">
        <v>1658</v>
      </c>
      <c r="F94" s="1002" t="str">
        <f>IF(LEN($E94)&gt;1,_xll.BondInfo($E94,$F$4),"")</f>
        <v/>
      </c>
      <c r="G94" s="678" t="str">
        <f t="array" ref="G94:Q94">IF(AND(QueryFlag="ON",NOT(ISNA(E94))),_xll.BondInfo(E94,$G$4:$Q$4),"")</f>
        <v/>
      </c>
      <c r="H94" s="668" t="str">
        <v/>
      </c>
      <c r="I94" s="666" t="str">
        <v/>
      </c>
      <c r="J94" s="668" t="str">
        <v/>
      </c>
      <c r="K94" s="668" t="str">
        <v/>
      </c>
      <c r="L94" s="668" t="str">
        <v/>
      </c>
      <c r="M94" s="668" t="str">
        <v/>
      </c>
      <c r="N94" s="669" t="str">
        <v/>
      </c>
      <c r="O94" s="670" t="str">
        <v/>
      </c>
      <c r="P94" s="667" t="str">
        <v/>
      </c>
      <c r="Q94" s="670" t="str">
        <v/>
      </c>
      <c r="R94" s="679" t="str">
        <f>IF(AND(QueryFlag="ON",NOT(ISNA(E94))),_xll.BondOutstanding(E94),"")</f>
        <v/>
      </c>
    </row>
    <row r="95" spans="5:18">
      <c r="E95" s="1006" t="s">
        <v>830</v>
      </c>
      <c r="F95" s="1002" t="str">
        <f>IF(LEN($E95)&gt;1,_xll.BondInfo($E95,$F$4),"")</f>
        <v/>
      </c>
      <c r="G95" s="678" t="str">
        <f t="array" ref="G95:Q95">IF(AND(QueryFlag="ON",NOT(ISNA(E95))),_xll.BondInfo(E95,$G$4:$Q$4),"")</f>
        <v/>
      </c>
      <c r="H95" s="668" t="str">
        <v/>
      </c>
      <c r="I95" s="666" t="str">
        <v/>
      </c>
      <c r="J95" s="668" t="str">
        <v/>
      </c>
      <c r="K95" s="668" t="str">
        <v/>
      </c>
      <c r="L95" s="668" t="str">
        <v/>
      </c>
      <c r="M95" s="668" t="str">
        <v/>
      </c>
      <c r="N95" s="669" t="str">
        <v/>
      </c>
      <c r="O95" s="670" t="str">
        <v/>
      </c>
      <c r="P95" s="667" t="str">
        <v/>
      </c>
      <c r="Q95" s="670" t="str">
        <v/>
      </c>
      <c r="R95" s="679" t="str">
        <f>IF(AND(QueryFlag="ON",NOT(ISNA(E95))),_xll.BondOutstanding(E95),"")</f>
        <v/>
      </c>
    </row>
    <row r="96" spans="5:18">
      <c r="E96" s="1006" t="s">
        <v>855</v>
      </c>
      <c r="F96" s="1002" t="str">
        <f>IF(LEN($E96)&gt;1,_xll.BondInfo($E96,$F$4),"")</f>
        <v/>
      </c>
      <c r="G96" s="678" t="str">
        <f t="array" ref="G96:Q96">IF(AND(QueryFlag="ON",NOT(ISNA(E96))),_xll.BondInfo(E96,$G$4:$Q$4),"")</f>
        <v/>
      </c>
      <c r="H96" s="668" t="str">
        <v/>
      </c>
      <c r="I96" s="666" t="str">
        <v/>
      </c>
      <c r="J96" s="668" t="str">
        <v/>
      </c>
      <c r="K96" s="668" t="str">
        <v/>
      </c>
      <c r="L96" s="668" t="str">
        <v/>
      </c>
      <c r="M96" s="668" t="str">
        <v/>
      </c>
      <c r="N96" s="669" t="str">
        <v/>
      </c>
      <c r="O96" s="670" t="str">
        <v/>
      </c>
      <c r="P96" s="667" t="str">
        <v/>
      </c>
      <c r="Q96" s="670" t="str">
        <v/>
      </c>
      <c r="R96" s="679" t="str">
        <f>IF(AND(QueryFlag="ON",NOT(ISNA(E96))),_xll.BondOutstanding(E96),"")</f>
        <v/>
      </c>
    </row>
    <row r="97" spans="5:18">
      <c r="E97" s="1006" t="s">
        <v>832</v>
      </c>
      <c r="F97" s="1002" t="str">
        <f>IF(LEN($E97)&gt;1,_xll.BondInfo($E97,$F$4),"")</f>
        <v/>
      </c>
      <c r="G97" s="678" t="str">
        <f t="array" ref="G97:Q97">IF(AND(QueryFlag="ON",NOT(ISNA(E97))),_xll.BondInfo(E97,$G$4:$Q$4),"")</f>
        <v/>
      </c>
      <c r="H97" s="668" t="str">
        <v/>
      </c>
      <c r="I97" s="666" t="str">
        <v/>
      </c>
      <c r="J97" s="668" t="str">
        <v/>
      </c>
      <c r="K97" s="668" t="str">
        <v/>
      </c>
      <c r="L97" s="668" t="str">
        <v/>
      </c>
      <c r="M97" s="668" t="str">
        <v/>
      </c>
      <c r="N97" s="669" t="str">
        <v/>
      </c>
      <c r="O97" s="670" t="str">
        <v/>
      </c>
      <c r="P97" s="667" t="str">
        <v/>
      </c>
      <c r="Q97" s="670" t="str">
        <v/>
      </c>
      <c r="R97" s="679" t="str">
        <f>IF(AND(QueryFlag="ON",NOT(ISNA(E97))),_xll.BondOutstanding(E97),"")</f>
        <v/>
      </c>
    </row>
    <row r="98" spans="5:18">
      <c r="E98" s="1006" t="s">
        <v>973</v>
      </c>
      <c r="F98" s="1002" t="str">
        <f>IF(LEN($E98)&gt;1,_xll.BondInfo($E98,$F$4),"")</f>
        <v/>
      </c>
      <c r="G98" s="678" t="str">
        <f t="array" ref="G98:Q98">IF(AND(QueryFlag="ON",NOT(ISNA(E98))),_xll.BondInfo(E98,$G$4:$Q$4),"")</f>
        <v/>
      </c>
      <c r="H98" s="668" t="str">
        <v/>
      </c>
      <c r="I98" s="666" t="str">
        <v/>
      </c>
      <c r="J98" s="668" t="str">
        <v/>
      </c>
      <c r="K98" s="668" t="str">
        <v/>
      </c>
      <c r="L98" s="668" t="str">
        <v/>
      </c>
      <c r="M98" s="668" t="str">
        <v/>
      </c>
      <c r="N98" s="669" t="str">
        <v/>
      </c>
      <c r="O98" s="670" t="str">
        <v/>
      </c>
      <c r="P98" s="667" t="str">
        <v/>
      </c>
      <c r="Q98" s="670" t="str">
        <v/>
      </c>
      <c r="R98" s="679" t="str">
        <f>IF(AND(QueryFlag="ON",NOT(ISNA(E98))),_xll.BondOutstanding(E98),"")</f>
        <v/>
      </c>
    </row>
    <row r="99" spans="5:18">
      <c r="E99" s="1006" t="s">
        <v>1659</v>
      </c>
      <c r="F99" s="1002" t="str">
        <f>IF(LEN($E99)&gt;1,_xll.BondInfo($E99,$F$4),"")</f>
        <v/>
      </c>
      <c r="G99" s="678" t="str">
        <f t="array" ref="G99:Q99">IF(AND(QueryFlag="ON",NOT(ISNA(E99))),_xll.BondInfo(E99,$G$4:$Q$4),"")</f>
        <v/>
      </c>
      <c r="H99" s="668" t="str">
        <v/>
      </c>
      <c r="I99" s="666" t="str">
        <v/>
      </c>
      <c r="J99" s="668" t="str">
        <v/>
      </c>
      <c r="K99" s="668" t="str">
        <v/>
      </c>
      <c r="L99" s="668" t="str">
        <v/>
      </c>
      <c r="M99" s="668" t="str">
        <v/>
      </c>
      <c r="N99" s="669" t="str">
        <v/>
      </c>
      <c r="O99" s="670" t="str">
        <v/>
      </c>
      <c r="P99" s="667" t="str">
        <v/>
      </c>
      <c r="Q99" s="670" t="str">
        <v/>
      </c>
      <c r="R99" s="679" t="str">
        <f>IF(AND(QueryFlag="ON",NOT(ISNA(E99))),_xll.BondOutstanding(E99),"")</f>
        <v/>
      </c>
    </row>
    <row r="100" spans="5:18">
      <c r="E100" s="1006" t="s">
        <v>856</v>
      </c>
      <c r="F100" s="1002" t="str">
        <f>IF(LEN($E100)&gt;1,_xll.BondInfo($E100,$F$4),"")</f>
        <v/>
      </c>
      <c r="G100" s="678" t="str">
        <f t="array" ref="G100:Q100">IF(AND(QueryFlag="ON",NOT(ISNA(E100))),_xll.BondInfo(E100,$G$4:$Q$4),"")</f>
        <v/>
      </c>
      <c r="H100" s="668" t="str">
        <v/>
      </c>
      <c r="I100" s="666" t="str">
        <v/>
      </c>
      <c r="J100" s="668" t="str">
        <v/>
      </c>
      <c r="K100" s="668" t="str">
        <v/>
      </c>
      <c r="L100" s="668" t="str">
        <v/>
      </c>
      <c r="M100" s="668" t="str">
        <v/>
      </c>
      <c r="N100" s="669" t="str">
        <v/>
      </c>
      <c r="O100" s="670" t="str">
        <v/>
      </c>
      <c r="P100" s="667" t="str">
        <v/>
      </c>
      <c r="Q100" s="670" t="str">
        <v/>
      </c>
      <c r="R100" s="679" t="str">
        <f>IF(AND(QueryFlag="ON",NOT(ISNA(E100))),_xll.BondOutstanding(E100),"")</f>
        <v/>
      </c>
    </row>
    <row r="101" spans="5:18">
      <c r="E101" s="1006" t="s">
        <v>857</v>
      </c>
      <c r="F101" s="1002" t="str">
        <f>IF(LEN($E101)&gt;1,_xll.BondInfo($E101,$F$4),"")</f>
        <v/>
      </c>
      <c r="G101" s="678" t="str">
        <f t="array" ref="G101:Q101">IF(AND(QueryFlag="ON",NOT(ISNA(E101))),_xll.BondInfo(E101,$G$4:$Q$4),"")</f>
        <v/>
      </c>
      <c r="H101" s="668" t="str">
        <v/>
      </c>
      <c r="I101" s="666" t="str">
        <v/>
      </c>
      <c r="J101" s="668" t="str">
        <v/>
      </c>
      <c r="K101" s="668" t="str">
        <v/>
      </c>
      <c r="L101" s="668" t="str">
        <v/>
      </c>
      <c r="M101" s="668" t="str">
        <v/>
      </c>
      <c r="N101" s="669" t="str">
        <v/>
      </c>
      <c r="O101" s="670" t="str">
        <v/>
      </c>
      <c r="P101" s="667" t="str">
        <v/>
      </c>
      <c r="Q101" s="670" t="str">
        <v/>
      </c>
      <c r="R101" s="679" t="str">
        <f>IF(AND(QueryFlag="ON",NOT(ISNA(E101))),_xll.BondOutstanding(E101),"")</f>
        <v/>
      </c>
    </row>
    <row r="102" spans="5:18">
      <c r="E102" s="1006" t="s">
        <v>858</v>
      </c>
      <c r="F102" s="1002" t="str">
        <f>IF(LEN($E102)&gt;1,_xll.BondInfo($E102,$F$4),"")</f>
        <v/>
      </c>
      <c r="G102" s="678" t="str">
        <f t="array" ref="G102:Q102">IF(AND(QueryFlag="ON",NOT(ISNA(E102))),_xll.BondInfo(E102,$G$4:$Q$4),"")</f>
        <v/>
      </c>
      <c r="H102" s="668" t="str">
        <v/>
      </c>
      <c r="I102" s="666" t="str">
        <v/>
      </c>
      <c r="J102" s="668" t="str">
        <v/>
      </c>
      <c r="K102" s="668" t="str">
        <v/>
      </c>
      <c r="L102" s="668" t="str">
        <v/>
      </c>
      <c r="M102" s="668" t="str">
        <v/>
      </c>
      <c r="N102" s="669" t="str">
        <v/>
      </c>
      <c r="O102" s="670" t="str">
        <v/>
      </c>
      <c r="P102" s="667" t="str">
        <v/>
      </c>
      <c r="Q102" s="670" t="str">
        <v/>
      </c>
      <c r="R102" s="679" t="str">
        <f>IF(AND(QueryFlag="ON",NOT(ISNA(E102))),_xll.BondOutstanding(E102),"")</f>
        <v/>
      </c>
    </row>
    <row r="103" spans="5:18">
      <c r="E103" s="1006" t="s">
        <v>837</v>
      </c>
      <c r="F103" s="1002" t="str">
        <f>IF(LEN($E103)&gt;1,_xll.BondInfo($E103,$F$4),"")</f>
        <v/>
      </c>
      <c r="G103" s="678" t="str">
        <f t="array" ref="G103:Q103">IF(AND(QueryFlag="ON",NOT(ISNA(E103))),_xll.BondInfo(E103,$G$4:$Q$4),"")</f>
        <v/>
      </c>
      <c r="H103" s="668" t="str">
        <v/>
      </c>
      <c r="I103" s="666" t="str">
        <v/>
      </c>
      <c r="J103" s="668" t="str">
        <v/>
      </c>
      <c r="K103" s="668" t="str">
        <v/>
      </c>
      <c r="L103" s="668" t="str">
        <v/>
      </c>
      <c r="M103" s="668" t="str">
        <v/>
      </c>
      <c r="N103" s="669" t="str">
        <v/>
      </c>
      <c r="O103" s="670" t="str">
        <v/>
      </c>
      <c r="P103" s="667" t="str">
        <v/>
      </c>
      <c r="Q103" s="670" t="str">
        <v/>
      </c>
      <c r="R103" s="679" t="str">
        <f>IF(AND(QueryFlag="ON",NOT(ISNA(E103))),_xll.BondOutstanding(E103),"")</f>
        <v/>
      </c>
    </row>
    <row r="104" spans="5:18">
      <c r="E104" s="1006" t="s">
        <v>859</v>
      </c>
      <c r="F104" s="1002" t="str">
        <f>IF(LEN($E104)&gt;1,_xll.BondInfo($E104,$F$4),"")</f>
        <v/>
      </c>
      <c r="G104" s="678" t="str">
        <f t="array" ref="G104:Q104">IF(AND(QueryFlag="ON",NOT(ISNA(E104))),_xll.BondInfo(E104,$G$4:$Q$4),"")</f>
        <v/>
      </c>
      <c r="H104" s="668" t="str">
        <v/>
      </c>
      <c r="I104" s="666" t="str">
        <v/>
      </c>
      <c r="J104" s="668" t="str">
        <v/>
      </c>
      <c r="K104" s="668" t="str">
        <v/>
      </c>
      <c r="L104" s="668" t="str">
        <v/>
      </c>
      <c r="M104" s="668" t="str">
        <v/>
      </c>
      <c r="N104" s="669" t="str">
        <v/>
      </c>
      <c r="O104" s="670" t="str">
        <v/>
      </c>
      <c r="P104" s="667" t="str">
        <v/>
      </c>
      <c r="Q104" s="670" t="str">
        <v/>
      </c>
      <c r="R104" s="679" t="str">
        <f>IF(AND(QueryFlag="ON",NOT(ISNA(E104))),_xll.BondOutstanding(E104),"")</f>
        <v/>
      </c>
    </row>
    <row r="105" spans="5:18">
      <c r="E105" s="1006" t="s">
        <v>796</v>
      </c>
      <c r="F105" s="1002" t="str">
        <f>IF(LEN($E105)&gt;1,_xll.BondInfo($E105,$F$4),"")</f>
        <v/>
      </c>
      <c r="G105" s="678" t="str">
        <f t="array" ref="G105:Q105">IF(AND(QueryFlag="ON",NOT(ISNA(E105))),_xll.BondInfo(E105,$G$4:$Q$4),"")</f>
        <v/>
      </c>
      <c r="H105" s="668" t="str">
        <v/>
      </c>
      <c r="I105" s="666" t="str">
        <v/>
      </c>
      <c r="J105" s="668" t="str">
        <v/>
      </c>
      <c r="K105" s="668" t="str">
        <v/>
      </c>
      <c r="L105" s="668" t="str">
        <v/>
      </c>
      <c r="M105" s="668" t="str">
        <v/>
      </c>
      <c r="N105" s="669" t="str">
        <v/>
      </c>
      <c r="O105" s="670" t="str">
        <v/>
      </c>
      <c r="P105" s="667" t="str">
        <v/>
      </c>
      <c r="Q105" s="670" t="str">
        <v/>
      </c>
      <c r="R105" s="679" t="str">
        <f>IF(AND(QueryFlag="ON",NOT(ISNA(E105))),_xll.BondOutstanding(E105),"")</f>
        <v/>
      </c>
    </row>
    <row r="106" spans="5:18">
      <c r="E106" s="1006" t="s">
        <v>797</v>
      </c>
      <c r="F106" s="1002" t="str">
        <f>IF(LEN($E106)&gt;1,_xll.BondInfo($E106,$F$4),"")</f>
        <v/>
      </c>
      <c r="G106" s="678" t="str">
        <f t="array" ref="G106:Q106">IF(AND(QueryFlag="ON",NOT(ISNA(E106))),_xll.BondInfo(E106,$G$4:$Q$4),"")</f>
        <v/>
      </c>
      <c r="H106" s="668" t="str">
        <v/>
      </c>
      <c r="I106" s="666" t="str">
        <v/>
      </c>
      <c r="J106" s="668" t="str">
        <v/>
      </c>
      <c r="K106" s="668" t="str">
        <v/>
      </c>
      <c r="L106" s="668" t="str">
        <v/>
      </c>
      <c r="M106" s="668" t="str">
        <v/>
      </c>
      <c r="N106" s="669" t="str">
        <v/>
      </c>
      <c r="O106" s="670" t="str">
        <v/>
      </c>
      <c r="P106" s="667" t="str">
        <v/>
      </c>
      <c r="Q106" s="670" t="str">
        <v/>
      </c>
      <c r="R106" s="679" t="str">
        <f>IF(AND(QueryFlag="ON",NOT(ISNA(E106))),_xll.BondOutstanding(E106),"")</f>
        <v/>
      </c>
    </row>
    <row r="107" spans="5:18">
      <c r="E107" s="1006" t="s">
        <v>798</v>
      </c>
      <c r="F107" s="1002" t="str">
        <f>IF(LEN($E107)&gt;1,_xll.BondInfo($E107,$F$4),"")</f>
        <v/>
      </c>
      <c r="G107" s="678" t="str">
        <f t="array" ref="G107:Q107">IF(AND(QueryFlag="ON",NOT(ISNA(E107))),_xll.BondInfo(E107,$G$4:$Q$4),"")</f>
        <v/>
      </c>
      <c r="H107" s="668" t="str">
        <v/>
      </c>
      <c r="I107" s="666" t="str">
        <v/>
      </c>
      <c r="J107" s="668" t="str">
        <v/>
      </c>
      <c r="K107" s="668" t="str">
        <v/>
      </c>
      <c r="L107" s="668" t="str">
        <v/>
      </c>
      <c r="M107" s="668" t="str">
        <v/>
      </c>
      <c r="N107" s="669" t="str">
        <v/>
      </c>
      <c r="O107" s="670" t="str">
        <v/>
      </c>
      <c r="P107" s="667" t="str">
        <v/>
      </c>
      <c r="Q107" s="670" t="str">
        <v/>
      </c>
      <c r="R107" s="679" t="str">
        <f>IF(AND(QueryFlag="ON",NOT(ISNA(E107))),_xll.BondOutstanding(E107),"")</f>
        <v/>
      </c>
    </row>
    <row r="108" spans="5:18">
      <c r="E108" s="1006" t="s">
        <v>823</v>
      </c>
      <c r="F108" s="1002" t="str">
        <f>IF(LEN($E108)&gt;1,_xll.BondInfo($E108,$F$4),"")</f>
        <v/>
      </c>
      <c r="G108" s="678" t="str">
        <f t="array" ref="G108:Q108">IF(AND(QueryFlag="ON",NOT(ISNA(E108))),_xll.BondInfo(E108,$G$4:$Q$4),"")</f>
        <v/>
      </c>
      <c r="H108" s="668" t="str">
        <v/>
      </c>
      <c r="I108" s="666" t="str">
        <v/>
      </c>
      <c r="J108" s="668" t="str">
        <v/>
      </c>
      <c r="K108" s="668" t="str">
        <v/>
      </c>
      <c r="L108" s="668" t="str">
        <v/>
      </c>
      <c r="M108" s="668" t="str">
        <v/>
      </c>
      <c r="N108" s="669" t="str">
        <v/>
      </c>
      <c r="O108" s="670" t="str">
        <v/>
      </c>
      <c r="P108" s="667" t="str">
        <v/>
      </c>
      <c r="Q108" s="670" t="str">
        <v/>
      </c>
      <c r="R108" s="679" t="str">
        <f>IF(AND(QueryFlag="ON",NOT(ISNA(E108))),_xll.BondOutstanding(E108),"")</f>
        <v/>
      </c>
    </row>
    <row r="109" spans="5:18">
      <c r="E109" s="1006" t="s">
        <v>799</v>
      </c>
      <c r="F109" s="1002" t="str">
        <f>IF(LEN($E109)&gt;1,_xll.BondInfo($E109,$F$4),"")</f>
        <v/>
      </c>
      <c r="G109" s="678" t="str">
        <f t="array" ref="G109:Q109">IF(AND(QueryFlag="ON",NOT(ISNA(E109))),_xll.BondInfo(E109,$G$4:$Q$4),"")</f>
        <v/>
      </c>
      <c r="H109" s="668" t="str">
        <v/>
      </c>
      <c r="I109" s="666" t="str">
        <v/>
      </c>
      <c r="J109" s="668" t="str">
        <v/>
      </c>
      <c r="K109" s="668" t="str">
        <v/>
      </c>
      <c r="L109" s="668" t="str">
        <v/>
      </c>
      <c r="M109" s="668" t="str">
        <v/>
      </c>
      <c r="N109" s="669" t="str">
        <v/>
      </c>
      <c r="O109" s="670" t="str">
        <v/>
      </c>
      <c r="P109" s="667" t="str">
        <v/>
      </c>
      <c r="Q109" s="670" t="str">
        <v/>
      </c>
      <c r="R109" s="679" t="str">
        <f>IF(AND(QueryFlag="ON",NOT(ISNA(E109))),_xll.BondOutstanding(E109),"")</f>
        <v/>
      </c>
    </row>
    <row r="110" spans="5:18">
      <c r="E110" s="1006" t="s">
        <v>896</v>
      </c>
      <c r="F110" s="1002" t="str">
        <f>IF(LEN($E110)&gt;1,_xll.BondInfo($E110,$F$4),"")</f>
        <v/>
      </c>
      <c r="G110" s="678" t="str">
        <f t="array" ref="G110:Q110">IF(AND(QueryFlag="ON",NOT(ISNA(E110))),_xll.BondInfo(E110,$G$4:$Q$4),"")</f>
        <v/>
      </c>
      <c r="H110" s="668" t="str">
        <v/>
      </c>
      <c r="I110" s="666" t="str">
        <v/>
      </c>
      <c r="J110" s="668" t="str">
        <v/>
      </c>
      <c r="K110" s="668" t="str">
        <v/>
      </c>
      <c r="L110" s="668" t="str">
        <v/>
      </c>
      <c r="M110" s="668" t="str">
        <v/>
      </c>
      <c r="N110" s="669" t="str">
        <v/>
      </c>
      <c r="O110" s="670" t="str">
        <v/>
      </c>
      <c r="P110" s="667" t="str">
        <v/>
      </c>
      <c r="Q110" s="670" t="str">
        <v/>
      </c>
      <c r="R110" s="679" t="str">
        <f>IF(AND(QueryFlag="ON",NOT(ISNA(E110))),_xll.BondOutstanding(E110),"")</f>
        <v/>
      </c>
    </row>
    <row r="111" spans="5:18">
      <c r="E111" s="1006" t="s">
        <v>956</v>
      </c>
      <c r="F111" s="1002" t="str">
        <f>IF(LEN($E111)&gt;1,_xll.BondInfo($E111,$F$4),"")</f>
        <v/>
      </c>
      <c r="G111" s="678" t="str">
        <f t="array" ref="G111:Q111">IF(AND(QueryFlag="ON",NOT(ISNA(E111))),_xll.BondInfo(E111,$G$4:$Q$4),"")</f>
        <v/>
      </c>
      <c r="H111" s="668" t="str">
        <v/>
      </c>
      <c r="I111" s="666" t="str">
        <v/>
      </c>
      <c r="J111" s="668" t="str">
        <v/>
      </c>
      <c r="K111" s="668" t="str">
        <v/>
      </c>
      <c r="L111" s="668" t="str">
        <v/>
      </c>
      <c r="M111" s="668" t="str">
        <v/>
      </c>
      <c r="N111" s="669" t="str">
        <v/>
      </c>
      <c r="O111" s="670" t="str">
        <v/>
      </c>
      <c r="P111" s="667" t="str">
        <v/>
      </c>
      <c r="Q111" s="670" t="str">
        <v/>
      </c>
      <c r="R111" s="679" t="str">
        <f>IF(AND(QueryFlag="ON",NOT(ISNA(E111))),_xll.BondOutstanding(E111),"")</f>
        <v/>
      </c>
    </row>
    <row r="112" spans="5:18">
      <c r="E112" s="1006" t="s">
        <v>1020</v>
      </c>
      <c r="F112" s="1002" t="str">
        <f>IF(LEN($E112)&gt;1,_xll.BondInfo($E112,$F$4),"")</f>
        <v/>
      </c>
      <c r="G112" s="678" t="str">
        <f t="array" ref="G112:Q112">IF(AND(QueryFlag="ON",NOT(ISNA(E112))),_xll.BondInfo(E112,$G$4:$Q$4),"")</f>
        <v/>
      </c>
      <c r="H112" s="668" t="str">
        <v/>
      </c>
      <c r="I112" s="666" t="str">
        <v/>
      </c>
      <c r="J112" s="668" t="str">
        <v/>
      </c>
      <c r="K112" s="668" t="str">
        <v/>
      </c>
      <c r="L112" s="668" t="str">
        <v/>
      </c>
      <c r="M112" s="668" t="str">
        <v/>
      </c>
      <c r="N112" s="669" t="str">
        <v/>
      </c>
      <c r="O112" s="670" t="str">
        <v/>
      </c>
      <c r="P112" s="667" t="str">
        <v/>
      </c>
      <c r="Q112" s="670" t="str">
        <v/>
      </c>
      <c r="R112" s="679" t="str">
        <f>IF(AND(QueryFlag="ON",NOT(ISNA(E112))),_xll.BondOutstanding(E112),"")</f>
        <v/>
      </c>
    </row>
    <row r="113" spans="5:18">
      <c r="E113" s="1006" t="s">
        <v>2016</v>
      </c>
      <c r="F113" s="1002" t="str">
        <f>IF(LEN($E113)&gt;1,_xll.BondInfo($E113,$F$4),"")</f>
        <v/>
      </c>
      <c r="G113" s="678" t="str">
        <f t="array" ref="G113:Q113">IF(AND(QueryFlag="ON",NOT(ISNA(E113))),_xll.BondInfo(E113,$G$4:$Q$4),"")</f>
        <v/>
      </c>
      <c r="H113" s="668" t="str">
        <v/>
      </c>
      <c r="I113" s="666" t="str">
        <v/>
      </c>
      <c r="J113" s="668" t="str">
        <v/>
      </c>
      <c r="K113" s="668" t="str">
        <v/>
      </c>
      <c r="L113" s="668" t="str">
        <v/>
      </c>
      <c r="M113" s="668" t="str">
        <v/>
      </c>
      <c r="N113" s="669" t="str">
        <v/>
      </c>
      <c r="O113" s="670" t="str">
        <v/>
      </c>
      <c r="P113" s="667" t="str">
        <v/>
      </c>
      <c r="Q113" s="670" t="str">
        <v/>
      </c>
      <c r="R113" s="679" t="str">
        <f>IF(AND(QueryFlag="ON",NOT(ISNA(E113))),_xll.BondOutstanding(E113),"")</f>
        <v/>
      </c>
    </row>
    <row r="114" spans="5:18">
      <c r="E114" s="1006" t="s">
        <v>860</v>
      </c>
      <c r="F114" s="1002" t="str">
        <f>IF(LEN($E114)&gt;1,_xll.BondInfo($E114,$F$4),"")</f>
        <v/>
      </c>
      <c r="G114" s="678" t="str">
        <f t="array" ref="G114:Q114">IF(AND(QueryFlag="ON",NOT(ISNA(E114))),_xll.BondInfo(E114,$G$4:$Q$4),"")</f>
        <v/>
      </c>
      <c r="H114" s="668" t="str">
        <v/>
      </c>
      <c r="I114" s="666" t="str">
        <v/>
      </c>
      <c r="J114" s="668" t="str">
        <v/>
      </c>
      <c r="K114" s="668" t="str">
        <v/>
      </c>
      <c r="L114" s="668" t="str">
        <v/>
      </c>
      <c r="M114" s="668" t="str">
        <v/>
      </c>
      <c r="N114" s="669" t="str">
        <v/>
      </c>
      <c r="O114" s="670" t="str">
        <v/>
      </c>
      <c r="P114" s="667" t="str">
        <v/>
      </c>
      <c r="Q114" s="670" t="str">
        <v/>
      </c>
      <c r="R114" s="679" t="str">
        <f>IF(AND(QueryFlag="ON",NOT(ISNA(E114))),_xll.BondOutstanding(E114),"")</f>
        <v/>
      </c>
    </row>
    <row r="115" spans="5:18">
      <c r="E115" s="1006" t="s">
        <v>861</v>
      </c>
      <c r="F115" s="1002" t="str">
        <f>IF(LEN($E115)&gt;1,_xll.BondInfo($E115,$F$4),"")</f>
        <v/>
      </c>
      <c r="G115" s="678" t="str">
        <f t="array" ref="G115:Q115">IF(AND(QueryFlag="ON",NOT(ISNA(E115))),_xll.BondInfo(E115,$G$4:$Q$4),"")</f>
        <v/>
      </c>
      <c r="H115" s="668" t="str">
        <v/>
      </c>
      <c r="I115" s="666" t="str">
        <v/>
      </c>
      <c r="J115" s="668" t="str">
        <v/>
      </c>
      <c r="K115" s="668" t="str">
        <v/>
      </c>
      <c r="L115" s="668" t="str">
        <v/>
      </c>
      <c r="M115" s="668" t="str">
        <v/>
      </c>
      <c r="N115" s="669" t="str">
        <v/>
      </c>
      <c r="O115" s="670" t="str">
        <v/>
      </c>
      <c r="P115" s="667" t="str">
        <v/>
      </c>
      <c r="Q115" s="670" t="str">
        <v/>
      </c>
      <c r="R115" s="679" t="str">
        <f>IF(AND(QueryFlag="ON",NOT(ISNA(E115))),_xll.BondOutstanding(E115),"")</f>
        <v/>
      </c>
    </row>
    <row r="116" spans="5:18">
      <c r="E116" s="1006" t="s">
        <v>841</v>
      </c>
      <c r="F116" s="1002" t="str">
        <f>IF(LEN($E116)&gt;1,_xll.BondInfo($E116,$F$4),"")</f>
        <v/>
      </c>
      <c r="G116" s="678" t="str">
        <f t="array" ref="G116:Q116">IF(AND(QueryFlag="ON",NOT(ISNA(E116))),_xll.BondInfo(E116,$G$4:$Q$4),"")</f>
        <v/>
      </c>
      <c r="H116" s="668" t="str">
        <v/>
      </c>
      <c r="I116" s="666" t="str">
        <v/>
      </c>
      <c r="J116" s="668" t="str">
        <v/>
      </c>
      <c r="K116" s="668" t="str">
        <v/>
      </c>
      <c r="L116" s="668" t="str">
        <v/>
      </c>
      <c r="M116" s="668" t="str">
        <v/>
      </c>
      <c r="N116" s="669" t="str">
        <v/>
      </c>
      <c r="O116" s="670" t="str">
        <v/>
      </c>
      <c r="P116" s="667" t="str">
        <v/>
      </c>
      <c r="Q116" s="670" t="str">
        <v/>
      </c>
      <c r="R116" s="679" t="str">
        <f>IF(AND(QueryFlag="ON",NOT(ISNA(E116))),_xll.BondOutstanding(E116),"")</f>
        <v/>
      </c>
    </row>
    <row r="117" spans="5:18">
      <c r="E117" s="1006" t="s">
        <v>862</v>
      </c>
      <c r="F117" s="1002" t="str">
        <f>IF(LEN($E117)&gt;1,_xll.BondInfo($E117,$F$4),"")</f>
        <v/>
      </c>
      <c r="G117" s="678" t="str">
        <f t="array" ref="G117:Q117">IF(AND(QueryFlag="ON",NOT(ISNA(E117))),_xll.BondInfo(E117,$G$4:$Q$4),"")</f>
        <v/>
      </c>
      <c r="H117" s="668" t="str">
        <v/>
      </c>
      <c r="I117" s="666" t="str">
        <v/>
      </c>
      <c r="J117" s="668" t="str">
        <v/>
      </c>
      <c r="K117" s="668" t="str">
        <v/>
      </c>
      <c r="L117" s="668" t="str">
        <v/>
      </c>
      <c r="M117" s="668" t="str">
        <v/>
      </c>
      <c r="N117" s="669" t="str">
        <v/>
      </c>
      <c r="O117" s="670" t="str">
        <v/>
      </c>
      <c r="P117" s="667" t="str">
        <v/>
      </c>
      <c r="Q117" s="670" t="str">
        <v/>
      </c>
      <c r="R117" s="679" t="str">
        <f>IF(AND(QueryFlag="ON",NOT(ISNA(E117))),_xll.BondOutstanding(E117),"")</f>
        <v/>
      </c>
    </row>
    <row r="118" spans="5:18">
      <c r="E118" s="1006" t="s">
        <v>974</v>
      </c>
      <c r="F118" s="1002" t="str">
        <f>IF(LEN($E118)&gt;1,_xll.BondInfo($E118,$F$4),"")</f>
        <v/>
      </c>
      <c r="G118" s="678" t="str">
        <f t="array" ref="G118:Q118">IF(AND(QueryFlag="ON",NOT(ISNA(E118))),_xll.BondInfo(E118,$G$4:$Q$4),"")</f>
        <v/>
      </c>
      <c r="H118" s="668" t="str">
        <v/>
      </c>
      <c r="I118" s="666" t="str">
        <v/>
      </c>
      <c r="J118" s="668" t="str">
        <v/>
      </c>
      <c r="K118" s="668" t="str">
        <v/>
      </c>
      <c r="L118" s="668" t="str">
        <v/>
      </c>
      <c r="M118" s="668" t="str">
        <v/>
      </c>
      <c r="N118" s="669" t="str">
        <v/>
      </c>
      <c r="O118" s="670" t="str">
        <v/>
      </c>
      <c r="P118" s="667" t="str">
        <v/>
      </c>
      <c r="Q118" s="670" t="str">
        <v/>
      </c>
      <c r="R118" s="679" t="str">
        <f>IF(AND(QueryFlag="ON",NOT(ISNA(E118))),_xll.BondOutstanding(E118),"")</f>
        <v/>
      </c>
    </row>
    <row r="119" spans="5:18">
      <c r="E119" s="1006" t="s">
        <v>863</v>
      </c>
      <c r="F119" s="1002" t="str">
        <f>IF(LEN($E119)&gt;1,_xll.BondInfo($E119,$F$4),"")</f>
        <v/>
      </c>
      <c r="G119" s="678" t="str">
        <f t="array" ref="G119:Q119">IF(AND(QueryFlag="ON",NOT(ISNA(E119))),_xll.BondInfo(E119,$G$4:$Q$4),"")</f>
        <v/>
      </c>
      <c r="H119" s="668" t="str">
        <v/>
      </c>
      <c r="I119" s="666" t="str">
        <v/>
      </c>
      <c r="J119" s="668" t="str">
        <v/>
      </c>
      <c r="K119" s="668" t="str">
        <v/>
      </c>
      <c r="L119" s="668" t="str">
        <v/>
      </c>
      <c r="M119" s="668" t="str">
        <v/>
      </c>
      <c r="N119" s="669" t="str">
        <v/>
      </c>
      <c r="O119" s="670" t="str">
        <v/>
      </c>
      <c r="P119" s="667" t="str">
        <v/>
      </c>
      <c r="Q119" s="670" t="str">
        <v/>
      </c>
      <c r="R119" s="679" t="str">
        <f>IF(AND(QueryFlag="ON",NOT(ISNA(E119))),_xll.BondOutstanding(E119),"")</f>
        <v/>
      </c>
    </row>
    <row r="120" spans="5:18">
      <c r="E120" s="1006" t="s">
        <v>864</v>
      </c>
      <c r="F120" s="1002" t="str">
        <f>IF(LEN($E120)&gt;1,_xll.BondInfo($E120,$F$4),"")</f>
        <v/>
      </c>
      <c r="G120" s="678" t="str">
        <f t="array" ref="G120:Q120">IF(AND(QueryFlag="ON",NOT(ISNA(E120))),_xll.BondInfo(E120,$G$4:$Q$4),"")</f>
        <v/>
      </c>
      <c r="H120" s="668" t="str">
        <v/>
      </c>
      <c r="I120" s="666" t="str">
        <v/>
      </c>
      <c r="J120" s="668" t="str">
        <v/>
      </c>
      <c r="K120" s="668" t="str">
        <v/>
      </c>
      <c r="L120" s="668" t="str">
        <v/>
      </c>
      <c r="M120" s="668" t="str">
        <v/>
      </c>
      <c r="N120" s="669" t="str">
        <v/>
      </c>
      <c r="O120" s="670" t="str">
        <v/>
      </c>
      <c r="P120" s="667" t="str">
        <v/>
      </c>
      <c r="Q120" s="670" t="str">
        <v/>
      </c>
      <c r="R120" s="679" t="str">
        <f>IF(AND(QueryFlag="ON",NOT(ISNA(E120))),_xll.BondOutstanding(E120),"")</f>
        <v/>
      </c>
    </row>
    <row r="121" spans="5:18">
      <c r="E121" s="1006" t="s">
        <v>865</v>
      </c>
      <c r="F121" s="1002" t="str">
        <f>IF(LEN($E121)&gt;1,_xll.BondInfo($E121,$F$4),"")</f>
        <v/>
      </c>
      <c r="G121" s="678" t="str">
        <f t="array" ref="G121:Q121">IF(AND(QueryFlag="ON",NOT(ISNA(E121))),_xll.BondInfo(E121,$G$4:$Q$4),"")</f>
        <v/>
      </c>
      <c r="H121" s="668" t="str">
        <v/>
      </c>
      <c r="I121" s="666" t="str">
        <v/>
      </c>
      <c r="J121" s="668" t="str">
        <v/>
      </c>
      <c r="K121" s="668" t="str">
        <v/>
      </c>
      <c r="L121" s="668" t="str">
        <v/>
      </c>
      <c r="M121" s="668" t="str">
        <v/>
      </c>
      <c r="N121" s="669" t="str">
        <v/>
      </c>
      <c r="O121" s="670" t="str">
        <v/>
      </c>
      <c r="P121" s="667" t="str">
        <v/>
      </c>
      <c r="Q121" s="670" t="str">
        <v/>
      </c>
      <c r="R121" s="679" t="str">
        <f>IF(AND(QueryFlag="ON",NOT(ISNA(E121))),_xll.BondOutstanding(E121),"")</f>
        <v/>
      </c>
    </row>
    <row r="122" spans="5:18">
      <c r="E122" s="1006" t="s">
        <v>866</v>
      </c>
      <c r="F122" s="1002" t="str">
        <f>IF(LEN($E122)&gt;1,_xll.BondInfo($E122,$F$4),"")</f>
        <v/>
      </c>
      <c r="G122" s="678" t="str">
        <f t="array" ref="G122:Q122">IF(AND(QueryFlag="ON",NOT(ISNA(E122))),_xll.BondInfo(E122,$G$4:$Q$4),"")</f>
        <v/>
      </c>
      <c r="H122" s="668" t="str">
        <v/>
      </c>
      <c r="I122" s="666" t="str">
        <v/>
      </c>
      <c r="J122" s="668" t="str">
        <v/>
      </c>
      <c r="K122" s="668" t="str">
        <v/>
      </c>
      <c r="L122" s="668" t="str">
        <v/>
      </c>
      <c r="M122" s="668" t="str">
        <v/>
      </c>
      <c r="N122" s="669" t="str">
        <v/>
      </c>
      <c r="O122" s="670" t="str">
        <v/>
      </c>
      <c r="P122" s="667" t="str">
        <v/>
      </c>
      <c r="Q122" s="670" t="str">
        <v/>
      </c>
      <c r="R122" s="679" t="str">
        <f>IF(AND(QueryFlag="ON",NOT(ISNA(E122))),_xll.BondOutstanding(E122),"")</f>
        <v/>
      </c>
    </row>
    <row r="123" spans="5:18">
      <c r="E123" s="1006" t="s">
        <v>867</v>
      </c>
      <c r="F123" s="1002" t="str">
        <f>IF(LEN($E123)&gt;1,_xll.BondInfo($E123,$F$4),"")</f>
        <v/>
      </c>
      <c r="G123" s="678" t="str">
        <f t="array" ref="G123:Q123">IF(AND(QueryFlag="ON",NOT(ISNA(E123))),_xll.BondInfo(E123,$G$4:$Q$4),"")</f>
        <v/>
      </c>
      <c r="H123" s="668" t="str">
        <v/>
      </c>
      <c r="I123" s="666" t="str">
        <v/>
      </c>
      <c r="J123" s="668" t="str">
        <v/>
      </c>
      <c r="K123" s="668" t="str">
        <v/>
      </c>
      <c r="L123" s="668" t="str">
        <v/>
      </c>
      <c r="M123" s="668" t="str">
        <v/>
      </c>
      <c r="N123" s="669" t="str">
        <v/>
      </c>
      <c r="O123" s="670" t="str">
        <v/>
      </c>
      <c r="P123" s="667" t="str">
        <v/>
      </c>
      <c r="Q123" s="670" t="str">
        <v/>
      </c>
      <c r="R123" s="679" t="str">
        <f>IF(AND(QueryFlag="ON",NOT(ISNA(E123))),_xll.BondOutstanding(E123),"")</f>
        <v/>
      </c>
    </row>
    <row r="124" spans="5:18">
      <c r="E124" s="1006" t="s">
        <v>2042</v>
      </c>
      <c r="F124" s="1002" t="str">
        <f>IF(LEN($E124)&gt;1,_xll.BondInfo($E124,$F$4),"")</f>
        <v/>
      </c>
      <c r="G124" s="678" t="str">
        <f t="array" ref="G124:Q124">IF(AND(QueryFlag="ON",NOT(ISNA(E124))),_xll.BondInfo(E124,$G$4:$Q$4),"")</f>
        <v/>
      </c>
      <c r="H124" s="668" t="str">
        <v/>
      </c>
      <c r="I124" s="666" t="str">
        <v/>
      </c>
      <c r="J124" s="668" t="str">
        <v/>
      </c>
      <c r="K124" s="668" t="str">
        <v/>
      </c>
      <c r="L124" s="668" t="str">
        <v/>
      </c>
      <c r="M124" s="668" t="str">
        <v/>
      </c>
      <c r="N124" s="669" t="str">
        <v/>
      </c>
      <c r="O124" s="670" t="str">
        <v/>
      </c>
      <c r="P124" s="667" t="str">
        <v/>
      </c>
      <c r="Q124" s="670" t="str">
        <v/>
      </c>
      <c r="R124" s="679" t="str">
        <f>IF(AND(QueryFlag="ON",NOT(ISNA(E124))),_xll.BondOutstanding(E124),"")</f>
        <v/>
      </c>
    </row>
    <row r="125" spans="5:18">
      <c r="E125" s="1006" t="s">
        <v>1660</v>
      </c>
      <c r="F125" s="1002" t="str">
        <f>IF(LEN($E125)&gt;1,_xll.BondInfo($E125,$F$4),"")</f>
        <v/>
      </c>
      <c r="G125" s="678" t="str">
        <f t="array" ref="G125:Q125">IF(AND(QueryFlag="ON",NOT(ISNA(E125))),_xll.BondInfo(E125,$G$4:$Q$4),"")</f>
        <v/>
      </c>
      <c r="H125" s="668" t="str">
        <v/>
      </c>
      <c r="I125" s="666" t="str">
        <v/>
      </c>
      <c r="J125" s="668" t="str">
        <v/>
      </c>
      <c r="K125" s="668" t="str">
        <v/>
      </c>
      <c r="L125" s="668" t="str">
        <v/>
      </c>
      <c r="M125" s="668" t="str">
        <v/>
      </c>
      <c r="N125" s="669" t="str">
        <v/>
      </c>
      <c r="O125" s="670" t="str">
        <v/>
      </c>
      <c r="P125" s="667" t="str">
        <v/>
      </c>
      <c r="Q125" s="670" t="str">
        <v/>
      </c>
      <c r="R125" s="679" t="str">
        <f>IF(AND(QueryFlag="ON",NOT(ISNA(E125))),_xll.BondOutstanding(E125),"")</f>
        <v/>
      </c>
    </row>
    <row r="126" spans="5:18">
      <c r="E126" s="1006" t="s">
        <v>814</v>
      </c>
      <c r="F126" s="1002" t="str">
        <f>IF(LEN($E126)&gt;1,_xll.BondInfo($E126,$F$4),"")</f>
        <v>SHATZE 16-mar-18 0%</v>
      </c>
      <c r="G126" s="678" t="str">
        <f t="array" ref="G126:Q126">IF(AND(QueryFlag="ON",NOT(ISNA(E126))),_xll.BondInfo(E126,$G$4:$Q$4),"")</f>
        <v/>
      </c>
      <c r="H126" s="668" t="str">
        <v/>
      </c>
      <c r="I126" s="666" t="str">
        <v/>
      </c>
      <c r="J126" s="668" t="str">
        <v/>
      </c>
      <c r="K126" s="668" t="str">
        <v/>
      </c>
      <c r="L126" s="668" t="str">
        <v/>
      </c>
      <c r="M126" s="668" t="str">
        <v/>
      </c>
      <c r="N126" s="669" t="str">
        <v/>
      </c>
      <c r="O126" s="670" t="str">
        <v/>
      </c>
      <c r="P126" s="667" t="str">
        <v/>
      </c>
      <c r="Q126" s="670" t="str">
        <v/>
      </c>
      <c r="R126" s="679" t="str">
        <f>IF(AND(QueryFlag="ON",NOT(ISNA(E126))),_xll.BondOutstanding(E126),"")</f>
        <v/>
      </c>
    </row>
    <row r="127" spans="5:18">
      <c r="E127" s="1006" t="s">
        <v>655</v>
      </c>
      <c r="F127" s="1002" t="str">
        <f>IF(LEN($E127)&gt;1,_xll.BondInfo($E127,$F$4),"")</f>
        <v>OBL 120 0%</v>
      </c>
      <c r="G127" s="678" t="str">
        <f t="array" ref="G127:Q127">IF(AND(QueryFlag="ON",NOT(ISNA(E127))),_xll.BondInfo(E127,$G$4:$Q$4),"")</f>
        <v/>
      </c>
      <c r="H127" s="668" t="str">
        <v/>
      </c>
      <c r="I127" s="666" t="str">
        <v/>
      </c>
      <c r="J127" s="668" t="str">
        <v/>
      </c>
      <c r="K127" s="668" t="str">
        <v/>
      </c>
      <c r="L127" s="668" t="str">
        <v/>
      </c>
      <c r="M127" s="668" t="str">
        <v/>
      </c>
      <c r="N127" s="669" t="str">
        <v/>
      </c>
      <c r="O127" s="670" t="str">
        <v/>
      </c>
      <c r="P127" s="667" t="str">
        <v/>
      </c>
      <c r="Q127" s="670" t="str">
        <v/>
      </c>
      <c r="R127" s="679" t="str">
        <f>IF(AND(QueryFlag="ON",NOT(ISNA(E127))),_xll.BondOutstanding(E127),"")</f>
        <v/>
      </c>
    </row>
    <row r="128" spans="5:18">
      <c r="E128" s="1006" t="s">
        <v>876</v>
      </c>
      <c r="F128" s="1002" t="str">
        <f>IF(LEN($E128)&gt;1,_xll.BondInfo($E128,$F$4),"")</f>
        <v>SHATZE 15-jun-18 0%</v>
      </c>
      <c r="G128" s="678" t="str">
        <f t="array" ref="G128:Q128">IF(AND(QueryFlag="ON",NOT(ISNA(E128))),_xll.BondInfo(E128,$G$4:$Q$4),"")</f>
        <v/>
      </c>
      <c r="H128" s="668" t="str">
        <v/>
      </c>
      <c r="I128" s="666" t="str">
        <v/>
      </c>
      <c r="J128" s="668" t="str">
        <v/>
      </c>
      <c r="K128" s="668" t="str">
        <v/>
      </c>
      <c r="L128" s="668" t="str">
        <v/>
      </c>
      <c r="M128" s="668" t="str">
        <v/>
      </c>
      <c r="N128" s="669" t="str">
        <v/>
      </c>
      <c r="O128" s="670" t="str">
        <v/>
      </c>
      <c r="P128" s="667" t="str">
        <v/>
      </c>
      <c r="Q128" s="670" t="str">
        <v/>
      </c>
      <c r="R128" s="679" t="str">
        <f>IF(AND(QueryFlag="ON",NOT(ISNA(E128))),_xll.BondOutstanding(E128),"")</f>
        <v/>
      </c>
    </row>
    <row r="129" spans="5:18">
      <c r="E129" s="1006" t="s">
        <v>656</v>
      </c>
      <c r="F129" s="1002" t="str">
        <f>IF(LEN($E129)&gt;1,_xll.BondInfo($E129,$F$4),"")</f>
        <v>BUND 04-jul-18 4.25%</v>
      </c>
      <c r="G129" s="678" t="str">
        <f t="array" ref="G129:Q129">IF(AND(QueryFlag="ON",NOT(ISNA(E129))),_xll.BondInfo(E129,$G$4:$Q$4),"")</f>
        <v/>
      </c>
      <c r="H129" s="668" t="str">
        <v/>
      </c>
      <c r="I129" s="666" t="str">
        <v/>
      </c>
      <c r="J129" s="668" t="str">
        <v/>
      </c>
      <c r="K129" s="668" t="str">
        <v/>
      </c>
      <c r="L129" s="668" t="str">
        <v/>
      </c>
      <c r="M129" s="668" t="str">
        <v/>
      </c>
      <c r="N129" s="669" t="str">
        <v/>
      </c>
      <c r="O129" s="670" t="str">
        <v/>
      </c>
      <c r="P129" s="667" t="str">
        <v/>
      </c>
      <c r="Q129" s="670" t="str">
        <v/>
      </c>
      <c r="R129" s="679" t="str">
        <f>IF(AND(QueryFlag="ON",NOT(ISNA(E129))),_xll.BondOutstanding(E129),"")</f>
        <v/>
      </c>
    </row>
    <row r="130" spans="5:18">
      <c r="E130" s="1006" t="s">
        <v>903</v>
      </c>
      <c r="F130" s="1002" t="str">
        <f>IF(LEN($E130)&gt;1,_xll.BondInfo($E130,$F$4),"")</f>
        <v>SHATZE 14-sep-18 0%</v>
      </c>
      <c r="G130" s="678" t="str">
        <f t="array" ref="G130:Q130">IF(AND(QueryFlag="ON",NOT(ISNA(E130))),_xll.BondInfo(E130,$G$4:$Q$4),"")</f>
        <v/>
      </c>
      <c r="H130" s="668" t="str">
        <v/>
      </c>
      <c r="I130" s="666" t="str">
        <v/>
      </c>
      <c r="J130" s="668" t="str">
        <v/>
      </c>
      <c r="K130" s="668" t="str">
        <v/>
      </c>
      <c r="L130" s="668" t="str">
        <v/>
      </c>
      <c r="M130" s="668" t="str">
        <v/>
      </c>
      <c r="N130" s="669" t="str">
        <v/>
      </c>
      <c r="O130" s="670" t="str">
        <v/>
      </c>
      <c r="P130" s="667" t="str">
        <v/>
      </c>
      <c r="Q130" s="670" t="str">
        <v/>
      </c>
      <c r="R130" s="679" t="str">
        <f>IF(AND(QueryFlag="ON",NOT(ISNA(E130))),_xll.BondOutstanding(E130),"")</f>
        <v/>
      </c>
    </row>
    <row r="131" spans="5:18">
      <c r="E131" s="1006" t="s">
        <v>657</v>
      </c>
      <c r="F131" s="1002" t="str">
        <f>IF(LEN($E131)&gt;1,_xll.BondInfo($E131,$F$4),"")</f>
        <v>OBL 167 0%</v>
      </c>
      <c r="G131" s="678" t="str">
        <f t="array" ref="G131:Q131">IF(AND(QueryFlag="ON",NOT(ISNA(E131))),_xll.BondInfo(E131,$G$4:$Q$4),"")</f>
        <v/>
      </c>
      <c r="H131" s="668" t="str">
        <v/>
      </c>
      <c r="I131" s="666" t="str">
        <v/>
      </c>
      <c r="J131" s="668" t="str">
        <v/>
      </c>
      <c r="K131" s="668" t="str">
        <v/>
      </c>
      <c r="L131" s="668" t="str">
        <v/>
      </c>
      <c r="M131" s="668" t="str">
        <v/>
      </c>
      <c r="N131" s="669" t="str">
        <v/>
      </c>
      <c r="O131" s="670" t="str">
        <v/>
      </c>
      <c r="P131" s="667" t="str">
        <v/>
      </c>
      <c r="Q131" s="670" t="str">
        <v/>
      </c>
      <c r="R131" s="679" t="str">
        <f>IF(AND(QueryFlag="ON",NOT(ISNA(E131))),_xll.BondOutstanding(E131),"")</f>
        <v/>
      </c>
    </row>
    <row r="132" spans="5:18">
      <c r="E132" s="1006" t="s">
        <v>912</v>
      </c>
      <c r="F132" s="1002" t="str">
        <f>IF(LEN($E132)&gt;1,_xll.BondInfo($E132,$F$4),"")</f>
        <v>SHATZE 14-dec-18 0%</v>
      </c>
      <c r="G132" s="678" t="str">
        <f t="array" ref="G132:Q132">IF(AND(QueryFlag="ON",NOT(ISNA(E132))),_xll.BondInfo(E132,$G$4:$Q$4),"")</f>
        <v/>
      </c>
      <c r="H132" s="668" t="str">
        <v/>
      </c>
      <c r="I132" s="666" t="str">
        <v/>
      </c>
      <c r="J132" s="668" t="str">
        <v/>
      </c>
      <c r="K132" s="668" t="str">
        <v/>
      </c>
      <c r="L132" s="668" t="str">
        <v/>
      </c>
      <c r="M132" s="668" t="str">
        <v/>
      </c>
      <c r="N132" s="669" t="str">
        <v/>
      </c>
      <c r="O132" s="670" t="str">
        <v/>
      </c>
      <c r="P132" s="667" t="str">
        <v/>
      </c>
      <c r="Q132" s="670" t="str">
        <v/>
      </c>
      <c r="R132" s="679" t="str">
        <f>IF(AND(QueryFlag="ON",NOT(ISNA(E132))),_xll.BondOutstanding(E132),"")</f>
        <v/>
      </c>
    </row>
    <row r="133" spans="5:18">
      <c r="E133" s="1006" t="s">
        <v>658</v>
      </c>
      <c r="F133" s="1002" t="str">
        <f>IF(LEN($E133)&gt;1,_xll.BondInfo($E133,$F$4),"")</f>
        <v>BUND 04-jan-19 3.75%</v>
      </c>
      <c r="G133" s="678" t="str">
        <f t="array" ref="G133:Q133">IF(AND(QueryFlag="ON",NOT(ISNA(E133))),_xll.BondInfo(E133,$G$4:$Q$4),"")</f>
        <v/>
      </c>
      <c r="H133" s="668" t="str">
        <v/>
      </c>
      <c r="I133" s="666" t="str">
        <v/>
      </c>
      <c r="J133" s="668" t="str">
        <v/>
      </c>
      <c r="K133" s="668" t="str">
        <v/>
      </c>
      <c r="L133" s="668" t="str">
        <v/>
      </c>
      <c r="M133" s="668" t="str">
        <v/>
      </c>
      <c r="N133" s="669" t="str">
        <v/>
      </c>
      <c r="O133" s="670" t="str">
        <v/>
      </c>
      <c r="P133" s="667" t="str">
        <v/>
      </c>
      <c r="Q133" s="670" t="str">
        <v/>
      </c>
      <c r="R133" s="679" t="str">
        <f>IF(AND(QueryFlag="ON",NOT(ISNA(E133))),_xll.BondOutstanding(E133),"")</f>
        <v/>
      </c>
    </row>
    <row r="134" spans="5:18">
      <c r="E134" s="1006" t="s">
        <v>412</v>
      </c>
      <c r="F134" s="1002" t="str">
        <f>IF(LEN($E134)&gt;1,_xll.BondInfo($E134,$F$4),"")</f>
        <v>OBL 120 0%</v>
      </c>
      <c r="G134" s="678" t="str">
        <f t="array" ref="G134:Q134">IF(AND(QueryFlag="ON",NOT(ISNA(E134))),_xll.BondInfo(E134,$G$4:$Q$4),"")</f>
        <v/>
      </c>
      <c r="H134" s="668" t="str">
        <v/>
      </c>
      <c r="I134" s="666" t="str">
        <v/>
      </c>
      <c r="J134" s="668" t="str">
        <v/>
      </c>
      <c r="K134" s="668" t="str">
        <v/>
      </c>
      <c r="L134" s="668" t="str">
        <v/>
      </c>
      <c r="M134" s="668" t="str">
        <v/>
      </c>
      <c r="N134" s="669" t="str">
        <v/>
      </c>
      <c r="O134" s="670" t="str">
        <v/>
      </c>
      <c r="P134" s="667" t="str">
        <v/>
      </c>
      <c r="Q134" s="670" t="str">
        <v/>
      </c>
      <c r="R134" s="679" t="str">
        <f>IF(AND(QueryFlag="ON",NOT(ISNA(E134))),_xll.BondOutstanding(E134),"")</f>
        <v/>
      </c>
    </row>
    <row r="135" spans="5:18">
      <c r="E135" s="1006" t="s">
        <v>940</v>
      </c>
      <c r="F135" s="1002" t="str">
        <f>IF(LEN($E135)&gt;1,_xll.BondInfo($E135,$F$4),"")</f>
        <v>SHATZE 15-mar-19 0%</v>
      </c>
      <c r="G135" s="678" t="str">
        <f t="array" ref="G135:Q135">IF(AND(QueryFlag="ON",NOT(ISNA(E135))),_xll.BondInfo(E135,$G$4:$Q$4),"")</f>
        <v/>
      </c>
      <c r="H135" s="668" t="str">
        <v/>
      </c>
      <c r="I135" s="666" t="str">
        <v/>
      </c>
      <c r="J135" s="668" t="str">
        <v/>
      </c>
      <c r="K135" s="668" t="str">
        <v/>
      </c>
      <c r="L135" s="668" t="str">
        <v/>
      </c>
      <c r="M135" s="668" t="str">
        <v/>
      </c>
      <c r="N135" s="669" t="str">
        <v/>
      </c>
      <c r="O135" s="670" t="str">
        <v/>
      </c>
      <c r="P135" s="667" t="str">
        <v/>
      </c>
      <c r="Q135" s="670" t="str">
        <v/>
      </c>
      <c r="R135" s="679" t="str">
        <f>IF(AND(QueryFlag="ON",NOT(ISNA(E135))),_xll.BondOutstanding(E135),"")</f>
        <v/>
      </c>
    </row>
    <row r="136" spans="5:18">
      <c r="E136" s="1006" t="s">
        <v>413</v>
      </c>
      <c r="F136" s="1002" t="str">
        <f>IF(LEN($E136)&gt;1,_xll.BondInfo($E136,$F$4),"")</f>
        <v>OBL 169 .5%</v>
      </c>
      <c r="G136" s="678" t="str">
        <f t="array" ref="G136:Q136">IF(AND(QueryFlag="ON",NOT(ISNA(E136))),_xll.BondInfo(E136,$G$4:$Q$4),"")</f>
        <v/>
      </c>
      <c r="H136" s="668" t="str">
        <v/>
      </c>
      <c r="I136" s="666" t="str">
        <v/>
      </c>
      <c r="J136" s="668" t="str">
        <v/>
      </c>
      <c r="K136" s="668" t="str">
        <v/>
      </c>
      <c r="L136" s="668" t="str">
        <v/>
      </c>
      <c r="M136" s="668" t="str">
        <v/>
      </c>
      <c r="N136" s="669" t="str">
        <v/>
      </c>
      <c r="O136" s="670" t="str">
        <v/>
      </c>
      <c r="P136" s="667" t="str">
        <v/>
      </c>
      <c r="Q136" s="670" t="str">
        <v/>
      </c>
      <c r="R136" s="679" t="str">
        <f>IF(AND(QueryFlag="ON",NOT(ISNA(E136))),_xll.BondOutstanding(E136),"")</f>
        <v/>
      </c>
    </row>
    <row r="137" spans="5:18">
      <c r="E137" s="1006" t="s">
        <v>989</v>
      </c>
      <c r="F137" s="1002" t="str">
        <f>IF(LEN($E137)&gt;1,_xll.BondInfo($E137,$F$4),"")</f>
        <v>SHATZE 14-jun-19 0%</v>
      </c>
      <c r="G137" s="678" t="str">
        <f t="array" ref="G137:Q137">IF(AND(QueryFlag="ON",NOT(ISNA(E137))),_xll.BondInfo(E137,$G$4:$Q$4),"")</f>
        <v/>
      </c>
      <c r="H137" s="668" t="str">
        <v/>
      </c>
      <c r="I137" s="666" t="str">
        <v/>
      </c>
      <c r="J137" s="668" t="str">
        <v/>
      </c>
      <c r="K137" s="668" t="str">
        <v/>
      </c>
      <c r="L137" s="668" t="str">
        <v/>
      </c>
      <c r="M137" s="668" t="str">
        <v/>
      </c>
      <c r="N137" s="669" t="str">
        <v/>
      </c>
      <c r="O137" s="670" t="str">
        <v/>
      </c>
      <c r="P137" s="667" t="str">
        <v/>
      </c>
      <c r="Q137" s="670" t="str">
        <v/>
      </c>
      <c r="R137" s="679" t="str">
        <f>IF(AND(QueryFlag="ON",NOT(ISNA(E137))),_xll.BondOutstanding(E137),"")</f>
        <v/>
      </c>
    </row>
    <row r="138" spans="5:18">
      <c r="E138" s="1006" t="s">
        <v>659</v>
      </c>
      <c r="F138" s="1002" t="str">
        <f>IF(LEN($E138)&gt;1,_xll.BondInfo($E138,$F$4),"")</f>
        <v>BUND 04-jul-19 3.5%</v>
      </c>
      <c r="G138" s="678" t="str">
        <f t="array" ref="G138:Q138">IF(AND(QueryFlag="ON",NOT(ISNA(E138))),_xll.BondInfo(E138,$G$4:$Q$4),"")</f>
        <v/>
      </c>
      <c r="H138" s="668" t="str">
        <v/>
      </c>
      <c r="I138" s="666" t="str">
        <v/>
      </c>
      <c r="J138" s="668" t="str">
        <v/>
      </c>
      <c r="K138" s="668" t="str">
        <v/>
      </c>
      <c r="L138" s="668" t="str">
        <v/>
      </c>
      <c r="M138" s="668" t="str">
        <v/>
      </c>
      <c r="N138" s="669" t="str">
        <v/>
      </c>
      <c r="O138" s="670" t="str">
        <v/>
      </c>
      <c r="P138" s="667" t="str">
        <v/>
      </c>
      <c r="Q138" s="670" t="str">
        <v/>
      </c>
      <c r="R138" s="679" t="str">
        <f>IF(AND(QueryFlag="ON",NOT(ISNA(E138))),_xll.BondOutstanding(E138),"")</f>
        <v/>
      </c>
    </row>
    <row r="139" spans="5:18">
      <c r="E139" s="1006" t="s">
        <v>1012</v>
      </c>
      <c r="F139" s="1002" t="str">
        <f>IF(LEN($E139)&gt;1,_xll.BondInfo($E139,$F$4),"")</f>
        <v>SHATZE 13-sep-19 0%</v>
      </c>
      <c r="G139" s="678" t="str">
        <f t="array" ref="G139:Q139">IF(AND(QueryFlag="ON",NOT(ISNA(E139))),_xll.BondInfo(E139,$G$4:$Q$4),"")</f>
        <v/>
      </c>
      <c r="H139" s="668" t="str">
        <v/>
      </c>
      <c r="I139" s="666" t="str">
        <v/>
      </c>
      <c r="J139" s="668" t="str">
        <v/>
      </c>
      <c r="K139" s="668" t="str">
        <v/>
      </c>
      <c r="L139" s="668" t="str">
        <v/>
      </c>
      <c r="M139" s="668" t="str">
        <v/>
      </c>
      <c r="N139" s="669" t="str">
        <v/>
      </c>
      <c r="O139" s="670" t="str">
        <v/>
      </c>
      <c r="P139" s="667" t="str">
        <v/>
      </c>
      <c r="Q139" s="670" t="str">
        <v/>
      </c>
      <c r="R139" s="679" t="str">
        <f>IF(AND(QueryFlag="ON",NOT(ISNA(E139))),_xll.BondOutstanding(E139),"")</f>
        <v/>
      </c>
    </row>
    <row r="140" spans="5:18">
      <c r="E140" s="1006" t="s">
        <v>414</v>
      </c>
      <c r="F140" s="1002" t="str">
        <f>IF(LEN($E140)&gt;1,_xll.BondInfo($E140,$F$4),"")</f>
        <v>OBL 170 .25%</v>
      </c>
      <c r="G140" s="678" t="str">
        <f t="array" ref="G140:Q140">IF(AND(QueryFlag="ON",NOT(ISNA(E140))),_xll.BondInfo(E140,$G$4:$Q$4),"")</f>
        <v/>
      </c>
      <c r="H140" s="668" t="str">
        <v/>
      </c>
      <c r="I140" s="666" t="str">
        <v/>
      </c>
      <c r="J140" s="668" t="str">
        <v/>
      </c>
      <c r="K140" s="668" t="str">
        <v/>
      </c>
      <c r="L140" s="668" t="str">
        <v/>
      </c>
      <c r="M140" s="668" t="str">
        <v/>
      </c>
      <c r="N140" s="669" t="str">
        <v/>
      </c>
      <c r="O140" s="670" t="str">
        <v/>
      </c>
      <c r="P140" s="667" t="str">
        <v/>
      </c>
      <c r="Q140" s="670" t="str">
        <v/>
      </c>
      <c r="R140" s="679" t="str">
        <f>IF(AND(QueryFlag="ON",NOT(ISNA(E140))),_xll.BondOutstanding(E140),"")</f>
        <v/>
      </c>
    </row>
    <row r="141" spans="5:18">
      <c r="E141" s="1006" t="s">
        <v>1701</v>
      </c>
      <c r="F141" s="1002" t="str">
        <f>IF(LEN($E141)&gt;1,_xll.BondInfo($E141,$F$4),"")</f>
        <v>SHATZE 13-dec-19 0%</v>
      </c>
      <c r="G141" s="678" t="str">
        <f t="array" ref="G141:Q141">IF(AND(QueryFlag="ON",NOT(ISNA(E141))),_xll.BondInfo(E141,$G$4:$Q$4),"")</f>
        <v/>
      </c>
      <c r="H141" s="668" t="str">
        <v/>
      </c>
      <c r="I141" s="666" t="str">
        <v/>
      </c>
      <c r="J141" s="668" t="str">
        <v/>
      </c>
      <c r="K141" s="668" t="str">
        <v/>
      </c>
      <c r="L141" s="668" t="str">
        <v/>
      </c>
      <c r="M141" s="668" t="str">
        <v/>
      </c>
      <c r="N141" s="669" t="str">
        <v/>
      </c>
      <c r="O141" s="670" t="str">
        <v/>
      </c>
      <c r="P141" s="667" t="str">
        <v/>
      </c>
      <c r="Q141" s="670" t="str">
        <v/>
      </c>
      <c r="R141" s="679" t="str">
        <f>IF(AND(QueryFlag="ON",NOT(ISNA(E141))),_xll.BondOutstanding(E141),"")</f>
        <v/>
      </c>
    </row>
    <row r="142" spans="5:18">
      <c r="E142" s="1006" t="s">
        <v>660</v>
      </c>
      <c r="F142" s="1002" t="str">
        <f>IF(LEN($E142)&gt;1,_xll.BondInfo($E142,$F$4),"")</f>
        <v>BUND 04-jan-20 3.25%</v>
      </c>
      <c r="G142" s="678" t="str">
        <f t="array" ref="G142:Q142">IF(AND(QueryFlag="ON",NOT(ISNA(E142))),_xll.BondInfo(E142,$G$4:$Q$4),"")</f>
        <v/>
      </c>
      <c r="H142" s="668" t="str">
        <v/>
      </c>
      <c r="I142" s="666" t="str">
        <v/>
      </c>
      <c r="J142" s="668" t="str">
        <v/>
      </c>
      <c r="K142" s="668" t="str">
        <v/>
      </c>
      <c r="L142" s="668" t="str">
        <v/>
      </c>
      <c r="M142" s="668" t="str">
        <v/>
      </c>
      <c r="N142" s="669" t="str">
        <v/>
      </c>
      <c r="O142" s="670" t="str">
        <v/>
      </c>
      <c r="P142" s="667" t="str">
        <v/>
      </c>
      <c r="Q142" s="670" t="str">
        <v/>
      </c>
      <c r="R142" s="679" t="str">
        <f>IF(AND(QueryFlag="ON",NOT(ISNA(E142))),_xll.BondOutstanding(E142),"")</f>
        <v/>
      </c>
    </row>
    <row r="143" spans="5:18">
      <c r="E143" s="1006" t="s">
        <v>2039</v>
      </c>
      <c r="F143" s="1002" t="str">
        <f>IF(LEN($E143)&gt;1,_xll.BondInfo($E143,$F$4),"")</f>
        <v>SHATZE 13-mar-20 0%</v>
      </c>
      <c r="G143" s="678" t="str">
        <f t="array" ref="G143:Q143">IF(AND(QueryFlag="ON",NOT(ISNA(E143))),_xll.BondInfo(E143,$G$4:$Q$4),"")</f>
        <v/>
      </c>
      <c r="H143" s="668" t="str">
        <v/>
      </c>
      <c r="I143" s="666" t="str">
        <v/>
      </c>
      <c r="J143" s="668" t="str">
        <v/>
      </c>
      <c r="K143" s="668" t="str">
        <v/>
      </c>
      <c r="L143" s="668" t="str">
        <v/>
      </c>
      <c r="M143" s="668" t="str">
        <v/>
      </c>
      <c r="N143" s="669" t="str">
        <v/>
      </c>
      <c r="O143" s="670" t="str">
        <v/>
      </c>
      <c r="P143" s="667" t="str">
        <v/>
      </c>
      <c r="Q143" s="670" t="str">
        <v/>
      </c>
      <c r="R143" s="679" t="str">
        <f>IF(AND(QueryFlag="ON",NOT(ISNA(E143))),_xll.BondOutstanding(E143),"")</f>
        <v/>
      </c>
    </row>
    <row r="144" spans="5:18">
      <c r="E144" s="1006" t="s">
        <v>587</v>
      </c>
      <c r="F144" s="1002" t="str">
        <f>IF(LEN($E144)&gt;1,_xll.BondInfo($E144,$F$4),"")</f>
        <v>OBL 171 0%</v>
      </c>
      <c r="G144" s="678" t="str">
        <f t="array" ref="G144:Q144">IF(AND(QueryFlag="ON",NOT(ISNA(E144))),_xll.BondInfo(E144,$G$4:$Q$4),"")</f>
        <v/>
      </c>
      <c r="H144" s="668" t="str">
        <v/>
      </c>
      <c r="I144" s="666" t="str">
        <v/>
      </c>
      <c r="J144" s="668" t="str">
        <v/>
      </c>
      <c r="K144" s="668" t="str">
        <v/>
      </c>
      <c r="L144" s="668" t="str">
        <v/>
      </c>
      <c r="M144" s="668" t="str">
        <v/>
      </c>
      <c r="N144" s="669" t="str">
        <v/>
      </c>
      <c r="O144" s="670" t="str">
        <v/>
      </c>
      <c r="P144" s="667" t="str">
        <v/>
      </c>
      <c r="Q144" s="670" t="str">
        <v/>
      </c>
      <c r="R144" s="679" t="str">
        <f>IF(AND(QueryFlag="ON",NOT(ISNA(E144))),_xll.BondOutstanding(E144),"")</f>
        <v/>
      </c>
    </row>
    <row r="145" spans="5:18">
      <c r="E145" s="1006" t="s">
        <v>661</v>
      </c>
      <c r="F145" s="1002" t="str">
        <f>IF(LEN($E145)&gt;1,_xll.BondInfo($E145,$F$4),"")</f>
        <v>BUND 04-jul-20 3%</v>
      </c>
      <c r="G145" s="678" t="str">
        <f t="array" ref="G145:Q145">IF(AND(QueryFlag="ON",NOT(ISNA(E145))),_xll.BondInfo(E145,$G$4:$Q$4),"")</f>
        <v/>
      </c>
      <c r="H145" s="668" t="str">
        <v/>
      </c>
      <c r="I145" s="666" t="str">
        <v/>
      </c>
      <c r="J145" s="668" t="str">
        <v/>
      </c>
      <c r="K145" s="668" t="str">
        <v/>
      </c>
      <c r="L145" s="668" t="str">
        <v/>
      </c>
      <c r="M145" s="668" t="str">
        <v/>
      </c>
      <c r="N145" s="669" t="str">
        <v/>
      </c>
      <c r="O145" s="670" t="str">
        <v/>
      </c>
      <c r="P145" s="667" t="str">
        <v/>
      </c>
      <c r="Q145" s="670" t="str">
        <v/>
      </c>
      <c r="R145" s="679" t="str">
        <f>IF(AND(QueryFlag="ON",NOT(ISNA(E145))),_xll.BondOutstanding(E145),"")</f>
        <v/>
      </c>
    </row>
    <row r="146" spans="5:18">
      <c r="E146" s="1006" t="s">
        <v>662</v>
      </c>
      <c r="F146" s="1002" t="str">
        <f>IF(LEN($E146)&gt;1,_xll.BondInfo($E146,$F$4),"")</f>
        <v>BUND 04-sep-20 2.25%</v>
      </c>
      <c r="G146" s="678" t="str">
        <f t="array" ref="G146:Q146">IF(AND(QueryFlag="ON",NOT(ISNA(E146))),_xll.BondInfo(E146,$G$4:$Q$4),"")</f>
        <v/>
      </c>
      <c r="H146" s="668" t="str">
        <v/>
      </c>
      <c r="I146" s="666" t="str">
        <v/>
      </c>
      <c r="J146" s="668" t="str">
        <v/>
      </c>
      <c r="K146" s="668" t="str">
        <v/>
      </c>
      <c r="L146" s="668" t="str">
        <v/>
      </c>
      <c r="M146" s="668" t="str">
        <v/>
      </c>
      <c r="N146" s="669" t="str">
        <v/>
      </c>
      <c r="O146" s="670" t="str">
        <v/>
      </c>
      <c r="P146" s="667" t="str">
        <v/>
      </c>
      <c r="Q146" s="670" t="str">
        <v/>
      </c>
      <c r="R146" s="679" t="str">
        <f>IF(AND(QueryFlag="ON",NOT(ISNA(E146))),_xll.BondOutstanding(E146),"")</f>
        <v/>
      </c>
    </row>
    <row r="147" spans="5:18">
      <c r="E147" s="1006" t="s">
        <v>763</v>
      </c>
      <c r="F147" s="1002" t="str">
        <f>IF(LEN($E147)&gt;1,_xll.BondInfo($E147,$F$4),"")</f>
        <v>OBL 172 .25%</v>
      </c>
      <c r="G147" s="678" t="str">
        <f t="array" ref="G147:Q147">IF(AND(QueryFlag="ON",NOT(ISNA(E147))),_xll.BondInfo(E147,$G$4:$Q$4),"")</f>
        <v/>
      </c>
      <c r="H147" s="668" t="str">
        <v/>
      </c>
      <c r="I147" s="666" t="str">
        <v/>
      </c>
      <c r="J147" s="668" t="str">
        <v/>
      </c>
      <c r="K147" s="668" t="str">
        <v/>
      </c>
      <c r="L147" s="668" t="str">
        <v/>
      </c>
      <c r="M147" s="668" t="str">
        <v/>
      </c>
      <c r="N147" s="669" t="str">
        <v/>
      </c>
      <c r="O147" s="670" t="str">
        <v/>
      </c>
      <c r="P147" s="667" t="str">
        <v/>
      </c>
      <c r="Q147" s="670" t="str">
        <v/>
      </c>
      <c r="R147" s="679" t="str">
        <f>IF(AND(QueryFlag="ON",NOT(ISNA(E147))),_xll.BondOutstanding(E147),"")</f>
        <v/>
      </c>
    </row>
    <row r="148" spans="5:18">
      <c r="E148" s="1006" t="s">
        <v>663</v>
      </c>
      <c r="F148" s="1002" t="str">
        <f>IF(LEN($E148)&gt;1,_xll.BondInfo($E148,$F$4),"")</f>
        <v>BUND 04-jan-21 2.5%</v>
      </c>
      <c r="G148" s="678" t="str">
        <f t="array" ref="G148:Q148">IF(AND(QueryFlag="ON",NOT(ISNA(E148))),_xll.BondInfo(E148,$G$4:$Q$4),"")</f>
        <v/>
      </c>
      <c r="H148" s="668" t="str">
        <v/>
      </c>
      <c r="I148" s="666" t="str">
        <v/>
      </c>
      <c r="J148" s="668" t="str">
        <v/>
      </c>
      <c r="K148" s="668" t="str">
        <v/>
      </c>
      <c r="L148" s="668" t="str">
        <v/>
      </c>
      <c r="M148" s="668" t="str">
        <v/>
      </c>
      <c r="N148" s="669" t="str">
        <v/>
      </c>
      <c r="O148" s="670" t="str">
        <v/>
      </c>
      <c r="P148" s="667" t="str">
        <v/>
      </c>
      <c r="Q148" s="670" t="str">
        <v/>
      </c>
      <c r="R148" s="679" t="str">
        <f>IF(AND(QueryFlag="ON",NOT(ISNA(E148))),_xll.BondOutstanding(E148),"")</f>
        <v/>
      </c>
    </row>
    <row r="149" spans="5:18">
      <c r="E149" s="1006" t="s">
        <v>816</v>
      </c>
      <c r="F149" s="1002" t="str">
        <f>IF(LEN($E149)&gt;1,_xll.BondInfo($E149,$F$4),"")</f>
        <v>OBL 173 0%</v>
      </c>
      <c r="G149" s="678" t="str">
        <f t="array" ref="G149:Q149">IF(AND(QueryFlag="ON",NOT(ISNA(E149))),_xll.BondInfo(E149,$G$4:$Q$4),"")</f>
        <v/>
      </c>
      <c r="H149" s="668" t="str">
        <v/>
      </c>
      <c r="I149" s="666" t="str">
        <v/>
      </c>
      <c r="J149" s="668" t="str">
        <v/>
      </c>
      <c r="K149" s="668" t="str">
        <v/>
      </c>
      <c r="L149" s="668" t="str">
        <v/>
      </c>
      <c r="M149" s="668" t="str">
        <v/>
      </c>
      <c r="N149" s="669" t="str">
        <v/>
      </c>
      <c r="O149" s="670" t="str">
        <v/>
      </c>
      <c r="P149" s="667" t="str">
        <v/>
      </c>
      <c r="Q149" s="670" t="str">
        <v/>
      </c>
      <c r="R149" s="679" t="str">
        <f>IF(AND(QueryFlag="ON",NOT(ISNA(E149))),_xll.BondOutstanding(E149),"")</f>
        <v/>
      </c>
    </row>
    <row r="150" spans="5:18">
      <c r="E150" s="1006" t="s">
        <v>664</v>
      </c>
      <c r="F150" s="1002" t="str">
        <f>IF(LEN($E150)&gt;1,_xll.BondInfo($E150,$F$4),"")</f>
        <v>BUND 04-jul-21 3.25%</v>
      </c>
      <c r="G150" s="678" t="str">
        <f t="array" ref="G150:Q150">IF(AND(QueryFlag="ON",NOT(ISNA(E150))),_xll.BondInfo(E150,$G$4:$Q$4),"")</f>
        <v/>
      </c>
      <c r="H150" s="668" t="str">
        <v/>
      </c>
      <c r="I150" s="666" t="str">
        <v/>
      </c>
      <c r="J150" s="668" t="str">
        <v/>
      </c>
      <c r="K150" s="668" t="str">
        <v/>
      </c>
      <c r="L150" s="668" t="str">
        <v/>
      </c>
      <c r="M150" s="668" t="str">
        <v/>
      </c>
      <c r="N150" s="669" t="str">
        <v/>
      </c>
      <c r="O150" s="670" t="str">
        <v/>
      </c>
      <c r="P150" s="667" t="str">
        <v/>
      </c>
      <c r="Q150" s="670" t="str">
        <v/>
      </c>
      <c r="R150" s="679" t="str">
        <f>IF(AND(QueryFlag="ON",NOT(ISNA(E150))),_xll.BondOutstanding(E150),"")</f>
        <v/>
      </c>
    </row>
    <row r="151" spans="5:18">
      <c r="E151" s="1006" t="s">
        <v>665</v>
      </c>
      <c r="F151" s="1002" t="str">
        <f>IF(LEN($E151)&gt;1,_xll.BondInfo($E151,$F$4),"")</f>
        <v>BUND 04-sep-21 2.25%</v>
      </c>
      <c r="G151" s="678" t="str">
        <f t="array" ref="G151:Q151">IF(AND(QueryFlag="ON",NOT(ISNA(E151))),_xll.BondInfo(E151,$G$4:$Q$4),"")</f>
        <v/>
      </c>
      <c r="H151" s="668" t="str">
        <v/>
      </c>
      <c r="I151" s="666" t="str">
        <v/>
      </c>
      <c r="J151" s="668" t="str">
        <v/>
      </c>
      <c r="K151" s="668" t="str">
        <v/>
      </c>
      <c r="L151" s="668" t="str">
        <v/>
      </c>
      <c r="M151" s="668" t="str">
        <v/>
      </c>
      <c r="N151" s="669" t="str">
        <v/>
      </c>
      <c r="O151" s="670" t="str">
        <v/>
      </c>
      <c r="P151" s="667" t="str">
        <v/>
      </c>
      <c r="Q151" s="670" t="str">
        <v/>
      </c>
      <c r="R151" s="679" t="str">
        <f>IF(AND(QueryFlag="ON",NOT(ISNA(E151))),_xll.BondOutstanding(E151),"")</f>
        <v/>
      </c>
    </row>
    <row r="152" spans="5:18">
      <c r="E152" s="1006" t="s">
        <v>904</v>
      </c>
      <c r="F152" s="1002" t="str">
        <f>IF(LEN($E152)&gt;1,_xll.BondInfo($E152,$F$4),"")</f>
        <v>OBL 174 0%</v>
      </c>
      <c r="G152" s="678" t="str">
        <f t="array" ref="G152:Q152">IF(AND(QueryFlag="ON",NOT(ISNA(E152))),_xll.BondInfo(E152,$G$4:$Q$4),"")</f>
        <v/>
      </c>
      <c r="H152" s="668" t="str">
        <v/>
      </c>
      <c r="I152" s="666" t="str">
        <v/>
      </c>
      <c r="J152" s="668" t="str">
        <v/>
      </c>
      <c r="K152" s="668" t="str">
        <v/>
      </c>
      <c r="L152" s="668" t="str">
        <v/>
      </c>
      <c r="M152" s="668" t="str">
        <v/>
      </c>
      <c r="N152" s="669" t="str">
        <v/>
      </c>
      <c r="O152" s="670" t="str">
        <v/>
      </c>
      <c r="P152" s="667" t="str">
        <v/>
      </c>
      <c r="Q152" s="670" t="str">
        <v/>
      </c>
      <c r="R152" s="679" t="str">
        <f>IF(AND(QueryFlag="ON",NOT(ISNA(E152))),_xll.BondOutstanding(E152),"")</f>
        <v/>
      </c>
    </row>
    <row r="153" spans="5:18">
      <c r="E153" s="1006" t="s">
        <v>666</v>
      </c>
      <c r="F153" s="1002" t="str">
        <f>IF(LEN($E153)&gt;1,_xll.BondInfo($E153,$F$4),"")</f>
        <v>BUND 04-jan-22 2%</v>
      </c>
      <c r="G153" s="678" t="str">
        <f t="array" ref="G153:Q153">IF(AND(QueryFlag="ON",NOT(ISNA(E153))),_xll.BondInfo(E153,$G$4:$Q$4),"")</f>
        <v/>
      </c>
      <c r="H153" s="668" t="str">
        <v/>
      </c>
      <c r="I153" s="666" t="str">
        <v/>
      </c>
      <c r="J153" s="668" t="str">
        <v/>
      </c>
      <c r="K153" s="668" t="str">
        <v/>
      </c>
      <c r="L153" s="668" t="str">
        <v/>
      </c>
      <c r="M153" s="668" t="str">
        <v/>
      </c>
      <c r="N153" s="669" t="str">
        <v/>
      </c>
      <c r="O153" s="670" t="str">
        <v/>
      </c>
      <c r="P153" s="667" t="str">
        <v/>
      </c>
      <c r="Q153" s="670" t="str">
        <v/>
      </c>
      <c r="R153" s="679" t="str">
        <f>IF(AND(QueryFlag="ON",NOT(ISNA(E153))),_xll.BondOutstanding(E153),"")</f>
        <v/>
      </c>
    </row>
    <row r="154" spans="5:18">
      <c r="E154" s="1006" t="s">
        <v>942</v>
      </c>
      <c r="F154" s="1002" t="str">
        <f>IF(LEN($E154)&gt;1,_xll.BondInfo($E154,$F$4),"")</f>
        <v>OBL 120 0%</v>
      </c>
      <c r="G154" s="678" t="str">
        <f t="array" ref="G154:Q154">IF(AND(QueryFlag="ON",NOT(ISNA(E154))),_xll.BondInfo(E154,$G$4:$Q$4),"")</f>
        <v/>
      </c>
      <c r="H154" s="668" t="str">
        <v/>
      </c>
      <c r="I154" s="666" t="str">
        <v/>
      </c>
      <c r="J154" s="668" t="str">
        <v/>
      </c>
      <c r="K154" s="668" t="str">
        <v/>
      </c>
      <c r="L154" s="668" t="str">
        <v/>
      </c>
      <c r="M154" s="668" t="str">
        <v/>
      </c>
      <c r="N154" s="669" t="str">
        <v/>
      </c>
      <c r="O154" s="670" t="str">
        <v/>
      </c>
      <c r="P154" s="667" t="str">
        <v/>
      </c>
      <c r="Q154" s="670" t="str">
        <v/>
      </c>
      <c r="R154" s="679" t="str">
        <f>IF(AND(QueryFlag="ON",NOT(ISNA(E154))),_xll.BondOutstanding(E154),"")</f>
        <v/>
      </c>
    </row>
    <row r="155" spans="5:18">
      <c r="E155" s="1006" t="s">
        <v>667</v>
      </c>
      <c r="F155" s="1002" t="str">
        <f>IF(LEN($E155)&gt;1,_xll.BondInfo($E155,$F$4),"")</f>
        <v>BUND 04-jul-22 1.75%</v>
      </c>
      <c r="G155" s="678" t="str">
        <f t="array" ref="G155:Q155">IF(AND(QueryFlag="ON",NOT(ISNA(E155))),_xll.BondInfo(E155,$G$4:$Q$4),"")</f>
        <v/>
      </c>
      <c r="H155" s="668" t="str">
        <v/>
      </c>
      <c r="I155" s="666" t="str">
        <v/>
      </c>
      <c r="J155" s="668" t="str">
        <v/>
      </c>
      <c r="K155" s="668" t="str">
        <v/>
      </c>
      <c r="L155" s="668" t="str">
        <v/>
      </c>
      <c r="M155" s="668" t="str">
        <v/>
      </c>
      <c r="N155" s="669" t="str">
        <v/>
      </c>
      <c r="O155" s="670" t="str">
        <v/>
      </c>
      <c r="P155" s="667" t="str">
        <v/>
      </c>
      <c r="Q155" s="670" t="str">
        <v/>
      </c>
      <c r="R155" s="679" t="str">
        <f>IF(AND(QueryFlag="ON",NOT(ISNA(E155))),_xll.BondOutstanding(E155),"")</f>
        <v/>
      </c>
    </row>
    <row r="156" spans="5:18">
      <c r="E156" s="1006" t="s">
        <v>668</v>
      </c>
      <c r="F156" s="1002" t="str">
        <f>IF(LEN($E156)&gt;1,_xll.BondInfo($E156,$F$4),"")</f>
        <v>BUND 04-sep-22 0%</v>
      </c>
      <c r="G156" s="678" t="str">
        <f t="array" ref="G156:Q156">IF(AND(QueryFlag="ON",NOT(ISNA(E156))),_xll.BondInfo(E156,$G$4:$Q$4),"")</f>
        <v/>
      </c>
      <c r="H156" s="668" t="str">
        <v/>
      </c>
      <c r="I156" s="666" t="str">
        <v/>
      </c>
      <c r="J156" s="668" t="str">
        <v/>
      </c>
      <c r="K156" s="668" t="str">
        <v/>
      </c>
      <c r="L156" s="668" t="str">
        <v/>
      </c>
      <c r="M156" s="668" t="str">
        <v/>
      </c>
      <c r="N156" s="669" t="str">
        <v/>
      </c>
      <c r="O156" s="670" t="str">
        <v/>
      </c>
      <c r="P156" s="667" t="str">
        <v/>
      </c>
      <c r="Q156" s="670" t="str">
        <v/>
      </c>
      <c r="R156" s="679" t="str">
        <f>IF(AND(QueryFlag="ON",NOT(ISNA(E156))),_xll.BondOutstanding(E156),"")</f>
        <v/>
      </c>
    </row>
    <row r="157" spans="5:18">
      <c r="E157" s="1006" t="s">
        <v>1014</v>
      </c>
      <c r="F157" s="1002" t="str">
        <f>IF(LEN($E157)&gt;1,_xll.BondInfo($E157,$F$4),"")</f>
        <v>OBL 120 0%</v>
      </c>
      <c r="G157" s="678" t="str">
        <f t="array" ref="G157:Q157">IF(AND(QueryFlag="ON",NOT(ISNA(E157))),_xll.BondInfo(E157,$G$4:$Q$4),"")</f>
        <v/>
      </c>
      <c r="H157" s="668" t="str">
        <v/>
      </c>
      <c r="I157" s="666" t="str">
        <v/>
      </c>
      <c r="J157" s="668" t="str">
        <v/>
      </c>
      <c r="K157" s="668" t="str">
        <v/>
      </c>
      <c r="L157" s="668" t="str">
        <v/>
      </c>
      <c r="M157" s="668" t="str">
        <v/>
      </c>
      <c r="N157" s="669" t="str">
        <v/>
      </c>
      <c r="O157" s="670" t="str">
        <v/>
      </c>
      <c r="P157" s="667" t="str">
        <v/>
      </c>
      <c r="Q157" s="670" t="str">
        <v/>
      </c>
      <c r="R157" s="679" t="str">
        <f>IF(AND(QueryFlag="ON",NOT(ISNA(E157))),_xll.BondOutstanding(E157),"")</f>
        <v/>
      </c>
    </row>
    <row r="158" spans="5:18">
      <c r="E158" s="1006" t="s">
        <v>669</v>
      </c>
      <c r="F158" s="1002" t="str">
        <f>IF(LEN($E158)&gt;1,_xll.BondInfo($E158,$F$4),"")</f>
        <v>BUND 15-feb-23 1.5%</v>
      </c>
      <c r="G158" s="678" t="str">
        <f t="array" ref="G158:Q158">IF(AND(QueryFlag="ON",NOT(ISNA(E158))),_xll.BondInfo(E158,$G$4:$Q$4),"")</f>
        <v/>
      </c>
      <c r="H158" s="668" t="str">
        <v/>
      </c>
      <c r="I158" s="666" t="str">
        <v/>
      </c>
      <c r="J158" s="668" t="str">
        <v/>
      </c>
      <c r="K158" s="668" t="str">
        <v/>
      </c>
      <c r="L158" s="668" t="str">
        <v/>
      </c>
      <c r="M158" s="668" t="str">
        <v/>
      </c>
      <c r="N158" s="669" t="str">
        <v/>
      </c>
      <c r="O158" s="670" t="str">
        <v/>
      </c>
      <c r="P158" s="667" t="str">
        <v/>
      </c>
      <c r="Q158" s="670" t="str">
        <v/>
      </c>
      <c r="R158" s="679" t="str">
        <f>IF(AND(QueryFlag="ON",NOT(ISNA(E158))),_xll.BondOutstanding(E158),"")</f>
        <v/>
      </c>
    </row>
    <row r="159" spans="5:18">
      <c r="E159" s="1006" t="s">
        <v>2030</v>
      </c>
      <c r="F159" s="1002" t="str">
        <f>IF(LEN($E159)&gt;1,_xll.BondInfo($E159,$F$4),"")</f>
        <v>OBL 120 0%</v>
      </c>
      <c r="G159" s="678" t="str">
        <f t="array" ref="G159:Q159">IF(AND(QueryFlag="ON",NOT(ISNA(E159))),_xll.BondInfo(E159,$G$4:$Q$4),"")</f>
        <v/>
      </c>
      <c r="H159" s="668" t="str">
        <v/>
      </c>
      <c r="I159" s="666" t="str">
        <v/>
      </c>
      <c r="J159" s="668" t="str">
        <v/>
      </c>
      <c r="K159" s="668" t="str">
        <v/>
      </c>
      <c r="L159" s="668" t="str">
        <v/>
      </c>
      <c r="M159" s="668" t="str">
        <v/>
      </c>
      <c r="N159" s="669" t="str">
        <v/>
      </c>
      <c r="O159" s="670" t="str">
        <v/>
      </c>
      <c r="P159" s="667" t="str">
        <v/>
      </c>
      <c r="Q159" s="670" t="str">
        <v/>
      </c>
      <c r="R159" s="679" t="str">
        <f>IF(AND(QueryFlag="ON",NOT(ISNA(E159))),_xll.BondOutstanding(E159),"")</f>
        <v/>
      </c>
    </row>
    <row r="160" spans="5:18">
      <c r="E160" s="1006" t="s">
        <v>670</v>
      </c>
      <c r="F160" s="1002" t="str">
        <f>IF(LEN($E160)&gt;1,_xll.BondInfo($E160,$F$4),"")</f>
        <v>BUND 15-may-23 1.5%</v>
      </c>
      <c r="G160" s="678" t="str">
        <f t="array" ref="G160:Q160">IF(AND(QueryFlag="ON",NOT(ISNA(E160))),_xll.BondInfo(E160,$G$4:$Q$4),"")</f>
        <v/>
      </c>
      <c r="H160" s="668" t="str">
        <v/>
      </c>
      <c r="I160" s="666" t="str">
        <v/>
      </c>
      <c r="J160" s="668" t="str">
        <v/>
      </c>
      <c r="K160" s="668" t="str">
        <v/>
      </c>
      <c r="L160" s="668" t="str">
        <v/>
      </c>
      <c r="M160" s="668" t="str">
        <v/>
      </c>
      <c r="N160" s="669" t="str">
        <v/>
      </c>
      <c r="O160" s="670" t="str">
        <v/>
      </c>
      <c r="P160" s="667" t="str">
        <v/>
      </c>
      <c r="Q160" s="670" t="str">
        <v/>
      </c>
      <c r="R160" s="679" t="str">
        <f>IF(AND(QueryFlag="ON",NOT(ISNA(E160))),_xll.BondOutstanding(E160),"")</f>
        <v/>
      </c>
    </row>
    <row r="161" spans="5:18">
      <c r="E161" s="1006" t="s">
        <v>671</v>
      </c>
      <c r="F161" s="1002" t="str">
        <f>IF(LEN($E161)&gt;1,_xll.BondInfo($E161,$F$4),"")</f>
        <v>BUND 15-aug-23 2%</v>
      </c>
      <c r="G161" s="678" t="str">
        <f t="array" ref="G161:Q161">IF(AND(QueryFlag="ON",NOT(ISNA(E161))),_xll.BondInfo(E161,$G$4:$Q$4),"")</f>
        <v/>
      </c>
      <c r="H161" s="668" t="str">
        <v/>
      </c>
      <c r="I161" s="666" t="str">
        <v/>
      </c>
      <c r="J161" s="668" t="str">
        <v/>
      </c>
      <c r="K161" s="668" t="str">
        <v/>
      </c>
      <c r="L161" s="668" t="str">
        <v/>
      </c>
      <c r="M161" s="668" t="str">
        <v/>
      </c>
      <c r="N161" s="669" t="str">
        <v/>
      </c>
      <c r="O161" s="670" t="str">
        <v/>
      </c>
      <c r="P161" s="667" t="str">
        <v/>
      </c>
      <c r="Q161" s="670" t="str">
        <v/>
      </c>
      <c r="R161" s="679" t="str">
        <f>IF(AND(QueryFlag="ON",NOT(ISNA(E161))),_xll.BondOutstanding(E161),"")</f>
        <v/>
      </c>
    </row>
    <row r="162" spans="5:18">
      <c r="E162" s="1006" t="s">
        <v>672</v>
      </c>
      <c r="F162" s="1002" t="str">
        <f>IF(LEN($E162)&gt;1,_xll.BondInfo($E162,$F$4),"")</f>
        <v>BUND 04-jan-2024 6.25%</v>
      </c>
      <c r="G162" s="678" t="str">
        <f t="array" ref="G162:Q162">IF(AND(QueryFlag="ON",NOT(ISNA(E162))),_xll.BondInfo(E162,$G$4:$Q$4),"")</f>
        <v/>
      </c>
      <c r="H162" s="668" t="str">
        <v/>
      </c>
      <c r="I162" s="666" t="str">
        <v/>
      </c>
      <c r="J162" s="668" t="str">
        <v/>
      </c>
      <c r="K162" s="668" t="str">
        <v/>
      </c>
      <c r="L162" s="668" t="str">
        <v/>
      </c>
      <c r="M162" s="668" t="str">
        <v/>
      </c>
      <c r="N162" s="669" t="str">
        <v/>
      </c>
      <c r="O162" s="670" t="str">
        <v/>
      </c>
      <c r="P162" s="667" t="str">
        <v/>
      </c>
      <c r="Q162" s="670" t="str">
        <v/>
      </c>
      <c r="R162" s="679" t="str">
        <f>IF(AND(QueryFlag="ON",NOT(ISNA(E162))),_xll.BondOutstanding(E162),"")</f>
        <v/>
      </c>
    </row>
    <row r="163" spans="5:18">
      <c r="E163" s="1006" t="s">
        <v>415</v>
      </c>
      <c r="F163" s="1002" t="str">
        <f>IF(LEN($E163)&gt;1,_xll.BondInfo($E163,$F$4),"")</f>
        <v>BUND 15-feb-24 1.75%</v>
      </c>
      <c r="G163" s="678" t="str">
        <f t="array" ref="G163:Q163">IF(AND(QueryFlag="ON",NOT(ISNA(E163))),_xll.BondInfo(E163,$G$4:$Q$4),"")</f>
        <v/>
      </c>
      <c r="H163" s="668" t="str">
        <v/>
      </c>
      <c r="I163" s="666" t="str">
        <v/>
      </c>
      <c r="J163" s="668" t="str">
        <v/>
      </c>
      <c r="K163" s="668" t="str">
        <v/>
      </c>
      <c r="L163" s="668" t="str">
        <v/>
      </c>
      <c r="M163" s="668" t="str">
        <v/>
      </c>
      <c r="N163" s="669" t="str">
        <v/>
      </c>
      <c r="O163" s="670" t="str">
        <v/>
      </c>
      <c r="P163" s="667" t="str">
        <v/>
      </c>
      <c r="Q163" s="670" t="str">
        <v/>
      </c>
      <c r="R163" s="679" t="str">
        <f>IF(AND(QueryFlag="ON",NOT(ISNA(E163))),_xll.BondOutstanding(E163),"")</f>
        <v/>
      </c>
    </row>
    <row r="164" spans="5:18">
      <c r="E164" s="1006" t="s">
        <v>416</v>
      </c>
      <c r="F164" s="1002" t="str">
        <f>IF(LEN($E164)&gt;1,_xll.BondInfo($E164,$F$4),"")</f>
        <v>BUND 15-may-24 1.5%</v>
      </c>
      <c r="G164" s="678" t="str">
        <f t="array" ref="G164:Q164">IF(AND(QueryFlag="ON",NOT(ISNA(E164))),_xll.BondInfo(E164,$G$4:$Q$4),"")</f>
        <v/>
      </c>
      <c r="H164" s="668" t="str">
        <v/>
      </c>
      <c r="I164" s="666" t="str">
        <v/>
      </c>
      <c r="J164" s="668" t="str">
        <v/>
      </c>
      <c r="K164" s="668" t="str">
        <v/>
      </c>
      <c r="L164" s="668" t="str">
        <v/>
      </c>
      <c r="M164" s="668" t="str">
        <v/>
      </c>
      <c r="N164" s="669" t="str">
        <v/>
      </c>
      <c r="O164" s="670" t="str">
        <v/>
      </c>
      <c r="P164" s="667" t="str">
        <v/>
      </c>
      <c r="Q164" s="670" t="str">
        <v/>
      </c>
      <c r="R164" s="679" t="str">
        <f>IF(AND(QueryFlag="ON",NOT(ISNA(E164))),_xll.BondOutstanding(E164),"")</f>
        <v/>
      </c>
    </row>
    <row r="165" spans="5:18">
      <c r="E165" s="1006" t="s">
        <v>417</v>
      </c>
      <c r="F165" s="1002" t="str">
        <f>IF(LEN($E165)&gt;1,_xll.BondInfo($E165,$F$4),"")</f>
        <v>BUND 15-aug-24 1%</v>
      </c>
      <c r="G165" s="678" t="str">
        <f t="array" ref="G165:Q165">IF(AND(QueryFlag="ON",NOT(ISNA(E165))),_xll.BondInfo(E165,$G$4:$Q$4),"")</f>
        <v/>
      </c>
      <c r="H165" s="668" t="str">
        <v/>
      </c>
      <c r="I165" s="666" t="str">
        <v/>
      </c>
      <c r="J165" s="668" t="str">
        <v/>
      </c>
      <c r="K165" s="668" t="str">
        <v/>
      </c>
      <c r="L165" s="668" t="str">
        <v/>
      </c>
      <c r="M165" s="668" t="str">
        <v/>
      </c>
      <c r="N165" s="669" t="str">
        <v/>
      </c>
      <c r="O165" s="670" t="str">
        <v/>
      </c>
      <c r="P165" s="667" t="str">
        <v/>
      </c>
      <c r="Q165" s="670" t="str">
        <v/>
      </c>
      <c r="R165" s="679" t="str">
        <f>IF(AND(QueryFlag="ON",NOT(ISNA(E165))),_xll.BondOutstanding(E165),"")</f>
        <v/>
      </c>
    </row>
    <row r="166" spans="5:18">
      <c r="E166" s="1006" t="s">
        <v>590</v>
      </c>
      <c r="F166" s="1002" t="str">
        <f>IF(LEN($E166)&gt;1,_xll.BondInfo($E166,$F$4),"")</f>
        <v>BUND 15-feb-25 .5%</v>
      </c>
      <c r="G166" s="678" t="str">
        <f t="array" ref="G166:Q166">IF(AND(QueryFlag="ON",NOT(ISNA(E166))),_xll.BondInfo(E166,$G$4:$Q$4),"")</f>
        <v/>
      </c>
      <c r="H166" s="668" t="str">
        <v/>
      </c>
      <c r="I166" s="666" t="str">
        <v/>
      </c>
      <c r="J166" s="668" t="str">
        <v/>
      </c>
      <c r="K166" s="668" t="str">
        <v/>
      </c>
      <c r="L166" s="668" t="str">
        <v/>
      </c>
      <c r="M166" s="668" t="str">
        <v/>
      </c>
      <c r="N166" s="669" t="str">
        <v/>
      </c>
      <c r="O166" s="670" t="str">
        <v/>
      </c>
      <c r="P166" s="667" t="str">
        <v/>
      </c>
      <c r="Q166" s="670" t="str">
        <v/>
      </c>
      <c r="R166" s="679" t="str">
        <f>IF(AND(QueryFlag="ON",NOT(ISNA(E166))),_xll.BondOutstanding(E166),"")</f>
        <v/>
      </c>
    </row>
    <row r="167" spans="5:18">
      <c r="E167" s="1006" t="s">
        <v>765</v>
      </c>
      <c r="F167" s="1002" t="str">
        <f>IF(LEN($E167)&gt;1,_xll.BondInfo($E167,$F$4),"")</f>
        <v>BUND 15-aug-25 1%</v>
      </c>
      <c r="G167" s="678" t="str">
        <f t="array" ref="G167:Q167">IF(AND(QueryFlag="ON",NOT(ISNA(E167))),_xll.BondInfo(E167,$G$4:$Q$4),"")</f>
        <v/>
      </c>
      <c r="H167" s="668" t="str">
        <v/>
      </c>
      <c r="I167" s="666" t="str">
        <v/>
      </c>
      <c r="J167" s="668" t="str">
        <v/>
      </c>
      <c r="K167" s="668" t="str">
        <v/>
      </c>
      <c r="L167" s="668" t="str">
        <v/>
      </c>
      <c r="M167" s="668" t="str">
        <v/>
      </c>
      <c r="N167" s="669" t="str">
        <v/>
      </c>
      <c r="O167" s="670" t="str">
        <v/>
      </c>
      <c r="P167" s="667" t="str">
        <v/>
      </c>
      <c r="Q167" s="670" t="str">
        <v/>
      </c>
      <c r="R167" s="679" t="str">
        <f>IF(AND(QueryFlag="ON",NOT(ISNA(E167))),_xll.BondOutstanding(E167),"")</f>
        <v/>
      </c>
    </row>
    <row r="168" spans="5:18">
      <c r="E168" s="1006" t="s">
        <v>818</v>
      </c>
      <c r="F168" s="1002" t="str">
        <f>IF(LEN($E168)&gt;1,_xll.BondInfo($E168,$F$4),"")</f>
        <v>BUND 15-feb-26 .5%</v>
      </c>
      <c r="G168" s="678" t="str">
        <f t="array" ref="G168:Q168">IF(AND(QueryFlag="ON",NOT(ISNA(E168))),_xll.BondInfo(E168,$G$4:$Q$4),"")</f>
        <v/>
      </c>
      <c r="H168" s="668" t="str">
        <v/>
      </c>
      <c r="I168" s="666" t="str">
        <v/>
      </c>
      <c r="J168" s="668" t="str">
        <v/>
      </c>
      <c r="K168" s="668" t="str">
        <v/>
      </c>
      <c r="L168" s="668" t="str">
        <v/>
      </c>
      <c r="M168" s="668" t="str">
        <v/>
      </c>
      <c r="N168" s="669" t="str">
        <v/>
      </c>
      <c r="O168" s="670" t="str">
        <v/>
      </c>
      <c r="P168" s="667" t="str">
        <v/>
      </c>
      <c r="Q168" s="670" t="str">
        <v/>
      </c>
      <c r="R168" s="679" t="str">
        <f>IF(AND(QueryFlag="ON",NOT(ISNA(E168))),_xll.BondOutstanding(E168),"")</f>
        <v/>
      </c>
    </row>
    <row r="169" spans="5:18">
      <c r="E169" s="1006" t="s">
        <v>905</v>
      </c>
      <c r="F169" s="1002" t="str">
        <f>IF(LEN($E169)&gt;1,_xll.BondInfo($E169,$F$4),"")</f>
        <v>BUND 15-aug-26 0%</v>
      </c>
      <c r="G169" s="678" t="str">
        <f t="array" ref="G169:Q169">IF(AND(QueryFlag="ON",NOT(ISNA(E169))),_xll.BondInfo(E169,$G$4:$Q$4),"")</f>
        <v/>
      </c>
      <c r="H169" s="668" t="str">
        <v/>
      </c>
      <c r="I169" s="666" t="str">
        <v/>
      </c>
      <c r="J169" s="668" t="str">
        <v/>
      </c>
      <c r="K169" s="668" t="str">
        <v/>
      </c>
      <c r="L169" s="668" t="str">
        <v/>
      </c>
      <c r="M169" s="668" t="str">
        <v/>
      </c>
      <c r="N169" s="669" t="str">
        <v/>
      </c>
      <c r="O169" s="670" t="str">
        <v/>
      </c>
      <c r="P169" s="667" t="str">
        <v/>
      </c>
      <c r="Q169" s="670" t="str">
        <v/>
      </c>
      <c r="R169" s="679" t="str">
        <f>IF(AND(QueryFlag="ON",NOT(ISNA(E169))),_xll.BondOutstanding(E169),"")</f>
        <v/>
      </c>
    </row>
    <row r="170" spans="5:18">
      <c r="E170" s="1006" t="s">
        <v>944</v>
      </c>
      <c r="F170" s="1002" t="str">
        <f>IF(LEN($E170)&gt;1,_xll.BondInfo($E170,$F$4),"")</f>
        <v>BUND 15-feb-27 .25%</v>
      </c>
      <c r="G170" s="678" t="str">
        <f t="array" ref="G170:Q170">IF(AND(QueryFlag="ON",NOT(ISNA(E170))),_xll.BondInfo(E170,$G$4:$Q$4),"")</f>
        <v/>
      </c>
      <c r="H170" s="668" t="str">
        <v/>
      </c>
      <c r="I170" s="666" t="str">
        <v/>
      </c>
      <c r="J170" s="668" t="str">
        <v/>
      </c>
      <c r="K170" s="668" t="str">
        <v/>
      </c>
      <c r="L170" s="668" t="str">
        <v/>
      </c>
      <c r="M170" s="668" t="str">
        <v/>
      </c>
      <c r="N170" s="669" t="str">
        <v/>
      </c>
      <c r="O170" s="670" t="str">
        <v/>
      </c>
      <c r="P170" s="667" t="str">
        <v/>
      </c>
      <c r="Q170" s="670" t="str">
        <v/>
      </c>
      <c r="R170" s="679" t="str">
        <f>IF(AND(QueryFlag="ON",NOT(ISNA(E170))),_xll.BondOutstanding(E170),"")</f>
        <v/>
      </c>
    </row>
    <row r="171" spans="5:18">
      <c r="E171" s="1006" t="s">
        <v>673</v>
      </c>
      <c r="F171" s="1002" t="str">
        <f>IF(LEN($E171)&gt;1,_xll.BondInfo($E171,$F$4),"")</f>
        <v>BUND 04-jul-2027 6.50%</v>
      </c>
      <c r="G171" s="678" t="str">
        <f t="array" ref="G171:Q171">IF(AND(QueryFlag="ON",NOT(ISNA(E171))),_xll.BondInfo(E171,$G$4:$Q$4),"")</f>
        <v/>
      </c>
      <c r="H171" s="668" t="str">
        <v/>
      </c>
      <c r="I171" s="666" t="str">
        <v/>
      </c>
      <c r="J171" s="668" t="str">
        <v/>
      </c>
      <c r="K171" s="668" t="str">
        <v/>
      </c>
      <c r="L171" s="668" t="str">
        <v/>
      </c>
      <c r="M171" s="668" t="str">
        <v/>
      </c>
      <c r="N171" s="669" t="str">
        <v/>
      </c>
      <c r="O171" s="670" t="str">
        <v/>
      </c>
      <c r="P171" s="667" t="str">
        <v/>
      </c>
      <c r="Q171" s="670" t="str">
        <v/>
      </c>
      <c r="R171" s="679" t="str">
        <f>IF(AND(QueryFlag="ON",NOT(ISNA(E171))),_xll.BondOutstanding(E171),"")</f>
        <v/>
      </c>
    </row>
    <row r="172" spans="5:18">
      <c r="E172" s="1006" t="s">
        <v>1016</v>
      </c>
      <c r="F172" s="1002" t="str">
        <f>IF(LEN($E172)&gt;1,_xll.BondInfo($E172,$F$4),"")</f>
        <v>BUND 15-aug-27 0%</v>
      </c>
      <c r="G172" s="678" t="str">
        <f t="array" ref="G172:Q172">IF(AND(QueryFlag="ON",NOT(ISNA(E172))),_xll.BondInfo(E172,$G$4:$Q$4),"")</f>
        <v/>
      </c>
      <c r="H172" s="668" t="str">
        <v/>
      </c>
      <c r="I172" s="666" t="str">
        <v/>
      </c>
      <c r="J172" s="668" t="str">
        <v/>
      </c>
      <c r="K172" s="668" t="str">
        <v/>
      </c>
      <c r="L172" s="668" t="str">
        <v/>
      </c>
      <c r="M172" s="668" t="str">
        <v/>
      </c>
      <c r="N172" s="669" t="str">
        <v/>
      </c>
      <c r="O172" s="670" t="str">
        <v/>
      </c>
      <c r="P172" s="667" t="str">
        <v/>
      </c>
      <c r="Q172" s="670" t="str">
        <v/>
      </c>
      <c r="R172" s="679" t="str">
        <f>IF(AND(QueryFlag="ON",NOT(ISNA(E172))),_xll.BondOutstanding(E172),"")</f>
        <v/>
      </c>
    </row>
    <row r="173" spans="5:18">
      <c r="E173" s="1006" t="s">
        <v>674</v>
      </c>
      <c r="F173" s="1002" t="str">
        <f>IF(LEN($E173)&gt;1,_xll.BondInfo($E173,$F$4),"")</f>
        <v>BUND 04-jan-2028 5.62%</v>
      </c>
      <c r="G173" s="678" t="str">
        <f t="array" ref="G173:Q173">IF(AND(QueryFlag="ON",NOT(ISNA(E173))),_xll.BondInfo(E173,$G$4:$Q$4),"")</f>
        <v/>
      </c>
      <c r="H173" s="668" t="str">
        <v/>
      </c>
      <c r="I173" s="666" t="str">
        <v/>
      </c>
      <c r="J173" s="668" t="str">
        <v/>
      </c>
      <c r="K173" s="668" t="str">
        <v/>
      </c>
      <c r="L173" s="668" t="str">
        <v/>
      </c>
      <c r="M173" s="668" t="str">
        <v/>
      </c>
      <c r="N173" s="669" t="str">
        <v/>
      </c>
      <c r="O173" s="670" t="str">
        <v/>
      </c>
      <c r="P173" s="667" t="str">
        <v/>
      </c>
      <c r="Q173" s="670" t="str">
        <v/>
      </c>
      <c r="R173" s="679" t="str">
        <f>IF(AND(QueryFlag="ON",NOT(ISNA(E173))),_xll.BondOutstanding(E173),"")</f>
        <v/>
      </c>
    </row>
    <row r="174" spans="5:18">
      <c r="E174" s="1006" t="s">
        <v>2007</v>
      </c>
      <c r="F174" s="1002" t="str">
        <f>IF(LEN($E174)&gt;1,_xll.BondInfo($E174,$F$4),"")</f>
        <v>BUND 15-feb-28 .5%</v>
      </c>
      <c r="G174" s="678" t="str">
        <f t="array" ref="G174:Q174">IF(AND(QueryFlag="ON",NOT(ISNA(E174))),_xll.BondInfo(E174,$G$4:$Q$4),"")</f>
        <v/>
      </c>
      <c r="H174" s="668" t="str">
        <v/>
      </c>
      <c r="I174" s="666" t="str">
        <v/>
      </c>
      <c r="J174" s="668" t="str">
        <v/>
      </c>
      <c r="K174" s="668" t="str">
        <v/>
      </c>
      <c r="L174" s="668" t="str">
        <v/>
      </c>
      <c r="M174" s="668" t="str">
        <v/>
      </c>
      <c r="N174" s="669" t="str">
        <v/>
      </c>
      <c r="O174" s="670" t="str">
        <v/>
      </c>
      <c r="P174" s="667" t="str">
        <v/>
      </c>
      <c r="Q174" s="670" t="str">
        <v/>
      </c>
      <c r="R174" s="679" t="str">
        <f>IF(AND(QueryFlag="ON",NOT(ISNA(E174))),_xll.BondOutstanding(E174),"")</f>
        <v/>
      </c>
    </row>
    <row r="175" spans="5:18">
      <c r="E175" s="1006" t="s">
        <v>675</v>
      </c>
      <c r="F175" s="1002" t="str">
        <f>IF(LEN($E175)&gt;1,_xll.BondInfo($E175,$F$4),"")</f>
        <v>BUND 04-jul-2028 4.75%</v>
      </c>
      <c r="G175" s="678" t="str">
        <f t="array" ref="G175:Q175">IF(AND(QueryFlag="ON",NOT(ISNA(E175))),_xll.BondInfo(E175,$G$4:$Q$4),"")</f>
        <v/>
      </c>
      <c r="H175" s="668" t="str">
        <v/>
      </c>
      <c r="I175" s="666" t="str">
        <v/>
      </c>
      <c r="J175" s="668" t="str">
        <v/>
      </c>
      <c r="K175" s="668" t="str">
        <v/>
      </c>
      <c r="L175" s="668" t="str">
        <v/>
      </c>
      <c r="M175" s="668" t="str">
        <v/>
      </c>
      <c r="N175" s="669" t="str">
        <v/>
      </c>
      <c r="O175" s="670" t="str">
        <v/>
      </c>
      <c r="P175" s="667" t="str">
        <v/>
      </c>
      <c r="Q175" s="670" t="str">
        <v/>
      </c>
      <c r="R175" s="679" t="str">
        <f>IF(AND(QueryFlag="ON",NOT(ISNA(E175))),_xll.BondOutstanding(E175),"")</f>
        <v/>
      </c>
    </row>
    <row r="176" spans="5:18">
      <c r="E176" s="1006" t="s">
        <v>676</v>
      </c>
      <c r="F176" s="1002" t="str">
        <f>IF(LEN($E176)&gt;1,_xll.BondInfo($E176,$F$4),"")</f>
        <v>BUND 04-jan-2030 6.25%</v>
      </c>
      <c r="G176" s="678" t="str">
        <f t="array" ref="G176:Q176">IF(AND(QueryFlag="ON",NOT(ISNA(E176))),_xll.BondInfo(E176,$G$4:$Q$4),"")</f>
        <v/>
      </c>
      <c r="H176" s="668" t="str">
        <v/>
      </c>
      <c r="I176" s="666" t="str">
        <v/>
      </c>
      <c r="J176" s="668" t="str">
        <v/>
      </c>
      <c r="K176" s="668" t="str">
        <v/>
      </c>
      <c r="L176" s="668" t="str">
        <v/>
      </c>
      <c r="M176" s="668" t="str">
        <v/>
      </c>
      <c r="N176" s="669" t="str">
        <v/>
      </c>
      <c r="O176" s="670" t="str">
        <v/>
      </c>
      <c r="P176" s="667" t="str">
        <v/>
      </c>
      <c r="Q176" s="670" t="str">
        <v/>
      </c>
      <c r="R176" s="679" t="str">
        <f>IF(AND(QueryFlag="ON",NOT(ISNA(E176))),_xll.BondOutstanding(E176),"")</f>
        <v/>
      </c>
    </row>
    <row r="177" spans="5:18">
      <c r="E177" s="1006" t="s">
        <v>677</v>
      </c>
      <c r="F177" s="1002" t="str">
        <f>IF(LEN($E177)&gt;1,_xll.BondInfo($E177,$F$4),"")</f>
        <v>BUND 04-jan-2031 5.50%</v>
      </c>
      <c r="G177" s="678" t="str">
        <f t="array" ref="G177:Q177">IF(AND(QueryFlag="ON",NOT(ISNA(E177))),_xll.BondInfo(E177,$G$4:$Q$4),"")</f>
        <v/>
      </c>
      <c r="H177" s="668" t="str">
        <v/>
      </c>
      <c r="I177" s="666" t="str">
        <v/>
      </c>
      <c r="J177" s="668" t="str">
        <v/>
      </c>
      <c r="K177" s="668" t="str">
        <v/>
      </c>
      <c r="L177" s="668" t="str">
        <v/>
      </c>
      <c r="M177" s="668" t="str">
        <v/>
      </c>
      <c r="N177" s="669" t="str">
        <v/>
      </c>
      <c r="O177" s="670" t="str">
        <v/>
      </c>
      <c r="P177" s="667" t="str">
        <v/>
      </c>
      <c r="Q177" s="670" t="str">
        <v/>
      </c>
      <c r="R177" s="679" t="str">
        <f>IF(AND(QueryFlag="ON",NOT(ISNA(E177))),_xll.BondOutstanding(E177),"")</f>
        <v/>
      </c>
    </row>
    <row r="178" spans="5:18">
      <c r="E178" s="1006" t="s">
        <v>678</v>
      </c>
      <c r="F178" s="1002" t="str">
        <f>IF(LEN($E178)&gt;1,_xll.BondInfo($E178,$F$4),"")</f>
        <v>BUND 04-jul-34 4.75%</v>
      </c>
      <c r="G178" s="678" t="str">
        <f t="array" ref="G178:Q178">IF(AND(QueryFlag="ON",NOT(ISNA(E178))),_xll.BondInfo(E178,$G$4:$Q$4),"")</f>
        <v/>
      </c>
      <c r="H178" s="668" t="str">
        <v/>
      </c>
      <c r="I178" s="666" t="str">
        <v/>
      </c>
      <c r="J178" s="668" t="str">
        <v/>
      </c>
      <c r="K178" s="668" t="str">
        <v/>
      </c>
      <c r="L178" s="668" t="str">
        <v/>
      </c>
      <c r="M178" s="668" t="str">
        <v/>
      </c>
      <c r="N178" s="669" t="str">
        <v/>
      </c>
      <c r="O178" s="670" t="str">
        <v/>
      </c>
      <c r="P178" s="667" t="str">
        <v/>
      </c>
      <c r="Q178" s="670" t="str">
        <v/>
      </c>
      <c r="R178" s="679" t="str">
        <f>IF(AND(QueryFlag="ON",NOT(ISNA(E178))),_xll.BondOutstanding(E178),"")</f>
        <v/>
      </c>
    </row>
    <row r="179" spans="5:18">
      <c r="E179" s="1006" t="s">
        <v>679</v>
      </c>
      <c r="F179" s="1002" t="str">
        <f>IF(LEN($E179)&gt;1,_xll.BondInfo($E179,$F$4),"")</f>
        <v>BUND 04-jan-37 4%</v>
      </c>
      <c r="G179" s="678" t="str">
        <f t="array" ref="G179:Q179">IF(AND(QueryFlag="ON",NOT(ISNA(E179))),_xll.BondInfo(E179,$G$4:$Q$4),"")</f>
        <v/>
      </c>
      <c r="H179" s="668" t="str">
        <v/>
      </c>
      <c r="I179" s="666" t="str">
        <v/>
      </c>
      <c r="J179" s="668" t="str">
        <v/>
      </c>
      <c r="K179" s="668" t="str">
        <v/>
      </c>
      <c r="L179" s="668" t="str">
        <v/>
      </c>
      <c r="M179" s="668" t="str">
        <v/>
      </c>
      <c r="N179" s="669" t="str">
        <v/>
      </c>
      <c r="O179" s="670" t="str">
        <v/>
      </c>
      <c r="P179" s="667" t="str">
        <v/>
      </c>
      <c r="Q179" s="670" t="str">
        <v/>
      </c>
      <c r="R179" s="679" t="str">
        <f>IF(AND(QueryFlag="ON",NOT(ISNA(E179))),_xll.BondOutstanding(E179),"")</f>
        <v/>
      </c>
    </row>
    <row r="180" spans="5:18">
      <c r="E180" s="1006" t="s">
        <v>680</v>
      </c>
      <c r="F180" s="1002" t="str">
        <f>IF(LEN($E180)&gt;1,_xll.BondInfo($E180,$F$4),"")</f>
        <v>BUND 04-jul-39 4.25%</v>
      </c>
      <c r="G180" s="678" t="str">
        <f t="array" ref="G180:Q180">IF(AND(QueryFlag="ON",NOT(ISNA(E180))),_xll.BondInfo(E180,$G$4:$Q$4),"")</f>
        <v/>
      </c>
      <c r="H180" s="668" t="str">
        <v/>
      </c>
      <c r="I180" s="666" t="str">
        <v/>
      </c>
      <c r="J180" s="668" t="str">
        <v/>
      </c>
      <c r="K180" s="668" t="str">
        <v/>
      </c>
      <c r="L180" s="668" t="str">
        <v/>
      </c>
      <c r="M180" s="668" t="str">
        <v/>
      </c>
      <c r="N180" s="669" t="str">
        <v/>
      </c>
      <c r="O180" s="670" t="str">
        <v/>
      </c>
      <c r="P180" s="667" t="str">
        <v/>
      </c>
      <c r="Q180" s="670" t="str">
        <v/>
      </c>
      <c r="R180" s="679" t="str">
        <f>IF(AND(QueryFlag="ON",NOT(ISNA(E180))),_xll.BondOutstanding(E180),"")</f>
        <v/>
      </c>
    </row>
    <row r="181" spans="5:18">
      <c r="E181" s="1006" t="s">
        <v>681</v>
      </c>
      <c r="F181" s="1002" t="str">
        <f>IF(LEN($E181)&gt;1,_xll.BondInfo($E181,$F$4),"")</f>
        <v>BUND 04-jul-40 4.75%</v>
      </c>
      <c r="G181" s="678" t="str">
        <f t="array" ref="G181:Q181">IF(AND(QueryFlag="ON",NOT(ISNA(E181))),_xll.BondInfo(E181,$G$4:$Q$4),"")</f>
        <v/>
      </c>
      <c r="H181" s="668" t="str">
        <v/>
      </c>
      <c r="I181" s="666" t="str">
        <v/>
      </c>
      <c r="J181" s="668" t="str">
        <v/>
      </c>
      <c r="K181" s="668" t="str">
        <v/>
      </c>
      <c r="L181" s="668" t="str">
        <v/>
      </c>
      <c r="M181" s="668" t="str">
        <v/>
      </c>
      <c r="N181" s="669" t="str">
        <v/>
      </c>
      <c r="O181" s="670" t="str">
        <v/>
      </c>
      <c r="P181" s="667" t="str">
        <v/>
      </c>
      <c r="Q181" s="670" t="str">
        <v/>
      </c>
      <c r="R181" s="679" t="str">
        <f>IF(AND(QueryFlag="ON",NOT(ISNA(E181))),_xll.BondOutstanding(E181),"")</f>
        <v/>
      </c>
    </row>
    <row r="182" spans="5:18">
      <c r="E182" s="1006" t="s">
        <v>682</v>
      </c>
      <c r="F182" s="1002" t="str">
        <f>IF(LEN($E182)&gt;1,_xll.BondInfo($E182,$F$4),"")</f>
        <v>BUND 04-jul-42 3.25%</v>
      </c>
      <c r="G182" s="678" t="str">
        <f t="array" ref="G182:Q182">IF(AND(QueryFlag="ON",NOT(ISNA(E182))),_xll.BondInfo(E182,$G$4:$Q$4),"")</f>
        <v/>
      </c>
      <c r="H182" s="668" t="str">
        <v/>
      </c>
      <c r="I182" s="666" t="str">
        <v/>
      </c>
      <c r="J182" s="668" t="str">
        <v/>
      </c>
      <c r="K182" s="668" t="str">
        <v/>
      </c>
      <c r="L182" s="668" t="str">
        <v/>
      </c>
      <c r="M182" s="668" t="str">
        <v/>
      </c>
      <c r="N182" s="669" t="str">
        <v/>
      </c>
      <c r="O182" s="670" t="str">
        <v/>
      </c>
      <c r="P182" s="667" t="str">
        <v/>
      </c>
      <c r="Q182" s="670" t="str">
        <v/>
      </c>
      <c r="R182" s="679" t="str">
        <f>IF(AND(QueryFlag="ON",NOT(ISNA(E182))),_xll.BondOutstanding(E182),"")</f>
        <v/>
      </c>
    </row>
    <row r="183" spans="5:18">
      <c r="E183" s="1006" t="s">
        <v>683</v>
      </c>
      <c r="F183" s="1002" t="str">
        <f>IF(LEN($E183)&gt;1,_xll.BondInfo($E183,$F$4),"")</f>
        <v>BUND 04-jul-44 2.5%</v>
      </c>
      <c r="G183" s="678" t="str">
        <f t="array" ref="G183:Q183">IF(AND(QueryFlag="ON",NOT(ISNA(E183))),_xll.BondInfo(E183,$G$4:$Q$4),"")</f>
        <v/>
      </c>
      <c r="H183" s="668" t="str">
        <v/>
      </c>
      <c r="I183" s="666" t="str">
        <v/>
      </c>
      <c r="J183" s="668" t="str">
        <v/>
      </c>
      <c r="K183" s="668" t="str">
        <v/>
      </c>
      <c r="L183" s="668" t="str">
        <v/>
      </c>
      <c r="M183" s="668" t="str">
        <v/>
      </c>
      <c r="N183" s="669" t="str">
        <v/>
      </c>
      <c r="O183" s="670" t="str">
        <v/>
      </c>
      <c r="P183" s="667" t="str">
        <v/>
      </c>
      <c r="Q183" s="670" t="str">
        <v/>
      </c>
      <c r="R183" s="679" t="str">
        <f>IF(AND(QueryFlag="ON",NOT(ISNA(E183))),_xll.BondOutstanding(E183),"")</f>
        <v/>
      </c>
    </row>
    <row r="184" spans="5:18">
      <c r="E184" s="1006" t="s">
        <v>418</v>
      </c>
      <c r="F184" s="1002" t="str">
        <f>IF(LEN($E184)&gt;1,_xll.BondInfo($E184,$F$4),"")</f>
        <v>BUND 15-aug-46 2.5%</v>
      </c>
      <c r="G184" s="678" t="str">
        <f t="array" ref="G184:Q184">IF(AND(QueryFlag="ON",NOT(ISNA(E184))),_xll.BondInfo(E184,$G$4:$Q$4),"")</f>
        <v/>
      </c>
      <c r="H184" s="668" t="str">
        <v/>
      </c>
      <c r="I184" s="666" t="str">
        <v/>
      </c>
      <c r="J184" s="668" t="str">
        <v/>
      </c>
      <c r="K184" s="668" t="str">
        <v/>
      </c>
      <c r="L184" s="668" t="str">
        <v/>
      </c>
      <c r="M184" s="668" t="str">
        <v/>
      </c>
      <c r="N184" s="669" t="str">
        <v/>
      </c>
      <c r="O184" s="670" t="str">
        <v/>
      </c>
      <c r="P184" s="667" t="str">
        <v/>
      </c>
      <c r="Q184" s="670" t="str">
        <v/>
      </c>
      <c r="R184" s="679" t="str">
        <f>IF(AND(QueryFlag="ON",NOT(ISNA(E184))),_xll.BondOutstanding(E184),"")</f>
        <v/>
      </c>
    </row>
    <row r="185" spans="5:18">
      <c r="E185" s="1006" t="s">
        <v>1661</v>
      </c>
      <c r="F185" s="1002" t="str">
        <f>IF(LEN($E185)&gt;1,_xll.BondInfo($E185,$F$4),"")</f>
        <v>BUND 15-aug-48 1.25%</v>
      </c>
      <c r="G185" s="678" t="str">
        <f t="array" ref="G185:Q185">IF(AND(QueryFlag="ON",NOT(ISNA(E185))),_xll.BondInfo(E185,$G$4:$Q$4),"")</f>
        <v/>
      </c>
      <c r="H185" s="668" t="str">
        <v/>
      </c>
      <c r="I185" s="666" t="str">
        <v/>
      </c>
      <c r="J185" s="668" t="str">
        <v/>
      </c>
      <c r="K185" s="668" t="str">
        <v/>
      </c>
      <c r="L185" s="668" t="str">
        <v/>
      </c>
      <c r="M185" s="668" t="str">
        <v/>
      </c>
      <c r="N185" s="669" t="str">
        <v/>
      </c>
      <c r="O185" s="670" t="str">
        <v/>
      </c>
      <c r="P185" s="667" t="str">
        <v/>
      </c>
      <c r="Q185" s="670" t="str">
        <v/>
      </c>
      <c r="R185" s="679" t="str">
        <f>IF(AND(QueryFlag="ON",NOT(ISNA(E185))),_xll.BondOutstanding(E185),"")</f>
        <v/>
      </c>
    </row>
    <row r="186" spans="5:18">
      <c r="E186" s="1006" t="s">
        <v>695</v>
      </c>
      <c r="F186" s="1002" t="str">
        <f>IF(LEN($E186)&gt;1,_xll.BondInfo($E186,$F$4),"")</f>
        <v>OAT 25-apr-18 4%</v>
      </c>
      <c r="G186" s="678" t="str">
        <f t="array" ref="G186:Q186">IF(AND(QueryFlag="ON",NOT(ISNA(E186))),_xll.BondInfo(E186,$G$4:$Q$4),"")</f>
        <v/>
      </c>
      <c r="H186" s="668" t="str">
        <v/>
      </c>
      <c r="I186" s="666" t="str">
        <v/>
      </c>
      <c r="J186" s="668" t="str">
        <v/>
      </c>
      <c r="K186" s="668" t="str">
        <v/>
      </c>
      <c r="L186" s="668" t="str">
        <v/>
      </c>
      <c r="M186" s="668" t="str">
        <v/>
      </c>
      <c r="N186" s="669" t="str">
        <v/>
      </c>
      <c r="O186" s="670" t="str">
        <v/>
      </c>
      <c r="P186" s="667" t="str">
        <v/>
      </c>
      <c r="Q186" s="670" t="str">
        <v/>
      </c>
      <c r="R186" s="679" t="str">
        <f>IF(AND(QueryFlag="ON",NOT(ISNA(E186))),_xll.BondOutstanding(E186),"")</f>
        <v/>
      </c>
    </row>
    <row r="187" spans="5:18">
      <c r="E187" s="1006" t="s">
        <v>696</v>
      </c>
      <c r="F187" s="1002" t="str">
        <f>IF(LEN($E187)&gt;1,_xll.BondInfo($E187,$F$4),"")</f>
        <v>OAT 25-may-18 1%</v>
      </c>
      <c r="G187" s="678" t="str">
        <f t="array" ref="G187:Q187">IF(AND(QueryFlag="ON",NOT(ISNA(E187))),_xll.BondInfo(E187,$G$4:$Q$4),"")</f>
        <v/>
      </c>
      <c r="H187" s="668" t="str">
        <v/>
      </c>
      <c r="I187" s="666" t="str">
        <v/>
      </c>
      <c r="J187" s="668" t="str">
        <v/>
      </c>
      <c r="K187" s="668" t="str">
        <v/>
      </c>
      <c r="L187" s="668" t="str">
        <v/>
      </c>
      <c r="M187" s="668" t="str">
        <v/>
      </c>
      <c r="N187" s="669" t="str">
        <v/>
      </c>
      <c r="O187" s="670" t="str">
        <v/>
      </c>
      <c r="P187" s="667" t="str">
        <v/>
      </c>
      <c r="Q187" s="670" t="str">
        <v/>
      </c>
      <c r="R187" s="679" t="str">
        <f>IF(AND(QueryFlag="ON",NOT(ISNA(E187))),_xll.BondOutstanding(E187),"")</f>
        <v/>
      </c>
    </row>
    <row r="188" spans="5:18">
      <c r="E188" s="1006" t="s">
        <v>697</v>
      </c>
      <c r="F188" s="1002" t="str">
        <f>IF(LEN($E188)&gt;1,_xll.BondInfo($E188,$F$4),"")</f>
        <v>OAT 25-oct-18 4.25%</v>
      </c>
      <c r="G188" s="678" t="str">
        <f t="array" ref="G188:Q188">IF(AND(QueryFlag="ON",NOT(ISNA(E188))),_xll.BondInfo(E188,$G$4:$Q$4),"")</f>
        <v/>
      </c>
      <c r="H188" s="668" t="str">
        <v/>
      </c>
      <c r="I188" s="666" t="str">
        <v/>
      </c>
      <c r="J188" s="668" t="str">
        <v/>
      </c>
      <c r="K188" s="668" t="str">
        <v/>
      </c>
      <c r="L188" s="668" t="str">
        <v/>
      </c>
      <c r="M188" s="668" t="str">
        <v/>
      </c>
      <c r="N188" s="669" t="str">
        <v/>
      </c>
      <c r="O188" s="670" t="str">
        <v/>
      </c>
      <c r="P188" s="667" t="str">
        <v/>
      </c>
      <c r="Q188" s="670" t="str">
        <v/>
      </c>
      <c r="R188" s="679" t="str">
        <f>IF(AND(QueryFlag="ON",NOT(ISNA(E188))),_xll.BondOutstanding(E188),"")</f>
        <v/>
      </c>
    </row>
    <row r="189" spans="5:18">
      <c r="E189" s="1006" t="s">
        <v>698</v>
      </c>
      <c r="F189" s="1002" t="str">
        <f>IF(LEN($E189)&gt;1,_xll.BondInfo($E189,$F$4),"")</f>
        <v>OAT 25-nov-18 1%</v>
      </c>
      <c r="G189" s="678" t="str">
        <f t="array" ref="G189:Q189">IF(AND(QueryFlag="ON",NOT(ISNA(E189))),_xll.BondInfo(E189,$G$4:$Q$4),"")</f>
        <v/>
      </c>
      <c r="H189" s="668" t="str">
        <v/>
      </c>
      <c r="I189" s="666" t="str">
        <v/>
      </c>
      <c r="J189" s="668" t="str">
        <v/>
      </c>
      <c r="K189" s="668" t="str">
        <v/>
      </c>
      <c r="L189" s="668" t="str">
        <v/>
      </c>
      <c r="M189" s="668" t="str">
        <v/>
      </c>
      <c r="N189" s="669" t="str">
        <v/>
      </c>
      <c r="O189" s="670" t="str">
        <v/>
      </c>
      <c r="P189" s="667" t="str">
        <v/>
      </c>
      <c r="Q189" s="670" t="str">
        <v/>
      </c>
      <c r="R189" s="679" t="str">
        <f>IF(AND(QueryFlag="ON",NOT(ISNA(E189))),_xll.BondOutstanding(E189),"")</f>
        <v/>
      </c>
    </row>
    <row r="190" spans="5:18">
      <c r="E190" s="1006" t="s">
        <v>820</v>
      </c>
      <c r="F190" s="1002" t="str">
        <f>IF(LEN($E190)&gt;1,_xll.BondInfo($E190,$F$4),"")</f>
        <v>OAT 25-feb-19 0%</v>
      </c>
      <c r="G190" s="678" t="str">
        <f t="array" ref="G190:Q190">IF(AND(QueryFlag="ON",NOT(ISNA(E190))),_xll.BondInfo(E190,$G$4:$Q$4),"")</f>
        <v/>
      </c>
      <c r="H190" s="668" t="str">
        <v/>
      </c>
      <c r="I190" s="666" t="str">
        <v/>
      </c>
      <c r="J190" s="668" t="str">
        <v/>
      </c>
      <c r="K190" s="668" t="str">
        <v/>
      </c>
      <c r="L190" s="668" t="str">
        <v/>
      </c>
      <c r="M190" s="668" t="str">
        <v/>
      </c>
      <c r="N190" s="669" t="str">
        <v/>
      </c>
      <c r="O190" s="670" t="str">
        <v/>
      </c>
      <c r="P190" s="667" t="str">
        <v/>
      </c>
      <c r="Q190" s="670" t="str">
        <v/>
      </c>
      <c r="R190" s="679" t="str">
        <f>IF(AND(QueryFlag="ON",NOT(ISNA(E190))),_xll.BondOutstanding(E190),"")</f>
        <v/>
      </c>
    </row>
    <row r="191" spans="5:18">
      <c r="E191" s="1006" t="s">
        <v>699</v>
      </c>
      <c r="F191" s="1002" t="str">
        <f>IF(LEN($E191)&gt;1,_xll.BondInfo($E191,$F$4),"")</f>
        <v>OAT 25-apr-19 4.25%</v>
      </c>
      <c r="G191" s="678" t="str">
        <f t="array" ref="G191:Q191">IF(AND(QueryFlag="ON",NOT(ISNA(E191))),_xll.BondInfo(E191,$G$4:$Q$4),"")</f>
        <v/>
      </c>
      <c r="H191" s="668" t="str">
        <v/>
      </c>
      <c r="I191" s="666" t="str">
        <v/>
      </c>
      <c r="J191" s="668" t="str">
        <v/>
      </c>
      <c r="K191" s="668" t="str">
        <v/>
      </c>
      <c r="L191" s="668" t="str">
        <v/>
      </c>
      <c r="M191" s="668" t="str">
        <v/>
      </c>
      <c r="N191" s="669" t="str">
        <v/>
      </c>
      <c r="O191" s="670" t="str">
        <v/>
      </c>
      <c r="P191" s="667" t="str">
        <v/>
      </c>
      <c r="Q191" s="670" t="str">
        <v/>
      </c>
      <c r="R191" s="679" t="str">
        <f>IF(AND(QueryFlag="ON",NOT(ISNA(E191))),_xll.BondOutstanding(E191),"")</f>
        <v/>
      </c>
    </row>
    <row r="192" spans="5:18">
      <c r="E192" s="1006" t="s">
        <v>421</v>
      </c>
      <c r="F192" s="1002" t="str">
        <f>IF(LEN($E192)&gt;1,_xll.BondInfo($E192,$F$4),"")</f>
        <v>OAT 25-may-19 1%</v>
      </c>
      <c r="G192" s="678" t="str">
        <f t="array" ref="G192:Q192">IF(AND(QueryFlag="ON",NOT(ISNA(E192))),_xll.BondInfo(E192,$G$4:$Q$4),"")</f>
        <v/>
      </c>
      <c r="H192" s="668" t="str">
        <v/>
      </c>
      <c r="I192" s="666" t="str">
        <v/>
      </c>
      <c r="J192" s="668" t="str">
        <v/>
      </c>
      <c r="K192" s="668" t="str">
        <v/>
      </c>
      <c r="L192" s="668" t="str">
        <v/>
      </c>
      <c r="M192" s="668" t="str">
        <v/>
      </c>
      <c r="N192" s="669" t="str">
        <v/>
      </c>
      <c r="O192" s="670" t="str">
        <v/>
      </c>
      <c r="P192" s="667" t="str">
        <v/>
      </c>
      <c r="Q192" s="670" t="str">
        <v/>
      </c>
      <c r="R192" s="679" t="str">
        <f>IF(AND(QueryFlag="ON",NOT(ISNA(E192))),_xll.BondOutstanding(E192),"")</f>
        <v/>
      </c>
    </row>
    <row r="193" spans="5:18">
      <c r="E193" s="1006" t="s">
        <v>700</v>
      </c>
      <c r="F193" s="1002" t="str">
        <f>IF(LEN($E193)&gt;1,_xll.BondInfo($E193,$F$4),"")</f>
        <v>OAT 25-oct-19 3.75%</v>
      </c>
      <c r="G193" s="678" t="str">
        <f t="array" ref="G193:Q193">IF(AND(QueryFlag="ON",NOT(ISNA(E193))),_xll.BondInfo(E193,$G$4:$Q$4),"")</f>
        <v/>
      </c>
      <c r="H193" s="668" t="str">
        <v/>
      </c>
      <c r="I193" s="666" t="str">
        <v/>
      </c>
      <c r="J193" s="668" t="str">
        <v/>
      </c>
      <c r="K193" s="668" t="str">
        <v/>
      </c>
      <c r="L193" s="668" t="str">
        <v/>
      </c>
      <c r="M193" s="668" t="str">
        <v/>
      </c>
      <c r="N193" s="669" t="str">
        <v/>
      </c>
      <c r="O193" s="670" t="str">
        <v/>
      </c>
      <c r="P193" s="667" t="str">
        <v/>
      </c>
      <c r="Q193" s="670" t="str">
        <v/>
      </c>
      <c r="R193" s="679" t="str">
        <f>IF(AND(QueryFlag="ON",NOT(ISNA(E193))),_xll.BondOutstanding(E193),"")</f>
        <v/>
      </c>
    </row>
    <row r="194" spans="5:18">
      <c r="E194" s="1006" t="s">
        <v>965</v>
      </c>
      <c r="F194" s="1002" t="str">
        <f>IF(LEN($E194)&gt;1,_xll.BondInfo($E194,$F$4),"")</f>
        <v>OAT 25-oct-2019 8.50%</v>
      </c>
      <c r="G194" s="678" t="str">
        <f t="array" ref="G194:Q194">IF(AND(QueryFlag="ON",NOT(ISNA(E194))),_xll.BondInfo(E194,$G$4:$Q$4),"")</f>
        <v/>
      </c>
      <c r="H194" s="668" t="str">
        <v/>
      </c>
      <c r="I194" s="666" t="str">
        <v/>
      </c>
      <c r="J194" s="668" t="str">
        <v/>
      </c>
      <c r="K194" s="668" t="str">
        <v/>
      </c>
      <c r="L194" s="668" t="str">
        <v/>
      </c>
      <c r="M194" s="668" t="str">
        <v/>
      </c>
      <c r="N194" s="669" t="str">
        <v/>
      </c>
      <c r="O194" s="670" t="str">
        <v/>
      </c>
      <c r="P194" s="667" t="str">
        <v/>
      </c>
      <c r="Q194" s="670" t="str">
        <v/>
      </c>
      <c r="R194" s="679" t="str">
        <f>IF(AND(QueryFlag="ON",NOT(ISNA(E194))),_xll.BondOutstanding(E194),"")</f>
        <v/>
      </c>
    </row>
    <row r="195" spans="5:18">
      <c r="E195" s="1006" t="s">
        <v>422</v>
      </c>
      <c r="F195" s="1002" t="str">
        <f>IF(LEN($E195)&gt;1,_xll.BondInfo($E195,$F$4),"")</f>
        <v>OAT 25-nov-19 .5%</v>
      </c>
      <c r="G195" s="678" t="str">
        <f t="array" ref="G195:Q195">IF(AND(QueryFlag="ON",NOT(ISNA(E195))),_xll.BondInfo(E195,$G$4:$Q$4),"")</f>
        <v/>
      </c>
      <c r="H195" s="668" t="str">
        <v/>
      </c>
      <c r="I195" s="666" t="str">
        <v/>
      </c>
      <c r="J195" s="668" t="str">
        <v/>
      </c>
      <c r="K195" s="668" t="str">
        <v/>
      </c>
      <c r="L195" s="668" t="str">
        <v/>
      </c>
      <c r="M195" s="668" t="str">
        <v/>
      </c>
      <c r="N195" s="669" t="str">
        <v/>
      </c>
      <c r="O195" s="670" t="str">
        <v/>
      </c>
      <c r="P195" s="667" t="str">
        <v/>
      </c>
      <c r="Q195" s="670" t="str">
        <v/>
      </c>
      <c r="R195" s="679" t="str">
        <f>IF(AND(QueryFlag="ON",NOT(ISNA(E195))),_xll.BondOutstanding(E195),"")</f>
        <v/>
      </c>
    </row>
    <row r="196" spans="5:18">
      <c r="E196" s="1006" t="s">
        <v>991</v>
      </c>
      <c r="F196" s="1002" t="str">
        <f>IF(LEN($E196)&gt;1,_xll.BondInfo($E196,$F$4),"")</f>
        <v>OAT 25-feb-20 0%</v>
      </c>
      <c r="G196" s="678" t="str">
        <f t="array" ref="G196:Q196">IF(AND(QueryFlag="ON",NOT(ISNA(E196))),_xll.BondInfo(E196,$G$4:$Q$4),"")</f>
        <v/>
      </c>
      <c r="H196" s="668" t="str">
        <v/>
      </c>
      <c r="I196" s="666" t="str">
        <v/>
      </c>
      <c r="J196" s="668" t="str">
        <v/>
      </c>
      <c r="K196" s="668" t="str">
        <v/>
      </c>
      <c r="L196" s="668" t="str">
        <v/>
      </c>
      <c r="M196" s="668" t="str">
        <v/>
      </c>
      <c r="N196" s="669" t="str">
        <v/>
      </c>
      <c r="O196" s="670" t="str">
        <v/>
      </c>
      <c r="P196" s="667" t="str">
        <v/>
      </c>
      <c r="Q196" s="670" t="str">
        <v/>
      </c>
      <c r="R196" s="679" t="str">
        <f>IF(AND(QueryFlag="ON",NOT(ISNA(E196))),_xll.BondOutstanding(E196),"")</f>
        <v/>
      </c>
    </row>
    <row r="197" spans="5:18">
      <c r="E197" s="1006" t="s">
        <v>701</v>
      </c>
      <c r="F197" s="1002" t="str">
        <f>IF(LEN($E197)&gt;1,_xll.BondInfo($E197,$F$4),"")</f>
        <v>OAT 25-apr-20 3.5%</v>
      </c>
      <c r="G197" s="678" t="str">
        <f t="array" ref="G197:Q197">IF(AND(QueryFlag="ON",NOT(ISNA(E197))),_xll.BondInfo(E197,$G$4:$Q$4),"")</f>
        <v/>
      </c>
      <c r="H197" s="668" t="str">
        <v/>
      </c>
      <c r="I197" s="666" t="str">
        <v/>
      </c>
      <c r="J197" s="668" t="str">
        <v/>
      </c>
      <c r="K197" s="668" t="str">
        <v/>
      </c>
      <c r="L197" s="668" t="str">
        <v/>
      </c>
      <c r="M197" s="668" t="str">
        <v/>
      </c>
      <c r="N197" s="669" t="str">
        <v/>
      </c>
      <c r="O197" s="670" t="str">
        <v/>
      </c>
      <c r="P197" s="667" t="str">
        <v/>
      </c>
      <c r="Q197" s="670" t="str">
        <v/>
      </c>
      <c r="R197" s="679" t="str">
        <f>IF(AND(QueryFlag="ON",NOT(ISNA(E197))),_xll.BondOutstanding(E197),"")</f>
        <v/>
      </c>
    </row>
    <row r="198" spans="5:18">
      <c r="E198" s="1006" t="s">
        <v>598</v>
      </c>
      <c r="F198" s="1002" t="str">
        <f>IF(LEN($E198)&gt;1,_xll.BondInfo($E198,$F$4),"")</f>
        <v>OAT 25-may-20 0%</v>
      </c>
      <c r="G198" s="678" t="str">
        <f t="array" ref="G198:Q198">IF(AND(QueryFlag="ON",NOT(ISNA(E198))),_xll.BondInfo(E198,$G$4:$Q$4),"")</f>
        <v/>
      </c>
      <c r="H198" s="668" t="str">
        <v/>
      </c>
      <c r="I198" s="666" t="str">
        <v/>
      </c>
      <c r="J198" s="668" t="str">
        <v/>
      </c>
      <c r="K198" s="668" t="str">
        <v/>
      </c>
      <c r="L198" s="668" t="str">
        <v/>
      </c>
      <c r="M198" s="668" t="str">
        <v/>
      </c>
      <c r="N198" s="669" t="str">
        <v/>
      </c>
      <c r="O198" s="670" t="str">
        <v/>
      </c>
      <c r="P198" s="667" t="str">
        <v/>
      </c>
      <c r="Q198" s="670" t="str">
        <v/>
      </c>
      <c r="R198" s="679" t="str">
        <f>IF(AND(QueryFlag="ON",NOT(ISNA(E198))),_xll.BondOutstanding(E198),"")</f>
        <v/>
      </c>
    </row>
    <row r="199" spans="5:18">
      <c r="E199" s="1006" t="s">
        <v>702</v>
      </c>
      <c r="F199" s="1002" t="str">
        <f>IF(LEN($E199)&gt;1,_xll.BondInfo($E199,$F$4),"")</f>
        <v>OAT 25-oct-20 2.5%</v>
      </c>
      <c r="G199" s="678" t="str">
        <f t="array" ref="G199:Q199">IF(AND(QueryFlag="ON",NOT(ISNA(E199))),_xll.BondInfo(E199,$G$4:$Q$4),"")</f>
        <v/>
      </c>
      <c r="H199" s="668" t="str">
        <v/>
      </c>
      <c r="I199" s="666" t="str">
        <v/>
      </c>
      <c r="J199" s="668" t="str">
        <v/>
      </c>
      <c r="K199" s="668" t="str">
        <v/>
      </c>
      <c r="L199" s="668" t="str">
        <v/>
      </c>
      <c r="M199" s="668" t="str">
        <v/>
      </c>
      <c r="N199" s="669" t="str">
        <v/>
      </c>
      <c r="O199" s="670" t="str">
        <v/>
      </c>
      <c r="P199" s="667" t="str">
        <v/>
      </c>
      <c r="Q199" s="670" t="str">
        <v/>
      </c>
      <c r="R199" s="679" t="str">
        <f>IF(AND(QueryFlag="ON",NOT(ISNA(E199))),_xll.BondOutstanding(E199),"")</f>
        <v/>
      </c>
    </row>
    <row r="200" spans="5:18">
      <c r="E200" s="1006" t="s">
        <v>788</v>
      </c>
      <c r="F200" s="1002" t="str">
        <f>IF(LEN($E200)&gt;1,_xll.BondInfo($E200,$F$4),"")</f>
        <v>OAT 25-nov-20 .25%</v>
      </c>
      <c r="G200" s="678" t="str">
        <f t="array" ref="G200:Q200">IF(AND(QueryFlag="ON",NOT(ISNA(E200))),_xll.BondInfo(E200,$G$4:$Q$4),"")</f>
        <v/>
      </c>
      <c r="H200" s="668" t="str">
        <v/>
      </c>
      <c r="I200" s="666" t="str">
        <v/>
      </c>
      <c r="J200" s="668" t="str">
        <v/>
      </c>
      <c r="K200" s="668" t="str">
        <v/>
      </c>
      <c r="L200" s="668" t="str">
        <v/>
      </c>
      <c r="M200" s="668" t="str">
        <v/>
      </c>
      <c r="N200" s="669" t="str">
        <v/>
      </c>
      <c r="O200" s="670" t="str">
        <v/>
      </c>
      <c r="P200" s="667" t="str">
        <v/>
      </c>
      <c r="Q200" s="670" t="str">
        <v/>
      </c>
      <c r="R200" s="679" t="str">
        <f>IF(AND(QueryFlag="ON",NOT(ISNA(E200))),_xll.BondOutstanding(E200),"")</f>
        <v/>
      </c>
    </row>
    <row r="201" spans="5:18">
      <c r="E201" s="1006" t="s">
        <v>2013</v>
      </c>
      <c r="F201" s="1002" t="str">
        <f>IF(LEN($E201)&gt;1,_xll.BondInfo($E201,$F$4),"")</f>
        <v>OAT 25-feb-21 0%</v>
      </c>
      <c r="G201" s="678" t="str">
        <f t="array" ref="G201:Q201">IF(AND(QueryFlag="ON",NOT(ISNA(E201))),_xll.BondInfo(E201,$G$4:$Q$4),"")</f>
        <v/>
      </c>
      <c r="H201" s="668" t="str">
        <v/>
      </c>
      <c r="I201" s="666" t="str">
        <v/>
      </c>
      <c r="J201" s="668" t="str">
        <v/>
      </c>
      <c r="K201" s="668" t="str">
        <v/>
      </c>
      <c r="L201" s="668" t="str">
        <v/>
      </c>
      <c r="M201" s="668" t="str">
        <v/>
      </c>
      <c r="N201" s="669" t="str">
        <v/>
      </c>
      <c r="O201" s="670" t="str">
        <v/>
      </c>
      <c r="P201" s="667" t="str">
        <v/>
      </c>
      <c r="Q201" s="670" t="str">
        <v/>
      </c>
      <c r="R201" s="679" t="str">
        <f>IF(AND(QueryFlag="ON",NOT(ISNA(E201))),_xll.BondOutstanding(E201),"")</f>
        <v/>
      </c>
    </row>
    <row r="202" spans="5:18">
      <c r="E202" s="1006" t="s">
        <v>703</v>
      </c>
      <c r="F202" s="1002" t="str">
        <f>IF(LEN($E202)&gt;1,_xll.BondInfo($E202,$F$4),"")</f>
        <v>OAT 25-apr-21 3.75%</v>
      </c>
      <c r="G202" s="678" t="str">
        <f t="array" ref="G202:Q202">IF(AND(QueryFlag="ON",NOT(ISNA(E202))),_xll.BondInfo(E202,$G$4:$Q$4),"")</f>
        <v/>
      </c>
      <c r="H202" s="668" t="str">
        <v/>
      </c>
      <c r="I202" s="666" t="str">
        <v/>
      </c>
      <c r="J202" s="668" t="str">
        <v/>
      </c>
      <c r="K202" s="668" t="str">
        <v/>
      </c>
      <c r="L202" s="668" t="str">
        <v/>
      </c>
      <c r="M202" s="668" t="str">
        <v/>
      </c>
      <c r="N202" s="669" t="str">
        <v/>
      </c>
      <c r="O202" s="670" t="str">
        <v/>
      </c>
      <c r="P202" s="667" t="str">
        <v/>
      </c>
      <c r="Q202" s="670" t="str">
        <v/>
      </c>
      <c r="R202" s="679" t="str">
        <f>IF(AND(QueryFlag="ON",NOT(ISNA(E202))),_xll.BondOutstanding(E202),"")</f>
        <v/>
      </c>
    </row>
    <row r="203" spans="5:18">
      <c r="E203" s="1006" t="s">
        <v>880</v>
      </c>
      <c r="F203" s="1002" t="str">
        <f>IF(LEN($E203)&gt;1,_xll.BondInfo($E203,$F$4),"")</f>
        <v>OAT 25-may-21 0%</v>
      </c>
      <c r="G203" s="678" t="str">
        <f t="array" ref="G203:Q203">IF(AND(QueryFlag="ON",NOT(ISNA(E203))),_xll.BondInfo(E203,$G$4:$Q$4),"")</f>
        <v/>
      </c>
      <c r="H203" s="668" t="str">
        <v/>
      </c>
      <c r="I203" s="666" t="str">
        <v/>
      </c>
      <c r="J203" s="668" t="str">
        <v/>
      </c>
      <c r="K203" s="668" t="str">
        <v/>
      </c>
      <c r="L203" s="668" t="str">
        <v/>
      </c>
      <c r="M203" s="668" t="str">
        <v/>
      </c>
      <c r="N203" s="669" t="str">
        <v/>
      </c>
      <c r="O203" s="670" t="str">
        <v/>
      </c>
      <c r="P203" s="667" t="str">
        <v/>
      </c>
      <c r="Q203" s="670" t="str">
        <v/>
      </c>
      <c r="R203" s="679" t="str">
        <f>IF(AND(QueryFlag="ON",NOT(ISNA(E203))),_xll.BondOutstanding(E203),"")</f>
        <v/>
      </c>
    </row>
    <row r="204" spans="5:18">
      <c r="E204" s="1006" t="s">
        <v>1662</v>
      </c>
      <c r="F204" s="1002" t="str">
        <f>IF(LEN($E204)&gt;1,_xll.BondInfo($E204,$F$4),"")</f>
        <v>OAT 25-jul-21 .1%</v>
      </c>
      <c r="G204" s="678" t="str">
        <f t="array" ref="G204:Q204">IF(AND(QueryFlag="ON",NOT(ISNA(E204))),_xll.BondInfo(E204,$G$4:$Q$4),"")</f>
        <v/>
      </c>
      <c r="H204" s="668" t="str">
        <v/>
      </c>
      <c r="I204" s="666" t="str">
        <v/>
      </c>
      <c r="J204" s="668" t="str">
        <v/>
      </c>
      <c r="K204" s="668" t="str">
        <v/>
      </c>
      <c r="L204" s="668" t="str">
        <v/>
      </c>
      <c r="M204" s="668" t="str">
        <v/>
      </c>
      <c r="N204" s="669" t="str">
        <v/>
      </c>
      <c r="O204" s="670" t="str">
        <v/>
      </c>
      <c r="P204" s="667" t="str">
        <v/>
      </c>
      <c r="Q204" s="670" t="str">
        <v/>
      </c>
      <c r="R204" s="679" t="str">
        <f>IF(AND(QueryFlag="ON",NOT(ISNA(E204))),_xll.BondOutstanding(E204),"")</f>
        <v/>
      </c>
    </row>
    <row r="205" spans="5:18">
      <c r="E205" s="1006" t="s">
        <v>704</v>
      </c>
      <c r="F205" s="1002" t="str">
        <f>IF(LEN($E205)&gt;1,_xll.BondInfo($E205,$F$4),"")</f>
        <v>OAT 25-oct-21 3.25%</v>
      </c>
      <c r="G205" s="678" t="str">
        <f t="array" ref="G205:Q205">IF(AND(QueryFlag="ON",NOT(ISNA(E205))),_xll.BondInfo(E205,$G$4:$Q$4),"")</f>
        <v/>
      </c>
      <c r="H205" s="668" t="str">
        <v/>
      </c>
      <c r="I205" s="666" t="str">
        <v/>
      </c>
      <c r="J205" s="668" t="str">
        <v/>
      </c>
      <c r="K205" s="668" t="str">
        <v/>
      </c>
      <c r="L205" s="668" t="str">
        <v/>
      </c>
      <c r="M205" s="668" t="str">
        <v/>
      </c>
      <c r="N205" s="669" t="str">
        <v/>
      </c>
      <c r="O205" s="670" t="str">
        <v/>
      </c>
      <c r="P205" s="667" t="str">
        <v/>
      </c>
      <c r="Q205" s="670" t="str">
        <v/>
      </c>
      <c r="R205" s="679" t="str">
        <f>IF(AND(QueryFlag="ON",NOT(ISNA(E205))),_xll.BondOutstanding(E205),"")</f>
        <v/>
      </c>
    </row>
    <row r="206" spans="5:18">
      <c r="E206" s="1006" t="s">
        <v>705</v>
      </c>
      <c r="F206" s="1002" t="str">
        <f>IF(LEN($E206)&gt;1,_xll.BondInfo($E206,$F$4),"")</f>
        <v>OAT 25-apr-22 3%</v>
      </c>
      <c r="G206" s="678" t="str">
        <f t="array" ref="G206:Q206">IF(AND(QueryFlag="ON",NOT(ISNA(E206))),_xll.BondInfo(E206,$G$4:$Q$4),"")</f>
        <v/>
      </c>
      <c r="H206" s="668" t="str">
        <v/>
      </c>
      <c r="I206" s="666" t="str">
        <v/>
      </c>
      <c r="J206" s="668" t="str">
        <v/>
      </c>
      <c r="K206" s="668" t="str">
        <v/>
      </c>
      <c r="L206" s="668" t="str">
        <v/>
      </c>
      <c r="M206" s="668" t="str">
        <v/>
      </c>
      <c r="N206" s="669" t="str">
        <v/>
      </c>
      <c r="O206" s="670" t="str">
        <v/>
      </c>
      <c r="P206" s="667" t="str">
        <v/>
      </c>
      <c r="Q206" s="670" t="str">
        <v/>
      </c>
      <c r="R206" s="679" t="str">
        <f>IF(AND(QueryFlag="ON",NOT(ISNA(E206))),_xll.BondOutstanding(E206),"")</f>
        <v/>
      </c>
    </row>
    <row r="207" spans="5:18">
      <c r="E207" s="1006" t="s">
        <v>966</v>
      </c>
      <c r="F207" s="1002" t="str">
        <f>IF(LEN($E207)&gt;1,_xll.BondInfo($E207,$F$4),"")</f>
        <v>OAT 25-apr-2022 8.25%</v>
      </c>
      <c r="G207" s="678" t="str">
        <f t="array" ref="G207:Q207">IF(AND(QueryFlag="ON",NOT(ISNA(E207))),_xll.BondInfo(E207,$G$4:$Q$4),"")</f>
        <v/>
      </c>
      <c r="H207" s="668" t="str">
        <v/>
      </c>
      <c r="I207" s="666" t="str">
        <v/>
      </c>
      <c r="J207" s="668" t="str">
        <v/>
      </c>
      <c r="K207" s="668" t="str">
        <v/>
      </c>
      <c r="L207" s="668" t="str">
        <v/>
      </c>
      <c r="M207" s="668" t="str">
        <v/>
      </c>
      <c r="N207" s="669" t="str">
        <v/>
      </c>
      <c r="O207" s="670" t="str">
        <v/>
      </c>
      <c r="P207" s="667" t="str">
        <v/>
      </c>
      <c r="Q207" s="670" t="str">
        <v/>
      </c>
      <c r="R207" s="679" t="str">
        <f>IF(AND(QueryFlag="ON",NOT(ISNA(E207))),_xll.BondOutstanding(E207),"")</f>
        <v/>
      </c>
    </row>
    <row r="208" spans="5:18">
      <c r="E208" s="1006" t="s">
        <v>916</v>
      </c>
      <c r="F208" s="1002" t="str">
        <f>IF(LEN($E208)&gt;1,_xll.BondInfo($E208,$F$4),"")</f>
        <v>OAT 25-may-22 0%</v>
      </c>
      <c r="G208" s="678" t="str">
        <f t="array" ref="G208:Q208">IF(AND(QueryFlag="ON",NOT(ISNA(E208))),_xll.BondInfo(E208,$G$4:$Q$4),"")</f>
        <v/>
      </c>
      <c r="H208" s="668" t="str">
        <v/>
      </c>
      <c r="I208" s="666" t="str">
        <v/>
      </c>
      <c r="J208" s="668" t="str">
        <v/>
      </c>
      <c r="K208" s="668" t="str">
        <v/>
      </c>
      <c r="L208" s="668" t="str">
        <v/>
      </c>
      <c r="M208" s="668" t="str">
        <v/>
      </c>
      <c r="N208" s="669" t="str">
        <v/>
      </c>
      <c r="O208" s="670" t="str">
        <v/>
      </c>
      <c r="P208" s="667" t="str">
        <v/>
      </c>
      <c r="Q208" s="670" t="str">
        <v/>
      </c>
      <c r="R208" s="679" t="str">
        <f>IF(AND(QueryFlag="ON",NOT(ISNA(E208))),_xll.BondOutstanding(E208),"")</f>
        <v/>
      </c>
    </row>
    <row r="209" spans="5:18">
      <c r="E209" s="1006" t="s">
        <v>706</v>
      </c>
      <c r="F209" s="1002" t="str">
        <f>IF(LEN($E209)&gt;1,_xll.BondInfo($E209,$F$4),"")</f>
        <v>OAT 25-oct-22 2.25%</v>
      </c>
      <c r="G209" s="678" t="str">
        <f t="array" ref="G209:Q209">IF(AND(QueryFlag="ON",NOT(ISNA(E209))),_xll.BondInfo(E209,$G$4:$Q$4),"")</f>
        <v/>
      </c>
      <c r="H209" s="668" t="str">
        <v/>
      </c>
      <c r="I209" s="666" t="str">
        <v/>
      </c>
      <c r="J209" s="668" t="str">
        <v/>
      </c>
      <c r="K209" s="668" t="str">
        <v/>
      </c>
      <c r="L209" s="668" t="str">
        <v/>
      </c>
      <c r="M209" s="668" t="str">
        <v/>
      </c>
      <c r="N209" s="669" t="str">
        <v/>
      </c>
      <c r="O209" s="670" t="str">
        <v/>
      </c>
      <c r="P209" s="667" t="str">
        <v/>
      </c>
      <c r="Q209" s="670" t="str">
        <v/>
      </c>
      <c r="R209" s="679" t="str">
        <f>IF(AND(QueryFlag="ON",NOT(ISNA(E209))),_xll.BondOutstanding(E209),"")</f>
        <v/>
      </c>
    </row>
    <row r="210" spans="5:18">
      <c r="E210" s="1006" t="s">
        <v>1663</v>
      </c>
      <c r="F210" s="1002" t="str">
        <f>IF(LEN($E210)&gt;1,_xll.BondInfo($E210,$F$4),"")</f>
        <v>OAT 25-mar-23 0%</v>
      </c>
      <c r="G210" s="678" t="str">
        <f t="array" ref="G210:Q210">IF(AND(QueryFlag="ON",NOT(ISNA(E210))),_xll.BondInfo(E210,$G$4:$Q$4),"")</f>
        <v/>
      </c>
      <c r="H210" s="668" t="str">
        <v/>
      </c>
      <c r="I210" s="666" t="str">
        <v/>
      </c>
      <c r="J210" s="668" t="str">
        <v/>
      </c>
      <c r="K210" s="668" t="str">
        <v/>
      </c>
      <c r="L210" s="668" t="str">
        <v/>
      </c>
      <c r="M210" s="668" t="str">
        <v/>
      </c>
      <c r="N210" s="669" t="str">
        <v/>
      </c>
      <c r="O210" s="670" t="str">
        <v/>
      </c>
      <c r="P210" s="667" t="str">
        <v/>
      </c>
      <c r="Q210" s="670" t="str">
        <v/>
      </c>
      <c r="R210" s="679" t="str">
        <f>IF(AND(QueryFlag="ON",NOT(ISNA(E210))),_xll.BondOutstanding(E210),"")</f>
        <v/>
      </c>
    </row>
    <row r="211" spans="5:18">
      <c r="E211" s="1006" t="s">
        <v>967</v>
      </c>
      <c r="F211" s="1002" t="str">
        <f>IF(LEN($E211)&gt;1,_xll.BondInfo($E211,$F$4),"")</f>
        <v>OAT 25-apr-2023 8.50%</v>
      </c>
      <c r="G211" s="678" t="str">
        <f t="array" ref="G211:Q211">IF(AND(QueryFlag="ON",NOT(ISNA(E211))),_xll.BondInfo(E211,$G$4:$Q$4),"")</f>
        <v/>
      </c>
      <c r="H211" s="668" t="str">
        <v/>
      </c>
      <c r="I211" s="666" t="str">
        <v/>
      </c>
      <c r="J211" s="668" t="str">
        <v/>
      </c>
      <c r="K211" s="668" t="str">
        <v/>
      </c>
      <c r="L211" s="668" t="str">
        <v/>
      </c>
      <c r="M211" s="668" t="str">
        <v/>
      </c>
      <c r="N211" s="669" t="str">
        <v/>
      </c>
      <c r="O211" s="670" t="str">
        <v/>
      </c>
      <c r="P211" s="667" t="str">
        <v/>
      </c>
      <c r="Q211" s="670" t="str">
        <v/>
      </c>
      <c r="R211" s="679" t="str">
        <f>IF(AND(QueryFlag="ON",NOT(ISNA(E211))),_xll.BondOutstanding(E211),"")</f>
        <v/>
      </c>
    </row>
    <row r="212" spans="5:18">
      <c r="E212" s="1006" t="s">
        <v>707</v>
      </c>
      <c r="F212" s="1002" t="str">
        <f>IF(LEN($E212)&gt;1,_xll.BondInfo($E212,$F$4),"")</f>
        <v>OAT 25-may-23 1.75%</v>
      </c>
      <c r="G212" s="678" t="str">
        <f t="array" ref="G212:Q212">IF(AND(QueryFlag="ON",NOT(ISNA(E212))),_xll.BondInfo(E212,$G$4:$Q$4),"")</f>
        <v/>
      </c>
      <c r="H212" s="668" t="str">
        <v/>
      </c>
      <c r="I212" s="666" t="str">
        <v/>
      </c>
      <c r="J212" s="668" t="str">
        <v/>
      </c>
      <c r="K212" s="668" t="str">
        <v/>
      </c>
      <c r="L212" s="668" t="str">
        <v/>
      </c>
      <c r="M212" s="668" t="str">
        <v/>
      </c>
      <c r="N212" s="669" t="str">
        <v/>
      </c>
      <c r="O212" s="670" t="str">
        <v/>
      </c>
      <c r="P212" s="667" t="str">
        <v/>
      </c>
      <c r="Q212" s="670" t="str">
        <v/>
      </c>
      <c r="R212" s="679" t="str">
        <f>IF(AND(QueryFlag="ON",NOT(ISNA(E212))),_xll.BondOutstanding(E212),"")</f>
        <v/>
      </c>
    </row>
    <row r="213" spans="5:18">
      <c r="E213" s="1006" t="s">
        <v>708</v>
      </c>
      <c r="F213" s="1002" t="str">
        <f>IF(LEN($E213)&gt;1,_xll.BondInfo($E213,$F$4),"")</f>
        <v>OAT 25-oct-23 4.25%</v>
      </c>
      <c r="G213" s="678" t="str">
        <f t="array" ref="G213:Q213">IF(AND(QueryFlag="ON",NOT(ISNA(E213))),_xll.BondInfo(E213,$G$4:$Q$4),"")</f>
        <v/>
      </c>
      <c r="H213" s="668" t="str">
        <v/>
      </c>
      <c r="I213" s="666" t="str">
        <v/>
      </c>
      <c r="J213" s="668" t="str">
        <v/>
      </c>
      <c r="K213" s="668" t="str">
        <v/>
      </c>
      <c r="L213" s="668" t="str">
        <v/>
      </c>
      <c r="M213" s="668" t="str">
        <v/>
      </c>
      <c r="N213" s="669" t="str">
        <v/>
      </c>
      <c r="O213" s="670" t="str">
        <v/>
      </c>
      <c r="P213" s="667" t="str">
        <v/>
      </c>
      <c r="Q213" s="670" t="str">
        <v/>
      </c>
      <c r="R213" s="679" t="str">
        <f>IF(AND(QueryFlag="ON",NOT(ISNA(E213))),_xll.BondOutstanding(E213),"")</f>
        <v/>
      </c>
    </row>
    <row r="214" spans="5:18">
      <c r="E214" s="1006" t="s">
        <v>709</v>
      </c>
      <c r="F214" s="1002" t="str">
        <f>IF(LEN($E214)&gt;1,_xll.BondInfo($E214,$F$4),"")</f>
        <v>OAT 25-may-24 2.25%</v>
      </c>
      <c r="G214" s="678" t="str">
        <f t="array" ref="G214:Q214">IF(AND(QueryFlag="ON",NOT(ISNA(E214))),_xll.BondInfo(E214,$G$4:$Q$4),"")</f>
        <v/>
      </c>
      <c r="H214" s="668" t="str">
        <v/>
      </c>
      <c r="I214" s="666" t="str">
        <v/>
      </c>
      <c r="J214" s="668" t="str">
        <v/>
      </c>
      <c r="K214" s="668" t="str">
        <v/>
      </c>
      <c r="L214" s="668" t="str">
        <v/>
      </c>
      <c r="M214" s="668" t="str">
        <v/>
      </c>
      <c r="N214" s="669" t="str">
        <v/>
      </c>
      <c r="O214" s="670" t="str">
        <v/>
      </c>
      <c r="P214" s="667" t="str">
        <v/>
      </c>
      <c r="Q214" s="670" t="str">
        <v/>
      </c>
      <c r="R214" s="679" t="str">
        <f>IF(AND(QueryFlag="ON",NOT(ISNA(E214))),_xll.BondOutstanding(E214),"")</f>
        <v/>
      </c>
    </row>
    <row r="215" spans="5:18">
      <c r="E215" s="1006" t="s">
        <v>1664</v>
      </c>
      <c r="F215" s="1002" t="str">
        <f>IF(LEN($E215)&gt;1,_xll.BondInfo($E215,$F$4),"")</f>
        <v>OAT 25-jul-24 .25%</v>
      </c>
      <c r="G215" s="678" t="str">
        <f t="array" ref="G215:Q215">IF(AND(QueryFlag="ON",NOT(ISNA(E215))),_xll.BondInfo(E215,$G$4:$Q$4),"")</f>
        <v/>
      </c>
      <c r="H215" s="668" t="str">
        <v/>
      </c>
      <c r="I215" s="666" t="str">
        <v/>
      </c>
      <c r="J215" s="668" t="str">
        <v/>
      </c>
      <c r="K215" s="668" t="str">
        <v/>
      </c>
      <c r="L215" s="668" t="str">
        <v/>
      </c>
      <c r="M215" s="668" t="str">
        <v/>
      </c>
      <c r="N215" s="669" t="str">
        <v/>
      </c>
      <c r="O215" s="670" t="str">
        <v/>
      </c>
      <c r="P215" s="667" t="str">
        <v/>
      </c>
      <c r="Q215" s="670" t="str">
        <v/>
      </c>
      <c r="R215" s="679" t="str">
        <f>IF(AND(QueryFlag="ON",NOT(ISNA(E215))),_xll.BondOutstanding(E215),"")</f>
        <v/>
      </c>
    </row>
    <row r="216" spans="5:18">
      <c r="E216" s="1006" t="s">
        <v>423</v>
      </c>
      <c r="F216" s="1002" t="str">
        <f>IF(LEN($E216)&gt;1,_xll.BondInfo($E216,$F$4),"")</f>
        <v>OAT 25-nov-24 1.75%</v>
      </c>
      <c r="G216" s="678" t="str">
        <f t="array" ref="G216:Q216">IF(AND(QueryFlag="ON",NOT(ISNA(E216))),_xll.BondInfo(E216,$G$4:$Q$4),"")</f>
        <v/>
      </c>
      <c r="H216" s="668" t="str">
        <v/>
      </c>
      <c r="I216" s="666" t="str">
        <v/>
      </c>
      <c r="J216" s="668" t="str">
        <v/>
      </c>
      <c r="K216" s="668" t="str">
        <v/>
      </c>
      <c r="L216" s="668" t="str">
        <v/>
      </c>
      <c r="M216" s="668" t="str">
        <v/>
      </c>
      <c r="N216" s="669" t="str">
        <v/>
      </c>
      <c r="O216" s="670" t="str">
        <v/>
      </c>
      <c r="P216" s="667" t="str">
        <v/>
      </c>
      <c r="Q216" s="670" t="str">
        <v/>
      </c>
      <c r="R216" s="679" t="str">
        <f>IF(AND(QueryFlag="ON",NOT(ISNA(E216))),_xll.BondOutstanding(E216),"")</f>
        <v/>
      </c>
    </row>
    <row r="217" spans="5:18">
      <c r="E217" s="1006" t="s">
        <v>600</v>
      </c>
      <c r="F217" s="1002" t="str">
        <f>IF(LEN($E217)&gt;1,_xll.BondInfo($E217,$F$4),"")</f>
        <v>OAT 25-may-25 .5%</v>
      </c>
      <c r="G217" s="678" t="str">
        <f t="array" ref="G217:Q217">IF(AND(QueryFlag="ON",NOT(ISNA(E217))),_xll.BondInfo(E217,$G$4:$Q$4),"")</f>
        <v/>
      </c>
      <c r="H217" s="668" t="str">
        <v/>
      </c>
      <c r="I217" s="666" t="str">
        <v/>
      </c>
      <c r="J217" s="668" t="str">
        <v/>
      </c>
      <c r="K217" s="668" t="str">
        <v/>
      </c>
      <c r="L217" s="668" t="str">
        <v/>
      </c>
      <c r="M217" s="668" t="str">
        <v/>
      </c>
      <c r="N217" s="669" t="str">
        <v/>
      </c>
      <c r="O217" s="670" t="str">
        <v/>
      </c>
      <c r="P217" s="667" t="str">
        <v/>
      </c>
      <c r="Q217" s="670" t="str">
        <v/>
      </c>
      <c r="R217" s="679" t="str">
        <f>IF(AND(QueryFlag="ON",NOT(ISNA(E217))),_xll.BondOutstanding(E217),"")</f>
        <v/>
      </c>
    </row>
    <row r="218" spans="5:18">
      <c r="E218" s="1006" t="s">
        <v>710</v>
      </c>
      <c r="F218" s="1002" t="str">
        <f>IF(LEN($E218)&gt;1,_xll.BondInfo($E218,$F$4),"")</f>
        <v>OAT 25-oct-2025 6.00%</v>
      </c>
      <c r="G218" s="678" t="str">
        <f t="array" ref="G218:Q218">IF(AND(QueryFlag="ON",NOT(ISNA(E218))),_xll.BondInfo(E218,$G$4:$Q$4),"")</f>
        <v/>
      </c>
      <c r="H218" s="668" t="str">
        <v/>
      </c>
      <c r="I218" s="666" t="str">
        <v/>
      </c>
      <c r="J218" s="668" t="str">
        <v/>
      </c>
      <c r="K218" s="668" t="str">
        <v/>
      </c>
      <c r="L218" s="668" t="str">
        <v/>
      </c>
      <c r="M218" s="668" t="str">
        <v/>
      </c>
      <c r="N218" s="669" t="str">
        <v/>
      </c>
      <c r="O218" s="670" t="str">
        <v/>
      </c>
      <c r="P218" s="667" t="str">
        <v/>
      </c>
      <c r="Q218" s="670" t="str">
        <v/>
      </c>
      <c r="R218" s="679" t="str">
        <f>IF(AND(QueryFlag="ON",NOT(ISNA(E218))),_xll.BondOutstanding(E218),"")</f>
        <v/>
      </c>
    </row>
    <row r="219" spans="5:18">
      <c r="E219" s="1006" t="s">
        <v>789</v>
      </c>
      <c r="F219" s="1002" t="str">
        <f>IF(LEN($E219)&gt;1,_xll.BondInfo($E219,$F$4),"")</f>
        <v>OAT 25-nov-25 1%</v>
      </c>
      <c r="G219" s="678" t="str">
        <f t="array" ref="G219:Q219">IF(AND(QueryFlag="ON",NOT(ISNA(E219))),_xll.BondInfo(E219,$G$4:$Q$4),"")</f>
        <v/>
      </c>
      <c r="H219" s="668" t="str">
        <v/>
      </c>
      <c r="I219" s="666" t="str">
        <v/>
      </c>
      <c r="J219" s="668" t="str">
        <v/>
      </c>
      <c r="K219" s="668" t="str">
        <v/>
      </c>
      <c r="L219" s="668" t="str">
        <v/>
      </c>
      <c r="M219" s="668" t="str">
        <v/>
      </c>
      <c r="N219" s="669" t="str">
        <v/>
      </c>
      <c r="O219" s="670" t="str">
        <v/>
      </c>
      <c r="P219" s="667" t="str">
        <v/>
      </c>
      <c r="Q219" s="670" t="str">
        <v/>
      </c>
      <c r="R219" s="679" t="str">
        <f>IF(AND(QueryFlag="ON",NOT(ISNA(E219))),_xll.BondOutstanding(E219),"")</f>
        <v/>
      </c>
    </row>
    <row r="220" spans="5:18">
      <c r="E220" s="1006" t="s">
        <v>711</v>
      </c>
      <c r="F220" s="1002" t="str">
        <f>IF(LEN($E220)&gt;1,_xll.BondInfo($E220,$F$4),"")</f>
        <v>OAT 25-apr-26 3.5%</v>
      </c>
      <c r="G220" s="678" t="str">
        <f t="array" ref="G220:Q220">IF(AND(QueryFlag="ON",NOT(ISNA(E220))),_xll.BondInfo(E220,$G$4:$Q$4),"")</f>
        <v/>
      </c>
      <c r="H220" s="668" t="str">
        <v/>
      </c>
      <c r="I220" s="666" t="str">
        <v/>
      </c>
      <c r="J220" s="668" t="str">
        <v/>
      </c>
      <c r="K220" s="668" t="str">
        <v/>
      </c>
      <c r="L220" s="668" t="str">
        <v/>
      </c>
      <c r="M220" s="668" t="str">
        <v/>
      </c>
      <c r="N220" s="669" t="str">
        <v/>
      </c>
      <c r="O220" s="670" t="str">
        <v/>
      </c>
      <c r="P220" s="667" t="str">
        <v/>
      </c>
      <c r="Q220" s="670" t="str">
        <v/>
      </c>
      <c r="R220" s="679" t="str">
        <f>IF(AND(QueryFlag="ON",NOT(ISNA(E220))),_xll.BondOutstanding(E220),"")</f>
        <v/>
      </c>
    </row>
    <row r="221" spans="5:18">
      <c r="E221" s="1006" t="s">
        <v>883</v>
      </c>
      <c r="F221" s="1002" t="str">
        <f>IF(LEN($E221)&gt;1,_xll.BondInfo($E221,$F$4),"")</f>
        <v>OAT 25-may-26 .5%</v>
      </c>
      <c r="G221" s="678" t="str">
        <f t="array" ref="G221:Q221">IF(AND(QueryFlag="ON",NOT(ISNA(E221))),_xll.BondInfo(E221,$G$4:$Q$4),"")</f>
        <v/>
      </c>
      <c r="H221" s="668" t="str">
        <v/>
      </c>
      <c r="I221" s="666" t="str">
        <v/>
      </c>
      <c r="J221" s="668" t="str">
        <v/>
      </c>
      <c r="K221" s="668" t="str">
        <v/>
      </c>
      <c r="L221" s="668" t="str">
        <v/>
      </c>
      <c r="M221" s="668" t="str">
        <v/>
      </c>
      <c r="N221" s="669" t="str">
        <v/>
      </c>
      <c r="O221" s="670" t="str">
        <v/>
      </c>
      <c r="P221" s="667" t="str">
        <v/>
      </c>
      <c r="Q221" s="670" t="str">
        <v/>
      </c>
      <c r="R221" s="679" t="str">
        <f>IF(AND(QueryFlag="ON",NOT(ISNA(E221))),_xll.BondOutstanding(E221),"")</f>
        <v/>
      </c>
    </row>
    <row r="222" spans="5:18">
      <c r="E222" s="1006" t="s">
        <v>918</v>
      </c>
      <c r="F222" s="1002" t="str">
        <f>IF(LEN($E222)&gt;1,_xll.BondInfo($E222,$F$4),"")</f>
        <v>OAT 25-nov-26 .25%</v>
      </c>
      <c r="G222" s="678" t="str">
        <f t="array" ref="G222:Q222">IF(AND(QueryFlag="ON",NOT(ISNA(E222))),_xll.BondInfo(E222,$G$4:$Q$4),"")</f>
        <v/>
      </c>
      <c r="H222" s="668" t="str">
        <v/>
      </c>
      <c r="I222" s="666" t="str">
        <v/>
      </c>
      <c r="J222" s="668" t="str">
        <v/>
      </c>
      <c r="K222" s="668" t="str">
        <v/>
      </c>
      <c r="L222" s="668" t="str">
        <v/>
      </c>
      <c r="M222" s="668" t="str">
        <v/>
      </c>
      <c r="N222" s="669" t="str">
        <v/>
      </c>
      <c r="O222" s="670" t="str">
        <v/>
      </c>
      <c r="P222" s="667" t="str">
        <v/>
      </c>
      <c r="Q222" s="670" t="str">
        <v/>
      </c>
      <c r="R222" s="679" t="str">
        <f>IF(AND(QueryFlag="ON",NOT(ISNA(E222))),_xll.BondOutstanding(E222),"")</f>
        <v/>
      </c>
    </row>
    <row r="223" spans="5:18">
      <c r="E223" s="1006" t="s">
        <v>960</v>
      </c>
      <c r="F223" s="1002" t="str">
        <f>IF(LEN($E223)&gt;1,_xll.BondInfo($E223,$F$4),"")</f>
        <v>OAT 25-may-27 1%</v>
      </c>
      <c r="G223" s="678" t="str">
        <f t="array" ref="G223:Q223">IF(AND(QueryFlag="ON",NOT(ISNA(E223))),_xll.BondInfo(E223,$G$4:$Q$4),"")</f>
        <v/>
      </c>
      <c r="H223" s="668" t="str">
        <v/>
      </c>
      <c r="I223" s="666" t="str">
        <v/>
      </c>
      <c r="J223" s="668" t="str">
        <v/>
      </c>
      <c r="K223" s="668" t="str">
        <v/>
      </c>
      <c r="L223" s="668" t="str">
        <v/>
      </c>
      <c r="M223" s="668" t="str">
        <v/>
      </c>
      <c r="N223" s="669" t="str">
        <v/>
      </c>
      <c r="O223" s="670" t="str">
        <v/>
      </c>
      <c r="P223" s="667" t="str">
        <v/>
      </c>
      <c r="Q223" s="670" t="str">
        <v/>
      </c>
      <c r="R223" s="679" t="str">
        <f>IF(AND(QueryFlag="ON",NOT(ISNA(E223))),_xll.BondOutstanding(E223),"")</f>
        <v/>
      </c>
    </row>
    <row r="224" spans="5:18">
      <c r="E224" s="1006" t="s">
        <v>712</v>
      </c>
      <c r="F224" s="1002" t="str">
        <f>IF(LEN($E224)&gt;1,_xll.BondInfo($E224,$F$4),"")</f>
        <v>OAT 25-oct-27 2.75%</v>
      </c>
      <c r="G224" s="678" t="str">
        <f t="array" ref="G224:Q224">IF(AND(QueryFlag="ON",NOT(ISNA(E224))),_xll.BondInfo(E224,$G$4:$Q$4),"")</f>
        <v/>
      </c>
      <c r="H224" s="668" t="str">
        <v/>
      </c>
      <c r="I224" s="666" t="str">
        <v/>
      </c>
      <c r="J224" s="668" t="str">
        <v/>
      </c>
      <c r="K224" s="668" t="str">
        <v/>
      </c>
      <c r="L224" s="668" t="str">
        <v/>
      </c>
      <c r="M224" s="668" t="str">
        <v/>
      </c>
      <c r="N224" s="669" t="str">
        <v/>
      </c>
      <c r="O224" s="670" t="str">
        <v/>
      </c>
      <c r="P224" s="667" t="str">
        <v/>
      </c>
      <c r="Q224" s="670" t="str">
        <v/>
      </c>
      <c r="R224" s="679" t="str">
        <f>IF(AND(QueryFlag="ON",NOT(ISNA(E224))),_xll.BondOutstanding(E224),"")</f>
        <v/>
      </c>
    </row>
    <row r="225" spans="5:18">
      <c r="E225" s="1006" t="s">
        <v>1665</v>
      </c>
      <c r="F225" s="1002" t="str">
        <f>IF(LEN($E225)&gt;1,_xll.BondInfo($E225,$F$4),"")</f>
        <v>OAT 01-mar-28 .1%</v>
      </c>
      <c r="G225" s="678" t="str">
        <f t="array" ref="G225:Q225">IF(AND(QueryFlag="ON",NOT(ISNA(E225))),_xll.BondInfo(E225,$G$4:$Q$4),"")</f>
        <v/>
      </c>
      <c r="H225" s="668" t="str">
        <v/>
      </c>
      <c r="I225" s="666" t="str">
        <v/>
      </c>
      <c r="J225" s="668" t="str">
        <v/>
      </c>
      <c r="K225" s="668" t="str">
        <v/>
      </c>
      <c r="L225" s="668" t="str">
        <v/>
      </c>
      <c r="M225" s="668" t="str">
        <v/>
      </c>
      <c r="N225" s="669" t="str">
        <v/>
      </c>
      <c r="O225" s="670" t="str">
        <v/>
      </c>
      <c r="P225" s="667" t="str">
        <v/>
      </c>
      <c r="Q225" s="670" t="str">
        <v/>
      </c>
      <c r="R225" s="679" t="str">
        <f>IF(AND(QueryFlag="ON",NOT(ISNA(E225))),_xll.BondOutstanding(E225),"")</f>
        <v/>
      </c>
    </row>
    <row r="226" spans="5:18">
      <c r="E226" s="1006" t="s">
        <v>1666</v>
      </c>
      <c r="F226" s="1002" t="str">
        <f>IF(LEN($E226)&gt;1,_xll.BondInfo($E226,$F$4),"")</f>
        <v>OAT 25-may-28 .75%</v>
      </c>
      <c r="G226" s="678" t="str">
        <f t="array" ref="G226:Q226">IF(AND(QueryFlag="ON",NOT(ISNA(E226))),_xll.BondInfo(E226,$G$4:$Q$4),"")</f>
        <v/>
      </c>
      <c r="H226" s="668" t="str">
        <v/>
      </c>
      <c r="I226" s="666" t="str">
        <v/>
      </c>
      <c r="J226" s="668" t="str">
        <v/>
      </c>
      <c r="K226" s="668" t="str">
        <v/>
      </c>
      <c r="L226" s="668" t="str">
        <v/>
      </c>
      <c r="M226" s="668" t="str">
        <v/>
      </c>
      <c r="N226" s="669" t="str">
        <v/>
      </c>
      <c r="O226" s="670" t="str">
        <v/>
      </c>
      <c r="P226" s="667" t="str">
        <v/>
      </c>
      <c r="Q226" s="670" t="str">
        <v/>
      </c>
      <c r="R226" s="679" t="str">
        <f>IF(AND(QueryFlag="ON",NOT(ISNA(E226))),_xll.BondOutstanding(E226),"")</f>
        <v/>
      </c>
    </row>
    <row r="227" spans="5:18">
      <c r="E227" s="1006" t="s">
        <v>713</v>
      </c>
      <c r="F227" s="1002" t="str">
        <f>IF(LEN($E227)&gt;1,_xll.BondInfo($E227,$F$4),"")</f>
        <v>OAT 25-apr-2029 5.50%</v>
      </c>
      <c r="G227" s="678" t="str">
        <f t="array" ref="G227:Q227">IF(AND(QueryFlag="ON",NOT(ISNA(E227))),_xll.BondInfo(E227,$G$4:$Q$4),"")</f>
        <v/>
      </c>
      <c r="H227" s="668" t="str">
        <v/>
      </c>
      <c r="I227" s="666" t="str">
        <v/>
      </c>
      <c r="J227" s="668" t="str">
        <v/>
      </c>
      <c r="K227" s="668" t="str">
        <v/>
      </c>
      <c r="L227" s="668" t="str">
        <v/>
      </c>
      <c r="M227" s="668" t="str">
        <v/>
      </c>
      <c r="N227" s="669" t="str">
        <v/>
      </c>
      <c r="O227" s="670" t="str">
        <v/>
      </c>
      <c r="P227" s="667" t="str">
        <v/>
      </c>
      <c r="Q227" s="670" t="str">
        <v/>
      </c>
      <c r="R227" s="679" t="str">
        <f>IF(AND(QueryFlag="ON",NOT(ISNA(E227))),_xll.BondOutstanding(E227),"")</f>
        <v/>
      </c>
    </row>
    <row r="228" spans="5:18">
      <c r="E228" s="1006" t="s">
        <v>424</v>
      </c>
      <c r="F228" s="1002" t="str">
        <f>IF(LEN($E228)&gt;1,_xll.BondInfo($E228,$F$4),"")</f>
        <v>OAT 25-may-30 2.5%</v>
      </c>
      <c r="G228" s="678" t="str">
        <f t="array" ref="G228:Q228">IF(AND(QueryFlag="ON",NOT(ISNA(E228))),_xll.BondInfo(E228,$G$4:$Q$4),"")</f>
        <v/>
      </c>
      <c r="H228" s="668" t="str">
        <v/>
      </c>
      <c r="I228" s="666" t="str">
        <v/>
      </c>
      <c r="J228" s="668" t="str">
        <v/>
      </c>
      <c r="K228" s="668" t="str">
        <v/>
      </c>
      <c r="L228" s="668" t="str">
        <v/>
      </c>
      <c r="M228" s="668" t="str">
        <v/>
      </c>
      <c r="N228" s="669" t="str">
        <v/>
      </c>
      <c r="O228" s="670" t="str">
        <v/>
      </c>
      <c r="P228" s="667" t="str">
        <v/>
      </c>
      <c r="Q228" s="670" t="str">
        <v/>
      </c>
      <c r="R228" s="679" t="str">
        <f>IF(AND(QueryFlag="ON",NOT(ISNA(E228))),_xll.BondOutstanding(E228),"")</f>
        <v/>
      </c>
    </row>
    <row r="229" spans="5:18">
      <c r="E229" s="1006" t="s">
        <v>791</v>
      </c>
      <c r="F229" s="1002" t="str">
        <f>IF(LEN($E229)&gt;1,_xll.BondInfo($E229,$F$4),"")</f>
        <v>OAT 25-may-31 1.5%</v>
      </c>
      <c r="G229" s="678" t="str">
        <f t="array" ref="G229:Q229">IF(AND(QueryFlag="ON",NOT(ISNA(E229))),_xll.BondInfo(E229,$G$4:$Q$4),"")</f>
        <v/>
      </c>
      <c r="H229" s="668" t="str">
        <v/>
      </c>
      <c r="I229" s="666" t="str">
        <v/>
      </c>
      <c r="J229" s="668" t="str">
        <v/>
      </c>
      <c r="K229" s="668" t="str">
        <v/>
      </c>
      <c r="L229" s="668" t="str">
        <v/>
      </c>
      <c r="M229" s="668" t="str">
        <v/>
      </c>
      <c r="N229" s="669" t="str">
        <v/>
      </c>
      <c r="O229" s="670" t="str">
        <v/>
      </c>
      <c r="P229" s="667" t="str">
        <v/>
      </c>
      <c r="Q229" s="670" t="str">
        <v/>
      </c>
      <c r="R229" s="679" t="str">
        <f>IF(AND(QueryFlag="ON",NOT(ISNA(E229))),_xll.BondOutstanding(E229),"")</f>
        <v/>
      </c>
    </row>
    <row r="230" spans="5:18">
      <c r="E230" s="1006" t="s">
        <v>714</v>
      </c>
      <c r="F230" s="1002" t="str">
        <f>IF(LEN($E230)&gt;1,_xll.BondInfo($E230,$F$4),"")</f>
        <v>OAT 25-oct-2032 5.750%</v>
      </c>
      <c r="G230" s="678" t="str">
        <f t="array" ref="G230:Q230">IF(AND(QueryFlag="ON",NOT(ISNA(E230))),_xll.BondInfo(E230,$G$4:$Q$4),"")</f>
        <v/>
      </c>
      <c r="H230" s="668" t="str">
        <v/>
      </c>
      <c r="I230" s="666" t="str">
        <v/>
      </c>
      <c r="J230" s="668" t="str">
        <v/>
      </c>
      <c r="K230" s="668" t="str">
        <v/>
      </c>
      <c r="L230" s="668" t="str">
        <v/>
      </c>
      <c r="M230" s="668" t="str">
        <v/>
      </c>
      <c r="N230" s="669" t="str">
        <v/>
      </c>
      <c r="O230" s="670" t="str">
        <v/>
      </c>
      <c r="P230" s="667" t="str">
        <v/>
      </c>
      <c r="Q230" s="670" t="str">
        <v/>
      </c>
      <c r="R230" s="679" t="str">
        <f>IF(AND(QueryFlag="ON",NOT(ISNA(E230))),_xll.BondOutstanding(E230),"")</f>
        <v/>
      </c>
    </row>
    <row r="231" spans="5:18">
      <c r="E231" s="1006" t="s">
        <v>2033</v>
      </c>
      <c r="F231" s="1002" t="str">
        <f>IF(LEN($E231)&gt;1,_xll.BondInfo($E231,$F$4),"")</f>
        <v>OAT 25-may-34 1.25%</v>
      </c>
      <c r="G231" s="678" t="str">
        <f t="array" ref="G231:Q231">IF(AND(QueryFlag="ON",NOT(ISNA(E231))),_xll.BondInfo(E231,$G$4:$Q$4),"")</f>
        <v/>
      </c>
      <c r="H231" s="668" t="str">
        <v/>
      </c>
      <c r="I231" s="666" t="str">
        <v/>
      </c>
      <c r="J231" s="668" t="str">
        <v/>
      </c>
      <c r="K231" s="668" t="str">
        <v/>
      </c>
      <c r="L231" s="668" t="str">
        <v/>
      </c>
      <c r="M231" s="668" t="str">
        <v/>
      </c>
      <c r="N231" s="669" t="str">
        <v/>
      </c>
      <c r="O231" s="670" t="str">
        <v/>
      </c>
      <c r="P231" s="667" t="str">
        <v/>
      </c>
      <c r="Q231" s="670" t="str">
        <v/>
      </c>
      <c r="R231" s="679" t="str">
        <f>IF(AND(QueryFlag="ON",NOT(ISNA(E231))),_xll.BondOutstanding(E231),"")</f>
        <v/>
      </c>
    </row>
    <row r="232" spans="5:18">
      <c r="E232" s="1006" t="s">
        <v>715</v>
      </c>
      <c r="F232" s="1002" t="str">
        <f>IF(LEN($E232)&gt;1,_xll.BondInfo($E232,$F$4),"")</f>
        <v>OAT 25-apr-35 4.75%</v>
      </c>
      <c r="G232" s="678" t="str">
        <f t="array" ref="G232:Q232">IF(AND(QueryFlag="ON",NOT(ISNA(E232))),_xll.BondInfo(E232,$G$4:$Q$4),"")</f>
        <v/>
      </c>
      <c r="H232" s="668" t="str">
        <v/>
      </c>
      <c r="I232" s="666" t="str">
        <v/>
      </c>
      <c r="J232" s="668" t="str">
        <v/>
      </c>
      <c r="K232" s="668" t="str">
        <v/>
      </c>
      <c r="L232" s="668" t="str">
        <v/>
      </c>
      <c r="M232" s="668" t="str">
        <v/>
      </c>
      <c r="N232" s="669" t="str">
        <v/>
      </c>
      <c r="O232" s="670" t="str">
        <v/>
      </c>
      <c r="P232" s="667" t="str">
        <v/>
      </c>
      <c r="Q232" s="670" t="str">
        <v/>
      </c>
      <c r="R232" s="679" t="str">
        <f>IF(AND(QueryFlag="ON",NOT(ISNA(E232))),_xll.BondOutstanding(E232),"")</f>
        <v/>
      </c>
    </row>
    <row r="233" spans="5:18">
      <c r="E233" s="1006" t="s">
        <v>885</v>
      </c>
      <c r="F233" s="1002" t="str">
        <f>IF(LEN($E233)&gt;1,_xll.BondInfo($E233,$F$4),"")</f>
        <v>OAT 25-may-36 1.25%</v>
      </c>
      <c r="G233" s="678" t="str">
        <f t="array" ref="G233:Q233">IF(AND(QueryFlag="ON",NOT(ISNA(E233))),_xll.BondInfo(E233,$G$4:$Q$4),"")</f>
        <v/>
      </c>
      <c r="H233" s="668" t="str">
        <v/>
      </c>
      <c r="I233" s="666" t="str">
        <v/>
      </c>
      <c r="J233" s="668" t="str">
        <v/>
      </c>
      <c r="K233" s="668" t="str">
        <v/>
      </c>
      <c r="L233" s="668" t="str">
        <v/>
      </c>
      <c r="M233" s="668" t="str">
        <v/>
      </c>
      <c r="N233" s="669" t="str">
        <v/>
      </c>
      <c r="O233" s="670" t="str">
        <v/>
      </c>
      <c r="P233" s="667" t="str">
        <v/>
      </c>
      <c r="Q233" s="670" t="str">
        <v/>
      </c>
      <c r="R233" s="679" t="str">
        <f>IF(AND(QueryFlag="ON",NOT(ISNA(E233))),_xll.BondOutstanding(E233),"")</f>
        <v/>
      </c>
    </row>
    <row r="234" spans="5:18">
      <c r="E234" s="1006" t="s">
        <v>716</v>
      </c>
      <c r="F234" s="1002" t="str">
        <f>IF(LEN($E234)&gt;1,_xll.BondInfo($E234,$F$4),"")</f>
        <v>OAT 25-oct-38 4%</v>
      </c>
      <c r="G234" s="678" t="str">
        <f t="array" ref="G234:Q234">IF(AND(QueryFlag="ON",NOT(ISNA(E234))),_xll.BondInfo(E234,$G$4:$Q$4),"")</f>
        <v/>
      </c>
      <c r="H234" s="668" t="str">
        <v/>
      </c>
      <c r="I234" s="666" t="str">
        <v/>
      </c>
      <c r="J234" s="668" t="str">
        <v/>
      </c>
      <c r="K234" s="668" t="str">
        <v/>
      </c>
      <c r="L234" s="668" t="str">
        <v/>
      </c>
      <c r="M234" s="668" t="str">
        <v/>
      </c>
      <c r="N234" s="669" t="str">
        <v/>
      </c>
      <c r="O234" s="670" t="str">
        <v/>
      </c>
      <c r="P234" s="667" t="str">
        <v/>
      </c>
      <c r="Q234" s="670" t="str">
        <v/>
      </c>
      <c r="R234" s="679" t="str">
        <f>IF(AND(QueryFlag="ON",NOT(ISNA(E234))),_xll.BondOutstanding(E234),"")</f>
        <v/>
      </c>
    </row>
    <row r="235" spans="5:18">
      <c r="E235" s="1006" t="s">
        <v>950</v>
      </c>
      <c r="F235" s="1002" t="str">
        <f>IF(LEN($E235)&gt;1,_xll.BondInfo($E235,$F$4),"")</f>
        <v>OAT 25-jun-39 1.75%</v>
      </c>
      <c r="G235" s="678" t="str">
        <f t="array" ref="G235:Q235">IF(AND(QueryFlag="ON",NOT(ISNA(E235))),_xll.BondInfo(E235,$G$4:$Q$4),"")</f>
        <v/>
      </c>
      <c r="H235" s="668" t="str">
        <v/>
      </c>
      <c r="I235" s="666" t="str">
        <v/>
      </c>
      <c r="J235" s="668" t="str">
        <v/>
      </c>
      <c r="K235" s="668" t="str">
        <v/>
      </c>
      <c r="L235" s="668" t="str">
        <v/>
      </c>
      <c r="M235" s="668" t="str">
        <v/>
      </c>
      <c r="N235" s="669" t="str">
        <v/>
      </c>
      <c r="O235" s="670" t="str">
        <v/>
      </c>
      <c r="P235" s="667" t="str">
        <v/>
      </c>
      <c r="Q235" s="670" t="str">
        <v/>
      </c>
      <c r="R235" s="679" t="str">
        <f>IF(AND(QueryFlag="ON",NOT(ISNA(E235))),_xll.BondOutstanding(E235),"")</f>
        <v/>
      </c>
    </row>
    <row r="236" spans="5:18">
      <c r="E236" s="1006" t="s">
        <v>717</v>
      </c>
      <c r="F236" s="1002" t="str">
        <f>IF(LEN($E236)&gt;1,_xll.BondInfo($E236,$F$4),"")</f>
        <v>OAT 25-apr-41 4.5%</v>
      </c>
      <c r="G236" s="678" t="str">
        <f t="array" ref="G236:Q236">IF(AND(QueryFlag="ON",NOT(ISNA(E236))),_xll.BondInfo(E236,$G$4:$Q$4),"")</f>
        <v/>
      </c>
      <c r="H236" s="668" t="str">
        <v/>
      </c>
      <c r="I236" s="666" t="str">
        <v/>
      </c>
      <c r="J236" s="668" t="str">
        <v/>
      </c>
      <c r="K236" s="668" t="str">
        <v/>
      </c>
      <c r="L236" s="668" t="str">
        <v/>
      </c>
      <c r="M236" s="668" t="str">
        <v/>
      </c>
      <c r="N236" s="669" t="str">
        <v/>
      </c>
      <c r="O236" s="670" t="str">
        <v/>
      </c>
      <c r="P236" s="667" t="str">
        <v/>
      </c>
      <c r="Q236" s="670" t="str">
        <v/>
      </c>
      <c r="R236" s="679" t="str">
        <f>IF(AND(QueryFlag="ON",NOT(ISNA(E236))),_xll.BondOutstanding(E236),"")</f>
        <v/>
      </c>
    </row>
    <row r="237" spans="5:18">
      <c r="E237" s="1006" t="s">
        <v>718</v>
      </c>
      <c r="F237" s="1002" t="str">
        <f>IF(LEN($E237)&gt;1,_xll.BondInfo($E237,$F$4),"")</f>
        <v>OAT 25-may-45 3.25%</v>
      </c>
      <c r="G237" s="678" t="str">
        <f t="array" ref="G237:Q237">IF(AND(QueryFlag="ON",NOT(ISNA(E237))),_xll.BondInfo(E237,$G$4:$Q$4),"")</f>
        <v/>
      </c>
      <c r="H237" s="668" t="str">
        <v/>
      </c>
      <c r="I237" s="666" t="str">
        <v/>
      </c>
      <c r="J237" s="668" t="str">
        <v/>
      </c>
      <c r="K237" s="668" t="str">
        <v/>
      </c>
      <c r="L237" s="668" t="str">
        <v/>
      </c>
      <c r="M237" s="668" t="str">
        <v/>
      </c>
      <c r="N237" s="669" t="str">
        <v/>
      </c>
      <c r="O237" s="670" t="str">
        <v/>
      </c>
      <c r="P237" s="667" t="str">
        <v/>
      </c>
      <c r="Q237" s="670" t="str">
        <v/>
      </c>
      <c r="R237" s="679" t="str">
        <f>IF(AND(QueryFlag="ON",NOT(ISNA(E237))),_xll.BondOutstanding(E237),"")</f>
        <v/>
      </c>
    </row>
    <row r="238" spans="5:18">
      <c r="E238" s="1006" t="s">
        <v>1667</v>
      </c>
      <c r="F238" s="1002" t="str">
        <f>IF(LEN($E238)&gt;1,_xll.BondInfo($E238,$F$4),"")</f>
        <v>OAT 25-jul-47 .1%</v>
      </c>
      <c r="G238" s="678" t="str">
        <f t="array" ref="G238:Q238">IF(AND(QueryFlag="ON",NOT(ISNA(E238))),_xll.BondInfo(E238,$G$4:$Q$4),"")</f>
        <v/>
      </c>
      <c r="H238" s="668" t="str">
        <v/>
      </c>
      <c r="I238" s="666" t="str">
        <v/>
      </c>
      <c r="J238" s="668" t="str">
        <v/>
      </c>
      <c r="K238" s="668" t="str">
        <v/>
      </c>
      <c r="L238" s="668" t="str">
        <v/>
      </c>
      <c r="M238" s="668" t="str">
        <v/>
      </c>
      <c r="N238" s="669" t="str">
        <v/>
      </c>
      <c r="O238" s="670" t="str">
        <v/>
      </c>
      <c r="P238" s="667" t="str">
        <v/>
      </c>
      <c r="Q238" s="670" t="str">
        <v/>
      </c>
      <c r="R238" s="679" t="str">
        <f>IF(AND(QueryFlag="ON",NOT(ISNA(E238))),_xll.BondOutstanding(E238),"")</f>
        <v/>
      </c>
    </row>
    <row r="239" spans="5:18">
      <c r="E239" s="1006" t="s">
        <v>1004</v>
      </c>
      <c r="F239" s="1002" t="str">
        <f>IF(LEN($E239)&gt;1,_xll.BondInfo($E239,$F$4),"")</f>
        <v>OAT 25-may-48 2%</v>
      </c>
      <c r="G239" s="678" t="str">
        <f t="array" ref="G239:Q239">IF(AND(QueryFlag="ON",NOT(ISNA(E239))),_xll.BondInfo(E239,$G$4:$Q$4),"")</f>
        <v/>
      </c>
      <c r="H239" s="668" t="str">
        <v/>
      </c>
      <c r="I239" s="666" t="str">
        <v/>
      </c>
      <c r="J239" s="668" t="str">
        <v/>
      </c>
      <c r="K239" s="668" t="str">
        <v/>
      </c>
      <c r="L239" s="668" t="str">
        <v/>
      </c>
      <c r="M239" s="668" t="str">
        <v/>
      </c>
      <c r="N239" s="669" t="str">
        <v/>
      </c>
      <c r="O239" s="670" t="str">
        <v/>
      </c>
      <c r="P239" s="667" t="str">
        <v/>
      </c>
      <c r="Q239" s="670" t="str">
        <v/>
      </c>
      <c r="R239" s="679" t="str">
        <f>IF(AND(QueryFlag="ON",NOT(ISNA(E239))),_xll.BondOutstanding(E239),"")</f>
        <v/>
      </c>
    </row>
    <row r="240" spans="5:18">
      <c r="E240" s="1006" t="s">
        <v>719</v>
      </c>
      <c r="F240" s="1002" t="str">
        <f>IF(LEN($E240)&gt;1,_xll.BondInfo($E240,$F$4),"")</f>
        <v>OAT 25-apr-55 4%</v>
      </c>
      <c r="G240" s="678" t="str">
        <f t="array" ref="G240:Q240">IF(AND(QueryFlag="ON",NOT(ISNA(E240))),_xll.BondInfo(E240,$G$4:$Q$4),"")</f>
        <v/>
      </c>
      <c r="H240" s="668" t="str">
        <v/>
      </c>
      <c r="I240" s="666" t="str">
        <v/>
      </c>
      <c r="J240" s="668" t="str">
        <v/>
      </c>
      <c r="K240" s="668" t="str">
        <v/>
      </c>
      <c r="L240" s="668" t="str">
        <v/>
      </c>
      <c r="M240" s="668" t="str">
        <v/>
      </c>
      <c r="N240" s="669" t="str">
        <v/>
      </c>
      <c r="O240" s="670" t="str">
        <v/>
      </c>
      <c r="P240" s="667" t="str">
        <v/>
      </c>
      <c r="Q240" s="670" t="str">
        <v/>
      </c>
      <c r="R240" s="679" t="str">
        <f>IF(AND(QueryFlag="ON",NOT(ISNA(E240))),_xll.BondOutstanding(E240),"")</f>
        <v/>
      </c>
    </row>
    <row r="241" spans="5:18">
      <c r="E241" s="1006" t="s">
        <v>720</v>
      </c>
      <c r="F241" s="1002" t="str">
        <f>IF(LEN($E241)&gt;1,_xll.BondInfo($E241,$F$4),"")</f>
        <v>OAT 25-apr-60 4%</v>
      </c>
      <c r="G241" s="678" t="str">
        <f t="array" ref="G241:Q241">IF(AND(QueryFlag="ON",NOT(ISNA(E241))),_xll.BondInfo(E241,$G$4:$Q$4),"")</f>
        <v/>
      </c>
      <c r="H241" s="668" t="str">
        <v/>
      </c>
      <c r="I241" s="666" t="str">
        <v/>
      </c>
      <c r="J241" s="668" t="str">
        <v/>
      </c>
      <c r="K241" s="668" t="str">
        <v/>
      </c>
      <c r="L241" s="668" t="str">
        <v/>
      </c>
      <c r="M241" s="668" t="str">
        <v/>
      </c>
      <c r="N241" s="669" t="str">
        <v/>
      </c>
      <c r="O241" s="670" t="str">
        <v/>
      </c>
      <c r="P241" s="667" t="str">
        <v/>
      </c>
      <c r="Q241" s="670" t="str">
        <v/>
      </c>
      <c r="R241" s="679" t="str">
        <f>IF(AND(QueryFlag="ON",NOT(ISNA(E241))),_xll.BondOutstanding(E241),"")</f>
        <v/>
      </c>
    </row>
    <row r="242" spans="5:18">
      <c r="E242" s="1006" t="s">
        <v>887</v>
      </c>
      <c r="F242" s="1002" t="str">
        <f>IF(LEN($E242)&gt;1,_xll.BondInfo($E242,$F$4),"")</f>
        <v>OAT 25-may-66 1.75%</v>
      </c>
      <c r="G242" s="678" t="str">
        <f t="array" ref="G242:Q242">IF(AND(QueryFlag="ON",NOT(ISNA(E242))),_xll.BondInfo(E242,$G$4:$Q$4),"")</f>
        <v/>
      </c>
      <c r="H242" s="668" t="str">
        <v/>
      </c>
      <c r="I242" s="666" t="str">
        <v/>
      </c>
      <c r="J242" s="668" t="str">
        <v/>
      </c>
      <c r="K242" s="668" t="str">
        <v/>
      </c>
      <c r="L242" s="668" t="str">
        <v/>
      </c>
      <c r="M242" s="668" t="str">
        <v/>
      </c>
      <c r="N242" s="669" t="str">
        <v/>
      </c>
      <c r="O242" s="670" t="str">
        <v/>
      </c>
      <c r="P242" s="667" t="str">
        <v/>
      </c>
      <c r="Q242" s="670" t="str">
        <v/>
      </c>
      <c r="R242" s="679" t="str">
        <f>IF(AND(QueryFlag="ON",NOT(ISNA(E242))),_xll.BondOutstanding(E242),"")</f>
        <v/>
      </c>
    </row>
    <row r="243" spans="5:18">
      <c r="E243" s="1007"/>
      <c r="F243" s="1002" t="str">
        <f>IF(LEN($E243)&gt;1,_xll.BondInfo($E243,$F$4),"")</f>
        <v/>
      </c>
      <c r="G243" s="678" t="str">
        <f t="array" ref="G243:Q243">IF(AND(QueryFlag="ON",NOT(ISNA(E243))),_xll.BondInfo(E243,$G$4:$Q$4),"")</f>
        <v/>
      </c>
      <c r="H243" s="668" t="str">
        <v/>
      </c>
      <c r="I243" s="666" t="str">
        <v/>
      </c>
      <c r="J243" s="668" t="str">
        <v/>
      </c>
      <c r="K243" s="668" t="str">
        <v/>
      </c>
      <c r="L243" s="668" t="str">
        <v/>
      </c>
      <c r="M243" s="668" t="str">
        <v/>
      </c>
      <c r="N243" s="669" t="str">
        <v/>
      </c>
      <c r="O243" s="670" t="str">
        <v/>
      </c>
      <c r="P243" s="667" t="str">
        <v/>
      </c>
      <c r="Q243" s="670" t="str">
        <v/>
      </c>
      <c r="R243" s="679" t="str">
        <f>IF(AND(QueryFlag="ON",NOT(ISNA(E243))),_xll.BondOutstanding(E243),"")</f>
        <v/>
      </c>
    </row>
    <row r="244" spans="5:18">
      <c r="E244" s="1007"/>
      <c r="F244" s="1002" t="str">
        <f>IF(LEN($E244)&gt;1,_xll.BondInfo($E244,$F$4),"")</f>
        <v/>
      </c>
      <c r="G244" s="678" t="str">
        <f t="array" ref="G244:Q244">IF(AND(QueryFlag="ON",NOT(ISNA(E244))),_xll.BondInfo(E244,$G$4:$Q$4),"")</f>
        <v/>
      </c>
      <c r="H244" s="668" t="str">
        <v/>
      </c>
      <c r="I244" s="666" t="str">
        <v/>
      </c>
      <c r="J244" s="668" t="str">
        <v/>
      </c>
      <c r="K244" s="668" t="str">
        <v/>
      </c>
      <c r="L244" s="668" t="str">
        <v/>
      </c>
      <c r="M244" s="668" t="str">
        <v/>
      </c>
      <c r="N244" s="669" t="str">
        <v/>
      </c>
      <c r="O244" s="670" t="str">
        <v/>
      </c>
      <c r="P244" s="667" t="str">
        <v/>
      </c>
      <c r="Q244" s="670" t="str">
        <v/>
      </c>
      <c r="R244" s="679" t="str">
        <f>IF(AND(QueryFlag="ON",NOT(ISNA(E244))),_xll.BondOutstanding(E244),"")</f>
        <v/>
      </c>
    </row>
    <row r="245" spans="5:18">
      <c r="E245" s="1007"/>
      <c r="F245" s="1002" t="str">
        <f>IF(LEN($E245)&gt;1,_xll.BondInfo($E245,$F$4),"")</f>
        <v/>
      </c>
      <c r="G245" s="678" t="str">
        <f t="array" ref="G245:Q245">IF(AND(QueryFlag="ON",NOT(ISNA(E245))),_xll.BondInfo(E245,$G$4:$Q$4),"")</f>
        <v/>
      </c>
      <c r="H245" s="668" t="str">
        <v/>
      </c>
      <c r="I245" s="666" t="str">
        <v/>
      </c>
      <c r="J245" s="668" t="str">
        <v/>
      </c>
      <c r="K245" s="668" t="str">
        <v/>
      </c>
      <c r="L245" s="668" t="str">
        <v/>
      </c>
      <c r="M245" s="668" t="str">
        <v/>
      </c>
      <c r="N245" s="669" t="str">
        <v/>
      </c>
      <c r="O245" s="670" t="str">
        <v/>
      </c>
      <c r="P245" s="667" t="str">
        <v/>
      </c>
      <c r="Q245" s="670" t="str">
        <v/>
      </c>
      <c r="R245" s="679" t="str">
        <f>IF(AND(QueryFlag="ON",NOT(ISNA(E245))),_xll.BondOutstanding(E245),"")</f>
        <v/>
      </c>
    </row>
    <row r="246" spans="5:18">
      <c r="E246" s="1007"/>
      <c r="F246" s="1002" t="str">
        <f>IF(LEN($E246)&gt;1,_xll.BondInfo($E246,$F$4),"")</f>
        <v/>
      </c>
      <c r="G246" s="678" t="str">
        <f t="array" ref="G246:Q246">IF(AND(QueryFlag="ON",NOT(ISNA(E246))),_xll.BondInfo(E246,$G$4:$Q$4),"")</f>
        <v/>
      </c>
      <c r="H246" s="668" t="str">
        <v/>
      </c>
      <c r="I246" s="666" t="str">
        <v/>
      </c>
      <c r="J246" s="668" t="str">
        <v/>
      </c>
      <c r="K246" s="668" t="str">
        <v/>
      </c>
      <c r="L246" s="668" t="str">
        <v/>
      </c>
      <c r="M246" s="668" t="str">
        <v/>
      </c>
      <c r="N246" s="669" t="str">
        <v/>
      </c>
      <c r="O246" s="670" t="str">
        <v/>
      </c>
      <c r="P246" s="667" t="str">
        <v/>
      </c>
      <c r="Q246" s="670" t="str">
        <v/>
      </c>
      <c r="R246" s="679" t="str">
        <f>IF(AND(QueryFlag="ON",NOT(ISNA(E246))),_xll.BondOutstanding(E246),"")</f>
        <v/>
      </c>
    </row>
    <row r="247" spans="5:18">
      <c r="E247" s="1007"/>
      <c r="F247" s="1002" t="str">
        <f>IF(LEN($E247)&gt;1,_xll.BondInfo($E247,$F$4),"")</f>
        <v/>
      </c>
      <c r="G247" s="678" t="str">
        <f t="array" ref="G247:Q247">IF(AND(QueryFlag="ON",NOT(ISNA(E247))),_xll.BondInfo(E247,$G$4:$Q$4),"")</f>
        <v/>
      </c>
      <c r="H247" s="668" t="str">
        <v/>
      </c>
      <c r="I247" s="666" t="str">
        <v/>
      </c>
      <c r="J247" s="668" t="str">
        <v/>
      </c>
      <c r="K247" s="668" t="str">
        <v/>
      </c>
      <c r="L247" s="668" t="str">
        <v/>
      </c>
      <c r="M247" s="668" t="str">
        <v/>
      </c>
      <c r="N247" s="669" t="str">
        <v/>
      </c>
      <c r="O247" s="670" t="str">
        <v/>
      </c>
      <c r="P247" s="667" t="str">
        <v/>
      </c>
      <c r="Q247" s="670" t="str">
        <v/>
      </c>
      <c r="R247" s="679" t="str">
        <f>IF(AND(QueryFlag="ON",NOT(ISNA(E247))),_xll.BondOutstanding(E247),"")</f>
        <v/>
      </c>
    </row>
    <row r="248" spans="5:18">
      <c r="E248" s="1007"/>
      <c r="F248" s="1002" t="str">
        <f>IF(LEN($E248)&gt;1,_xll.BondInfo($E248,$F$4),"")</f>
        <v/>
      </c>
      <c r="G248" s="678" t="str">
        <f t="array" ref="G248:Q248">IF(AND(QueryFlag="ON",NOT(ISNA(E248))),_xll.BondInfo(E248,$G$4:$Q$4),"")</f>
        <v/>
      </c>
      <c r="H248" s="668" t="str">
        <v/>
      </c>
      <c r="I248" s="666" t="str">
        <v/>
      </c>
      <c r="J248" s="668" t="str">
        <v/>
      </c>
      <c r="K248" s="668" t="str">
        <v/>
      </c>
      <c r="L248" s="668" t="str">
        <v/>
      </c>
      <c r="M248" s="668" t="str">
        <v/>
      </c>
      <c r="N248" s="669" t="str">
        <v/>
      </c>
      <c r="O248" s="670" t="str">
        <v/>
      </c>
      <c r="P248" s="667" t="str">
        <v/>
      </c>
      <c r="Q248" s="670" t="str">
        <v/>
      </c>
      <c r="R248" s="679" t="str">
        <f>IF(AND(QueryFlag="ON",NOT(ISNA(E248))),_xll.BondOutstanding(E248),"")</f>
        <v/>
      </c>
    </row>
    <row r="249" spans="5:18">
      <c r="E249" s="1007"/>
      <c r="F249" s="1002" t="str">
        <f>IF(LEN($E249)&gt;1,_xll.BondInfo($E249,$F$4),"")</f>
        <v/>
      </c>
      <c r="G249" s="678" t="str">
        <f t="array" ref="G249:Q249">IF(AND(QueryFlag="ON",NOT(ISNA(E249))),_xll.BondInfo(E249,$G$4:$Q$4),"")</f>
        <v/>
      </c>
      <c r="H249" s="668" t="str">
        <v/>
      </c>
      <c r="I249" s="666" t="str">
        <v/>
      </c>
      <c r="J249" s="668" t="str">
        <v/>
      </c>
      <c r="K249" s="668" t="str">
        <v/>
      </c>
      <c r="L249" s="668" t="str">
        <v/>
      </c>
      <c r="M249" s="668" t="str">
        <v/>
      </c>
      <c r="N249" s="669" t="str">
        <v/>
      </c>
      <c r="O249" s="670" t="str">
        <v/>
      </c>
      <c r="P249" s="667" t="str">
        <v/>
      </c>
      <c r="Q249" s="670" t="str">
        <v/>
      </c>
      <c r="R249" s="679" t="str">
        <f>IF(AND(QueryFlag="ON",NOT(ISNA(E249))),_xll.BondOutstanding(E249),"")</f>
        <v/>
      </c>
    </row>
    <row r="250" spans="5:18">
      <c r="E250" s="1007"/>
      <c r="F250" s="1002" t="str">
        <f>IF(LEN($E250)&gt;1,_xll.BondInfo($E250,$F$4),"")</f>
        <v/>
      </c>
      <c r="G250" s="678" t="str">
        <f t="array" ref="G250:Q250">IF(AND(QueryFlag="ON",NOT(ISNA(E250))),_xll.BondInfo(E250,$G$4:$Q$4),"")</f>
        <v/>
      </c>
      <c r="H250" s="668" t="str">
        <v/>
      </c>
      <c r="I250" s="666" t="str">
        <v/>
      </c>
      <c r="J250" s="668" t="str">
        <v/>
      </c>
      <c r="K250" s="668" t="str">
        <v/>
      </c>
      <c r="L250" s="668" t="str">
        <v/>
      </c>
      <c r="M250" s="668" t="str">
        <v/>
      </c>
      <c r="N250" s="669" t="str">
        <v/>
      </c>
      <c r="O250" s="670" t="str">
        <v/>
      </c>
      <c r="P250" s="667" t="str">
        <v/>
      </c>
      <c r="Q250" s="670" t="str">
        <v/>
      </c>
      <c r="R250" s="679" t="str">
        <f>IF(AND(QueryFlag="ON",NOT(ISNA(E250))),_xll.BondOutstanding(E250),"")</f>
        <v/>
      </c>
    </row>
    <row r="251" spans="5:18">
      <c r="E251" s="1007"/>
      <c r="F251" s="1002" t="str">
        <f>IF(LEN($E251)&gt;1,_xll.BondInfo($E251,$F$4),"")</f>
        <v/>
      </c>
      <c r="G251" s="678" t="str">
        <f t="array" ref="G251:Q251">IF(AND(QueryFlag="ON",NOT(ISNA(E251))),_xll.BondInfo(E251,$G$4:$Q$4),"")</f>
        <v/>
      </c>
      <c r="H251" s="668" t="str">
        <v/>
      </c>
      <c r="I251" s="666" t="str">
        <v/>
      </c>
      <c r="J251" s="668" t="str">
        <v/>
      </c>
      <c r="K251" s="668" t="str">
        <v/>
      </c>
      <c r="L251" s="668" t="str">
        <v/>
      </c>
      <c r="M251" s="668" t="str">
        <v/>
      </c>
      <c r="N251" s="669" t="str">
        <v/>
      </c>
      <c r="O251" s="670" t="str">
        <v/>
      </c>
      <c r="P251" s="667" t="str">
        <v/>
      </c>
      <c r="Q251" s="670" t="str">
        <v/>
      </c>
      <c r="R251" s="679" t="str">
        <f>IF(AND(QueryFlag="ON",NOT(ISNA(E251))),_xll.BondOutstanding(E251),"")</f>
        <v/>
      </c>
    </row>
    <row r="252" spans="5:18">
      <c r="E252" s="1007"/>
      <c r="F252" s="1002" t="str">
        <f>IF(LEN($E252)&gt;1,_xll.BondInfo($E252,$F$4),"")</f>
        <v/>
      </c>
      <c r="G252" s="678" t="str">
        <f t="array" ref="G252:Q252">IF(AND(QueryFlag="ON",NOT(ISNA(E252))),_xll.BondInfo(E252,$G$4:$Q$4),"")</f>
        <v/>
      </c>
      <c r="H252" s="668" t="str">
        <v/>
      </c>
      <c r="I252" s="666" t="str">
        <v/>
      </c>
      <c r="J252" s="668" t="str">
        <v/>
      </c>
      <c r="K252" s="668" t="str">
        <v/>
      </c>
      <c r="L252" s="668" t="str">
        <v/>
      </c>
      <c r="M252" s="668" t="str">
        <v/>
      </c>
      <c r="N252" s="669" t="str">
        <v/>
      </c>
      <c r="O252" s="670" t="str">
        <v/>
      </c>
      <c r="P252" s="667" t="str">
        <v/>
      </c>
      <c r="Q252" s="670" t="str">
        <v/>
      </c>
      <c r="R252" s="679" t="str">
        <f>IF(AND(QueryFlag="ON",NOT(ISNA(E252))),_xll.BondOutstanding(E252),"")</f>
        <v/>
      </c>
    </row>
    <row r="253" spans="5:18">
      <c r="E253" s="1007"/>
      <c r="F253" s="1002" t="str">
        <f>IF(LEN($E253)&gt;1,_xll.BondInfo($E253,$F$4),"")</f>
        <v/>
      </c>
      <c r="G253" s="678" t="str">
        <f t="array" ref="G253:Q253">IF(AND(QueryFlag="ON",NOT(ISNA(E253))),_xll.BondInfo(E253,$G$4:$Q$4),"")</f>
        <v/>
      </c>
      <c r="H253" s="668" t="str">
        <v/>
      </c>
      <c r="I253" s="666" t="str">
        <v/>
      </c>
      <c r="J253" s="668" t="str">
        <v/>
      </c>
      <c r="K253" s="668" t="str">
        <v/>
      </c>
      <c r="L253" s="668" t="str">
        <v/>
      </c>
      <c r="M253" s="668" t="str">
        <v/>
      </c>
      <c r="N253" s="669" t="str">
        <v/>
      </c>
      <c r="O253" s="670" t="str">
        <v/>
      </c>
      <c r="P253" s="667" t="str">
        <v/>
      </c>
      <c r="Q253" s="670" t="str">
        <v/>
      </c>
      <c r="R253" s="679" t="str">
        <f>IF(AND(QueryFlag="ON",NOT(ISNA(E253))),_xll.BondOutstanding(E253),"")</f>
        <v/>
      </c>
    </row>
    <row r="254" spans="5:18">
      <c r="E254" s="1007"/>
      <c r="F254" s="1002" t="str">
        <f>IF(LEN($E254)&gt;1,_xll.BondInfo($E254,$F$4),"")</f>
        <v/>
      </c>
      <c r="G254" s="678" t="str">
        <f t="array" ref="G254:Q254">IF(AND(QueryFlag="ON",NOT(ISNA(E254))),_xll.BondInfo(E254,$G$4:$Q$4),"")</f>
        <v/>
      </c>
      <c r="H254" s="668" t="str">
        <v/>
      </c>
      <c r="I254" s="666" t="str">
        <v/>
      </c>
      <c r="J254" s="668" t="str">
        <v/>
      </c>
      <c r="K254" s="668" t="str">
        <v/>
      </c>
      <c r="L254" s="668" t="str">
        <v/>
      </c>
      <c r="M254" s="668" t="str">
        <v/>
      </c>
      <c r="N254" s="669" t="str">
        <v/>
      </c>
      <c r="O254" s="670" t="str">
        <v/>
      </c>
      <c r="P254" s="667" t="str">
        <v/>
      </c>
      <c r="Q254" s="670" t="str">
        <v/>
      </c>
      <c r="R254" s="679" t="str">
        <f>IF(AND(QueryFlag="ON",NOT(ISNA(E254))),_xll.BondOutstanding(E254),"")</f>
        <v/>
      </c>
    </row>
    <row r="255" spans="5:18">
      <c r="E255" s="1007"/>
      <c r="F255" s="1002" t="str">
        <f>IF(LEN($E255)&gt;1,_xll.BondInfo($E255,$F$4),"")</f>
        <v/>
      </c>
      <c r="G255" s="678" t="str">
        <f t="array" ref="G255:Q255">IF(AND(QueryFlag="ON",NOT(ISNA(E255))),_xll.BondInfo(E255,$G$4:$Q$4),"")</f>
        <v/>
      </c>
      <c r="H255" s="668" t="str">
        <v/>
      </c>
      <c r="I255" s="666" t="str">
        <v/>
      </c>
      <c r="J255" s="668" t="str">
        <v/>
      </c>
      <c r="K255" s="668" t="str">
        <v/>
      </c>
      <c r="L255" s="668" t="str">
        <v/>
      </c>
      <c r="M255" s="668" t="str">
        <v/>
      </c>
      <c r="N255" s="669" t="str">
        <v/>
      </c>
      <c r="O255" s="670" t="str">
        <v/>
      </c>
      <c r="P255" s="667" t="str">
        <v/>
      </c>
      <c r="Q255" s="670" t="str">
        <v/>
      </c>
      <c r="R255" s="679" t="str">
        <f>IF(AND(QueryFlag="ON",NOT(ISNA(E255))),_xll.BondOutstanding(E255),"")</f>
        <v/>
      </c>
    </row>
    <row r="256" spans="5:18">
      <c r="E256" s="1007"/>
      <c r="F256" s="1002" t="str">
        <f>IF(LEN($E256)&gt;1,_xll.BondInfo($E256,$F$4),"")</f>
        <v/>
      </c>
      <c r="G256" s="678" t="str">
        <f t="array" ref="G256:Q256">IF(AND(QueryFlag="ON",NOT(ISNA(E256))),_xll.BondInfo(E256,$G$4:$Q$4),"")</f>
        <v/>
      </c>
      <c r="H256" s="668" t="str">
        <v/>
      </c>
      <c r="I256" s="666" t="str">
        <v/>
      </c>
      <c r="J256" s="668" t="str">
        <v/>
      </c>
      <c r="K256" s="668" t="str">
        <v/>
      </c>
      <c r="L256" s="668" t="str">
        <v/>
      </c>
      <c r="M256" s="668" t="str">
        <v/>
      </c>
      <c r="N256" s="669" t="str">
        <v/>
      </c>
      <c r="O256" s="670" t="str">
        <v/>
      </c>
      <c r="P256" s="667" t="str">
        <v/>
      </c>
      <c r="Q256" s="670" t="str">
        <v/>
      </c>
      <c r="R256" s="679" t="str">
        <f>IF(AND(QueryFlag="ON",NOT(ISNA(E256))),_xll.BondOutstanding(E256),"")</f>
        <v/>
      </c>
    </row>
    <row r="257" spans="5:18">
      <c r="E257" s="1007"/>
      <c r="F257" s="1002" t="str">
        <f>IF(LEN($E257)&gt;1,_xll.BondInfo($E257,$F$4),"")</f>
        <v/>
      </c>
      <c r="G257" s="678" t="str">
        <f t="array" ref="G257:Q257">IF(AND(QueryFlag="ON",NOT(ISNA(E257))),_xll.BondInfo(E257,$G$4:$Q$4),"")</f>
        <v/>
      </c>
      <c r="H257" s="668" t="str">
        <v/>
      </c>
      <c r="I257" s="666" t="str">
        <v/>
      </c>
      <c r="J257" s="668" t="str">
        <v/>
      </c>
      <c r="K257" s="668" t="str">
        <v/>
      </c>
      <c r="L257" s="668" t="str">
        <v/>
      </c>
      <c r="M257" s="668" t="str">
        <v/>
      </c>
      <c r="N257" s="669" t="str">
        <v/>
      </c>
      <c r="O257" s="670" t="str">
        <v/>
      </c>
      <c r="P257" s="667" t="str">
        <v/>
      </c>
      <c r="Q257" s="670" t="str">
        <v/>
      </c>
      <c r="R257" s="679" t="str">
        <f>IF(AND(QueryFlag="ON",NOT(ISNA(E257))),_xll.BondOutstanding(E257),"")</f>
        <v/>
      </c>
    </row>
    <row r="258" spans="5:18">
      <c r="E258" s="1007"/>
      <c r="F258" s="1002" t="str">
        <f>IF(LEN($E258)&gt;1,_xll.BondInfo($E258,$F$4),"")</f>
        <v/>
      </c>
      <c r="G258" s="678" t="str">
        <f t="array" ref="G258:Q258">IF(AND(QueryFlag="ON",NOT(ISNA(E258))),_xll.BondInfo(E258,$G$4:$Q$4),"")</f>
        <v/>
      </c>
      <c r="H258" s="668" t="str">
        <v/>
      </c>
      <c r="I258" s="666" t="str">
        <v/>
      </c>
      <c r="J258" s="668" t="str">
        <v/>
      </c>
      <c r="K258" s="668" t="str">
        <v/>
      </c>
      <c r="L258" s="668" t="str">
        <v/>
      </c>
      <c r="M258" s="668" t="str">
        <v/>
      </c>
      <c r="N258" s="669" t="str">
        <v/>
      </c>
      <c r="O258" s="670" t="str">
        <v/>
      </c>
      <c r="P258" s="667" t="str">
        <v/>
      </c>
      <c r="Q258" s="670" t="str">
        <v/>
      </c>
      <c r="R258" s="679" t="str">
        <f>IF(AND(QueryFlag="ON",NOT(ISNA(E258))),_xll.BondOutstanding(E258),"")</f>
        <v/>
      </c>
    </row>
    <row r="259" spans="5:18">
      <c r="E259" s="1007"/>
      <c r="F259" s="1002" t="str">
        <f>IF(LEN($E259)&gt;1,_xll.BondInfo($E259,$F$4),"")</f>
        <v/>
      </c>
      <c r="G259" s="678" t="str">
        <f t="array" ref="G259:Q259">IF(AND(QueryFlag="ON",NOT(ISNA(E259))),_xll.BondInfo(E259,$G$4:$Q$4),"")</f>
        <v/>
      </c>
      <c r="H259" s="668" t="str">
        <v/>
      </c>
      <c r="I259" s="666" t="str">
        <v/>
      </c>
      <c r="J259" s="668" t="str">
        <v/>
      </c>
      <c r="K259" s="668" t="str">
        <v/>
      </c>
      <c r="L259" s="668" t="str">
        <v/>
      </c>
      <c r="M259" s="668" t="str">
        <v/>
      </c>
      <c r="N259" s="669" t="str">
        <v/>
      </c>
      <c r="O259" s="670" t="str">
        <v/>
      </c>
      <c r="P259" s="667" t="str">
        <v/>
      </c>
      <c r="Q259" s="670" t="str">
        <v/>
      </c>
      <c r="R259" s="679" t="str">
        <f>IF(AND(QueryFlag="ON",NOT(ISNA(E259))),_xll.BondOutstanding(E259),"")</f>
        <v/>
      </c>
    </row>
    <row r="260" spans="5:18">
      <c r="E260" s="1007"/>
      <c r="F260" s="1002" t="str">
        <f>IF(LEN($E260)&gt;1,_xll.BondInfo($E260,$F$4),"")</f>
        <v/>
      </c>
      <c r="G260" s="678" t="str">
        <f t="array" ref="G260:Q260">IF(AND(QueryFlag="ON",NOT(ISNA(E260))),_xll.BondInfo(E260,$G$4:$Q$4),"")</f>
        <v/>
      </c>
      <c r="H260" s="668" t="str">
        <v/>
      </c>
      <c r="I260" s="666" t="str">
        <v/>
      </c>
      <c r="J260" s="668" t="str">
        <v/>
      </c>
      <c r="K260" s="668" t="str">
        <v/>
      </c>
      <c r="L260" s="668" t="str">
        <v/>
      </c>
      <c r="M260" s="668" t="str">
        <v/>
      </c>
      <c r="N260" s="669" t="str">
        <v/>
      </c>
      <c r="O260" s="670" t="str">
        <v/>
      </c>
      <c r="P260" s="667" t="str">
        <v/>
      </c>
      <c r="Q260" s="670" t="str">
        <v/>
      </c>
      <c r="R260" s="679" t="str">
        <f>IF(AND(QueryFlag="ON",NOT(ISNA(E260))),_xll.BondOutstanding(E260),"")</f>
        <v/>
      </c>
    </row>
    <row r="261" spans="5:18">
      <c r="E261" s="1007"/>
      <c r="F261" s="1002" t="str">
        <f>IF(LEN($E261)&gt;1,_xll.BondInfo($E261,$F$4),"")</f>
        <v/>
      </c>
      <c r="G261" s="678" t="str">
        <f t="array" ref="G261:Q261">IF(AND(QueryFlag="ON",NOT(ISNA(E261))),_xll.BondInfo(E261,$G$4:$Q$4),"")</f>
        <v/>
      </c>
      <c r="H261" s="668" t="str">
        <v/>
      </c>
      <c r="I261" s="666" t="str">
        <v/>
      </c>
      <c r="J261" s="668" t="str">
        <v/>
      </c>
      <c r="K261" s="668" t="str">
        <v/>
      </c>
      <c r="L261" s="668" t="str">
        <v/>
      </c>
      <c r="M261" s="668" t="str">
        <v/>
      </c>
      <c r="N261" s="669" t="str">
        <v/>
      </c>
      <c r="O261" s="670" t="str">
        <v/>
      </c>
      <c r="P261" s="667" t="str">
        <v/>
      </c>
      <c r="Q261" s="670" t="str">
        <v/>
      </c>
      <c r="R261" s="679" t="str">
        <f>IF(AND(QueryFlag="ON",NOT(ISNA(E261))),_xll.BondOutstanding(E261),"")</f>
        <v/>
      </c>
    </row>
    <row r="262" spans="5:18">
      <c r="E262" s="1007"/>
      <c r="F262" s="1002" t="str">
        <f>IF(LEN($E262)&gt;1,_xll.BondInfo($E262,$F$4),"")</f>
        <v/>
      </c>
      <c r="G262" s="678" t="str">
        <f t="array" ref="G262:Q262">IF(AND(QueryFlag="ON",NOT(ISNA(E262))),_xll.BondInfo(E262,$G$4:$Q$4),"")</f>
        <v/>
      </c>
      <c r="H262" s="668" t="str">
        <v/>
      </c>
      <c r="I262" s="666" t="str">
        <v/>
      </c>
      <c r="J262" s="668" t="str">
        <v/>
      </c>
      <c r="K262" s="668" t="str">
        <v/>
      </c>
      <c r="L262" s="668" t="str">
        <v/>
      </c>
      <c r="M262" s="668" t="str">
        <v/>
      </c>
      <c r="N262" s="669" t="str">
        <v/>
      </c>
      <c r="O262" s="670" t="str">
        <v/>
      </c>
      <c r="P262" s="667" t="str">
        <v/>
      </c>
      <c r="Q262" s="670" t="str">
        <v/>
      </c>
      <c r="R262" s="679" t="str">
        <f>IF(AND(QueryFlag="ON",NOT(ISNA(E262))),_xll.BondOutstanding(E262),"")</f>
        <v/>
      </c>
    </row>
    <row r="263" spans="5:18">
      <c r="E263" s="1007"/>
      <c r="F263" s="1002" t="str">
        <f>IF(LEN($E263)&gt;1,_xll.BondInfo($E263,$F$4),"")</f>
        <v/>
      </c>
      <c r="G263" s="678" t="str">
        <f t="array" ref="G263:Q263">IF(AND(QueryFlag="ON",NOT(ISNA(E263))),_xll.BondInfo(E263,$G$4:$Q$4),"")</f>
        <v/>
      </c>
      <c r="H263" s="668" t="str">
        <v/>
      </c>
      <c r="I263" s="666" t="str">
        <v/>
      </c>
      <c r="J263" s="668" t="str">
        <v/>
      </c>
      <c r="K263" s="668" t="str">
        <v/>
      </c>
      <c r="L263" s="668" t="str">
        <v/>
      </c>
      <c r="M263" s="668" t="str">
        <v/>
      </c>
      <c r="N263" s="669" t="str">
        <v/>
      </c>
      <c r="O263" s="670" t="str">
        <v/>
      </c>
      <c r="P263" s="667" t="str">
        <v/>
      </c>
      <c r="Q263" s="670" t="str">
        <v/>
      </c>
      <c r="R263" s="679" t="str">
        <f>IF(AND(QueryFlag="ON",NOT(ISNA(E263))),_xll.BondOutstanding(E263),"")</f>
        <v/>
      </c>
    </row>
    <row r="264" spans="5:18">
      <c r="E264" s="1007"/>
      <c r="F264" s="1002" t="str">
        <f>IF(LEN($E264)&gt;1,_xll.BondInfo($E264,$F$4),"")</f>
        <v/>
      </c>
      <c r="G264" s="678" t="str">
        <f t="array" ref="G264:Q264">IF(AND(QueryFlag="ON",NOT(ISNA(E264))),_xll.BondInfo(E264,$G$4:$Q$4),"")</f>
        <v/>
      </c>
      <c r="H264" s="668" t="str">
        <v/>
      </c>
      <c r="I264" s="666" t="str">
        <v/>
      </c>
      <c r="J264" s="668" t="str">
        <v/>
      </c>
      <c r="K264" s="668" t="str">
        <v/>
      </c>
      <c r="L264" s="668" t="str">
        <v/>
      </c>
      <c r="M264" s="668" t="str">
        <v/>
      </c>
      <c r="N264" s="669" t="str">
        <v/>
      </c>
      <c r="O264" s="670" t="str">
        <v/>
      </c>
      <c r="P264" s="667" t="str">
        <v/>
      </c>
      <c r="Q264" s="670" t="str">
        <v/>
      </c>
      <c r="R264" s="679" t="str">
        <f>IF(AND(QueryFlag="ON",NOT(ISNA(E264))),_xll.BondOutstanding(E264),"")</f>
        <v/>
      </c>
    </row>
    <row r="265" spans="5:18">
      <c r="E265" s="1007"/>
      <c r="F265" s="1002" t="str">
        <f>IF(LEN($E265)&gt;1,_xll.BondInfo($E265,$F$4),"")</f>
        <v/>
      </c>
      <c r="G265" s="678" t="str">
        <f t="array" ref="G265:Q265">IF(AND(QueryFlag="ON",NOT(ISNA(E265))),_xll.BondInfo(E265,$G$4:$Q$4),"")</f>
        <v/>
      </c>
      <c r="H265" s="668" t="str">
        <v/>
      </c>
      <c r="I265" s="666" t="str">
        <v/>
      </c>
      <c r="J265" s="668" t="str">
        <v/>
      </c>
      <c r="K265" s="668" t="str">
        <v/>
      </c>
      <c r="L265" s="668" t="str">
        <v/>
      </c>
      <c r="M265" s="668" t="str">
        <v/>
      </c>
      <c r="N265" s="669" t="str">
        <v/>
      </c>
      <c r="O265" s="670" t="str">
        <v/>
      </c>
      <c r="P265" s="667" t="str">
        <v/>
      </c>
      <c r="Q265" s="670" t="str">
        <v/>
      </c>
      <c r="R265" s="679" t="str">
        <f>IF(AND(QueryFlag="ON",NOT(ISNA(E265))),_xll.BondOutstanding(E265),"")</f>
        <v/>
      </c>
    </row>
    <row r="266" spans="5:18">
      <c r="E266" s="1007"/>
      <c r="F266" s="1002" t="str">
        <f>IF(LEN($E266)&gt;1,_xll.BondInfo($E266,$F$4),"")</f>
        <v/>
      </c>
      <c r="G266" s="678" t="str">
        <f t="array" ref="G266:Q266">IF(AND(QueryFlag="ON",NOT(ISNA(E266))),_xll.BondInfo(E266,$G$4:$Q$4),"")</f>
        <v/>
      </c>
      <c r="H266" s="668" t="str">
        <v/>
      </c>
      <c r="I266" s="666" t="str">
        <v/>
      </c>
      <c r="J266" s="668" t="str">
        <v/>
      </c>
      <c r="K266" s="668" t="str">
        <v/>
      </c>
      <c r="L266" s="668" t="str">
        <v/>
      </c>
      <c r="M266" s="668" t="str">
        <v/>
      </c>
      <c r="N266" s="669" t="str">
        <v/>
      </c>
      <c r="O266" s="670" t="str">
        <v/>
      </c>
      <c r="P266" s="667" t="str">
        <v/>
      </c>
      <c r="Q266" s="670" t="str">
        <v/>
      </c>
      <c r="R266" s="679" t="str">
        <f>IF(AND(QueryFlag="ON",NOT(ISNA(E266))),_xll.BondOutstanding(E266),"")</f>
        <v/>
      </c>
    </row>
    <row r="267" spans="5:18">
      <c r="E267" s="1007"/>
      <c r="F267" s="1002" t="str">
        <f>IF(LEN($E267)&gt;1,_xll.BondInfo($E267,$F$4),"")</f>
        <v/>
      </c>
      <c r="G267" s="678" t="str">
        <f t="array" ref="G267:Q267">IF(AND(QueryFlag="ON",NOT(ISNA(E267))),_xll.BondInfo(E267,$G$4:$Q$4),"")</f>
        <v/>
      </c>
      <c r="H267" s="668" t="str">
        <v/>
      </c>
      <c r="I267" s="666" t="str">
        <v/>
      </c>
      <c r="J267" s="668" t="str">
        <v/>
      </c>
      <c r="K267" s="668" t="str">
        <v/>
      </c>
      <c r="L267" s="668" t="str">
        <v/>
      </c>
      <c r="M267" s="668" t="str">
        <v/>
      </c>
      <c r="N267" s="669" t="str">
        <v/>
      </c>
      <c r="O267" s="670" t="str">
        <v/>
      </c>
      <c r="P267" s="667" t="str">
        <v/>
      </c>
      <c r="Q267" s="670" t="str">
        <v/>
      </c>
      <c r="R267" s="679" t="str">
        <f>IF(AND(QueryFlag="ON",NOT(ISNA(E267))),_xll.BondOutstanding(E267),"")</f>
        <v/>
      </c>
    </row>
    <row r="268" spans="5:18">
      <c r="E268" s="1007"/>
      <c r="F268" s="1002" t="str">
        <f>IF(LEN($E268)&gt;1,_xll.BondInfo($E268,$F$4),"")</f>
        <v/>
      </c>
      <c r="G268" s="678" t="str">
        <f t="array" ref="G268:Q268">IF(AND(QueryFlag="ON",NOT(ISNA(E268))),_xll.BondInfo(E268,$G$4:$Q$4),"")</f>
        <v/>
      </c>
      <c r="H268" s="668" t="str">
        <v/>
      </c>
      <c r="I268" s="666" t="str">
        <v/>
      </c>
      <c r="J268" s="668" t="str">
        <v/>
      </c>
      <c r="K268" s="668" t="str">
        <v/>
      </c>
      <c r="L268" s="668" t="str">
        <v/>
      </c>
      <c r="M268" s="668" t="str">
        <v/>
      </c>
      <c r="N268" s="669" t="str">
        <v/>
      </c>
      <c r="O268" s="670" t="str">
        <v/>
      </c>
      <c r="P268" s="667" t="str">
        <v/>
      </c>
      <c r="Q268" s="670" t="str">
        <v/>
      </c>
      <c r="R268" s="679" t="str">
        <f>IF(AND(QueryFlag="ON",NOT(ISNA(E268))),_xll.BondOutstanding(E268),"")</f>
        <v/>
      </c>
    </row>
    <row r="269" spans="5:18">
      <c r="E269" s="1007"/>
      <c r="F269" s="1002" t="str">
        <f>IF(LEN($E269)&gt;1,_xll.BondInfo($E269,$F$4),"")</f>
        <v/>
      </c>
      <c r="G269" s="678" t="str">
        <f t="array" ref="G269:Q269">IF(AND(QueryFlag="ON",NOT(ISNA(E269))),_xll.BondInfo(E269,$G$4:$Q$4),"")</f>
        <v/>
      </c>
      <c r="H269" s="668" t="str">
        <v/>
      </c>
      <c r="I269" s="666" t="str">
        <v/>
      </c>
      <c r="J269" s="668" t="str">
        <v/>
      </c>
      <c r="K269" s="668" t="str">
        <v/>
      </c>
      <c r="L269" s="668" t="str">
        <v/>
      </c>
      <c r="M269" s="668" t="str">
        <v/>
      </c>
      <c r="N269" s="669" t="str">
        <v/>
      </c>
      <c r="O269" s="670" t="str">
        <v/>
      </c>
      <c r="P269" s="667" t="str">
        <v/>
      </c>
      <c r="Q269" s="670" t="str">
        <v/>
      </c>
      <c r="R269" s="679" t="str">
        <f>IF(AND(QueryFlag="ON",NOT(ISNA(E269))),_xll.BondOutstanding(E269),"")</f>
        <v/>
      </c>
    </row>
    <row r="270" spans="5:18">
      <c r="E270" s="1007"/>
      <c r="F270" s="1002" t="str">
        <f>IF(LEN($E270)&gt;1,_xll.BondInfo($E270,$F$4),"")</f>
        <v/>
      </c>
      <c r="G270" s="678" t="str">
        <f t="array" ref="G270:Q270">IF(AND(QueryFlag="ON",NOT(ISNA(E270))),_xll.BondInfo(E270,$G$4:$Q$4),"")</f>
        <v/>
      </c>
      <c r="H270" s="668" t="str">
        <v/>
      </c>
      <c r="I270" s="666" t="str">
        <v/>
      </c>
      <c r="J270" s="668" t="str">
        <v/>
      </c>
      <c r="K270" s="668" t="str">
        <v/>
      </c>
      <c r="L270" s="668" t="str">
        <v/>
      </c>
      <c r="M270" s="668" t="str">
        <v/>
      </c>
      <c r="N270" s="669" t="str">
        <v/>
      </c>
      <c r="O270" s="670" t="str">
        <v/>
      </c>
      <c r="P270" s="667" t="str">
        <v/>
      </c>
      <c r="Q270" s="670" t="str">
        <v/>
      </c>
      <c r="R270" s="679" t="str">
        <f>IF(AND(QueryFlag="ON",NOT(ISNA(E270))),_xll.BondOutstanding(E270),"")</f>
        <v/>
      </c>
    </row>
    <row r="271" spans="5:18">
      <c r="E271" s="1007"/>
      <c r="F271" s="1002" t="str">
        <f>IF(LEN($E271)&gt;1,_xll.BondInfo($E271,$F$4),"")</f>
        <v/>
      </c>
      <c r="G271" s="678" t="str">
        <f t="array" ref="G271:Q271">IF(AND(QueryFlag="ON",NOT(ISNA(E271))),_xll.BondInfo(E271,$G$4:$Q$4),"")</f>
        <v/>
      </c>
      <c r="H271" s="668" t="str">
        <v/>
      </c>
      <c r="I271" s="666" t="str">
        <v/>
      </c>
      <c r="J271" s="668" t="str">
        <v/>
      </c>
      <c r="K271" s="668" t="str">
        <v/>
      </c>
      <c r="L271" s="668" t="str">
        <v/>
      </c>
      <c r="M271" s="668" t="str">
        <v/>
      </c>
      <c r="N271" s="669" t="str">
        <v/>
      </c>
      <c r="O271" s="670" t="str">
        <v/>
      </c>
      <c r="P271" s="667" t="str">
        <v/>
      </c>
      <c r="Q271" s="670" t="str">
        <v/>
      </c>
      <c r="R271" s="679" t="str">
        <f>IF(AND(QueryFlag="ON",NOT(ISNA(E271))),_xll.BondOutstanding(E271),"")</f>
        <v/>
      </c>
    </row>
    <row r="272" spans="5:18">
      <c r="E272" s="1007"/>
      <c r="F272" s="1002" t="str">
        <f>IF(LEN($E272)&gt;1,_xll.BondInfo($E272,$F$4),"")</f>
        <v/>
      </c>
      <c r="G272" s="678" t="str">
        <f t="array" ref="G272:Q272">IF(AND(QueryFlag="ON",NOT(ISNA(E272))),_xll.BondInfo(E272,$G$4:$Q$4),"")</f>
        <v/>
      </c>
      <c r="H272" s="668" t="str">
        <v/>
      </c>
      <c r="I272" s="666" t="str">
        <v/>
      </c>
      <c r="J272" s="668" t="str">
        <v/>
      </c>
      <c r="K272" s="668" t="str">
        <v/>
      </c>
      <c r="L272" s="668" t="str">
        <v/>
      </c>
      <c r="M272" s="668" t="str">
        <v/>
      </c>
      <c r="N272" s="669" t="str">
        <v/>
      </c>
      <c r="O272" s="670" t="str">
        <v/>
      </c>
      <c r="P272" s="667" t="str">
        <v/>
      </c>
      <c r="Q272" s="670" t="str">
        <v/>
      </c>
      <c r="R272" s="679" t="str">
        <f>IF(AND(QueryFlag="ON",NOT(ISNA(E272))),_xll.BondOutstanding(E272),"")</f>
        <v/>
      </c>
    </row>
    <row r="273" spans="5:18">
      <c r="E273" s="1007"/>
      <c r="F273" s="1002" t="str">
        <f>IF(LEN($E273)&gt;1,_xll.BondInfo($E273,$F$4),"")</f>
        <v/>
      </c>
      <c r="G273" s="678" t="str">
        <f t="array" ref="G273:Q273">IF(AND(QueryFlag="ON",NOT(ISNA(E273))),_xll.BondInfo(E273,$G$4:$Q$4),"")</f>
        <v/>
      </c>
      <c r="H273" s="668" t="str">
        <v/>
      </c>
      <c r="I273" s="666" t="str">
        <v/>
      </c>
      <c r="J273" s="668" t="str">
        <v/>
      </c>
      <c r="K273" s="668" t="str">
        <v/>
      </c>
      <c r="L273" s="668" t="str">
        <v/>
      </c>
      <c r="M273" s="668" t="str">
        <v/>
      </c>
      <c r="N273" s="669" t="str">
        <v/>
      </c>
      <c r="O273" s="670" t="str">
        <v/>
      </c>
      <c r="P273" s="667" t="str">
        <v/>
      </c>
      <c r="Q273" s="670" t="str">
        <v/>
      </c>
      <c r="R273" s="679" t="str">
        <f>IF(AND(QueryFlag="ON",NOT(ISNA(E273))),_xll.BondOutstanding(E273),"")</f>
        <v/>
      </c>
    </row>
    <row r="274" spans="5:18">
      <c r="E274" s="1007"/>
      <c r="F274" s="1002" t="str">
        <f>IF(LEN($E274)&gt;1,_xll.BondInfo($E274,$F$4),"")</f>
        <v/>
      </c>
      <c r="G274" s="678" t="str">
        <f t="array" ref="G274:Q274">IF(AND(QueryFlag="ON",NOT(ISNA(E274))),_xll.BondInfo(E274,$G$4:$Q$4),"")</f>
        <v/>
      </c>
      <c r="H274" s="668" t="str">
        <v/>
      </c>
      <c r="I274" s="666" t="str">
        <v/>
      </c>
      <c r="J274" s="668" t="str">
        <v/>
      </c>
      <c r="K274" s="668" t="str">
        <v/>
      </c>
      <c r="L274" s="668" t="str">
        <v/>
      </c>
      <c r="M274" s="668" t="str">
        <v/>
      </c>
      <c r="N274" s="669" t="str">
        <v/>
      </c>
      <c r="O274" s="670" t="str">
        <v/>
      </c>
      <c r="P274" s="667" t="str">
        <v/>
      </c>
      <c r="Q274" s="670" t="str">
        <v/>
      </c>
      <c r="R274" s="679" t="str">
        <f>IF(AND(QueryFlag="ON",NOT(ISNA(E274))),_xll.BondOutstanding(E274),"")</f>
        <v/>
      </c>
    </row>
    <row r="275" spans="5:18">
      <c r="E275" s="1007"/>
      <c r="F275" s="1002" t="str">
        <f>IF(LEN($E275)&gt;1,_xll.BondInfo($E275,$F$4),"")</f>
        <v/>
      </c>
      <c r="G275" s="678" t="str">
        <f t="array" ref="G275:Q275">IF(AND(QueryFlag="ON",NOT(ISNA(E275))),_xll.BondInfo(E275,$G$4:$Q$4),"")</f>
        <v/>
      </c>
      <c r="H275" s="668" t="str">
        <v/>
      </c>
      <c r="I275" s="666" t="str">
        <v/>
      </c>
      <c r="J275" s="668" t="str">
        <v/>
      </c>
      <c r="K275" s="668" t="str">
        <v/>
      </c>
      <c r="L275" s="668" t="str">
        <v/>
      </c>
      <c r="M275" s="668" t="str">
        <v/>
      </c>
      <c r="N275" s="669" t="str">
        <v/>
      </c>
      <c r="O275" s="670" t="str">
        <v/>
      </c>
      <c r="P275" s="667" t="str">
        <v/>
      </c>
      <c r="Q275" s="670" t="str">
        <v/>
      </c>
      <c r="R275" s="679" t="str">
        <f>IF(AND(QueryFlag="ON",NOT(ISNA(E275))),_xll.BondOutstanding(E275),"")</f>
        <v/>
      </c>
    </row>
    <row r="276" spans="5:18">
      <c r="E276" s="1007"/>
      <c r="F276" s="1002" t="str">
        <f>IF(LEN($E276)&gt;1,_xll.BondInfo($E276,$F$4),"")</f>
        <v/>
      </c>
      <c r="G276" s="678" t="str">
        <f t="array" ref="G276:Q276">IF(AND(QueryFlag="ON",NOT(ISNA(E276))),_xll.BondInfo(E276,$G$4:$Q$4),"")</f>
        <v/>
      </c>
      <c r="H276" s="668" t="str">
        <v/>
      </c>
      <c r="I276" s="666" t="str">
        <v/>
      </c>
      <c r="J276" s="668" t="str">
        <v/>
      </c>
      <c r="K276" s="668" t="str">
        <v/>
      </c>
      <c r="L276" s="668" t="str">
        <v/>
      </c>
      <c r="M276" s="668" t="str">
        <v/>
      </c>
      <c r="N276" s="669" t="str">
        <v/>
      </c>
      <c r="O276" s="670" t="str">
        <v/>
      </c>
      <c r="P276" s="667" t="str">
        <v/>
      </c>
      <c r="Q276" s="670" t="str">
        <v/>
      </c>
      <c r="R276" s="679" t="str">
        <f>IF(AND(QueryFlag="ON",NOT(ISNA(E276))),_xll.BondOutstanding(E276),"")</f>
        <v/>
      </c>
    </row>
    <row r="277" spans="5:18">
      <c r="E277" s="1007"/>
      <c r="F277" s="1002" t="str">
        <f>IF(LEN($E277)&gt;1,_xll.BondInfo($E277,$F$4),"")</f>
        <v/>
      </c>
      <c r="G277" s="678" t="str">
        <f t="array" ref="G277:Q277">IF(AND(QueryFlag="ON",NOT(ISNA(E277))),_xll.BondInfo(E277,$G$4:$Q$4),"")</f>
        <v/>
      </c>
      <c r="H277" s="668" t="str">
        <v/>
      </c>
      <c r="I277" s="666" t="str">
        <v/>
      </c>
      <c r="J277" s="668" t="str">
        <v/>
      </c>
      <c r="K277" s="668" t="str">
        <v/>
      </c>
      <c r="L277" s="668" t="str">
        <v/>
      </c>
      <c r="M277" s="668" t="str">
        <v/>
      </c>
      <c r="N277" s="669" t="str">
        <v/>
      </c>
      <c r="O277" s="670" t="str">
        <v/>
      </c>
      <c r="P277" s="667" t="str">
        <v/>
      </c>
      <c r="Q277" s="670" t="str">
        <v/>
      </c>
      <c r="R277" s="679" t="str">
        <f>IF(AND(QueryFlag="ON",NOT(ISNA(E277))),_xll.BondOutstanding(E277),"")</f>
        <v/>
      </c>
    </row>
    <row r="278" spans="5:18">
      <c r="E278" s="1007"/>
      <c r="F278" s="1002" t="str">
        <f>IF(LEN($E278)&gt;1,_xll.BondInfo($E278,$F$4),"")</f>
        <v/>
      </c>
      <c r="G278" s="678" t="str">
        <f t="array" ref="G278:Q278">IF(AND(QueryFlag="ON",NOT(ISNA(E278))),_xll.BondInfo(E278,$G$4:$Q$4),"")</f>
        <v/>
      </c>
      <c r="H278" s="668" t="str">
        <v/>
      </c>
      <c r="I278" s="666" t="str">
        <v/>
      </c>
      <c r="J278" s="668" t="str">
        <v/>
      </c>
      <c r="K278" s="668" t="str">
        <v/>
      </c>
      <c r="L278" s="668" t="str">
        <v/>
      </c>
      <c r="M278" s="668" t="str">
        <v/>
      </c>
      <c r="N278" s="669" t="str">
        <v/>
      </c>
      <c r="O278" s="670" t="str">
        <v/>
      </c>
      <c r="P278" s="667" t="str">
        <v/>
      </c>
      <c r="Q278" s="670" t="str">
        <v/>
      </c>
      <c r="R278" s="679" t="str">
        <f>IF(AND(QueryFlag="ON",NOT(ISNA(E278))),_xll.BondOutstanding(E278),"")</f>
        <v/>
      </c>
    </row>
    <row r="279" spans="5:18">
      <c r="E279" s="1007"/>
      <c r="F279" s="1002" t="str">
        <f>IF(LEN($E279)&gt;1,_xll.BondInfo($E279,$F$4),"")</f>
        <v/>
      </c>
      <c r="G279" s="678" t="str">
        <f t="array" ref="G279:Q279">IF(AND(QueryFlag="ON",NOT(ISNA(E279))),_xll.BondInfo(E279,$G$4:$Q$4),"")</f>
        <v/>
      </c>
      <c r="H279" s="668" t="str">
        <v/>
      </c>
      <c r="I279" s="666" t="str">
        <v/>
      </c>
      <c r="J279" s="668" t="str">
        <v/>
      </c>
      <c r="K279" s="668" t="str">
        <v/>
      </c>
      <c r="L279" s="668" t="str">
        <v/>
      </c>
      <c r="M279" s="668" t="str">
        <v/>
      </c>
      <c r="N279" s="669" t="str">
        <v/>
      </c>
      <c r="O279" s="670" t="str">
        <v/>
      </c>
      <c r="P279" s="667" t="str">
        <v/>
      </c>
      <c r="Q279" s="670" t="str">
        <v/>
      </c>
      <c r="R279" s="679" t="str">
        <f>IF(AND(QueryFlag="ON",NOT(ISNA(E279))),_xll.BondOutstanding(E279),"")</f>
        <v/>
      </c>
    </row>
    <row r="280" spans="5:18">
      <c r="E280" s="1007"/>
      <c r="F280" s="1002" t="str">
        <f>IF(LEN($E280)&gt;1,_xll.BondInfo($E280,$F$4),"")</f>
        <v/>
      </c>
      <c r="G280" s="678" t="str">
        <f t="array" ref="G280:Q280">IF(AND(QueryFlag="ON",NOT(ISNA(E280))),_xll.BondInfo(E280,$G$4:$Q$4),"")</f>
        <v/>
      </c>
      <c r="H280" s="668" t="str">
        <v/>
      </c>
      <c r="I280" s="666" t="str">
        <v/>
      </c>
      <c r="J280" s="668" t="str">
        <v/>
      </c>
      <c r="K280" s="668" t="str">
        <v/>
      </c>
      <c r="L280" s="668" t="str">
        <v/>
      </c>
      <c r="M280" s="668" t="str">
        <v/>
      </c>
      <c r="N280" s="669" t="str">
        <v/>
      </c>
      <c r="O280" s="670" t="str">
        <v/>
      </c>
      <c r="P280" s="667" t="str">
        <v/>
      </c>
      <c r="Q280" s="670" t="str">
        <v/>
      </c>
      <c r="R280" s="679" t="str">
        <f>IF(AND(QueryFlag="ON",NOT(ISNA(E280))),_xll.BondOutstanding(E280),"")</f>
        <v/>
      </c>
    </row>
    <row r="281" spans="5:18">
      <c r="E281" s="1007"/>
      <c r="F281" s="1002" t="str">
        <f>IF(LEN($E281)&gt;1,_xll.BondInfo($E281,$F$4),"")</f>
        <v/>
      </c>
      <c r="G281" s="678" t="str">
        <f t="array" ref="G281:Q281">IF(AND(QueryFlag="ON",NOT(ISNA(E281))),_xll.BondInfo(E281,$G$4:$Q$4),"")</f>
        <v/>
      </c>
      <c r="H281" s="668" t="str">
        <v/>
      </c>
      <c r="I281" s="666" t="str">
        <v/>
      </c>
      <c r="J281" s="668" t="str">
        <v/>
      </c>
      <c r="K281" s="668" t="str">
        <v/>
      </c>
      <c r="L281" s="668" t="str">
        <v/>
      </c>
      <c r="M281" s="668" t="str">
        <v/>
      </c>
      <c r="N281" s="669" t="str">
        <v/>
      </c>
      <c r="O281" s="670" t="str">
        <v/>
      </c>
      <c r="P281" s="667" t="str">
        <v/>
      </c>
      <c r="Q281" s="670" t="str">
        <v/>
      </c>
      <c r="R281" s="679" t="str">
        <f>IF(AND(QueryFlag="ON",NOT(ISNA(E281))),_xll.BondOutstanding(E281),"")</f>
        <v/>
      </c>
    </row>
    <row r="282" spans="5:18">
      <c r="E282" s="1007"/>
      <c r="F282" s="1002" t="str">
        <f>IF(LEN($E282)&gt;1,_xll.BondInfo($E282,$F$4),"")</f>
        <v/>
      </c>
      <c r="G282" s="678" t="str">
        <f t="array" ref="G282:Q282">IF(AND(QueryFlag="ON",NOT(ISNA(E282))),_xll.BondInfo(E282,$G$4:$Q$4),"")</f>
        <v/>
      </c>
      <c r="H282" s="668" t="str">
        <v/>
      </c>
      <c r="I282" s="666" t="str">
        <v/>
      </c>
      <c r="J282" s="668" t="str">
        <v/>
      </c>
      <c r="K282" s="668" t="str">
        <v/>
      </c>
      <c r="L282" s="668" t="str">
        <v/>
      </c>
      <c r="M282" s="668" t="str">
        <v/>
      </c>
      <c r="N282" s="669" t="str">
        <v/>
      </c>
      <c r="O282" s="670" t="str">
        <v/>
      </c>
      <c r="P282" s="667" t="str">
        <v/>
      </c>
      <c r="Q282" s="670" t="str">
        <v/>
      </c>
      <c r="R282" s="679" t="str">
        <f>IF(AND(QueryFlag="ON",NOT(ISNA(E282))),_xll.BondOutstanding(E282),"")</f>
        <v/>
      </c>
    </row>
    <row r="283" spans="5:18">
      <c r="E283" s="1007"/>
      <c r="F283" s="1002" t="str">
        <f>IF(LEN($E283)&gt;1,_xll.BondInfo($E283,$F$4),"")</f>
        <v/>
      </c>
      <c r="G283" s="678" t="str">
        <f t="array" ref="G283:Q283">IF(AND(QueryFlag="ON",NOT(ISNA(E283))),_xll.BondInfo(E283,$G$4:$Q$4),"")</f>
        <v/>
      </c>
      <c r="H283" s="668" t="str">
        <v/>
      </c>
      <c r="I283" s="666" t="str">
        <v/>
      </c>
      <c r="J283" s="668" t="str">
        <v/>
      </c>
      <c r="K283" s="668" t="str">
        <v/>
      </c>
      <c r="L283" s="668" t="str">
        <v/>
      </c>
      <c r="M283" s="668" t="str">
        <v/>
      </c>
      <c r="N283" s="669" t="str">
        <v/>
      </c>
      <c r="O283" s="670" t="str">
        <v/>
      </c>
      <c r="P283" s="667" t="str">
        <v/>
      </c>
      <c r="Q283" s="670" t="str">
        <v/>
      </c>
      <c r="R283" s="679" t="str">
        <f>IF(AND(QueryFlag="ON",NOT(ISNA(E283))),_xll.BondOutstanding(E283),"")</f>
        <v/>
      </c>
    </row>
    <row r="284" spans="5:18">
      <c r="E284" s="1007"/>
      <c r="F284" s="1002" t="str">
        <f>IF(LEN($E284)&gt;1,_xll.BondInfo($E284,$F$4),"")</f>
        <v/>
      </c>
      <c r="G284" s="678" t="str">
        <f t="array" ref="G284:Q284">IF(AND(QueryFlag="ON",NOT(ISNA(E284))),_xll.BondInfo(E284,$G$4:$Q$4),"")</f>
        <v/>
      </c>
      <c r="H284" s="668" t="str">
        <v/>
      </c>
      <c r="I284" s="666" t="str">
        <v/>
      </c>
      <c r="J284" s="668" t="str">
        <v/>
      </c>
      <c r="K284" s="668" t="str">
        <v/>
      </c>
      <c r="L284" s="668" t="str">
        <v/>
      </c>
      <c r="M284" s="668" t="str">
        <v/>
      </c>
      <c r="N284" s="669" t="str">
        <v/>
      </c>
      <c r="O284" s="670" t="str">
        <v/>
      </c>
      <c r="P284" s="667" t="str">
        <v/>
      </c>
      <c r="Q284" s="670" t="str">
        <v/>
      </c>
      <c r="R284" s="679" t="str">
        <f>IF(AND(QueryFlag="ON",NOT(ISNA(E284))),_xll.BondOutstanding(E284),"")</f>
        <v/>
      </c>
    </row>
    <row r="285" spans="5:18">
      <c r="E285" s="1007"/>
      <c r="F285" s="1002" t="str">
        <f>IF(LEN($E285)&gt;1,_xll.BondInfo($E285,$F$4),"")</f>
        <v/>
      </c>
      <c r="G285" s="678" t="str">
        <f t="array" ref="G285:Q285">IF(AND(QueryFlag="ON",NOT(ISNA(E285))),_xll.BondInfo(E285,$G$4:$Q$4),"")</f>
        <v/>
      </c>
      <c r="H285" s="668" t="str">
        <v/>
      </c>
      <c r="I285" s="666" t="str">
        <v/>
      </c>
      <c r="J285" s="668" t="str">
        <v/>
      </c>
      <c r="K285" s="668" t="str">
        <v/>
      </c>
      <c r="L285" s="668" t="str">
        <v/>
      </c>
      <c r="M285" s="668" t="str">
        <v/>
      </c>
      <c r="N285" s="669" t="str">
        <v/>
      </c>
      <c r="O285" s="670" t="str">
        <v/>
      </c>
      <c r="P285" s="667" t="str">
        <v/>
      </c>
      <c r="Q285" s="670" t="str">
        <v/>
      </c>
      <c r="R285" s="679" t="str">
        <f>IF(AND(QueryFlag="ON",NOT(ISNA(E285))),_xll.BondOutstanding(E285),"")</f>
        <v/>
      </c>
    </row>
    <row r="286" spans="5:18">
      <c r="E286" s="1007"/>
      <c r="F286" s="1002" t="str">
        <f>IF(LEN($E286)&gt;1,_xll.BondInfo($E286,$F$4),"")</f>
        <v/>
      </c>
      <c r="G286" s="678" t="str">
        <f t="array" ref="G286:Q286">IF(AND(QueryFlag="ON",NOT(ISNA(E286))),_xll.BondInfo(E286,$G$4:$Q$4),"")</f>
        <v/>
      </c>
      <c r="H286" s="668" t="str">
        <v/>
      </c>
      <c r="I286" s="666" t="str">
        <v/>
      </c>
      <c r="J286" s="668" t="str">
        <v/>
      </c>
      <c r="K286" s="668" t="str">
        <v/>
      </c>
      <c r="L286" s="668" t="str">
        <v/>
      </c>
      <c r="M286" s="668" t="str">
        <v/>
      </c>
      <c r="N286" s="669" t="str">
        <v/>
      </c>
      <c r="O286" s="670" t="str">
        <v/>
      </c>
      <c r="P286" s="667" t="str">
        <v/>
      </c>
      <c r="Q286" s="670" t="str">
        <v/>
      </c>
      <c r="R286" s="679" t="str">
        <f>IF(AND(QueryFlag="ON",NOT(ISNA(E286))),_xll.BondOutstanding(E286),"")</f>
        <v/>
      </c>
    </row>
    <row r="287" spans="5:18">
      <c r="E287" s="1007"/>
      <c r="F287" s="1002" t="str">
        <f>IF(LEN($E287)&gt;1,_xll.BondInfo($E287,$F$4),"")</f>
        <v/>
      </c>
      <c r="G287" s="678" t="str">
        <f t="array" ref="G287:Q287">IF(AND(QueryFlag="ON",NOT(ISNA(E287))),_xll.BondInfo(E287,$G$4:$Q$4),"")</f>
        <v/>
      </c>
      <c r="H287" s="668" t="str">
        <v/>
      </c>
      <c r="I287" s="666" t="str">
        <v/>
      </c>
      <c r="J287" s="668" t="str">
        <v/>
      </c>
      <c r="K287" s="668" t="str">
        <v/>
      </c>
      <c r="L287" s="668" t="str">
        <v/>
      </c>
      <c r="M287" s="668" t="str">
        <v/>
      </c>
      <c r="N287" s="669" t="str">
        <v/>
      </c>
      <c r="O287" s="670" t="str">
        <v/>
      </c>
      <c r="P287" s="667" t="str">
        <v/>
      </c>
      <c r="Q287" s="670" t="str">
        <v/>
      </c>
      <c r="R287" s="679" t="str">
        <f>IF(AND(QueryFlag="ON",NOT(ISNA(E287))),_xll.BondOutstanding(E287),"")</f>
        <v/>
      </c>
    </row>
    <row r="288" spans="5:18">
      <c r="E288" s="1007"/>
      <c r="F288" s="1002" t="str">
        <f>IF(LEN($E288)&gt;1,_xll.BondInfo($E288,$F$4),"")</f>
        <v/>
      </c>
      <c r="G288" s="678" t="str">
        <f t="array" ref="G288:Q288">IF(AND(QueryFlag="ON",NOT(ISNA(E288))),_xll.BondInfo(E288,$G$4:$Q$4),"")</f>
        <v/>
      </c>
      <c r="H288" s="668" t="str">
        <v/>
      </c>
      <c r="I288" s="666" t="str">
        <v/>
      </c>
      <c r="J288" s="668" t="str">
        <v/>
      </c>
      <c r="K288" s="668" t="str">
        <v/>
      </c>
      <c r="L288" s="668" t="str">
        <v/>
      </c>
      <c r="M288" s="668" t="str">
        <v/>
      </c>
      <c r="N288" s="669" t="str">
        <v/>
      </c>
      <c r="O288" s="670" t="str">
        <v/>
      </c>
      <c r="P288" s="667" t="str">
        <v/>
      </c>
      <c r="Q288" s="670" t="str">
        <v/>
      </c>
      <c r="R288" s="679" t="str">
        <f>IF(AND(QueryFlag="ON",NOT(ISNA(E288))),_xll.BondOutstanding(E288),"")</f>
        <v/>
      </c>
    </row>
    <row r="289" spans="5:18">
      <c r="E289" s="1007"/>
      <c r="F289" s="1002" t="str">
        <f>IF(LEN($E289)&gt;1,_xll.BondInfo($E289,$F$4),"")</f>
        <v/>
      </c>
      <c r="G289" s="678" t="str">
        <f t="array" ref="G289:Q289">IF(AND(QueryFlag="ON",NOT(ISNA(E289))),_xll.BondInfo(E289,$G$4:$Q$4),"")</f>
        <v/>
      </c>
      <c r="H289" s="668" t="str">
        <v/>
      </c>
      <c r="I289" s="666" t="str">
        <v/>
      </c>
      <c r="J289" s="668" t="str">
        <v/>
      </c>
      <c r="K289" s="668" t="str">
        <v/>
      </c>
      <c r="L289" s="668" t="str">
        <v/>
      </c>
      <c r="M289" s="668" t="str">
        <v/>
      </c>
      <c r="N289" s="669" t="str">
        <v/>
      </c>
      <c r="O289" s="670" t="str">
        <v/>
      </c>
      <c r="P289" s="667" t="str">
        <v/>
      </c>
      <c r="Q289" s="670" t="str">
        <v/>
      </c>
      <c r="R289" s="679" t="str">
        <f>IF(AND(QueryFlag="ON",NOT(ISNA(E289))),_xll.BondOutstanding(E289),"")</f>
        <v/>
      </c>
    </row>
    <row r="290" spans="5:18">
      <c r="E290" s="1007"/>
      <c r="F290" s="1002" t="str">
        <f>IF(LEN($E290)&gt;1,_xll.BondInfo($E290,$F$4),"")</f>
        <v/>
      </c>
      <c r="G290" s="678" t="str">
        <f t="array" ref="G290:Q290">IF(AND(QueryFlag="ON",NOT(ISNA(E290))),_xll.BondInfo(E290,$G$4:$Q$4),"")</f>
        <v/>
      </c>
      <c r="H290" s="668" t="str">
        <v/>
      </c>
      <c r="I290" s="666" t="str">
        <v/>
      </c>
      <c r="J290" s="668" t="str">
        <v/>
      </c>
      <c r="K290" s="668" t="str">
        <v/>
      </c>
      <c r="L290" s="668" t="str">
        <v/>
      </c>
      <c r="M290" s="668" t="str">
        <v/>
      </c>
      <c r="N290" s="669" t="str">
        <v/>
      </c>
      <c r="O290" s="670" t="str">
        <v/>
      </c>
      <c r="P290" s="667" t="str">
        <v/>
      </c>
      <c r="Q290" s="670" t="str">
        <v/>
      </c>
      <c r="R290" s="679" t="str">
        <f>IF(AND(QueryFlag="ON",NOT(ISNA(E290))),_xll.BondOutstanding(E290),"")</f>
        <v/>
      </c>
    </row>
    <row r="291" spans="5:18">
      <c r="E291" s="1007"/>
      <c r="F291" s="1002" t="str">
        <f>IF(LEN($E291)&gt;1,_xll.BondInfo($E291,$F$4),"")</f>
        <v/>
      </c>
      <c r="G291" s="678" t="str">
        <f t="array" ref="G291:Q291">IF(AND(QueryFlag="ON",NOT(ISNA(E291))),_xll.BondInfo(E291,$G$4:$Q$4),"")</f>
        <v/>
      </c>
      <c r="H291" s="668" t="str">
        <v/>
      </c>
      <c r="I291" s="666" t="str">
        <v/>
      </c>
      <c r="J291" s="668" t="str">
        <v/>
      </c>
      <c r="K291" s="668" t="str">
        <v/>
      </c>
      <c r="L291" s="668" t="str">
        <v/>
      </c>
      <c r="M291" s="668" t="str">
        <v/>
      </c>
      <c r="N291" s="669" t="str">
        <v/>
      </c>
      <c r="O291" s="670" t="str">
        <v/>
      </c>
      <c r="P291" s="667" t="str">
        <v/>
      </c>
      <c r="Q291" s="670" t="str">
        <v/>
      </c>
      <c r="R291" s="679" t="str">
        <f>IF(AND(QueryFlag="ON",NOT(ISNA(E291))),_xll.BondOutstanding(E291),"")</f>
        <v/>
      </c>
    </row>
    <row r="292" spans="5:18">
      <c r="E292" s="1007"/>
      <c r="F292" s="1002" t="str">
        <f>IF(LEN($E292)&gt;1,_xll.BondInfo($E292,$F$4),"")</f>
        <v/>
      </c>
      <c r="G292" s="678" t="str">
        <f t="array" ref="G292:Q292">IF(AND(QueryFlag="ON",NOT(ISNA(E292))),_xll.BondInfo(E292,$G$4:$Q$4),"")</f>
        <v/>
      </c>
      <c r="H292" s="668" t="str">
        <v/>
      </c>
      <c r="I292" s="666" t="str">
        <v/>
      </c>
      <c r="J292" s="668" t="str">
        <v/>
      </c>
      <c r="K292" s="668" t="str">
        <v/>
      </c>
      <c r="L292" s="668" t="str">
        <v/>
      </c>
      <c r="M292" s="668" t="str">
        <v/>
      </c>
      <c r="N292" s="669" t="str">
        <v/>
      </c>
      <c r="O292" s="670" t="str">
        <v/>
      </c>
      <c r="P292" s="667" t="str">
        <v/>
      </c>
      <c r="Q292" s="670" t="str">
        <v/>
      </c>
      <c r="R292" s="679" t="str">
        <f>IF(AND(QueryFlag="ON",NOT(ISNA(E292))),_xll.BondOutstanding(E292),"")</f>
        <v/>
      </c>
    </row>
    <row r="293" spans="5:18">
      <c r="E293" s="1007"/>
      <c r="F293" s="1002" t="str">
        <f>IF(LEN($E293)&gt;1,_xll.BondInfo($E293,$F$4),"")</f>
        <v/>
      </c>
      <c r="G293" s="678" t="str">
        <f t="array" ref="G293:Q293">IF(AND(QueryFlag="ON",NOT(ISNA(E293))),_xll.BondInfo(E293,$G$4:$Q$4),"")</f>
        <v/>
      </c>
      <c r="H293" s="668" t="str">
        <v/>
      </c>
      <c r="I293" s="666" t="str">
        <v/>
      </c>
      <c r="J293" s="668" t="str">
        <v/>
      </c>
      <c r="K293" s="668" t="str">
        <v/>
      </c>
      <c r="L293" s="668" t="str">
        <v/>
      </c>
      <c r="M293" s="668" t="str">
        <v/>
      </c>
      <c r="N293" s="669" t="str">
        <v/>
      </c>
      <c r="O293" s="670" t="str">
        <v/>
      </c>
      <c r="P293" s="667" t="str">
        <v/>
      </c>
      <c r="Q293" s="670" t="str">
        <v/>
      </c>
      <c r="R293" s="679" t="str">
        <f>IF(AND(QueryFlag="ON",NOT(ISNA(E293))),_xll.BondOutstanding(E293),"")</f>
        <v/>
      </c>
    </row>
    <row r="294" spans="5:18">
      <c r="E294" s="1007"/>
      <c r="F294" s="1002" t="str">
        <f>IF(LEN($E294)&gt;1,_xll.BondInfo($E294,$F$4),"")</f>
        <v/>
      </c>
      <c r="G294" s="678" t="str">
        <f t="array" ref="G294:Q294">IF(AND(QueryFlag="ON",NOT(ISNA(E294))),_xll.BondInfo(E294,$G$4:$Q$4),"")</f>
        <v/>
      </c>
      <c r="H294" s="668" t="str">
        <v/>
      </c>
      <c r="I294" s="666" t="str">
        <v/>
      </c>
      <c r="J294" s="668" t="str">
        <v/>
      </c>
      <c r="K294" s="668" t="str">
        <v/>
      </c>
      <c r="L294" s="668" t="str">
        <v/>
      </c>
      <c r="M294" s="668" t="str">
        <v/>
      </c>
      <c r="N294" s="669" t="str">
        <v/>
      </c>
      <c r="O294" s="670" t="str">
        <v/>
      </c>
      <c r="P294" s="667" t="str">
        <v/>
      </c>
      <c r="Q294" s="670" t="str">
        <v/>
      </c>
      <c r="R294" s="679" t="str">
        <f>IF(AND(QueryFlag="ON",NOT(ISNA(E294))),_xll.BondOutstanding(E294),"")</f>
        <v/>
      </c>
    </row>
    <row r="295" spans="5:18">
      <c r="E295" s="1007"/>
      <c r="F295" s="1002" t="str">
        <f>IF(LEN($E295)&gt;1,_xll.BondInfo($E295,$F$4),"")</f>
        <v/>
      </c>
      <c r="G295" s="678" t="str">
        <f t="array" ref="G295:Q295">IF(AND(QueryFlag="ON",NOT(ISNA(E295))),_xll.BondInfo(E295,$G$4:$Q$4),"")</f>
        <v/>
      </c>
      <c r="H295" s="668" t="str">
        <v/>
      </c>
      <c r="I295" s="666" t="str">
        <v/>
      </c>
      <c r="J295" s="668" t="str">
        <v/>
      </c>
      <c r="K295" s="668" t="str">
        <v/>
      </c>
      <c r="L295" s="668" t="str">
        <v/>
      </c>
      <c r="M295" s="668" t="str">
        <v/>
      </c>
      <c r="N295" s="669" t="str">
        <v/>
      </c>
      <c r="O295" s="670" t="str">
        <v/>
      </c>
      <c r="P295" s="667" t="str">
        <v/>
      </c>
      <c r="Q295" s="670" t="str">
        <v/>
      </c>
      <c r="R295" s="679" t="str">
        <f>IF(AND(QueryFlag="ON",NOT(ISNA(E295))),_xll.BondOutstanding(E295),"")</f>
        <v/>
      </c>
    </row>
    <row r="296" spans="5:18">
      <c r="E296" s="1007"/>
      <c r="F296" s="1002" t="str">
        <f>IF(LEN($E296)&gt;1,_xll.BondInfo($E296,$F$4),"")</f>
        <v/>
      </c>
      <c r="G296" s="678" t="str">
        <f t="array" ref="G296:Q296">IF(AND(QueryFlag="ON",NOT(ISNA(E296))),_xll.BondInfo(E296,$G$4:$Q$4),"")</f>
        <v/>
      </c>
      <c r="H296" s="668" t="str">
        <v/>
      </c>
      <c r="I296" s="666" t="str">
        <v/>
      </c>
      <c r="J296" s="668" t="str">
        <v/>
      </c>
      <c r="K296" s="668" t="str">
        <v/>
      </c>
      <c r="L296" s="668" t="str">
        <v/>
      </c>
      <c r="M296" s="668" t="str">
        <v/>
      </c>
      <c r="N296" s="669" t="str">
        <v/>
      </c>
      <c r="O296" s="670" t="str">
        <v/>
      </c>
      <c r="P296" s="667" t="str">
        <v/>
      </c>
      <c r="Q296" s="670" t="str">
        <v/>
      </c>
      <c r="R296" s="679" t="str">
        <f>IF(AND(QueryFlag="ON",NOT(ISNA(E296))),_xll.BondOutstanding(E296),"")</f>
        <v/>
      </c>
    </row>
    <row r="297" spans="5:18">
      <c r="E297" s="1007"/>
      <c r="F297" s="1002" t="str">
        <f>IF(LEN($E297)&gt;1,_xll.BondInfo($E297,$F$4),"")</f>
        <v/>
      </c>
      <c r="G297" s="678" t="str">
        <f t="array" ref="G297:Q297">IF(AND(QueryFlag="ON",NOT(ISNA(E297))),_xll.BondInfo(E297,$G$4:$Q$4),"")</f>
        <v/>
      </c>
      <c r="H297" s="668" t="str">
        <v/>
      </c>
      <c r="I297" s="666" t="str">
        <v/>
      </c>
      <c r="J297" s="668" t="str">
        <v/>
      </c>
      <c r="K297" s="668" t="str">
        <v/>
      </c>
      <c r="L297" s="668" t="str">
        <v/>
      </c>
      <c r="M297" s="668" t="str">
        <v/>
      </c>
      <c r="N297" s="669" t="str">
        <v/>
      </c>
      <c r="O297" s="670" t="str">
        <v/>
      </c>
      <c r="P297" s="667" t="str">
        <v/>
      </c>
      <c r="Q297" s="670" t="str">
        <v/>
      </c>
      <c r="R297" s="679" t="str">
        <f>IF(AND(QueryFlag="ON",NOT(ISNA(E297))),_xll.BondOutstanding(E297),"")</f>
        <v/>
      </c>
    </row>
    <row r="298" spans="5:18">
      <c r="E298" s="1007"/>
      <c r="F298" s="1002" t="str">
        <f>IF(LEN($E298)&gt;1,_xll.BondInfo($E298,$F$4),"")</f>
        <v/>
      </c>
      <c r="G298" s="678" t="str">
        <f t="array" ref="G298:Q298">IF(AND(QueryFlag="ON",NOT(ISNA(E298))),_xll.BondInfo(E298,$G$4:$Q$4),"")</f>
        <v/>
      </c>
      <c r="H298" s="668" t="str">
        <v/>
      </c>
      <c r="I298" s="666" t="str">
        <v/>
      </c>
      <c r="J298" s="668" t="str">
        <v/>
      </c>
      <c r="K298" s="668" t="str">
        <v/>
      </c>
      <c r="L298" s="668" t="str">
        <v/>
      </c>
      <c r="M298" s="668" t="str">
        <v/>
      </c>
      <c r="N298" s="669" t="str">
        <v/>
      </c>
      <c r="O298" s="670" t="str">
        <v/>
      </c>
      <c r="P298" s="667" t="str">
        <v/>
      </c>
      <c r="Q298" s="670" t="str">
        <v/>
      </c>
      <c r="R298" s="679" t="str">
        <f>IF(AND(QueryFlag="ON",NOT(ISNA(E298))),_xll.BondOutstanding(E298),"")</f>
        <v/>
      </c>
    </row>
    <row r="299" spans="5:18">
      <c r="E299" s="1007"/>
      <c r="F299" s="1002" t="str">
        <f>IF(LEN($E299)&gt;1,_xll.BondInfo($E299,$F$4),"")</f>
        <v/>
      </c>
      <c r="G299" s="678" t="str">
        <f t="array" ref="G299:Q299">IF(AND(QueryFlag="ON",NOT(ISNA(E299))),_xll.BondInfo(E299,$G$4:$Q$4),"")</f>
        <v/>
      </c>
      <c r="H299" s="668" t="str">
        <v/>
      </c>
      <c r="I299" s="666" t="str">
        <v/>
      </c>
      <c r="J299" s="668" t="str">
        <v/>
      </c>
      <c r="K299" s="668" t="str">
        <v/>
      </c>
      <c r="L299" s="668" t="str">
        <v/>
      </c>
      <c r="M299" s="668" t="str">
        <v/>
      </c>
      <c r="N299" s="669" t="str">
        <v/>
      </c>
      <c r="O299" s="670" t="str">
        <v/>
      </c>
      <c r="P299" s="667" t="str">
        <v/>
      </c>
      <c r="Q299" s="670" t="str">
        <v/>
      </c>
      <c r="R299" s="679" t="str">
        <f>IF(AND(QueryFlag="ON",NOT(ISNA(E299))),_xll.BondOutstanding(E299),"")</f>
        <v/>
      </c>
    </row>
    <row r="300" spans="5:18">
      <c r="E300" s="1007"/>
      <c r="F300" s="1002" t="str">
        <f>IF(LEN($E300)&gt;1,_xll.BondInfo($E300,$F$4),"")</f>
        <v/>
      </c>
      <c r="G300" s="678" t="str">
        <f t="array" ref="G300:Q300">IF(AND(QueryFlag="ON",NOT(ISNA(E300))),_xll.BondInfo(E300,$G$4:$Q$4),"")</f>
        <v/>
      </c>
      <c r="H300" s="668" t="str">
        <v/>
      </c>
      <c r="I300" s="666" t="str">
        <v/>
      </c>
      <c r="J300" s="668" t="str">
        <v/>
      </c>
      <c r="K300" s="668" t="str">
        <v/>
      </c>
      <c r="L300" s="668" t="str">
        <v/>
      </c>
      <c r="M300" s="668" t="str">
        <v/>
      </c>
      <c r="N300" s="669" t="str">
        <v/>
      </c>
      <c r="O300" s="670" t="str">
        <v/>
      </c>
      <c r="P300" s="667" t="str">
        <v/>
      </c>
      <c r="Q300" s="670" t="str">
        <v/>
      </c>
      <c r="R300" s="679" t="str">
        <f>IF(AND(QueryFlag="ON",NOT(ISNA(E300))),_xll.BondOutstanding(E300),"")</f>
        <v/>
      </c>
    </row>
    <row r="301" spans="5:18">
      <c r="E301" s="1007"/>
      <c r="F301" s="1002" t="str">
        <f>IF(LEN($E301)&gt;1,_xll.BondInfo($E301,$F$4),"")</f>
        <v/>
      </c>
      <c r="G301" s="678" t="str">
        <f t="array" ref="G301:Q301">IF(AND(QueryFlag="ON",NOT(ISNA(E301))),_xll.BondInfo(E301,$G$4:$Q$4),"")</f>
        <v/>
      </c>
      <c r="H301" s="668" t="str">
        <v/>
      </c>
      <c r="I301" s="666" t="str">
        <v/>
      </c>
      <c r="J301" s="668" t="str">
        <v/>
      </c>
      <c r="K301" s="668" t="str">
        <v/>
      </c>
      <c r="L301" s="668" t="str">
        <v/>
      </c>
      <c r="M301" s="668" t="str">
        <v/>
      </c>
      <c r="N301" s="669" t="str">
        <v/>
      </c>
      <c r="O301" s="670" t="str">
        <v/>
      </c>
      <c r="P301" s="667" t="str">
        <v/>
      </c>
      <c r="Q301" s="670" t="str">
        <v/>
      </c>
      <c r="R301" s="679" t="str">
        <f>IF(AND(QueryFlag="ON",NOT(ISNA(E301))),_xll.BondOutstanding(E301),"")</f>
        <v/>
      </c>
    </row>
    <row r="302" spans="5:18">
      <c r="E302" s="1007"/>
      <c r="F302" s="1002" t="str">
        <f>IF(LEN($E302)&gt;1,_xll.BondInfo($E302,$F$4),"")</f>
        <v/>
      </c>
      <c r="G302" s="678" t="str">
        <f t="array" ref="G302:Q302">IF(AND(QueryFlag="ON",NOT(ISNA(E302))),_xll.BondInfo(E302,$G$4:$Q$4),"")</f>
        <v/>
      </c>
      <c r="H302" s="668" t="str">
        <v/>
      </c>
      <c r="I302" s="666" t="str">
        <v/>
      </c>
      <c r="J302" s="668" t="str">
        <v/>
      </c>
      <c r="K302" s="668" t="str">
        <v/>
      </c>
      <c r="L302" s="668" t="str">
        <v/>
      </c>
      <c r="M302" s="668" t="str">
        <v/>
      </c>
      <c r="N302" s="669" t="str">
        <v/>
      </c>
      <c r="O302" s="670" t="str">
        <v/>
      </c>
      <c r="P302" s="667" t="str">
        <v/>
      </c>
      <c r="Q302" s="670" t="str">
        <v/>
      </c>
      <c r="R302" s="679" t="str">
        <f>IF(AND(QueryFlag="ON",NOT(ISNA(E302))),_xll.BondOutstanding(E302),"")</f>
        <v/>
      </c>
    </row>
    <row r="303" spans="5:18">
      <c r="E303" s="1007"/>
      <c r="F303" s="1002" t="str">
        <f>IF(LEN($E303)&gt;1,_xll.BondInfo($E303,$F$4),"")</f>
        <v/>
      </c>
      <c r="G303" s="678" t="str">
        <f t="array" ref="G303:Q303">IF(AND(QueryFlag="ON",NOT(ISNA(E303))),_xll.BondInfo(E303,$G$4:$Q$4),"")</f>
        <v/>
      </c>
      <c r="H303" s="668" t="str">
        <v/>
      </c>
      <c r="I303" s="666" t="str">
        <v/>
      </c>
      <c r="J303" s="668" t="str">
        <v/>
      </c>
      <c r="K303" s="668" t="str">
        <v/>
      </c>
      <c r="L303" s="668" t="str">
        <v/>
      </c>
      <c r="M303" s="668" t="str">
        <v/>
      </c>
      <c r="N303" s="669" t="str">
        <v/>
      </c>
      <c r="O303" s="670" t="str">
        <v/>
      </c>
      <c r="P303" s="667" t="str">
        <v/>
      </c>
      <c r="Q303" s="670" t="str">
        <v/>
      </c>
      <c r="R303" s="679" t="str">
        <f>IF(AND(QueryFlag="ON",NOT(ISNA(E303))),_xll.BondOutstanding(E303),"")</f>
        <v/>
      </c>
    </row>
    <row r="304" spans="5:18">
      <c r="E304" s="1007"/>
      <c r="F304" s="1002" t="str">
        <f>IF(LEN($E304)&gt;1,_xll.BondInfo($E304,$F$4),"")</f>
        <v/>
      </c>
      <c r="G304" s="678" t="str">
        <f t="array" ref="G304:Q304">IF(AND(QueryFlag="ON",NOT(ISNA(E304))),_xll.BondInfo(E304,$G$4:$Q$4),"")</f>
        <v/>
      </c>
      <c r="H304" s="668" t="str">
        <v/>
      </c>
      <c r="I304" s="666" t="str">
        <v/>
      </c>
      <c r="J304" s="668" t="str">
        <v/>
      </c>
      <c r="K304" s="668" t="str">
        <v/>
      </c>
      <c r="L304" s="668" t="str">
        <v/>
      </c>
      <c r="M304" s="668" t="str">
        <v/>
      </c>
      <c r="N304" s="669" t="str">
        <v/>
      </c>
      <c r="O304" s="670" t="str">
        <v/>
      </c>
      <c r="P304" s="667" t="str">
        <v/>
      </c>
      <c r="Q304" s="670" t="str">
        <v/>
      </c>
      <c r="R304" s="679" t="str">
        <f>IF(AND(QueryFlag="ON",NOT(ISNA(E304))),_xll.BondOutstanding(E304),"")</f>
        <v/>
      </c>
    </row>
    <row r="305" spans="5:18">
      <c r="E305" s="1007"/>
      <c r="F305" s="1002" t="str">
        <f>IF(LEN($E305)&gt;1,_xll.BondInfo($E305,$F$4),"")</f>
        <v/>
      </c>
      <c r="G305" s="678" t="str">
        <f t="array" ref="G305:Q305">IF(AND(QueryFlag="ON",NOT(ISNA(E305))),_xll.BondInfo(E305,$G$4:$Q$4),"")</f>
        <v/>
      </c>
      <c r="H305" s="668" t="str">
        <v/>
      </c>
      <c r="I305" s="666" t="str">
        <v/>
      </c>
      <c r="J305" s="668" t="str">
        <v/>
      </c>
      <c r="K305" s="668" t="str">
        <v/>
      </c>
      <c r="L305" s="668" t="str">
        <v/>
      </c>
      <c r="M305" s="668" t="str">
        <v/>
      </c>
      <c r="N305" s="669" t="str">
        <v/>
      </c>
      <c r="O305" s="670" t="str">
        <v/>
      </c>
      <c r="P305" s="667" t="str">
        <v/>
      </c>
      <c r="Q305" s="670" t="str">
        <v/>
      </c>
      <c r="R305" s="679" t="str">
        <f>IF(AND(QueryFlag="ON",NOT(ISNA(E305))),_xll.BondOutstanding(E305),"")</f>
        <v/>
      </c>
    </row>
    <row r="306" spans="5:18">
      <c r="E306" s="1007"/>
      <c r="F306" s="1002" t="str">
        <f>IF(LEN($E306)&gt;1,_xll.BondInfo($E306,$F$4),"")</f>
        <v/>
      </c>
      <c r="G306" s="678" t="str">
        <f t="array" ref="G306:Q306">IF(AND(QueryFlag="ON",NOT(ISNA(E306))),_xll.BondInfo(E306,$G$4:$Q$4),"")</f>
        <v/>
      </c>
      <c r="H306" s="668" t="str">
        <v/>
      </c>
      <c r="I306" s="666" t="str">
        <v/>
      </c>
      <c r="J306" s="668" t="str">
        <v/>
      </c>
      <c r="K306" s="668" t="str">
        <v/>
      </c>
      <c r="L306" s="668" t="str">
        <v/>
      </c>
      <c r="M306" s="668" t="str">
        <v/>
      </c>
      <c r="N306" s="669" t="str">
        <v/>
      </c>
      <c r="O306" s="670" t="str">
        <v/>
      </c>
      <c r="P306" s="667" t="str">
        <v/>
      </c>
      <c r="Q306" s="670" t="str">
        <v/>
      </c>
      <c r="R306" s="679" t="str">
        <f>IF(AND(QueryFlag="ON",NOT(ISNA(E306))),_xll.BondOutstanding(E306),"")</f>
        <v/>
      </c>
    </row>
    <row r="307" spans="5:18">
      <c r="E307" s="1007"/>
      <c r="F307" s="1002" t="str">
        <f>IF(LEN($E307)&gt;1,_xll.BondInfo($E307,$F$4),"")</f>
        <v/>
      </c>
      <c r="G307" s="678" t="str">
        <f t="array" ref="G307:Q307">IF(AND(QueryFlag="ON",NOT(ISNA(E307))),_xll.BondInfo(E307,$G$4:$Q$4),"")</f>
        <v/>
      </c>
      <c r="H307" s="668" t="str">
        <v/>
      </c>
      <c r="I307" s="666" t="str">
        <v/>
      </c>
      <c r="J307" s="668" t="str">
        <v/>
      </c>
      <c r="K307" s="668" t="str">
        <v/>
      </c>
      <c r="L307" s="668" t="str">
        <v/>
      </c>
      <c r="M307" s="668" t="str">
        <v/>
      </c>
      <c r="N307" s="669" t="str">
        <v/>
      </c>
      <c r="O307" s="670" t="str">
        <v/>
      </c>
      <c r="P307" s="667" t="str">
        <v/>
      </c>
      <c r="Q307" s="670" t="str">
        <v/>
      </c>
      <c r="R307" s="679" t="str">
        <f>IF(AND(QueryFlag="ON",NOT(ISNA(E307))),_xll.BondOutstanding(E307),"")</f>
        <v/>
      </c>
    </row>
    <row r="308" spans="5:18">
      <c r="E308" s="1007"/>
      <c r="F308" s="1002" t="str">
        <f>IF(LEN($E308)&gt;1,_xll.BondInfo($E308,$F$4),"")</f>
        <v/>
      </c>
      <c r="G308" s="678" t="str">
        <f t="array" ref="G308:Q308">IF(AND(QueryFlag="ON",NOT(ISNA(E308))),_xll.BondInfo(E308,$G$4:$Q$4),"")</f>
        <v/>
      </c>
      <c r="H308" s="668" t="str">
        <v/>
      </c>
      <c r="I308" s="666" t="str">
        <v/>
      </c>
      <c r="J308" s="668" t="str">
        <v/>
      </c>
      <c r="K308" s="668" t="str">
        <v/>
      </c>
      <c r="L308" s="668" t="str">
        <v/>
      </c>
      <c r="M308" s="668" t="str">
        <v/>
      </c>
      <c r="N308" s="669" t="str">
        <v/>
      </c>
      <c r="O308" s="670" t="str">
        <v/>
      </c>
      <c r="P308" s="667" t="str">
        <v/>
      </c>
      <c r="Q308" s="670" t="str">
        <v/>
      </c>
      <c r="R308" s="679" t="str">
        <f>IF(AND(QueryFlag="ON",NOT(ISNA(E308))),_xll.BondOutstanding(E308),"")</f>
        <v/>
      </c>
    </row>
    <row r="309" spans="5:18">
      <c r="E309" s="1007"/>
      <c r="F309" s="1002" t="str">
        <f>IF(LEN($E309)&gt;1,_xll.BondInfo($E309,$F$4),"")</f>
        <v/>
      </c>
      <c r="G309" s="678" t="str">
        <f t="array" ref="G309:Q309">IF(AND(QueryFlag="ON",NOT(ISNA(E309))),_xll.BondInfo(E309,$G$4:$Q$4),"")</f>
        <v/>
      </c>
      <c r="H309" s="668" t="str">
        <v/>
      </c>
      <c r="I309" s="666" t="str">
        <v/>
      </c>
      <c r="J309" s="668" t="str">
        <v/>
      </c>
      <c r="K309" s="668" t="str">
        <v/>
      </c>
      <c r="L309" s="668" t="str">
        <v/>
      </c>
      <c r="M309" s="668" t="str">
        <v/>
      </c>
      <c r="N309" s="669" t="str">
        <v/>
      </c>
      <c r="O309" s="670" t="str">
        <v/>
      </c>
      <c r="P309" s="667" t="str">
        <v/>
      </c>
      <c r="Q309" s="670" t="str">
        <v/>
      </c>
      <c r="R309" s="679" t="str">
        <f>IF(AND(QueryFlag="ON",NOT(ISNA(E309))),_xll.BondOutstanding(E309),"")</f>
        <v/>
      </c>
    </row>
    <row r="310" spans="5:18">
      <c r="E310" s="1007"/>
      <c r="F310" s="1002" t="str">
        <f>IF(LEN($E310)&gt;1,_xll.BondInfo($E310,$F$4),"")</f>
        <v/>
      </c>
      <c r="G310" s="678" t="str">
        <f t="array" ref="G310:Q310">IF(AND(QueryFlag="ON",NOT(ISNA(E310))),_xll.BondInfo(E310,$G$4:$Q$4),"")</f>
        <v/>
      </c>
      <c r="H310" s="668" t="str">
        <v/>
      </c>
      <c r="I310" s="666" t="str">
        <v/>
      </c>
      <c r="J310" s="668" t="str">
        <v/>
      </c>
      <c r="K310" s="668" t="str">
        <v/>
      </c>
      <c r="L310" s="668" t="str">
        <v/>
      </c>
      <c r="M310" s="668" t="str">
        <v/>
      </c>
      <c r="N310" s="669" t="str">
        <v/>
      </c>
      <c r="O310" s="670" t="str">
        <v/>
      </c>
      <c r="P310" s="667" t="str">
        <v/>
      </c>
      <c r="Q310" s="670" t="str">
        <v/>
      </c>
      <c r="R310" s="679" t="str">
        <f>IF(AND(QueryFlag="ON",NOT(ISNA(E310))),_xll.BondOutstanding(E310),"")</f>
        <v/>
      </c>
    </row>
    <row r="311" spans="5:18">
      <c r="E311" s="1007"/>
      <c r="F311" s="1002" t="str">
        <f>IF(LEN($E311)&gt;1,_xll.BondInfo($E311,$F$4),"")</f>
        <v/>
      </c>
      <c r="G311" s="678" t="str">
        <f t="array" ref="G311:Q311">IF(AND(QueryFlag="ON",NOT(ISNA(E311))),_xll.BondInfo(E311,$G$4:$Q$4),"")</f>
        <v/>
      </c>
      <c r="H311" s="668" t="str">
        <v/>
      </c>
      <c r="I311" s="666" t="str">
        <v/>
      </c>
      <c r="J311" s="668" t="str">
        <v/>
      </c>
      <c r="K311" s="668" t="str">
        <v/>
      </c>
      <c r="L311" s="668" t="str">
        <v/>
      </c>
      <c r="M311" s="668" t="str">
        <v/>
      </c>
      <c r="N311" s="669" t="str">
        <v/>
      </c>
      <c r="O311" s="670" t="str">
        <v/>
      </c>
      <c r="P311" s="667" t="str">
        <v/>
      </c>
      <c r="Q311" s="670" t="str">
        <v/>
      </c>
      <c r="R311" s="679" t="str">
        <f>IF(AND(QueryFlag="ON",NOT(ISNA(E311))),_xll.BondOutstanding(E311),"")</f>
        <v/>
      </c>
    </row>
    <row r="312" spans="5:18">
      <c r="E312" s="1007"/>
      <c r="F312" s="1002" t="str">
        <f>IF(LEN($E312)&gt;1,_xll.BondInfo($E312,$F$4),"")</f>
        <v/>
      </c>
      <c r="G312" s="678" t="str">
        <f t="array" ref="G312:Q312">IF(AND(QueryFlag="ON",NOT(ISNA(E312))),_xll.BondInfo(E312,$G$4:$Q$4),"")</f>
        <v/>
      </c>
      <c r="H312" s="668" t="str">
        <v/>
      </c>
      <c r="I312" s="666" t="str">
        <v/>
      </c>
      <c r="J312" s="668" t="str">
        <v/>
      </c>
      <c r="K312" s="668" t="str">
        <v/>
      </c>
      <c r="L312" s="668" t="str">
        <v/>
      </c>
      <c r="M312" s="668" t="str">
        <v/>
      </c>
      <c r="N312" s="669" t="str">
        <v/>
      </c>
      <c r="O312" s="670" t="str">
        <v/>
      </c>
      <c r="P312" s="667" t="str">
        <v/>
      </c>
      <c r="Q312" s="670" t="str">
        <v/>
      </c>
      <c r="R312" s="679" t="str">
        <f>IF(AND(QueryFlag="ON",NOT(ISNA(E312))),_xll.BondOutstanding(E312),"")</f>
        <v/>
      </c>
    </row>
    <row r="313" spans="5:18">
      <c r="E313" s="1007"/>
      <c r="F313" s="1002" t="str">
        <f>IF(LEN($E313)&gt;1,_xll.BondInfo($E313,$F$4),"")</f>
        <v/>
      </c>
      <c r="G313" s="678" t="str">
        <f t="array" ref="G313:Q313">IF(AND(QueryFlag="ON",NOT(ISNA(E313))),_xll.BondInfo(E313,$G$4:$Q$4),"")</f>
        <v/>
      </c>
      <c r="H313" s="668" t="str">
        <v/>
      </c>
      <c r="I313" s="666" t="str">
        <v/>
      </c>
      <c r="J313" s="668" t="str">
        <v/>
      </c>
      <c r="K313" s="668" t="str">
        <v/>
      </c>
      <c r="L313" s="668" t="str">
        <v/>
      </c>
      <c r="M313" s="668" t="str">
        <v/>
      </c>
      <c r="N313" s="669" t="str">
        <v/>
      </c>
      <c r="O313" s="670" t="str">
        <v/>
      </c>
      <c r="P313" s="667" t="str">
        <v/>
      </c>
      <c r="Q313" s="670" t="str">
        <v/>
      </c>
      <c r="R313" s="679" t="str">
        <f>IF(AND(QueryFlag="ON",NOT(ISNA(E313))),_xll.BondOutstanding(E313),"")</f>
        <v/>
      </c>
    </row>
    <row r="314" spans="5:18">
      <c r="E314" s="1007"/>
      <c r="F314" s="1002" t="str">
        <f>IF(LEN($E314)&gt;1,_xll.BondInfo($E314,$F$4),"")</f>
        <v/>
      </c>
      <c r="G314" s="678" t="str">
        <f t="array" ref="G314:Q314">IF(AND(QueryFlag="ON",NOT(ISNA(E314))),_xll.BondInfo(E314,$G$4:$Q$4),"")</f>
        <v/>
      </c>
      <c r="H314" s="668" t="str">
        <v/>
      </c>
      <c r="I314" s="666" t="str">
        <v/>
      </c>
      <c r="J314" s="668" t="str">
        <v/>
      </c>
      <c r="K314" s="668" t="str">
        <v/>
      </c>
      <c r="L314" s="668" t="str">
        <v/>
      </c>
      <c r="M314" s="668" t="str">
        <v/>
      </c>
      <c r="N314" s="669" t="str">
        <v/>
      </c>
      <c r="O314" s="670" t="str">
        <v/>
      </c>
      <c r="P314" s="667" t="str">
        <v/>
      </c>
      <c r="Q314" s="670" t="str">
        <v/>
      </c>
      <c r="R314" s="679" t="str">
        <f>IF(AND(QueryFlag="ON",NOT(ISNA(E314))),_xll.BondOutstanding(E314),"")</f>
        <v/>
      </c>
    </row>
    <row r="315" spans="5:18">
      <c r="E315" s="1007"/>
      <c r="F315" s="1002" t="str">
        <f>IF(LEN($E315)&gt;1,_xll.BondInfo($E315,$F$4),"")</f>
        <v/>
      </c>
      <c r="G315" s="678" t="str">
        <f t="array" ref="G315:Q315">IF(AND(QueryFlag="ON",NOT(ISNA(E315))),_xll.BondInfo(E315,$G$4:$Q$4),"")</f>
        <v/>
      </c>
      <c r="H315" s="668" t="str">
        <v/>
      </c>
      <c r="I315" s="666" t="str">
        <v/>
      </c>
      <c r="J315" s="668" t="str">
        <v/>
      </c>
      <c r="K315" s="668" t="str">
        <v/>
      </c>
      <c r="L315" s="668" t="str">
        <v/>
      </c>
      <c r="M315" s="668" t="str">
        <v/>
      </c>
      <c r="N315" s="669" t="str">
        <v/>
      </c>
      <c r="O315" s="670" t="str">
        <v/>
      </c>
      <c r="P315" s="667" t="str">
        <v/>
      </c>
      <c r="Q315" s="670" t="str">
        <v/>
      </c>
      <c r="R315" s="679" t="str">
        <f>IF(AND(QueryFlag="ON",NOT(ISNA(E315))),_xll.BondOutstanding(E315),"")</f>
        <v/>
      </c>
    </row>
    <row r="316" spans="5:18">
      <c r="E316" s="1007"/>
      <c r="F316" s="1002" t="str">
        <f>IF(LEN($E316)&gt;1,_xll.BondInfo($E316,$F$4),"")</f>
        <v/>
      </c>
      <c r="G316" s="678" t="str">
        <f t="array" ref="G316:Q316">IF(AND(QueryFlag="ON",NOT(ISNA(E316))),_xll.BondInfo(E316,$G$4:$Q$4),"")</f>
        <v/>
      </c>
      <c r="H316" s="668" t="str">
        <v/>
      </c>
      <c r="I316" s="666" t="str">
        <v/>
      </c>
      <c r="J316" s="668" t="str">
        <v/>
      </c>
      <c r="K316" s="668" t="str">
        <v/>
      </c>
      <c r="L316" s="668" t="str">
        <v/>
      </c>
      <c r="M316" s="668" t="str">
        <v/>
      </c>
      <c r="N316" s="669" t="str">
        <v/>
      </c>
      <c r="O316" s="670" t="str">
        <v/>
      </c>
      <c r="P316" s="667" t="str">
        <v/>
      </c>
      <c r="Q316" s="670" t="str">
        <v/>
      </c>
      <c r="R316" s="679" t="str">
        <f>IF(AND(QueryFlag="ON",NOT(ISNA(E316))),_xll.BondOutstanding(E316),"")</f>
        <v/>
      </c>
    </row>
    <row r="317" spans="5:18">
      <c r="E317" s="1007"/>
      <c r="F317" s="1002" t="str">
        <f>IF(LEN($E317)&gt;1,_xll.BondInfo($E317,$F$4),"")</f>
        <v/>
      </c>
      <c r="G317" s="678" t="str">
        <f t="array" ref="G317:Q317">IF(AND(QueryFlag="ON",NOT(ISNA(E317))),_xll.BondInfo(E317,$G$4:$Q$4),"")</f>
        <v/>
      </c>
      <c r="H317" s="668" t="str">
        <v/>
      </c>
      <c r="I317" s="666" t="str">
        <v/>
      </c>
      <c r="J317" s="668" t="str">
        <v/>
      </c>
      <c r="K317" s="668" t="str">
        <v/>
      </c>
      <c r="L317" s="668" t="str">
        <v/>
      </c>
      <c r="M317" s="668" t="str">
        <v/>
      </c>
      <c r="N317" s="669" t="str">
        <v/>
      </c>
      <c r="O317" s="670" t="str">
        <v/>
      </c>
      <c r="P317" s="667" t="str">
        <v/>
      </c>
      <c r="Q317" s="670" t="str">
        <v/>
      </c>
      <c r="R317" s="679" t="str">
        <f>IF(AND(QueryFlag="ON",NOT(ISNA(E317))),_xll.BondOutstanding(E317),"")</f>
        <v/>
      </c>
    </row>
    <row r="318" spans="5:18">
      <c r="E318" s="1007"/>
      <c r="F318" s="1002" t="str">
        <f>IF(LEN($E318)&gt;1,_xll.BondInfo($E318,$F$4),"")</f>
        <v/>
      </c>
      <c r="G318" s="678" t="str">
        <f t="array" ref="G318:Q318">IF(AND(QueryFlag="ON",NOT(ISNA(E318))),_xll.BondInfo(E318,$G$4:$Q$4),"")</f>
        <v/>
      </c>
      <c r="H318" s="668" t="str">
        <v/>
      </c>
      <c r="I318" s="666" t="str">
        <v/>
      </c>
      <c r="J318" s="668" t="str">
        <v/>
      </c>
      <c r="K318" s="668" t="str">
        <v/>
      </c>
      <c r="L318" s="668" t="str">
        <v/>
      </c>
      <c r="M318" s="668" t="str">
        <v/>
      </c>
      <c r="N318" s="669" t="str">
        <v/>
      </c>
      <c r="O318" s="670" t="str">
        <v/>
      </c>
      <c r="P318" s="667" t="str">
        <v/>
      </c>
      <c r="Q318" s="670" t="str">
        <v/>
      </c>
      <c r="R318" s="679" t="str">
        <f>IF(AND(QueryFlag="ON",NOT(ISNA(E318))),_xll.BondOutstanding(E318),"")</f>
        <v/>
      </c>
    </row>
    <row r="319" spans="5:18">
      <c r="E319" s="1007"/>
      <c r="F319" s="1002" t="str">
        <f>IF(LEN($E319)&gt;1,_xll.BondInfo($E319,$F$4),"")</f>
        <v/>
      </c>
      <c r="G319" s="678" t="str">
        <f t="array" ref="G319:Q319">IF(AND(QueryFlag="ON",NOT(ISNA(E319))),_xll.BondInfo(E319,$G$4:$Q$4),"")</f>
        <v/>
      </c>
      <c r="H319" s="668" t="str">
        <v/>
      </c>
      <c r="I319" s="666" t="str">
        <v/>
      </c>
      <c r="J319" s="668" t="str">
        <v/>
      </c>
      <c r="K319" s="668" t="str">
        <v/>
      </c>
      <c r="L319" s="668" t="str">
        <v/>
      </c>
      <c r="M319" s="668" t="str">
        <v/>
      </c>
      <c r="N319" s="669" t="str">
        <v/>
      </c>
      <c r="O319" s="670" t="str">
        <v/>
      </c>
      <c r="P319" s="667" t="str">
        <v/>
      </c>
      <c r="Q319" s="670" t="str">
        <v/>
      </c>
      <c r="R319" s="679" t="str">
        <f>IF(AND(QueryFlag="ON",NOT(ISNA(E319))),_xll.BondOutstanding(E319),"")</f>
        <v/>
      </c>
    </row>
    <row r="320" spans="5:18">
      <c r="E320" s="1007"/>
      <c r="F320" s="1002" t="str">
        <f>IF(LEN($E320)&gt;1,_xll.BondInfo($E320,$F$4),"")</f>
        <v/>
      </c>
      <c r="G320" s="678" t="str">
        <f t="array" ref="G320:Q320">IF(AND(QueryFlag="ON",NOT(ISNA(E320))),_xll.BondInfo(E320,$G$4:$Q$4),"")</f>
        <v/>
      </c>
      <c r="H320" s="668" t="str">
        <v/>
      </c>
      <c r="I320" s="666" t="str">
        <v/>
      </c>
      <c r="J320" s="668" t="str">
        <v/>
      </c>
      <c r="K320" s="668" t="str">
        <v/>
      </c>
      <c r="L320" s="668" t="str">
        <v/>
      </c>
      <c r="M320" s="668" t="str">
        <v/>
      </c>
      <c r="N320" s="669" t="str">
        <v/>
      </c>
      <c r="O320" s="670" t="str">
        <v/>
      </c>
      <c r="P320" s="667" t="str">
        <v/>
      </c>
      <c r="Q320" s="670" t="str">
        <v/>
      </c>
      <c r="R320" s="679" t="str">
        <f>IF(AND(QueryFlag="ON",NOT(ISNA(E320))),_xll.BondOutstanding(E320),"")</f>
        <v/>
      </c>
    </row>
    <row r="321" spans="5:18">
      <c r="E321" s="1007"/>
      <c r="F321" s="1002" t="str">
        <f>IF(LEN($E321)&gt;1,_xll.BondInfo($E321,$F$4),"")</f>
        <v/>
      </c>
      <c r="G321" s="678" t="str">
        <f t="array" ref="G321:Q321">IF(AND(QueryFlag="ON",NOT(ISNA(E321))),_xll.BondInfo(E321,$G$4:$Q$4),"")</f>
        <v/>
      </c>
      <c r="H321" s="668" t="str">
        <v/>
      </c>
      <c r="I321" s="666" t="str">
        <v/>
      </c>
      <c r="J321" s="668" t="str">
        <v/>
      </c>
      <c r="K321" s="668" t="str">
        <v/>
      </c>
      <c r="L321" s="668" t="str">
        <v/>
      </c>
      <c r="M321" s="668" t="str">
        <v/>
      </c>
      <c r="N321" s="669" t="str">
        <v/>
      </c>
      <c r="O321" s="670" t="str">
        <v/>
      </c>
      <c r="P321" s="667" t="str">
        <v/>
      </c>
      <c r="Q321" s="670" t="str">
        <v/>
      </c>
      <c r="R321" s="679" t="str">
        <f>IF(AND(QueryFlag="ON",NOT(ISNA(E321))),_xll.BondOutstanding(E321),"")</f>
        <v/>
      </c>
    </row>
    <row r="322" spans="5:18">
      <c r="E322" s="1007"/>
      <c r="F322" s="1002" t="str">
        <f>IF(LEN($E322)&gt;1,_xll.BondInfo($E322,$F$4),"")</f>
        <v/>
      </c>
      <c r="G322" s="678" t="str">
        <f t="array" ref="G322:Q322">IF(AND(QueryFlag="ON",NOT(ISNA(E322))),_xll.BondInfo(E322,$G$4:$Q$4),"")</f>
        <v/>
      </c>
      <c r="H322" s="668" t="str">
        <v/>
      </c>
      <c r="I322" s="666" t="str">
        <v/>
      </c>
      <c r="J322" s="668" t="str">
        <v/>
      </c>
      <c r="K322" s="668" t="str">
        <v/>
      </c>
      <c r="L322" s="668" t="str">
        <v/>
      </c>
      <c r="M322" s="668" t="str">
        <v/>
      </c>
      <c r="N322" s="669" t="str">
        <v/>
      </c>
      <c r="O322" s="670" t="str">
        <v/>
      </c>
      <c r="P322" s="667" t="str">
        <v/>
      </c>
      <c r="Q322" s="670" t="str">
        <v/>
      </c>
      <c r="R322" s="679" t="str">
        <f>IF(AND(QueryFlag="ON",NOT(ISNA(E322))),_xll.BondOutstanding(E322),"")</f>
        <v/>
      </c>
    </row>
    <row r="323" spans="5:18">
      <c r="E323" s="1007"/>
      <c r="F323" s="1002" t="str">
        <f>IF(LEN($E323)&gt;1,_xll.BondInfo($E323,$F$4),"")</f>
        <v/>
      </c>
      <c r="G323" s="678" t="str">
        <f t="array" ref="G323:Q323">IF(AND(QueryFlag="ON",NOT(ISNA(E323))),_xll.BondInfo(E323,$G$4:$Q$4),"")</f>
        <v/>
      </c>
      <c r="H323" s="668" t="str">
        <v/>
      </c>
      <c r="I323" s="666" t="str">
        <v/>
      </c>
      <c r="J323" s="668" t="str">
        <v/>
      </c>
      <c r="K323" s="668" t="str">
        <v/>
      </c>
      <c r="L323" s="668" t="str">
        <v/>
      </c>
      <c r="M323" s="668" t="str">
        <v/>
      </c>
      <c r="N323" s="669" t="str">
        <v/>
      </c>
      <c r="O323" s="670" t="str">
        <v/>
      </c>
      <c r="P323" s="667" t="str">
        <v/>
      </c>
      <c r="Q323" s="670" t="str">
        <v/>
      </c>
      <c r="R323" s="679" t="str">
        <f>IF(AND(QueryFlag="ON",NOT(ISNA(E323))),_xll.BondOutstanding(E323),"")</f>
        <v/>
      </c>
    </row>
    <row r="324" spans="5:18">
      <c r="E324" s="1007"/>
      <c r="F324" s="1002" t="str">
        <f>IF(LEN($E324)&gt;1,_xll.BondInfo($E324,$F$4),"")</f>
        <v/>
      </c>
      <c r="G324" s="678" t="str">
        <f t="array" ref="G324:Q324">IF(AND(QueryFlag="ON",NOT(ISNA(E324))),_xll.BondInfo(E324,$G$4:$Q$4),"")</f>
        <v/>
      </c>
      <c r="H324" s="668" t="str">
        <v/>
      </c>
      <c r="I324" s="666" t="str">
        <v/>
      </c>
      <c r="J324" s="668" t="str">
        <v/>
      </c>
      <c r="K324" s="668" t="str">
        <v/>
      </c>
      <c r="L324" s="668" t="str">
        <v/>
      </c>
      <c r="M324" s="668" t="str">
        <v/>
      </c>
      <c r="N324" s="669" t="str">
        <v/>
      </c>
      <c r="O324" s="670" t="str">
        <v/>
      </c>
      <c r="P324" s="667" t="str">
        <v/>
      </c>
      <c r="Q324" s="670" t="str">
        <v/>
      </c>
      <c r="R324" s="679" t="str">
        <f>IF(AND(QueryFlag="ON",NOT(ISNA(E324))),_xll.BondOutstanding(E324),"")</f>
        <v/>
      </c>
    </row>
    <row r="325" spans="5:18">
      <c r="E325" s="1007"/>
      <c r="F325" s="1002" t="str">
        <f>IF(LEN($E325)&gt;1,_xll.BondInfo($E325,$F$4),"")</f>
        <v/>
      </c>
      <c r="G325" s="678" t="str">
        <f t="array" ref="G325:Q325">IF(AND(QueryFlag="ON",NOT(ISNA(E325))),_xll.BondInfo(E325,$G$4:$Q$4),"")</f>
        <v/>
      </c>
      <c r="H325" s="668" t="str">
        <v/>
      </c>
      <c r="I325" s="666" t="str">
        <v/>
      </c>
      <c r="J325" s="668" t="str">
        <v/>
      </c>
      <c r="K325" s="668" t="str">
        <v/>
      </c>
      <c r="L325" s="668" t="str">
        <v/>
      </c>
      <c r="M325" s="668" t="str">
        <v/>
      </c>
      <c r="N325" s="669" t="str">
        <v/>
      </c>
      <c r="O325" s="670" t="str">
        <v/>
      </c>
      <c r="P325" s="667" t="str">
        <v/>
      </c>
      <c r="Q325" s="670" t="str">
        <v/>
      </c>
      <c r="R325" s="679" t="str">
        <f>IF(AND(QueryFlag="ON",NOT(ISNA(E325))),_xll.BondOutstanding(E325),"")</f>
        <v/>
      </c>
    </row>
    <row r="326" spans="5:18">
      <c r="E326" s="1007"/>
      <c r="F326" s="1002" t="str">
        <f>IF(LEN($E326)&gt;1,_xll.BondInfo($E326,$F$4),"")</f>
        <v/>
      </c>
      <c r="G326" s="678" t="str">
        <f t="array" ref="G326:Q326">IF(AND(QueryFlag="ON",NOT(ISNA(E326))),_xll.BondInfo(E326,$G$4:$Q$4),"")</f>
        <v/>
      </c>
      <c r="H326" s="668" t="str">
        <v/>
      </c>
      <c r="I326" s="666" t="str">
        <v/>
      </c>
      <c r="J326" s="668" t="str">
        <v/>
      </c>
      <c r="K326" s="668" t="str">
        <v/>
      </c>
      <c r="L326" s="668" t="str">
        <v/>
      </c>
      <c r="M326" s="668" t="str">
        <v/>
      </c>
      <c r="N326" s="669" t="str">
        <v/>
      </c>
      <c r="O326" s="670" t="str">
        <v/>
      </c>
      <c r="P326" s="667" t="str">
        <v/>
      </c>
      <c r="Q326" s="670" t="str">
        <v/>
      </c>
      <c r="R326" s="679" t="str">
        <f>IF(AND(QueryFlag="ON",NOT(ISNA(E326))),_xll.BondOutstanding(E326),"")</f>
        <v/>
      </c>
    </row>
    <row r="327" spans="5:18">
      <c r="E327" s="1007"/>
      <c r="F327" s="1002" t="str">
        <f>IF(LEN($E327)&gt;1,_xll.BondInfo($E327,$F$4),"")</f>
        <v/>
      </c>
      <c r="G327" s="678" t="str">
        <f t="array" ref="G327:Q327">IF(AND(QueryFlag="ON",NOT(ISNA(E327))),_xll.BondInfo(E327,$G$4:$Q$4),"")</f>
        <v/>
      </c>
      <c r="H327" s="668" t="str">
        <v/>
      </c>
      <c r="I327" s="666" t="str">
        <v/>
      </c>
      <c r="J327" s="668" t="str">
        <v/>
      </c>
      <c r="K327" s="668" t="str">
        <v/>
      </c>
      <c r="L327" s="668" t="str">
        <v/>
      </c>
      <c r="M327" s="668" t="str">
        <v/>
      </c>
      <c r="N327" s="669" t="str">
        <v/>
      </c>
      <c r="O327" s="670" t="str">
        <v/>
      </c>
      <c r="P327" s="667" t="str">
        <v/>
      </c>
      <c r="Q327" s="670" t="str">
        <v/>
      </c>
      <c r="R327" s="679" t="str">
        <f>IF(AND(QueryFlag="ON",NOT(ISNA(E327))),_xll.BondOutstanding(E327),"")</f>
        <v/>
      </c>
    </row>
    <row r="328" spans="5:18">
      <c r="E328" s="1007"/>
      <c r="F328" s="1002" t="str">
        <f>IF(LEN($E328)&gt;1,_xll.BondInfo($E328,$F$4),"")</f>
        <v/>
      </c>
      <c r="G328" s="678" t="str">
        <f t="array" ref="G328:Q328">IF(AND(QueryFlag="ON",NOT(ISNA(E328))),_xll.BondInfo(E328,$G$4:$Q$4),"")</f>
        <v/>
      </c>
      <c r="H328" s="668" t="str">
        <v/>
      </c>
      <c r="I328" s="666" t="str">
        <v/>
      </c>
      <c r="J328" s="668" t="str">
        <v/>
      </c>
      <c r="K328" s="668" t="str">
        <v/>
      </c>
      <c r="L328" s="668" t="str">
        <v/>
      </c>
      <c r="M328" s="668" t="str">
        <v/>
      </c>
      <c r="N328" s="669" t="str">
        <v/>
      </c>
      <c r="O328" s="670" t="str">
        <v/>
      </c>
      <c r="P328" s="667" t="str">
        <v/>
      </c>
      <c r="Q328" s="670" t="str">
        <v/>
      </c>
      <c r="R328" s="679" t="str">
        <f>IF(AND(QueryFlag="ON",NOT(ISNA(E328))),_xll.BondOutstanding(E328),"")</f>
        <v/>
      </c>
    </row>
    <row r="329" spans="5:18">
      <c r="E329" s="1007"/>
      <c r="F329" s="1002" t="str">
        <f>IF(LEN($E329)&gt;1,_xll.BondInfo($E329,$F$4),"")</f>
        <v/>
      </c>
      <c r="G329" s="678" t="str">
        <f t="array" ref="G329:Q329">IF(AND(QueryFlag="ON",NOT(ISNA(E329))),_xll.BondInfo(E329,$G$4:$Q$4),"")</f>
        <v/>
      </c>
      <c r="H329" s="668" t="str">
        <v/>
      </c>
      <c r="I329" s="666" t="str">
        <v/>
      </c>
      <c r="J329" s="668" t="str">
        <v/>
      </c>
      <c r="K329" s="668" t="str">
        <v/>
      </c>
      <c r="L329" s="668" t="str">
        <v/>
      </c>
      <c r="M329" s="668" t="str">
        <v/>
      </c>
      <c r="N329" s="669" t="str">
        <v/>
      </c>
      <c r="O329" s="670" t="str">
        <v/>
      </c>
      <c r="P329" s="667" t="str">
        <v/>
      </c>
      <c r="Q329" s="670" t="str">
        <v/>
      </c>
      <c r="R329" s="679" t="str">
        <f>IF(AND(QueryFlag="ON",NOT(ISNA(E329))),_xll.BondOutstanding(E329),"")</f>
        <v/>
      </c>
    </row>
    <row r="330" spans="5:18">
      <c r="E330" s="1007"/>
      <c r="F330" s="1002" t="str">
        <f>IF(LEN($E330)&gt;1,_xll.BondInfo($E330,$F$4),"")</f>
        <v/>
      </c>
      <c r="G330" s="678" t="str">
        <f t="array" ref="G330:Q330">IF(AND(QueryFlag="ON",NOT(ISNA(E330))),_xll.BondInfo(E330,$G$4:$Q$4),"")</f>
        <v/>
      </c>
      <c r="H330" s="668" t="str">
        <v/>
      </c>
      <c r="I330" s="666" t="str">
        <v/>
      </c>
      <c r="J330" s="668" t="str">
        <v/>
      </c>
      <c r="K330" s="668" t="str">
        <v/>
      </c>
      <c r="L330" s="668" t="str">
        <v/>
      </c>
      <c r="M330" s="668" t="str">
        <v/>
      </c>
      <c r="N330" s="669" t="str">
        <v/>
      </c>
      <c r="O330" s="670" t="str">
        <v/>
      </c>
      <c r="P330" s="667" t="str">
        <v/>
      </c>
      <c r="Q330" s="670" t="str">
        <v/>
      </c>
      <c r="R330" s="679" t="str">
        <f>IF(AND(QueryFlag="ON",NOT(ISNA(E330))),_xll.BondOutstanding(E330),"")</f>
        <v/>
      </c>
    </row>
    <row r="331" spans="5:18">
      <c r="E331" s="1007"/>
      <c r="F331" s="1002" t="str">
        <f>IF(LEN($E331)&gt;1,_xll.BondInfo($E331,$F$4),"")</f>
        <v/>
      </c>
      <c r="G331" s="678" t="str">
        <f t="array" ref="G331:Q331">IF(AND(QueryFlag="ON",NOT(ISNA(E331))),_xll.BondInfo(E331,$G$4:$Q$4),"")</f>
        <v/>
      </c>
      <c r="H331" s="668" t="str">
        <v/>
      </c>
      <c r="I331" s="666" t="str">
        <v/>
      </c>
      <c r="J331" s="668" t="str">
        <v/>
      </c>
      <c r="K331" s="668" t="str">
        <v/>
      </c>
      <c r="L331" s="668" t="str">
        <v/>
      </c>
      <c r="M331" s="668" t="str">
        <v/>
      </c>
      <c r="N331" s="669" t="str">
        <v/>
      </c>
      <c r="O331" s="670" t="str">
        <v/>
      </c>
      <c r="P331" s="667" t="str">
        <v/>
      </c>
      <c r="Q331" s="670" t="str">
        <v/>
      </c>
      <c r="R331" s="679" t="str">
        <f>IF(AND(QueryFlag="ON",NOT(ISNA(E331))),_xll.BondOutstanding(E331),"")</f>
        <v/>
      </c>
    </row>
    <row r="332" spans="5:18">
      <c r="E332" s="1007"/>
      <c r="F332" s="1002" t="str">
        <f>IF(LEN($E332)&gt;1,_xll.BondInfo($E332,$F$4),"")</f>
        <v/>
      </c>
      <c r="G332" s="678" t="str">
        <f t="array" ref="G332:Q332">IF(AND(QueryFlag="ON",NOT(ISNA(E332))),_xll.BondInfo(E332,$G$4:$Q$4),"")</f>
        <v/>
      </c>
      <c r="H332" s="668" t="str">
        <v/>
      </c>
      <c r="I332" s="666" t="str">
        <v/>
      </c>
      <c r="J332" s="668" t="str">
        <v/>
      </c>
      <c r="K332" s="668" t="str">
        <v/>
      </c>
      <c r="L332" s="668" t="str">
        <v/>
      </c>
      <c r="M332" s="668" t="str">
        <v/>
      </c>
      <c r="N332" s="669" t="str">
        <v/>
      </c>
      <c r="O332" s="670" t="str">
        <v/>
      </c>
      <c r="P332" s="667" t="str">
        <v/>
      </c>
      <c r="Q332" s="670" t="str">
        <v/>
      </c>
      <c r="R332" s="679" t="str">
        <f>IF(AND(QueryFlag="ON",NOT(ISNA(E332))),_xll.BondOutstanding(E332),"")</f>
        <v/>
      </c>
    </row>
    <row r="333" spans="5:18">
      <c r="E333" s="1007"/>
      <c r="F333" s="1002" t="str">
        <f>IF(LEN($E333)&gt;1,_xll.BondInfo($E333,$F$4),"")</f>
        <v/>
      </c>
      <c r="G333" s="678" t="str">
        <f t="array" ref="G333:Q333">IF(AND(QueryFlag="ON",NOT(ISNA(E333))),_xll.BondInfo(E333,$G$4:$Q$4),"")</f>
        <v/>
      </c>
      <c r="H333" s="668" t="str">
        <v/>
      </c>
      <c r="I333" s="666" t="str">
        <v/>
      </c>
      <c r="J333" s="668" t="str">
        <v/>
      </c>
      <c r="K333" s="668" t="str">
        <v/>
      </c>
      <c r="L333" s="668" t="str">
        <v/>
      </c>
      <c r="M333" s="668" t="str">
        <v/>
      </c>
      <c r="N333" s="669" t="str">
        <v/>
      </c>
      <c r="O333" s="670" t="str">
        <v/>
      </c>
      <c r="P333" s="667" t="str">
        <v/>
      </c>
      <c r="Q333" s="670" t="str">
        <v/>
      </c>
      <c r="R333" s="679" t="str">
        <f>IF(AND(QueryFlag="ON",NOT(ISNA(E333))),_xll.BondOutstanding(E333),"")</f>
        <v/>
      </c>
    </row>
    <row r="334" spans="5:18">
      <c r="E334" s="1007"/>
      <c r="F334" s="1002" t="str">
        <f>IF(LEN($E334)&gt;1,_xll.BondInfo($E334,$F$4),"")</f>
        <v/>
      </c>
      <c r="G334" s="678" t="str">
        <f t="array" ref="G334:Q334">IF(AND(QueryFlag="ON",NOT(ISNA(E334))),_xll.BondInfo(E334,$G$4:$Q$4),"")</f>
        <v/>
      </c>
      <c r="H334" s="668" t="str">
        <v/>
      </c>
      <c r="I334" s="666" t="str">
        <v/>
      </c>
      <c r="J334" s="668" t="str">
        <v/>
      </c>
      <c r="K334" s="668" t="str">
        <v/>
      </c>
      <c r="L334" s="668" t="str">
        <v/>
      </c>
      <c r="M334" s="668" t="str">
        <v/>
      </c>
      <c r="N334" s="669" t="str">
        <v/>
      </c>
      <c r="O334" s="670" t="str">
        <v/>
      </c>
      <c r="P334" s="667" t="str">
        <v/>
      </c>
      <c r="Q334" s="670" t="str">
        <v/>
      </c>
      <c r="R334" s="679" t="str">
        <f>IF(AND(QueryFlag="ON",NOT(ISNA(E334))),_xll.BondOutstanding(E334),"")</f>
        <v/>
      </c>
    </row>
    <row r="335" spans="5:18">
      <c r="E335" s="1007"/>
      <c r="F335" s="1002" t="str">
        <f>IF(LEN($E335)&gt;1,_xll.BondInfo($E335,$F$4),"")</f>
        <v/>
      </c>
      <c r="G335" s="678" t="str">
        <f t="array" ref="G335:Q335">IF(AND(QueryFlag="ON",NOT(ISNA(E335))),_xll.BondInfo(E335,$G$4:$Q$4),"")</f>
        <v/>
      </c>
      <c r="H335" s="668" t="str">
        <v/>
      </c>
      <c r="I335" s="666" t="str">
        <v/>
      </c>
      <c r="J335" s="668" t="str">
        <v/>
      </c>
      <c r="K335" s="668" t="str">
        <v/>
      </c>
      <c r="L335" s="668" t="str">
        <v/>
      </c>
      <c r="M335" s="668" t="str">
        <v/>
      </c>
      <c r="N335" s="669" t="str">
        <v/>
      </c>
      <c r="O335" s="670" t="str">
        <v/>
      </c>
      <c r="P335" s="667" t="str">
        <v/>
      </c>
      <c r="Q335" s="670" t="str">
        <v/>
      </c>
      <c r="R335" s="679" t="str">
        <f>IF(AND(QueryFlag="ON",NOT(ISNA(E335))),_xll.BondOutstanding(E335),"")</f>
        <v/>
      </c>
    </row>
    <row r="336" spans="5:18">
      <c r="E336" s="1007"/>
      <c r="F336" s="1002" t="str">
        <f>IF(LEN($E336)&gt;1,_xll.BondInfo($E336,$F$4),"")</f>
        <v/>
      </c>
      <c r="G336" s="678" t="str">
        <f t="array" ref="G336:Q336">IF(AND(QueryFlag="ON",NOT(ISNA(E336))),_xll.BondInfo(E336,$G$4:$Q$4),"")</f>
        <v/>
      </c>
      <c r="H336" s="668" t="str">
        <v/>
      </c>
      <c r="I336" s="666" t="str">
        <v/>
      </c>
      <c r="J336" s="668" t="str">
        <v/>
      </c>
      <c r="K336" s="668" t="str">
        <v/>
      </c>
      <c r="L336" s="668" t="str">
        <v/>
      </c>
      <c r="M336" s="668" t="str">
        <v/>
      </c>
      <c r="N336" s="669" t="str">
        <v/>
      </c>
      <c r="O336" s="670" t="str">
        <v/>
      </c>
      <c r="P336" s="667" t="str">
        <v/>
      </c>
      <c r="Q336" s="670" t="str">
        <v/>
      </c>
      <c r="R336" s="679" t="str">
        <f>IF(AND(QueryFlag="ON",NOT(ISNA(E336))),_xll.BondOutstanding(E336),"")</f>
        <v/>
      </c>
    </row>
    <row r="337" spans="5:18">
      <c r="E337" s="1007"/>
      <c r="F337" s="1002" t="str">
        <f>IF(LEN($E337)&gt;1,_xll.BondInfo($E337,$F$4),"")</f>
        <v/>
      </c>
      <c r="G337" s="678" t="str">
        <f t="array" ref="G337:Q337">IF(AND(QueryFlag="ON",NOT(ISNA(E337))),_xll.BondInfo(E337,$G$4:$Q$4),"")</f>
        <v/>
      </c>
      <c r="H337" s="668" t="str">
        <v/>
      </c>
      <c r="I337" s="666" t="str">
        <v/>
      </c>
      <c r="J337" s="668" t="str">
        <v/>
      </c>
      <c r="K337" s="668" t="str">
        <v/>
      </c>
      <c r="L337" s="668" t="str">
        <v/>
      </c>
      <c r="M337" s="668" t="str">
        <v/>
      </c>
      <c r="N337" s="669" t="str">
        <v/>
      </c>
      <c r="O337" s="670" t="str">
        <v/>
      </c>
      <c r="P337" s="667" t="str">
        <v/>
      </c>
      <c r="Q337" s="670" t="str">
        <v/>
      </c>
      <c r="R337" s="679" t="str">
        <f>IF(AND(QueryFlag="ON",NOT(ISNA(E337))),_xll.BondOutstanding(E337),"")</f>
        <v/>
      </c>
    </row>
    <row r="338" spans="5:18">
      <c r="E338" s="1007"/>
      <c r="F338" s="1002" t="str">
        <f>IF(LEN($E338)&gt;1,_xll.BondInfo($E338,$F$4),"")</f>
        <v/>
      </c>
      <c r="G338" s="678" t="str">
        <f t="array" ref="G338:Q338">IF(AND(QueryFlag="ON",NOT(ISNA(E338))),_xll.BondInfo(E338,$G$4:$Q$4),"")</f>
        <v/>
      </c>
      <c r="H338" s="668" t="str">
        <v/>
      </c>
      <c r="I338" s="666" t="str">
        <v/>
      </c>
      <c r="J338" s="668" t="str">
        <v/>
      </c>
      <c r="K338" s="668" t="str">
        <v/>
      </c>
      <c r="L338" s="668" t="str">
        <v/>
      </c>
      <c r="M338" s="668" t="str">
        <v/>
      </c>
      <c r="N338" s="669" t="str">
        <v/>
      </c>
      <c r="O338" s="670" t="str">
        <v/>
      </c>
      <c r="P338" s="667" t="str">
        <v/>
      </c>
      <c r="Q338" s="670" t="str">
        <v/>
      </c>
      <c r="R338" s="679" t="str">
        <f>IF(AND(QueryFlag="ON",NOT(ISNA(E338))),_xll.BondOutstanding(E338),"")</f>
        <v/>
      </c>
    </row>
    <row r="339" spans="5:18">
      <c r="E339" s="1007"/>
      <c r="F339" s="1002" t="str">
        <f>IF(LEN($E339)&gt;1,_xll.BondInfo($E339,$F$4),"")</f>
        <v/>
      </c>
      <c r="G339" s="678" t="str">
        <f t="array" ref="G339:Q339">IF(AND(QueryFlag="ON",NOT(ISNA(E339))),_xll.BondInfo(E339,$G$4:$Q$4),"")</f>
        <v/>
      </c>
      <c r="H339" s="668" t="str">
        <v/>
      </c>
      <c r="I339" s="666" t="str">
        <v/>
      </c>
      <c r="J339" s="668" t="str">
        <v/>
      </c>
      <c r="K339" s="668" t="str">
        <v/>
      </c>
      <c r="L339" s="668" t="str">
        <v/>
      </c>
      <c r="M339" s="668" t="str">
        <v/>
      </c>
      <c r="N339" s="669" t="str">
        <v/>
      </c>
      <c r="O339" s="670" t="str">
        <v/>
      </c>
      <c r="P339" s="667" t="str">
        <v/>
      </c>
      <c r="Q339" s="670" t="str">
        <v/>
      </c>
      <c r="R339" s="679" t="str">
        <f>IF(AND(QueryFlag="ON",NOT(ISNA(E339))),_xll.BondOutstanding(E339),"")</f>
        <v/>
      </c>
    </row>
    <row r="340" spans="5:18">
      <c r="E340" s="1007"/>
      <c r="F340" s="1002" t="str">
        <f>IF(LEN($E340)&gt;1,_xll.BondInfo($E340,$F$4),"")</f>
        <v/>
      </c>
      <c r="G340" s="678" t="str">
        <f t="array" ref="G340:Q340">IF(AND(QueryFlag="ON",NOT(ISNA(E340))),_xll.BondInfo(E340,$G$4:$Q$4),"")</f>
        <v/>
      </c>
      <c r="H340" s="668" t="str">
        <v/>
      </c>
      <c r="I340" s="666" t="str">
        <v/>
      </c>
      <c r="J340" s="668" t="str">
        <v/>
      </c>
      <c r="K340" s="668" t="str">
        <v/>
      </c>
      <c r="L340" s="668" t="str">
        <v/>
      </c>
      <c r="M340" s="668" t="str">
        <v/>
      </c>
      <c r="N340" s="669" t="str">
        <v/>
      </c>
      <c r="O340" s="670" t="str">
        <v/>
      </c>
      <c r="P340" s="667" t="str">
        <v/>
      </c>
      <c r="Q340" s="670" t="str">
        <v/>
      </c>
      <c r="R340" s="679" t="str">
        <f>IF(AND(QueryFlag="ON",NOT(ISNA(E340))),_xll.BondOutstanding(E340),"")</f>
        <v/>
      </c>
    </row>
    <row r="341" spans="5:18">
      <c r="E341" s="1007"/>
      <c r="F341" s="1002" t="str">
        <f>IF(LEN($E341)&gt;1,_xll.BondInfo($E341,$F$4),"")</f>
        <v/>
      </c>
      <c r="G341" s="678" t="str">
        <f t="array" ref="G341:Q341">IF(AND(QueryFlag="ON",NOT(ISNA(E341))),_xll.BondInfo(E341,$G$4:$Q$4),"")</f>
        <v/>
      </c>
      <c r="H341" s="668" t="str">
        <v/>
      </c>
      <c r="I341" s="666" t="str">
        <v/>
      </c>
      <c r="J341" s="668" t="str">
        <v/>
      </c>
      <c r="K341" s="668" t="str">
        <v/>
      </c>
      <c r="L341" s="668" t="str">
        <v/>
      </c>
      <c r="M341" s="668" t="str">
        <v/>
      </c>
      <c r="N341" s="669" t="str">
        <v/>
      </c>
      <c r="O341" s="670" t="str">
        <v/>
      </c>
      <c r="P341" s="667" t="str">
        <v/>
      </c>
      <c r="Q341" s="670" t="str">
        <v/>
      </c>
      <c r="R341" s="679" t="str">
        <f>IF(AND(QueryFlag="ON",NOT(ISNA(E341))),_xll.BondOutstanding(E341),"")</f>
        <v/>
      </c>
    </row>
    <row r="342" spans="5:18">
      <c r="E342" s="1007"/>
      <c r="F342" s="1002" t="str">
        <f>IF(LEN($E342)&gt;1,_xll.BondInfo($E342,$F$4),"")</f>
        <v/>
      </c>
      <c r="G342" s="678" t="str">
        <f t="array" ref="G342:Q342">IF(AND(QueryFlag="ON",NOT(ISNA(E342))),_xll.BondInfo(E342,$G$4:$Q$4),"")</f>
        <v/>
      </c>
      <c r="H342" s="668" t="str">
        <v/>
      </c>
      <c r="I342" s="666" t="str">
        <v/>
      </c>
      <c r="J342" s="668" t="str">
        <v/>
      </c>
      <c r="K342" s="668" t="str">
        <v/>
      </c>
      <c r="L342" s="668" t="str">
        <v/>
      </c>
      <c r="M342" s="668" t="str">
        <v/>
      </c>
      <c r="N342" s="669" t="str">
        <v/>
      </c>
      <c r="O342" s="670" t="str">
        <v/>
      </c>
      <c r="P342" s="667" t="str">
        <v/>
      </c>
      <c r="Q342" s="670" t="str">
        <v/>
      </c>
      <c r="R342" s="679" t="str">
        <f>IF(AND(QueryFlag="ON",NOT(ISNA(E342))),_xll.BondOutstanding(E342),"")</f>
        <v/>
      </c>
    </row>
    <row r="343" spans="5:18">
      <c r="E343" s="1007"/>
      <c r="F343" s="1002" t="str">
        <f>IF(LEN($E343)&gt;1,_xll.BondInfo($E343,$F$4),"")</f>
        <v/>
      </c>
      <c r="G343" s="678" t="str">
        <f t="array" ref="G343:Q343">IF(AND(QueryFlag="ON",NOT(ISNA(E343))),_xll.BondInfo(E343,$G$4:$Q$4),"")</f>
        <v/>
      </c>
      <c r="H343" s="668" t="str">
        <v/>
      </c>
      <c r="I343" s="666" t="str">
        <v/>
      </c>
      <c r="J343" s="668" t="str">
        <v/>
      </c>
      <c r="K343" s="668" t="str">
        <v/>
      </c>
      <c r="L343" s="668" t="str">
        <v/>
      </c>
      <c r="M343" s="668" t="str">
        <v/>
      </c>
      <c r="N343" s="669" t="str">
        <v/>
      </c>
      <c r="O343" s="670" t="str">
        <v/>
      </c>
      <c r="P343" s="667" t="str">
        <v/>
      </c>
      <c r="Q343" s="670" t="str">
        <v/>
      </c>
      <c r="R343" s="679" t="str">
        <f>IF(AND(QueryFlag="ON",NOT(ISNA(E343))),_xll.BondOutstanding(E343),"")</f>
        <v/>
      </c>
    </row>
    <row r="344" spans="5:18">
      <c r="E344" s="1007"/>
      <c r="F344" s="1002" t="str">
        <f>IF(LEN($E344)&gt;1,_xll.BondInfo($E344,$F$4),"")</f>
        <v/>
      </c>
      <c r="G344" s="678" t="str">
        <f t="array" ref="G344:Q344">IF(AND(QueryFlag="ON",NOT(ISNA(E344))),_xll.BondInfo(E344,$G$4:$Q$4),"")</f>
        <v/>
      </c>
      <c r="H344" s="668" t="str">
        <v/>
      </c>
      <c r="I344" s="666" t="str">
        <v/>
      </c>
      <c r="J344" s="668" t="str">
        <v/>
      </c>
      <c r="K344" s="668" t="str">
        <v/>
      </c>
      <c r="L344" s="668" t="str">
        <v/>
      </c>
      <c r="M344" s="668" t="str">
        <v/>
      </c>
      <c r="N344" s="669" t="str">
        <v/>
      </c>
      <c r="O344" s="670" t="str">
        <v/>
      </c>
      <c r="P344" s="667" t="str">
        <v/>
      </c>
      <c r="Q344" s="670" t="str">
        <v/>
      </c>
      <c r="R344" s="679" t="str">
        <f>IF(AND(QueryFlag="ON",NOT(ISNA(E344))),_xll.BondOutstanding(E344),"")</f>
        <v/>
      </c>
    </row>
    <row r="345" spans="5:18">
      <c r="E345" s="1007"/>
      <c r="F345" s="1002" t="str">
        <f>IF(LEN($E345)&gt;1,_xll.BondInfo($E345,$F$4),"")</f>
        <v/>
      </c>
      <c r="G345" s="678" t="str">
        <f t="array" ref="G345:Q345">IF(AND(QueryFlag="ON",NOT(ISNA(E345))),_xll.BondInfo(E345,$G$4:$Q$4),"")</f>
        <v/>
      </c>
      <c r="H345" s="668" t="str">
        <v/>
      </c>
      <c r="I345" s="666" t="str">
        <v/>
      </c>
      <c r="J345" s="668" t="str">
        <v/>
      </c>
      <c r="K345" s="668" t="str">
        <v/>
      </c>
      <c r="L345" s="668" t="str">
        <v/>
      </c>
      <c r="M345" s="668" t="str">
        <v/>
      </c>
      <c r="N345" s="669" t="str">
        <v/>
      </c>
      <c r="O345" s="670" t="str">
        <v/>
      </c>
      <c r="P345" s="667" t="str">
        <v/>
      </c>
      <c r="Q345" s="670" t="str">
        <v/>
      </c>
      <c r="R345" s="679" t="str">
        <f>IF(AND(QueryFlag="ON",NOT(ISNA(E345))),_xll.BondOutstanding(E345),"")</f>
        <v/>
      </c>
    </row>
    <row r="346" spans="5:18">
      <c r="E346" s="1007"/>
      <c r="F346" s="1002" t="str">
        <f>IF(LEN($E346)&gt;1,_xll.BondInfo($E346,$F$4),"")</f>
        <v/>
      </c>
      <c r="G346" s="678" t="str">
        <f t="array" ref="G346:Q346">IF(AND(QueryFlag="ON",NOT(ISNA(E346))),_xll.BondInfo(E346,$G$4:$Q$4),"")</f>
        <v/>
      </c>
      <c r="H346" s="668" t="str">
        <v/>
      </c>
      <c r="I346" s="666" t="str">
        <v/>
      </c>
      <c r="J346" s="668" t="str">
        <v/>
      </c>
      <c r="K346" s="668" t="str">
        <v/>
      </c>
      <c r="L346" s="668" t="str">
        <v/>
      </c>
      <c r="M346" s="668" t="str">
        <v/>
      </c>
      <c r="N346" s="669" t="str">
        <v/>
      </c>
      <c r="O346" s="670" t="str">
        <v/>
      </c>
      <c r="P346" s="667" t="str">
        <v/>
      </c>
      <c r="Q346" s="670" t="str">
        <v/>
      </c>
      <c r="R346" s="679" t="str">
        <f>IF(AND(QueryFlag="ON",NOT(ISNA(E346))),_xll.BondOutstanding(E346),"")</f>
        <v/>
      </c>
    </row>
    <row r="347" spans="5:18">
      <c r="E347" s="1007"/>
      <c r="F347" s="1002" t="str">
        <f>IF(LEN($E347)&gt;1,_xll.BondInfo($E347,$F$4),"")</f>
        <v/>
      </c>
      <c r="G347" s="678" t="str">
        <f t="array" ref="G347:Q347">IF(AND(QueryFlag="ON",NOT(ISNA(E347))),_xll.BondInfo(E347,$G$4:$Q$4),"")</f>
        <v/>
      </c>
      <c r="H347" s="668" t="str">
        <v/>
      </c>
      <c r="I347" s="666" t="str">
        <v/>
      </c>
      <c r="J347" s="668" t="str">
        <v/>
      </c>
      <c r="K347" s="668" t="str">
        <v/>
      </c>
      <c r="L347" s="668" t="str">
        <v/>
      </c>
      <c r="M347" s="668" t="str">
        <v/>
      </c>
      <c r="N347" s="669" t="str">
        <v/>
      </c>
      <c r="O347" s="670" t="str">
        <v/>
      </c>
      <c r="P347" s="667" t="str">
        <v/>
      </c>
      <c r="Q347" s="670" t="str">
        <v/>
      </c>
      <c r="R347" s="679" t="str">
        <f>IF(AND(QueryFlag="ON",NOT(ISNA(E347))),_xll.BondOutstanding(E347),"")</f>
        <v/>
      </c>
    </row>
    <row r="348" spans="5:18">
      <c r="E348" s="1007"/>
      <c r="F348" s="1002" t="str">
        <f>IF(LEN($E348)&gt;1,_xll.BondInfo($E348,$F$4),"")</f>
        <v/>
      </c>
      <c r="G348" s="678" t="str">
        <f t="array" ref="G348:Q348">IF(AND(QueryFlag="ON",NOT(ISNA(E348))),_xll.BondInfo(E348,$G$4:$Q$4),"")</f>
        <v/>
      </c>
      <c r="H348" s="668" t="str">
        <v/>
      </c>
      <c r="I348" s="666" t="str">
        <v/>
      </c>
      <c r="J348" s="668" t="str">
        <v/>
      </c>
      <c r="K348" s="668" t="str">
        <v/>
      </c>
      <c r="L348" s="668" t="str">
        <v/>
      </c>
      <c r="M348" s="668" t="str">
        <v/>
      </c>
      <c r="N348" s="669" t="str">
        <v/>
      </c>
      <c r="O348" s="670" t="str">
        <v/>
      </c>
      <c r="P348" s="667" t="str">
        <v/>
      </c>
      <c r="Q348" s="670" t="str">
        <v/>
      </c>
      <c r="R348" s="679" t="str">
        <f>IF(AND(QueryFlag="ON",NOT(ISNA(E348))),_xll.BondOutstanding(E348),"")</f>
        <v/>
      </c>
    </row>
    <row r="349" spans="5:18" ht="13.5" thickBot="1">
      <c r="E349" s="1008"/>
      <c r="F349" s="1001"/>
      <c r="G349" s="680" t="str">
        <f t="array" ref="G349:Q349">IF(AND(QueryFlag="ON",NOT(ISNA(E349))),_xll.BondInfo(E349,$G$4:$Q$4),"")</f>
        <v/>
      </c>
      <c r="H349" s="681" t="str">
        <v/>
      </c>
      <c r="I349" s="682" t="str">
        <v/>
      </c>
      <c r="J349" s="681" t="str">
        <v/>
      </c>
      <c r="K349" s="681" t="str">
        <v/>
      </c>
      <c r="L349" s="681" t="str">
        <v/>
      </c>
      <c r="M349" s="681" t="str">
        <v/>
      </c>
      <c r="N349" s="683" t="str">
        <v/>
      </c>
      <c r="O349" s="684" t="str">
        <v/>
      </c>
      <c r="P349" s="685" t="str">
        <v/>
      </c>
      <c r="Q349" s="684" t="str">
        <v/>
      </c>
      <c r="R349" s="686" t="str">
        <f>IF(AND(QueryFlag="ON",NOT(ISNA(E349))),_xll.BondOutstanding(E349),"")</f>
        <v/>
      </c>
    </row>
  </sheetData>
  <conditionalFormatting sqref="C3:D3">
    <cfRule type="containsText" dxfId="3" priority="1" operator="containsText" text="OFF">
      <formula>NOT(ISERROR(SEARCH("OFF",C3)))</formula>
    </cfRule>
    <cfRule type="containsText" dxfId="2" priority="2" operator="containsText" text="ON">
      <formula>NOT(ISERROR(SEARCH("ON",C3)))</formula>
    </cfRule>
  </conditionalFormatting>
  <dataValidations disablePrompts="1"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0</xdr:col>
                    <xdr:colOff>152400</xdr:colOff>
                    <xdr:row>4</xdr:row>
                    <xdr:rowOff>47625</xdr:rowOff>
                  </from>
                  <to>
                    <xdr:col>2</xdr:col>
                    <xdr:colOff>771525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31</vt:i4>
      </vt:variant>
    </vt:vector>
  </HeadingPairs>
  <TitlesOfParts>
    <vt:vector size="42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exoDisc</vt:lpstr>
      <vt:lpstr>ExportDate</vt:lpstr>
      <vt:lpstr>ISIN_List</vt:lpstr>
      <vt:lpstr>ISIN_Output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2018-03-01T08:05:39Z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